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licers/slicer1.xml" ContentType="application/vnd.ms-excel.slicer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6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9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pivotTables/pivotTable13.xml" ContentType="application/vnd.openxmlformats-officedocument.spreadsheetml.pivotTable+xml"/>
  <Override PartName="/xl/drawings/drawing2.xml" ContentType="application/vnd.openxmlformats-officedocument.drawing+xml"/>
  <Override PartName="/xl/charts/chart14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.xml" ContentType="application/vnd.openxmlformats-officedocument.drawing+xml"/>
  <Override PartName="/xl/charts/chart15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4.xml" ContentType="application/vnd.openxmlformats-officedocument.drawing+xml"/>
  <Override PartName="/xl/charts/chart16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6.xml" ContentType="application/vnd.openxmlformats-officedocument.drawing+xml"/>
  <Override PartName="/xl/charts/chart19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7.xml" ContentType="application/vnd.openxmlformats-officedocument.drawing+xml"/>
  <Override PartName="/xl/charts/chart20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8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9.xml" ContentType="application/vnd.openxmlformats-officedocument.drawing+xml"/>
  <Override PartName="/xl/charts/chart23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0.xml" ContentType="application/vnd.openxmlformats-officedocument.drawing+xml"/>
  <Override PartName="/xl/charts/chart24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chaker\Desktop\"/>
    </mc:Choice>
  </mc:AlternateContent>
  <xr:revisionPtr revIDLastSave="0" documentId="13_ncr:1_{4F549495-A643-48DB-88B3-E963A543AB10}" xr6:coauthVersionLast="47" xr6:coauthVersionMax="47" xr10:uidLastSave="{00000000-0000-0000-0000-000000000000}"/>
  <bookViews>
    <workbookView xWindow="-120" yWindow="-120" windowWidth="24240" windowHeight="13140" tabRatio="895" xr2:uid="{00000000-000D-0000-FFFF-FFFF00000000}"/>
  </bookViews>
  <sheets>
    <sheet name="TBD" sheetId="6" r:id="rId1"/>
    <sheet name="Récapitulatif" sheetId="5" state="hidden" r:id="rId2"/>
    <sheet name="Analyse" sheetId="27" state="hidden" r:id="rId3"/>
    <sheet name="Source" sheetId="23" state="hidden" r:id="rId4"/>
    <sheet name="Taux de Retours Client" sheetId="18" state="hidden" r:id="rId5"/>
    <sheet name="Tendence Prod 22 Vs 21" sheetId="19" state="hidden" r:id="rId6"/>
    <sheet name="Réalisation Vs PIC Prod" sheetId="16" state="hidden" r:id="rId7"/>
    <sheet name="Réalisation Vs PIC Liv" sheetId="17" state="hidden" r:id="rId8"/>
    <sheet name="Taux de Déchet" sheetId="7" state="hidden" r:id="rId9"/>
    <sheet name="Tendence CA" sheetId="12" state="hidden" r:id="rId10"/>
    <sheet name="Taux de Couverture de Stock Fer" sheetId="15" state="hidden" r:id="rId11"/>
    <sheet name="Durée Moy.de Stockage Fer Nu" sheetId="13" state="hidden" r:id="rId12"/>
    <sheet name="Rotation de Stock Fer Nu" sheetId="14" state="hidden" r:id="rId13"/>
    <sheet name="Taux de Remplissage Magasin PF" sheetId="8" state="hidden" r:id="rId14"/>
    <sheet name="Rotation des Stocks PF" sheetId="9" state="hidden" r:id="rId15"/>
    <sheet name="Durée Moyenne de Stockage PF" sheetId="10" state="hidden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_FilterDatabase" localSheetId="12" hidden="1">'Rotation de Stock Fer Nu'!$A$22:$V$22</definedName>
    <definedName name="_xlnm._FilterDatabase" localSheetId="14" hidden="1">'Rotation des Stocks PF'!$A$22:$V$126</definedName>
    <definedName name="_xlnm._FilterDatabase" localSheetId="3" hidden="1">Source!$A$134:$E$139</definedName>
    <definedName name="_xlnm._FilterDatabase" localSheetId="10" hidden="1">'Taux de Couverture de Stock Fer'!$A$17:$T$17</definedName>
    <definedName name="_xlnm._FilterDatabase" localSheetId="8" hidden="1">'Taux de Déchet'!$B$1:$S$31</definedName>
    <definedName name="_xlchart.v1.0" hidden="1">Analyse!$H$5:$H$10</definedName>
    <definedName name="_xlchart.v1.1" hidden="1">Analyse!$I$4</definedName>
    <definedName name="_xlchart.v1.2" hidden="1">Analyse!$I$5:$I$10</definedName>
    <definedName name="_xlchart.v2.3" hidden="1">Analyse!$H$81:$H$85</definedName>
    <definedName name="_xlchart.v2.4" hidden="1">Analyse!$I$80</definedName>
    <definedName name="_xlchart.v2.5" hidden="1">Analyse!$I$81:$I$85</definedName>
    <definedName name="_xlcn.WorksheetConnection_TBDCCE.2022.xlsxMois1" hidden="1">Mois</definedName>
    <definedName name="_xlcn.WorksheetConnection_TBDCCE.2022.xlsxService1" hidden="1">Service</definedName>
    <definedName name="Segment_Mois">#N/A</definedName>
    <definedName name="Segment_Secteur">#N/A</definedName>
  </definedNames>
  <calcPr calcId="191029"/>
  <pivotCaches>
    <pivotCache cacheId="3" r:id="rId24"/>
    <pivotCache cacheId="4" r:id="rId25"/>
  </pivotCaches>
  <extLst>
    <ext xmlns:x14="http://schemas.microsoft.com/office/spreadsheetml/2009/9/main" uri="{BBE1A952-AA13-448e-AADC-164F8A28A991}">
      <x14:slicerCaches>
        <x14:slicerCache r:id="rId26"/>
        <x14:slicerCache r:id="rId2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Service" name="Service" connection="WorksheetConnection_TBD CCE.2022.xlsx!Service"/>
          <x15:modelTable id="Mois" name="Mois" connection="WorksheetConnection_TBD CCE.2022.xlsx!Mois"/>
        </x15:modelTables>
        <x15:modelRelationships>
          <x15:modelRelationship fromTable="Mois" fromColumn="Mois" toTable="Service" toColumn="Service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2" i="6" l="1"/>
  <c r="N11" i="6"/>
  <c r="N10" i="6"/>
  <c r="N9" i="6"/>
  <c r="N8" i="6"/>
  <c r="P8" i="27"/>
  <c r="Q8" i="27" s="1"/>
  <c r="B9" i="6"/>
  <c r="B10" i="6"/>
  <c r="B11" i="6"/>
  <c r="B12" i="6"/>
  <c r="B13" i="6"/>
  <c r="B8" i="6"/>
  <c r="D19" i="27"/>
  <c r="C19" i="27"/>
  <c r="H119" i="27"/>
  <c r="G119" i="27"/>
  <c r="D108" i="27"/>
  <c r="C108" i="27"/>
  <c r="C100" i="27"/>
  <c r="D100" i="27"/>
  <c r="D91" i="27"/>
  <c r="C91" i="27"/>
  <c r="I37" i="27"/>
  <c r="J37" i="27"/>
  <c r="K37" i="27"/>
  <c r="L37" i="27"/>
  <c r="J36" i="27"/>
  <c r="K36" i="27"/>
  <c r="L36" i="27"/>
  <c r="I36" i="27"/>
  <c r="J28" i="27"/>
  <c r="K28" i="27"/>
  <c r="L28" i="27"/>
  <c r="I28" i="27"/>
  <c r="J27" i="27"/>
  <c r="K27" i="27"/>
  <c r="L27" i="27"/>
  <c r="I27" i="27"/>
  <c r="I8" i="27"/>
  <c r="I10" i="27"/>
  <c r="I9" i="27"/>
  <c r="M5" i="27"/>
  <c r="C10" i="6"/>
  <c r="I6" i="27"/>
  <c r="O5" i="27"/>
  <c r="B7" i="6"/>
  <c r="C9" i="6"/>
  <c r="L5" i="27"/>
  <c r="C8" i="6"/>
  <c r="N5" i="27"/>
  <c r="I5" i="27"/>
  <c r="I7" i="27"/>
  <c r="C11" i="6"/>
  <c r="C12" i="6"/>
  <c r="C13" i="6"/>
  <c r="I83" i="27"/>
  <c r="I81" i="27"/>
  <c r="N7" i="6"/>
  <c r="O10" i="6"/>
  <c r="I82" i="27"/>
  <c r="O12" i="6"/>
  <c r="O8" i="6"/>
  <c r="I84" i="27"/>
  <c r="I85" i="27"/>
  <c r="O11" i="6"/>
  <c r="O9" i="6"/>
  <c r="P11" i="6" l="1"/>
  <c r="P10" i="6"/>
  <c r="P9" i="6"/>
  <c r="P8" i="6"/>
  <c r="P12" i="6"/>
  <c r="P5" i="27"/>
  <c r="D8" i="6"/>
  <c r="D12" i="6"/>
  <c r="D11" i="6"/>
  <c r="D10" i="6"/>
  <c r="D13" i="6"/>
  <c r="D9" i="6"/>
  <c r="E82" i="14"/>
  <c r="E80" i="14"/>
  <c r="E78" i="14"/>
  <c r="E76" i="14"/>
  <c r="E74" i="14"/>
  <c r="E72" i="14"/>
  <c r="E70" i="14"/>
  <c r="E68" i="14"/>
  <c r="E66" i="14"/>
  <c r="E64" i="14"/>
  <c r="E62" i="14"/>
  <c r="E60" i="14"/>
  <c r="E58" i="14"/>
  <c r="E56" i="14"/>
  <c r="E52" i="14"/>
  <c r="E50" i="14"/>
  <c r="E48" i="14"/>
  <c r="E46" i="14"/>
  <c r="E44" i="14"/>
  <c r="E42" i="14"/>
  <c r="E40" i="14"/>
  <c r="E38" i="14"/>
  <c r="E36" i="14"/>
  <c r="E34" i="14"/>
  <c r="E32" i="14"/>
  <c r="E30" i="14"/>
  <c r="E28" i="14"/>
  <c r="E26" i="14"/>
  <c r="R9" i="5" l="1"/>
  <c r="O2" i="18"/>
  <c r="P9" i="5"/>
  <c r="O9" i="5"/>
  <c r="N9" i="5"/>
  <c r="M9" i="5"/>
  <c r="L9" i="5"/>
  <c r="K9" i="5"/>
  <c r="J9" i="5"/>
  <c r="I9" i="5"/>
  <c r="H9" i="5"/>
  <c r="G9" i="5"/>
  <c r="F9" i="5"/>
  <c r="E9" i="5"/>
  <c r="P15" i="19" l="1"/>
  <c r="O15" i="19"/>
  <c r="N15" i="19"/>
  <c r="M15" i="19"/>
  <c r="L15" i="19"/>
  <c r="K15" i="19"/>
  <c r="J15" i="19"/>
  <c r="I15" i="19"/>
  <c r="H15" i="19"/>
  <c r="G15" i="19"/>
  <c r="F15" i="19"/>
  <c r="P14" i="19"/>
  <c r="O14" i="19"/>
  <c r="N14" i="19"/>
  <c r="M14" i="19"/>
  <c r="L14" i="19"/>
  <c r="K14" i="19"/>
  <c r="J14" i="19"/>
  <c r="I14" i="19"/>
  <c r="H14" i="19"/>
  <c r="G14" i="19"/>
  <c r="F14" i="19"/>
  <c r="E15" i="19"/>
  <c r="E14" i="19"/>
  <c r="P12" i="19"/>
  <c r="O12" i="19"/>
  <c r="N12" i="19"/>
  <c r="M12" i="19"/>
  <c r="L12" i="19"/>
  <c r="K12" i="19"/>
  <c r="J12" i="19"/>
  <c r="I12" i="19"/>
  <c r="H12" i="19"/>
  <c r="G12" i="19"/>
  <c r="F12" i="19"/>
  <c r="E12" i="19"/>
  <c r="P11" i="19"/>
  <c r="O11" i="19"/>
  <c r="N11" i="19"/>
  <c r="M11" i="19"/>
  <c r="L11" i="19"/>
  <c r="K11" i="19"/>
  <c r="J11" i="19"/>
  <c r="I11" i="19"/>
  <c r="H11" i="19"/>
  <c r="G11" i="19"/>
  <c r="F11" i="19"/>
  <c r="E11" i="19"/>
  <c r="F16" i="19" l="1"/>
  <c r="O16" i="19"/>
  <c r="M16" i="19" l="1"/>
  <c r="P16" i="19"/>
  <c r="J16" i="19"/>
  <c r="R14" i="19"/>
  <c r="E16" i="19"/>
  <c r="L16" i="19"/>
  <c r="F5" i="19"/>
  <c r="L3" i="19"/>
  <c r="L13" i="19"/>
  <c r="M5" i="19"/>
  <c r="I16" i="19"/>
  <c r="K16" i="19"/>
  <c r="O5" i="19"/>
  <c r="M3" i="19"/>
  <c r="M13" i="19"/>
  <c r="R11" i="19"/>
  <c r="E3" i="19"/>
  <c r="E13" i="19"/>
  <c r="I5" i="19"/>
  <c r="O3" i="19"/>
  <c r="O13" i="19"/>
  <c r="G3" i="19"/>
  <c r="G13" i="19"/>
  <c r="L5" i="19"/>
  <c r="L7" i="19" s="1"/>
  <c r="L12" i="5" s="1"/>
  <c r="H5" i="19"/>
  <c r="K5" i="19"/>
  <c r="N5" i="19"/>
  <c r="P3" i="19"/>
  <c r="P13" i="19"/>
  <c r="H3" i="19"/>
  <c r="H13" i="19"/>
  <c r="E5" i="19"/>
  <c r="R12" i="19"/>
  <c r="P5" i="19"/>
  <c r="J13" i="19"/>
  <c r="J3" i="19"/>
  <c r="F13" i="19"/>
  <c r="F3" i="19"/>
  <c r="H16" i="19"/>
  <c r="N16" i="19"/>
  <c r="R15" i="19"/>
  <c r="G16" i="19"/>
  <c r="G5" i="19"/>
  <c r="I3" i="19"/>
  <c r="I13" i="19"/>
  <c r="J5" i="19"/>
  <c r="K3" i="19"/>
  <c r="K13" i="19"/>
  <c r="N13" i="19"/>
  <c r="N3" i="19"/>
  <c r="G7" i="19" l="1"/>
  <c r="G12" i="5" s="1"/>
  <c r="N7" i="19"/>
  <c r="N12" i="5" s="1"/>
  <c r="J7" i="19"/>
  <c r="J12" i="5" s="1"/>
  <c r="R13" i="19"/>
  <c r="H7" i="19"/>
  <c r="H12" i="5" s="1"/>
  <c r="R16" i="19"/>
  <c r="P7" i="19"/>
  <c r="P12" i="5" s="1"/>
  <c r="K7" i="19"/>
  <c r="K12" i="5" s="1"/>
  <c r="I7" i="19"/>
  <c r="I12" i="5" s="1"/>
  <c r="C3" i="19"/>
  <c r="O7" i="19"/>
  <c r="O12" i="5" s="1"/>
  <c r="M7" i="19"/>
  <c r="M12" i="5" s="1"/>
  <c r="E7" i="19"/>
  <c r="E12" i="5" s="1"/>
  <c r="C5" i="19"/>
  <c r="C7" i="19" s="1"/>
  <c r="F7" i="19"/>
  <c r="F12" i="5" s="1"/>
  <c r="R3" i="19" l="1"/>
  <c r="R12" i="5"/>
  <c r="F11" i="18"/>
  <c r="E11" i="18"/>
  <c r="D11" i="18"/>
  <c r="C11" i="18"/>
  <c r="O10" i="18"/>
  <c r="O11" i="18" s="1"/>
  <c r="O9" i="18"/>
  <c r="O8" i="18"/>
  <c r="F8" i="18"/>
  <c r="E8" i="18"/>
  <c r="D8" i="18"/>
  <c r="C8" i="18"/>
  <c r="O7" i="18"/>
  <c r="O6" i="18"/>
  <c r="F2" i="18"/>
  <c r="E2" i="18"/>
  <c r="D2" i="18"/>
  <c r="C2" i="18"/>
  <c r="O1" i="18"/>
  <c r="P11" i="5"/>
  <c r="O11" i="5"/>
  <c r="N11" i="5"/>
  <c r="M11" i="5"/>
  <c r="L11" i="5"/>
  <c r="K11" i="5"/>
  <c r="J11" i="5"/>
  <c r="I11" i="5"/>
  <c r="H11" i="5"/>
  <c r="G11" i="5"/>
  <c r="F11" i="5"/>
  <c r="P10" i="5"/>
  <c r="O10" i="5"/>
  <c r="N10" i="5"/>
  <c r="M10" i="5"/>
  <c r="L10" i="5"/>
  <c r="K10" i="5"/>
  <c r="J10" i="5"/>
  <c r="I10" i="5"/>
  <c r="H10" i="5"/>
  <c r="G10" i="5"/>
  <c r="F10" i="5"/>
  <c r="P13" i="5"/>
  <c r="O13" i="5"/>
  <c r="N13" i="5"/>
  <c r="M13" i="5"/>
  <c r="L13" i="5"/>
  <c r="K13" i="5"/>
  <c r="J13" i="5"/>
  <c r="I13" i="5"/>
  <c r="Q34" i="17"/>
  <c r="P34" i="17"/>
  <c r="O34" i="17"/>
  <c r="N34" i="17"/>
  <c r="M34" i="17"/>
  <c r="L34" i="17"/>
  <c r="K34" i="17"/>
  <c r="J34" i="17"/>
  <c r="I34" i="17"/>
  <c r="H34" i="17"/>
  <c r="G34" i="17"/>
  <c r="F34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Q31" i="17"/>
  <c r="P31" i="17"/>
  <c r="O31" i="17"/>
  <c r="N31" i="17"/>
  <c r="M31" i="17"/>
  <c r="L31" i="17"/>
  <c r="K31" i="17"/>
  <c r="J31" i="17"/>
  <c r="I31" i="17"/>
  <c r="H31" i="17"/>
  <c r="G31" i="17"/>
  <c r="F31" i="17"/>
  <c r="Q30" i="17"/>
  <c r="P30" i="17"/>
  <c r="O30" i="17"/>
  <c r="N30" i="17"/>
  <c r="M30" i="17"/>
  <c r="L30" i="17"/>
  <c r="K30" i="17"/>
  <c r="J30" i="17"/>
  <c r="I30" i="17"/>
  <c r="H30" i="17"/>
  <c r="G30" i="17"/>
  <c r="F30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Q22" i="17"/>
  <c r="P22" i="17"/>
  <c r="O22" i="17"/>
  <c r="O16" i="17" s="1"/>
  <c r="N22" i="17"/>
  <c r="M22" i="17"/>
  <c r="L22" i="17"/>
  <c r="K22" i="17"/>
  <c r="J22" i="17"/>
  <c r="I22" i="17"/>
  <c r="I16" i="17" s="1"/>
  <c r="H22" i="17"/>
  <c r="G22" i="17"/>
  <c r="F22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Q32" i="16"/>
  <c r="P32" i="16"/>
  <c r="O32" i="16"/>
  <c r="N32" i="16"/>
  <c r="M32" i="16"/>
  <c r="L32" i="16"/>
  <c r="K32" i="16"/>
  <c r="J32" i="16"/>
  <c r="I32" i="16"/>
  <c r="H32" i="16"/>
  <c r="G32" i="16"/>
  <c r="F32" i="16"/>
  <c r="Q31" i="16"/>
  <c r="P31" i="16"/>
  <c r="O31" i="16"/>
  <c r="N31" i="16"/>
  <c r="M31" i="16"/>
  <c r="L31" i="16"/>
  <c r="K31" i="16"/>
  <c r="J31" i="16"/>
  <c r="I31" i="16"/>
  <c r="H31" i="16"/>
  <c r="G31" i="16"/>
  <c r="F31" i="16"/>
  <c r="Q29" i="16"/>
  <c r="P29" i="16"/>
  <c r="O29" i="16"/>
  <c r="N29" i="16"/>
  <c r="M29" i="16"/>
  <c r="L29" i="16"/>
  <c r="K29" i="16"/>
  <c r="J29" i="16"/>
  <c r="I29" i="16"/>
  <c r="H29" i="16"/>
  <c r="G29" i="16"/>
  <c r="F29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Q26" i="16"/>
  <c r="P26" i="16"/>
  <c r="O26" i="16"/>
  <c r="N26" i="16"/>
  <c r="M26" i="16"/>
  <c r="L26" i="16"/>
  <c r="K26" i="16"/>
  <c r="J26" i="16"/>
  <c r="I26" i="16"/>
  <c r="H26" i="16"/>
  <c r="G26" i="16"/>
  <c r="F26" i="16"/>
  <c r="Q25" i="16"/>
  <c r="P25" i="16"/>
  <c r="O25" i="16"/>
  <c r="N25" i="16"/>
  <c r="M25" i="16"/>
  <c r="L25" i="16"/>
  <c r="K25" i="16"/>
  <c r="J25" i="16"/>
  <c r="I25" i="16"/>
  <c r="H25" i="16"/>
  <c r="G25" i="16"/>
  <c r="F25" i="16"/>
  <c r="Q23" i="16"/>
  <c r="P23" i="16"/>
  <c r="O23" i="16"/>
  <c r="N23" i="16"/>
  <c r="M23" i="16"/>
  <c r="L23" i="16"/>
  <c r="K23" i="16"/>
  <c r="J23" i="16"/>
  <c r="I23" i="16"/>
  <c r="H23" i="16"/>
  <c r="G23" i="16"/>
  <c r="F23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Q20" i="16"/>
  <c r="P20" i="16"/>
  <c r="O20" i="16"/>
  <c r="N20" i="16"/>
  <c r="M20" i="16"/>
  <c r="L20" i="16"/>
  <c r="K20" i="16"/>
  <c r="J20" i="16"/>
  <c r="J14" i="16" s="1"/>
  <c r="I20" i="16"/>
  <c r="H20" i="16"/>
  <c r="G20" i="16"/>
  <c r="F20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M21" i="16"/>
  <c r="H14" i="16"/>
  <c r="F16" i="17" l="1"/>
  <c r="J16" i="17"/>
  <c r="N16" i="17"/>
  <c r="K26" i="17"/>
  <c r="M35" i="17"/>
  <c r="Q35" i="17"/>
  <c r="I35" i="17"/>
  <c r="R25" i="17"/>
  <c r="F35" i="17"/>
  <c r="J35" i="17"/>
  <c r="N35" i="17"/>
  <c r="R34" i="17"/>
  <c r="G23" i="17"/>
  <c r="H16" i="17"/>
  <c r="L16" i="17"/>
  <c r="P16" i="17"/>
  <c r="K16" i="17"/>
  <c r="G29" i="17"/>
  <c r="K35" i="17"/>
  <c r="O35" i="17"/>
  <c r="O23" i="17"/>
  <c r="H35" i="17"/>
  <c r="L35" i="17"/>
  <c r="P35" i="17"/>
  <c r="Q23" i="17"/>
  <c r="K23" i="17"/>
  <c r="H23" i="17"/>
  <c r="P26" i="17"/>
  <c r="F32" i="17"/>
  <c r="I23" i="17"/>
  <c r="L23" i="17"/>
  <c r="M23" i="17"/>
  <c r="O26" i="17"/>
  <c r="K29" i="17"/>
  <c r="J23" i="17"/>
  <c r="G26" i="17"/>
  <c r="O29" i="17"/>
  <c r="L29" i="17"/>
  <c r="N32" i="17"/>
  <c r="Q29" i="17"/>
  <c r="J26" i="17"/>
  <c r="L26" i="17"/>
  <c r="J29" i="17"/>
  <c r="R22" i="17"/>
  <c r="I26" i="17"/>
  <c r="G16" i="17"/>
  <c r="M16" i="17"/>
  <c r="N26" i="17"/>
  <c r="H29" i="17"/>
  <c r="P29" i="17"/>
  <c r="M32" i="17"/>
  <c r="R31" i="17"/>
  <c r="I29" i="17"/>
  <c r="N29" i="17"/>
  <c r="M29" i="17"/>
  <c r="I32" i="17"/>
  <c r="Q32" i="17"/>
  <c r="Q16" i="17"/>
  <c r="M26" i="17"/>
  <c r="R28" i="17"/>
  <c r="J32" i="17"/>
  <c r="H32" i="17"/>
  <c r="L32" i="17"/>
  <c r="P32" i="17"/>
  <c r="G35" i="17"/>
  <c r="L21" i="16"/>
  <c r="I14" i="16"/>
  <c r="Q14" i="16"/>
  <c r="K24" i="16"/>
  <c r="L14" i="16"/>
  <c r="P14" i="16"/>
  <c r="M30" i="16"/>
  <c r="J33" i="16"/>
  <c r="M14" i="16"/>
  <c r="M27" i="16"/>
  <c r="N21" i="16"/>
  <c r="N14" i="16"/>
  <c r="F12" i="16"/>
  <c r="I30" i="16"/>
  <c r="Q30" i="16"/>
  <c r="K27" i="16"/>
  <c r="H21" i="16"/>
  <c r="P21" i="16"/>
  <c r="M33" i="16"/>
  <c r="I24" i="16"/>
  <c r="M24" i="16"/>
  <c r="I33" i="16"/>
  <c r="Q33" i="16"/>
  <c r="N33" i="16"/>
  <c r="H33" i="16"/>
  <c r="L33" i="16"/>
  <c r="P33" i="16"/>
  <c r="H30" i="16"/>
  <c r="N30" i="16"/>
  <c r="I21" i="16"/>
  <c r="Q21" i="16"/>
  <c r="G24" i="16"/>
  <c r="O24" i="16"/>
  <c r="J30" i="16"/>
  <c r="J21" i="16"/>
  <c r="G14" i="16"/>
  <c r="K14" i="16"/>
  <c r="O14" i="16"/>
  <c r="R19" i="16"/>
  <c r="M12" i="16"/>
  <c r="R20" i="16"/>
  <c r="F24" i="16"/>
  <c r="J24" i="16"/>
  <c r="N24" i="16"/>
  <c r="R26" i="16"/>
  <c r="F21" i="16"/>
  <c r="G21" i="16"/>
  <c r="K21" i="16"/>
  <c r="O21" i="16"/>
  <c r="I27" i="16"/>
  <c r="O27" i="16"/>
  <c r="G30" i="16"/>
  <c r="K12" i="16"/>
  <c r="R23" i="16"/>
  <c r="P27" i="16"/>
  <c r="J12" i="16"/>
  <c r="J16" i="16" s="1"/>
  <c r="N12" i="16"/>
  <c r="G27" i="16"/>
  <c r="L27" i="16"/>
  <c r="Q27" i="16"/>
  <c r="P30" i="16"/>
  <c r="Q24" i="16"/>
  <c r="H27" i="16"/>
  <c r="F14" i="16"/>
  <c r="G33" i="16"/>
  <c r="K33" i="16"/>
  <c r="O33" i="16"/>
  <c r="H14" i="17" l="1"/>
  <c r="H18" i="17" s="1"/>
  <c r="R33" i="17"/>
  <c r="R35" i="17" s="1"/>
  <c r="S35" i="17" s="1"/>
  <c r="Q14" i="17"/>
  <c r="Q18" i="17" s="1"/>
  <c r="Q26" i="17"/>
  <c r="F29" i="17"/>
  <c r="R27" i="17"/>
  <c r="R29" i="17" s="1"/>
  <c r="S29" i="17" s="1"/>
  <c r="P14" i="17"/>
  <c r="P18" i="17" s="1"/>
  <c r="O14" i="17"/>
  <c r="O18" i="17" s="1"/>
  <c r="O32" i="17"/>
  <c r="G14" i="17"/>
  <c r="G18" i="17" s="1"/>
  <c r="G32" i="17"/>
  <c r="F26" i="17"/>
  <c r="R24" i="17"/>
  <c r="R26" i="17" s="1"/>
  <c r="S26" i="17" s="1"/>
  <c r="P23" i="17"/>
  <c r="L14" i="17"/>
  <c r="L18" i="17" s="1"/>
  <c r="H26" i="17"/>
  <c r="E16" i="17"/>
  <c r="N14" i="17"/>
  <c r="N18" i="17" s="1"/>
  <c r="N23" i="17"/>
  <c r="I14" i="17"/>
  <c r="I18" i="17" s="1"/>
  <c r="R30" i="17"/>
  <c r="R32" i="17" s="1"/>
  <c r="S32" i="17" s="1"/>
  <c r="M14" i="17"/>
  <c r="M18" i="17" s="1"/>
  <c r="K14" i="17"/>
  <c r="K18" i="17" s="1"/>
  <c r="K32" i="17"/>
  <c r="F14" i="17"/>
  <c r="F23" i="17"/>
  <c r="R21" i="17"/>
  <c r="R23" i="17" s="1"/>
  <c r="S23" i="17" s="1"/>
  <c r="J14" i="17"/>
  <c r="J18" i="17" s="1"/>
  <c r="M16" i="16"/>
  <c r="N16" i="16"/>
  <c r="R21" i="16"/>
  <c r="S21" i="16" s="1"/>
  <c r="R28" i="16"/>
  <c r="K16" i="16"/>
  <c r="O12" i="16"/>
  <c r="O16" i="16" s="1"/>
  <c r="F27" i="16"/>
  <c r="E14" i="16"/>
  <c r="F16" i="16"/>
  <c r="F33" i="16"/>
  <c r="R32" i="16"/>
  <c r="H12" i="16"/>
  <c r="H16" i="16" s="1"/>
  <c r="O30" i="16"/>
  <c r="Q12" i="16"/>
  <c r="Q16" i="16" s="1"/>
  <c r="H24" i="16"/>
  <c r="G12" i="16"/>
  <c r="L30" i="16"/>
  <c r="K30" i="16"/>
  <c r="N27" i="16"/>
  <c r="I12" i="16"/>
  <c r="I16" i="16" s="1"/>
  <c r="R22" i="16"/>
  <c r="R24" i="16" s="1"/>
  <c r="S24" i="16" s="1"/>
  <c r="R29" i="16"/>
  <c r="F30" i="16"/>
  <c r="P12" i="16"/>
  <c r="P16" i="16" s="1"/>
  <c r="J27" i="16"/>
  <c r="P24" i="16"/>
  <c r="R31" i="16"/>
  <c r="L12" i="16"/>
  <c r="L16" i="16" s="1"/>
  <c r="R25" i="16"/>
  <c r="R27" i="16" s="1"/>
  <c r="S27" i="16" s="1"/>
  <c r="L24" i="16"/>
  <c r="F18" i="17" l="1"/>
  <c r="E14" i="17"/>
  <c r="E18" i="17" s="1"/>
  <c r="R14" i="17"/>
  <c r="S14" i="17" s="1"/>
  <c r="R30" i="16"/>
  <c r="S30" i="16" s="1"/>
  <c r="E12" i="16"/>
  <c r="E16" i="16" s="1"/>
  <c r="G16" i="16"/>
  <c r="R12" i="16"/>
  <c r="S12" i="16" s="1"/>
  <c r="R33" i="16"/>
  <c r="S33" i="16" s="1"/>
  <c r="R10" i="5" l="1"/>
  <c r="R11" i="5"/>
  <c r="S130" i="10"/>
  <c r="Q130" i="10"/>
  <c r="P130" i="10"/>
  <c r="O130" i="10"/>
  <c r="O129" i="10" s="1"/>
  <c r="N130" i="10"/>
  <c r="N129" i="10" s="1"/>
  <c r="M130" i="10"/>
  <c r="M129" i="10" s="1"/>
  <c r="L130" i="10"/>
  <c r="L129" i="10" s="1"/>
  <c r="K130" i="10"/>
  <c r="K129" i="10" s="1"/>
  <c r="J130" i="10"/>
  <c r="J129" i="10" s="1"/>
  <c r="I130" i="10"/>
  <c r="I129" i="10" s="1"/>
  <c r="H130" i="10"/>
  <c r="H129" i="10" s="1"/>
  <c r="G130" i="10"/>
  <c r="G129" i="10" s="1"/>
  <c r="F130" i="10"/>
  <c r="F129" i="10" s="1"/>
  <c r="Q129" i="10"/>
  <c r="P129" i="10"/>
  <c r="S128" i="10"/>
  <c r="Q128" i="10"/>
  <c r="Q127" i="10" s="1"/>
  <c r="P128" i="10"/>
  <c r="O128" i="10"/>
  <c r="O127" i="10" s="1"/>
  <c r="N128" i="10"/>
  <c r="N127" i="10" s="1"/>
  <c r="M128" i="10"/>
  <c r="M127" i="10" s="1"/>
  <c r="L128" i="10"/>
  <c r="K128" i="10"/>
  <c r="K127" i="10" s="1"/>
  <c r="J128" i="10"/>
  <c r="I128" i="10"/>
  <c r="I127" i="10" s="1"/>
  <c r="H128" i="10"/>
  <c r="G128" i="10"/>
  <c r="G127" i="10" s="1"/>
  <c r="F128" i="10"/>
  <c r="F127" i="10" s="1"/>
  <c r="P127" i="10"/>
  <c r="L127" i="10"/>
  <c r="J127" i="10"/>
  <c r="H127" i="10"/>
  <c r="S126" i="10"/>
  <c r="Q126" i="10"/>
  <c r="Q125" i="10" s="1"/>
  <c r="P126" i="10"/>
  <c r="P125" i="10" s="1"/>
  <c r="O126" i="10"/>
  <c r="O125" i="10" s="1"/>
  <c r="N126" i="10"/>
  <c r="N125" i="10" s="1"/>
  <c r="M126" i="10"/>
  <c r="M125" i="10" s="1"/>
  <c r="L126" i="10"/>
  <c r="L125" i="10" s="1"/>
  <c r="K126" i="10"/>
  <c r="K125" i="10" s="1"/>
  <c r="J126" i="10"/>
  <c r="I126" i="10"/>
  <c r="I125" i="10" s="1"/>
  <c r="H126" i="10"/>
  <c r="H125" i="10" s="1"/>
  <c r="G126" i="10"/>
  <c r="G125" i="10" s="1"/>
  <c r="F126" i="10"/>
  <c r="F125" i="10" s="1"/>
  <c r="J125" i="10"/>
  <c r="S124" i="10"/>
  <c r="Q124" i="10"/>
  <c r="Q123" i="10" s="1"/>
  <c r="P124" i="10"/>
  <c r="P123" i="10" s="1"/>
  <c r="O124" i="10"/>
  <c r="O123" i="10" s="1"/>
  <c r="N124" i="10"/>
  <c r="M124" i="10"/>
  <c r="M123" i="10" s="1"/>
  <c r="L124" i="10"/>
  <c r="L123" i="10" s="1"/>
  <c r="K124" i="10"/>
  <c r="K123" i="10" s="1"/>
  <c r="J124" i="10"/>
  <c r="I124" i="10"/>
  <c r="I123" i="10" s="1"/>
  <c r="H124" i="10"/>
  <c r="H123" i="10" s="1"/>
  <c r="G124" i="10"/>
  <c r="G123" i="10" s="1"/>
  <c r="F124" i="10"/>
  <c r="N123" i="10"/>
  <c r="J123" i="10"/>
  <c r="F123" i="10"/>
  <c r="S122" i="10"/>
  <c r="Q122" i="10"/>
  <c r="Q121" i="10" s="1"/>
  <c r="P122" i="10"/>
  <c r="P121" i="10" s="1"/>
  <c r="O122" i="10"/>
  <c r="O121" i="10" s="1"/>
  <c r="N122" i="10"/>
  <c r="M122" i="10"/>
  <c r="M121" i="10" s="1"/>
  <c r="L122" i="10"/>
  <c r="L121" i="10" s="1"/>
  <c r="K122" i="10"/>
  <c r="K121" i="10" s="1"/>
  <c r="J122" i="10"/>
  <c r="I122" i="10"/>
  <c r="I121" i="10" s="1"/>
  <c r="H122" i="10"/>
  <c r="H121" i="10" s="1"/>
  <c r="G122" i="10"/>
  <c r="G121" i="10" s="1"/>
  <c r="F122" i="10"/>
  <c r="N121" i="10"/>
  <c r="J121" i="10"/>
  <c r="F121" i="10"/>
  <c r="S120" i="10"/>
  <c r="Q120" i="10"/>
  <c r="Q119" i="10" s="1"/>
  <c r="P120" i="10"/>
  <c r="P119" i="10" s="1"/>
  <c r="O120" i="10"/>
  <c r="O119" i="10" s="1"/>
  <c r="N120" i="10"/>
  <c r="N119" i="10" s="1"/>
  <c r="M120" i="10"/>
  <c r="M119" i="10" s="1"/>
  <c r="L120" i="10"/>
  <c r="L119" i="10" s="1"/>
  <c r="K120" i="10"/>
  <c r="K119" i="10" s="1"/>
  <c r="J120" i="10"/>
  <c r="J119" i="10" s="1"/>
  <c r="I120" i="10"/>
  <c r="I119" i="10" s="1"/>
  <c r="H120" i="10"/>
  <c r="H119" i="10" s="1"/>
  <c r="G120" i="10"/>
  <c r="G119" i="10" s="1"/>
  <c r="F120" i="10"/>
  <c r="F119" i="10" s="1"/>
  <c r="S118" i="10"/>
  <c r="Q118" i="10"/>
  <c r="Q117" i="10" s="1"/>
  <c r="P118" i="10"/>
  <c r="O118" i="10"/>
  <c r="O117" i="10" s="1"/>
  <c r="N118" i="10"/>
  <c r="N117" i="10" s="1"/>
  <c r="M118" i="10"/>
  <c r="M117" i="10" s="1"/>
  <c r="L118" i="10"/>
  <c r="K118" i="10"/>
  <c r="K117" i="10" s="1"/>
  <c r="J118" i="10"/>
  <c r="J117" i="10" s="1"/>
  <c r="I118" i="10"/>
  <c r="I117" i="10" s="1"/>
  <c r="H118" i="10"/>
  <c r="G118" i="10"/>
  <c r="G117" i="10" s="1"/>
  <c r="F118" i="10"/>
  <c r="F117" i="10" s="1"/>
  <c r="P117" i="10"/>
  <c r="L117" i="10"/>
  <c r="H117" i="10"/>
  <c r="S116" i="10"/>
  <c r="Q116" i="10"/>
  <c r="Q115" i="10" s="1"/>
  <c r="P116" i="10"/>
  <c r="P115" i="10" s="1"/>
  <c r="O116" i="10"/>
  <c r="O115" i="10" s="1"/>
  <c r="N116" i="10"/>
  <c r="N115" i="10" s="1"/>
  <c r="M116" i="10"/>
  <c r="M115" i="10" s="1"/>
  <c r="L116" i="10"/>
  <c r="L115" i="10" s="1"/>
  <c r="K116" i="10"/>
  <c r="K115" i="10" s="1"/>
  <c r="J116" i="10"/>
  <c r="J115" i="10" s="1"/>
  <c r="I116" i="10"/>
  <c r="I115" i="10" s="1"/>
  <c r="H116" i="10"/>
  <c r="H115" i="10" s="1"/>
  <c r="G116" i="10"/>
  <c r="G115" i="10" s="1"/>
  <c r="F116" i="10"/>
  <c r="F115" i="10" s="1"/>
  <c r="S114" i="10"/>
  <c r="Q114" i="10"/>
  <c r="Q113" i="10" s="1"/>
  <c r="P114" i="10"/>
  <c r="P113" i="10" s="1"/>
  <c r="O114" i="10"/>
  <c r="O113" i="10" s="1"/>
  <c r="N114" i="10"/>
  <c r="M114" i="10"/>
  <c r="M113" i="10" s="1"/>
  <c r="L114" i="10"/>
  <c r="L113" i="10" s="1"/>
  <c r="K114" i="10"/>
  <c r="K113" i="10" s="1"/>
  <c r="J114" i="10"/>
  <c r="I114" i="10"/>
  <c r="I113" i="10" s="1"/>
  <c r="H114" i="10"/>
  <c r="H113" i="10" s="1"/>
  <c r="G114" i="10"/>
  <c r="G113" i="10" s="1"/>
  <c r="F114" i="10"/>
  <c r="F113" i="10" s="1"/>
  <c r="N113" i="10"/>
  <c r="J113" i="10"/>
  <c r="S112" i="10"/>
  <c r="Q112" i="10"/>
  <c r="Q111" i="10" s="1"/>
  <c r="P112" i="10"/>
  <c r="P111" i="10" s="1"/>
  <c r="O112" i="10"/>
  <c r="O111" i="10" s="1"/>
  <c r="N112" i="10"/>
  <c r="N111" i="10" s="1"/>
  <c r="M112" i="10"/>
  <c r="M111" i="10" s="1"/>
  <c r="L112" i="10"/>
  <c r="K112" i="10"/>
  <c r="K111" i="10" s="1"/>
  <c r="J112" i="10"/>
  <c r="J111" i="10" s="1"/>
  <c r="I112" i="10"/>
  <c r="I111" i="10" s="1"/>
  <c r="H112" i="10"/>
  <c r="G112" i="10"/>
  <c r="G111" i="10" s="1"/>
  <c r="F112" i="10"/>
  <c r="F111" i="10" s="1"/>
  <c r="L111" i="10"/>
  <c r="H111" i="10"/>
  <c r="S110" i="10"/>
  <c r="Q110" i="10"/>
  <c r="Q109" i="10" s="1"/>
  <c r="P110" i="10"/>
  <c r="O110" i="10"/>
  <c r="O109" i="10" s="1"/>
  <c r="N110" i="10"/>
  <c r="N109" i="10" s="1"/>
  <c r="M110" i="10"/>
  <c r="M109" i="10" s="1"/>
  <c r="L110" i="10"/>
  <c r="K110" i="10"/>
  <c r="K109" i="10" s="1"/>
  <c r="J110" i="10"/>
  <c r="I110" i="10"/>
  <c r="I109" i="10" s="1"/>
  <c r="H110" i="10"/>
  <c r="G110" i="10"/>
  <c r="G109" i="10" s="1"/>
  <c r="F110" i="10"/>
  <c r="F109" i="10" s="1"/>
  <c r="P109" i="10"/>
  <c r="L109" i="10"/>
  <c r="J109" i="10"/>
  <c r="H109" i="10"/>
  <c r="S108" i="10"/>
  <c r="Q108" i="10"/>
  <c r="Q107" i="10" s="1"/>
  <c r="P108" i="10"/>
  <c r="P107" i="10" s="1"/>
  <c r="O108" i="10"/>
  <c r="O107" i="10" s="1"/>
  <c r="N108" i="10"/>
  <c r="N107" i="10" s="1"/>
  <c r="M108" i="10"/>
  <c r="M107" i="10" s="1"/>
  <c r="L108" i="10"/>
  <c r="L107" i="10" s="1"/>
  <c r="K108" i="10"/>
  <c r="K107" i="10" s="1"/>
  <c r="J108" i="10"/>
  <c r="I108" i="10"/>
  <c r="I107" i="10" s="1"/>
  <c r="H108" i="10"/>
  <c r="H107" i="10" s="1"/>
  <c r="G108" i="10"/>
  <c r="G107" i="10" s="1"/>
  <c r="F108" i="10"/>
  <c r="F107" i="10" s="1"/>
  <c r="J107" i="10"/>
  <c r="S106" i="10"/>
  <c r="Q106" i="10"/>
  <c r="Q105" i="10" s="1"/>
  <c r="P106" i="10"/>
  <c r="P105" i="10" s="1"/>
  <c r="O106" i="10"/>
  <c r="O105" i="10" s="1"/>
  <c r="N106" i="10"/>
  <c r="N105" i="10" s="1"/>
  <c r="M106" i="10"/>
  <c r="M105" i="10" s="1"/>
  <c r="L106" i="10"/>
  <c r="L105" i="10" s="1"/>
  <c r="K106" i="10"/>
  <c r="K105" i="10" s="1"/>
  <c r="J106" i="10"/>
  <c r="J105" i="10" s="1"/>
  <c r="I106" i="10"/>
  <c r="I105" i="10" s="1"/>
  <c r="H106" i="10"/>
  <c r="H105" i="10" s="1"/>
  <c r="G106" i="10"/>
  <c r="G105" i="10" s="1"/>
  <c r="F106" i="10"/>
  <c r="F105" i="10" s="1"/>
  <c r="S104" i="10"/>
  <c r="Q104" i="10"/>
  <c r="Q103" i="10" s="1"/>
  <c r="P104" i="10"/>
  <c r="P103" i="10" s="1"/>
  <c r="O104" i="10"/>
  <c r="O103" i="10" s="1"/>
  <c r="N104" i="10"/>
  <c r="N103" i="10" s="1"/>
  <c r="M104" i="10"/>
  <c r="M103" i="10" s="1"/>
  <c r="L104" i="10"/>
  <c r="L103" i="10" s="1"/>
  <c r="K104" i="10"/>
  <c r="K103" i="10" s="1"/>
  <c r="J104" i="10"/>
  <c r="J103" i="10" s="1"/>
  <c r="I104" i="10"/>
  <c r="I103" i="10" s="1"/>
  <c r="H104" i="10"/>
  <c r="H103" i="10" s="1"/>
  <c r="G104" i="10"/>
  <c r="G103" i="10" s="1"/>
  <c r="F104" i="10"/>
  <c r="F103" i="10" s="1"/>
  <c r="S102" i="10"/>
  <c r="Q102" i="10"/>
  <c r="Q101" i="10" s="1"/>
  <c r="P102" i="10"/>
  <c r="P101" i="10" s="1"/>
  <c r="O102" i="10"/>
  <c r="O101" i="10" s="1"/>
  <c r="N102" i="10"/>
  <c r="M102" i="10"/>
  <c r="M101" i="10" s="1"/>
  <c r="L102" i="10"/>
  <c r="L101" i="10" s="1"/>
  <c r="K102" i="10"/>
  <c r="K101" i="10" s="1"/>
  <c r="J102" i="10"/>
  <c r="I102" i="10"/>
  <c r="I101" i="10" s="1"/>
  <c r="H102" i="10"/>
  <c r="H101" i="10" s="1"/>
  <c r="G102" i="10"/>
  <c r="G101" i="10" s="1"/>
  <c r="F102" i="10"/>
  <c r="N101" i="10"/>
  <c r="J101" i="10"/>
  <c r="F101" i="10"/>
  <c r="S100" i="10"/>
  <c r="Q100" i="10"/>
  <c r="Q99" i="10" s="1"/>
  <c r="P100" i="10"/>
  <c r="P99" i="10" s="1"/>
  <c r="O100" i="10"/>
  <c r="O99" i="10" s="1"/>
  <c r="N100" i="10"/>
  <c r="N99" i="10" s="1"/>
  <c r="M100" i="10"/>
  <c r="M99" i="10" s="1"/>
  <c r="L100" i="10"/>
  <c r="L99" i="10" s="1"/>
  <c r="K100" i="10"/>
  <c r="K99" i="10" s="1"/>
  <c r="J100" i="10"/>
  <c r="I100" i="10"/>
  <c r="I99" i="10" s="1"/>
  <c r="H100" i="10"/>
  <c r="H99" i="10" s="1"/>
  <c r="G100" i="10"/>
  <c r="G99" i="10" s="1"/>
  <c r="F100" i="10"/>
  <c r="F99" i="10" s="1"/>
  <c r="J99" i="10"/>
  <c r="S98" i="10"/>
  <c r="Q98" i="10"/>
  <c r="Q97" i="10" s="1"/>
  <c r="P98" i="10"/>
  <c r="P97" i="10" s="1"/>
  <c r="O98" i="10"/>
  <c r="O97" i="10" s="1"/>
  <c r="N98" i="10"/>
  <c r="N97" i="10" s="1"/>
  <c r="M98" i="10"/>
  <c r="M97" i="10" s="1"/>
  <c r="L98" i="10"/>
  <c r="L97" i="10" s="1"/>
  <c r="K98" i="10"/>
  <c r="K97" i="10" s="1"/>
  <c r="J98" i="10"/>
  <c r="J97" i="10" s="1"/>
  <c r="I98" i="10"/>
  <c r="I97" i="10" s="1"/>
  <c r="H98" i="10"/>
  <c r="H97" i="10" s="1"/>
  <c r="G98" i="10"/>
  <c r="G97" i="10" s="1"/>
  <c r="F98" i="10"/>
  <c r="F97" i="10" s="1"/>
  <c r="S96" i="10"/>
  <c r="Q96" i="10"/>
  <c r="Q95" i="10" s="1"/>
  <c r="P96" i="10"/>
  <c r="P95" i="10" s="1"/>
  <c r="O96" i="10"/>
  <c r="O95" i="10" s="1"/>
  <c r="N96" i="10"/>
  <c r="N95" i="10" s="1"/>
  <c r="M96" i="10"/>
  <c r="M95" i="10" s="1"/>
  <c r="L96" i="10"/>
  <c r="L95" i="10" s="1"/>
  <c r="K96" i="10"/>
  <c r="K95" i="10" s="1"/>
  <c r="J96" i="10"/>
  <c r="J95" i="10" s="1"/>
  <c r="I96" i="10"/>
  <c r="I95" i="10" s="1"/>
  <c r="H96" i="10"/>
  <c r="H95" i="10" s="1"/>
  <c r="G96" i="10"/>
  <c r="G95" i="10" s="1"/>
  <c r="F96" i="10"/>
  <c r="F95" i="10" s="1"/>
  <c r="S94" i="10"/>
  <c r="Q94" i="10"/>
  <c r="Q93" i="10" s="1"/>
  <c r="P94" i="10"/>
  <c r="P93" i="10" s="1"/>
  <c r="O94" i="10"/>
  <c r="O93" i="10" s="1"/>
  <c r="N94" i="10"/>
  <c r="M94" i="10"/>
  <c r="M93" i="10" s="1"/>
  <c r="L94" i="10"/>
  <c r="L93" i="10" s="1"/>
  <c r="K94" i="10"/>
  <c r="K93" i="10" s="1"/>
  <c r="J94" i="10"/>
  <c r="I94" i="10"/>
  <c r="I93" i="10" s="1"/>
  <c r="H94" i="10"/>
  <c r="H93" i="10" s="1"/>
  <c r="G94" i="10"/>
  <c r="G93" i="10" s="1"/>
  <c r="F94" i="10"/>
  <c r="N93" i="10"/>
  <c r="J93" i="10"/>
  <c r="F93" i="10"/>
  <c r="S92" i="10"/>
  <c r="Q92" i="10"/>
  <c r="Q91" i="10" s="1"/>
  <c r="P92" i="10"/>
  <c r="P91" i="10" s="1"/>
  <c r="O92" i="10"/>
  <c r="O91" i="10" s="1"/>
  <c r="N92" i="10"/>
  <c r="N91" i="10" s="1"/>
  <c r="M92" i="10"/>
  <c r="M91" i="10" s="1"/>
  <c r="L92" i="10"/>
  <c r="L91" i="10" s="1"/>
  <c r="K92" i="10"/>
  <c r="K91" i="10" s="1"/>
  <c r="J92" i="10"/>
  <c r="J91" i="10" s="1"/>
  <c r="I92" i="10"/>
  <c r="I91" i="10" s="1"/>
  <c r="H92" i="10"/>
  <c r="H91" i="10" s="1"/>
  <c r="G92" i="10"/>
  <c r="G91" i="10" s="1"/>
  <c r="F92" i="10"/>
  <c r="F91" i="10" s="1"/>
  <c r="S90" i="10"/>
  <c r="Q90" i="10"/>
  <c r="Q89" i="10" s="1"/>
  <c r="P90" i="10"/>
  <c r="P89" i="10" s="1"/>
  <c r="O90" i="10"/>
  <c r="O89" i="10" s="1"/>
  <c r="N90" i="10"/>
  <c r="M90" i="10"/>
  <c r="M89" i="10" s="1"/>
  <c r="L90" i="10"/>
  <c r="L89" i="10" s="1"/>
  <c r="K90" i="10"/>
  <c r="K89" i="10" s="1"/>
  <c r="J90" i="10"/>
  <c r="I90" i="10"/>
  <c r="I89" i="10" s="1"/>
  <c r="H90" i="10"/>
  <c r="H89" i="10" s="1"/>
  <c r="G90" i="10"/>
  <c r="G89" i="10" s="1"/>
  <c r="F90" i="10"/>
  <c r="N89" i="10"/>
  <c r="J89" i="10"/>
  <c r="F89" i="10"/>
  <c r="S88" i="10"/>
  <c r="Q88" i="10"/>
  <c r="Q87" i="10" s="1"/>
  <c r="P88" i="10"/>
  <c r="P87" i="10" s="1"/>
  <c r="O88" i="10"/>
  <c r="O87" i="10" s="1"/>
  <c r="N88" i="10"/>
  <c r="N87" i="10" s="1"/>
  <c r="M88" i="10"/>
  <c r="M87" i="10" s="1"/>
  <c r="L88" i="10"/>
  <c r="L87" i="10" s="1"/>
  <c r="K88" i="10"/>
  <c r="K87" i="10" s="1"/>
  <c r="J88" i="10"/>
  <c r="I88" i="10"/>
  <c r="I87" i="10" s="1"/>
  <c r="H88" i="10"/>
  <c r="H87" i="10" s="1"/>
  <c r="G88" i="10"/>
  <c r="G87" i="10" s="1"/>
  <c r="F88" i="10"/>
  <c r="F87" i="10" s="1"/>
  <c r="J87" i="10"/>
  <c r="S86" i="10"/>
  <c r="Q86" i="10"/>
  <c r="Q85" i="10" s="1"/>
  <c r="P86" i="10"/>
  <c r="O86" i="10"/>
  <c r="O85" i="10" s="1"/>
  <c r="N86" i="10"/>
  <c r="N85" i="10" s="1"/>
  <c r="M86" i="10"/>
  <c r="M85" i="10" s="1"/>
  <c r="L86" i="10"/>
  <c r="K86" i="10"/>
  <c r="K85" i="10" s="1"/>
  <c r="J86" i="10"/>
  <c r="J85" i="10" s="1"/>
  <c r="I86" i="10"/>
  <c r="I85" i="10" s="1"/>
  <c r="H86" i="10"/>
  <c r="G86" i="10"/>
  <c r="G85" i="10" s="1"/>
  <c r="F86" i="10"/>
  <c r="F85" i="10" s="1"/>
  <c r="P85" i="10"/>
  <c r="L85" i="10"/>
  <c r="H85" i="10"/>
  <c r="S84" i="10"/>
  <c r="Q84" i="10"/>
  <c r="Q83" i="10" s="1"/>
  <c r="P84" i="10"/>
  <c r="P83" i="10" s="1"/>
  <c r="O84" i="10"/>
  <c r="O83" i="10" s="1"/>
  <c r="N84" i="10"/>
  <c r="N83" i="10" s="1"/>
  <c r="M84" i="10"/>
  <c r="M83" i="10" s="1"/>
  <c r="L84" i="10"/>
  <c r="L83" i="10" s="1"/>
  <c r="K84" i="10"/>
  <c r="K83" i="10" s="1"/>
  <c r="J84" i="10"/>
  <c r="I84" i="10"/>
  <c r="I83" i="10" s="1"/>
  <c r="H84" i="10"/>
  <c r="H83" i="10" s="1"/>
  <c r="G84" i="10"/>
  <c r="G83" i="10" s="1"/>
  <c r="F84" i="10"/>
  <c r="J83" i="10"/>
  <c r="F83" i="10"/>
  <c r="S82" i="10"/>
  <c r="Q82" i="10"/>
  <c r="Q81" i="10" s="1"/>
  <c r="P82" i="10"/>
  <c r="P81" i="10" s="1"/>
  <c r="O82" i="10"/>
  <c r="O81" i="10" s="1"/>
  <c r="N82" i="10"/>
  <c r="N81" i="10" s="1"/>
  <c r="M82" i="10"/>
  <c r="M81" i="10" s="1"/>
  <c r="L82" i="10"/>
  <c r="L81" i="10" s="1"/>
  <c r="K82" i="10"/>
  <c r="K81" i="10" s="1"/>
  <c r="J82" i="10"/>
  <c r="J81" i="10" s="1"/>
  <c r="I82" i="10"/>
  <c r="I81" i="10" s="1"/>
  <c r="H82" i="10"/>
  <c r="H81" i="10" s="1"/>
  <c r="G82" i="10"/>
  <c r="G81" i="10" s="1"/>
  <c r="F82" i="10"/>
  <c r="F81" i="10" s="1"/>
  <c r="S80" i="10"/>
  <c r="Q80" i="10"/>
  <c r="P80" i="10"/>
  <c r="P78" i="10" s="1"/>
  <c r="O80" i="10"/>
  <c r="N80" i="10"/>
  <c r="N78" i="10" s="1"/>
  <c r="M80" i="10"/>
  <c r="L80" i="10"/>
  <c r="L78" i="10" s="1"/>
  <c r="K80" i="10"/>
  <c r="K78" i="10" s="1"/>
  <c r="J80" i="10"/>
  <c r="J78" i="10" s="1"/>
  <c r="I80" i="10"/>
  <c r="H80" i="10"/>
  <c r="H78" i="10" s="1"/>
  <c r="G80" i="10"/>
  <c r="G78" i="10" s="1"/>
  <c r="F80" i="10"/>
  <c r="F78" i="10" s="1"/>
  <c r="F17" i="10" s="1"/>
  <c r="S79" i="10"/>
  <c r="Q78" i="10"/>
  <c r="O78" i="10"/>
  <c r="M78" i="10"/>
  <c r="I78" i="10"/>
  <c r="S77" i="10"/>
  <c r="Q77" i="10"/>
  <c r="Q76" i="10" s="1"/>
  <c r="P77" i="10"/>
  <c r="P76" i="10" s="1"/>
  <c r="O77" i="10"/>
  <c r="O76" i="10" s="1"/>
  <c r="N77" i="10"/>
  <c r="N76" i="10" s="1"/>
  <c r="M77" i="10"/>
  <c r="M76" i="10" s="1"/>
  <c r="L77" i="10"/>
  <c r="L76" i="10" s="1"/>
  <c r="K77" i="10"/>
  <c r="K76" i="10" s="1"/>
  <c r="J77" i="10"/>
  <c r="J76" i="10" s="1"/>
  <c r="I77" i="10"/>
  <c r="I76" i="10" s="1"/>
  <c r="H77" i="10"/>
  <c r="H76" i="10" s="1"/>
  <c r="G77" i="10"/>
  <c r="G76" i="10" s="1"/>
  <c r="F77" i="10"/>
  <c r="F76" i="10" s="1"/>
  <c r="S75" i="10"/>
  <c r="Q75" i="10"/>
  <c r="Q74" i="10" s="1"/>
  <c r="P75" i="10"/>
  <c r="P74" i="10" s="1"/>
  <c r="O75" i="10"/>
  <c r="O74" i="10" s="1"/>
  <c r="N75" i="10"/>
  <c r="N74" i="10" s="1"/>
  <c r="M75" i="10"/>
  <c r="M74" i="10" s="1"/>
  <c r="L75" i="10"/>
  <c r="L74" i="10" s="1"/>
  <c r="K75" i="10"/>
  <c r="K74" i="10" s="1"/>
  <c r="J75" i="10"/>
  <c r="J74" i="10" s="1"/>
  <c r="I75" i="10"/>
  <c r="I74" i="10" s="1"/>
  <c r="H75" i="10"/>
  <c r="H74" i="10" s="1"/>
  <c r="G75" i="10"/>
  <c r="G74" i="10" s="1"/>
  <c r="F75" i="10"/>
  <c r="F74" i="10" s="1"/>
  <c r="S73" i="10"/>
  <c r="Q73" i="10"/>
  <c r="Q72" i="10" s="1"/>
  <c r="P73" i="10"/>
  <c r="P72" i="10" s="1"/>
  <c r="O73" i="10"/>
  <c r="O72" i="10" s="1"/>
  <c r="N73" i="10"/>
  <c r="N72" i="10" s="1"/>
  <c r="M73" i="10"/>
  <c r="M72" i="10" s="1"/>
  <c r="L73" i="10"/>
  <c r="L72" i="10" s="1"/>
  <c r="K73" i="10"/>
  <c r="K72" i="10" s="1"/>
  <c r="J73" i="10"/>
  <c r="J72" i="10" s="1"/>
  <c r="I73" i="10"/>
  <c r="I72" i="10" s="1"/>
  <c r="H73" i="10"/>
  <c r="H72" i="10" s="1"/>
  <c r="G73" i="10"/>
  <c r="G72" i="10" s="1"/>
  <c r="F73" i="10"/>
  <c r="F72" i="10" s="1"/>
  <c r="S71" i="10"/>
  <c r="Q71" i="10"/>
  <c r="Q70" i="10" s="1"/>
  <c r="P71" i="10"/>
  <c r="P70" i="10" s="1"/>
  <c r="O71" i="10"/>
  <c r="O70" i="10" s="1"/>
  <c r="N71" i="10"/>
  <c r="N70" i="10" s="1"/>
  <c r="M71" i="10"/>
  <c r="M70" i="10" s="1"/>
  <c r="L71" i="10"/>
  <c r="L70" i="10" s="1"/>
  <c r="K71" i="10"/>
  <c r="K70" i="10" s="1"/>
  <c r="J71" i="10"/>
  <c r="J70" i="10" s="1"/>
  <c r="I71" i="10"/>
  <c r="I70" i="10" s="1"/>
  <c r="H71" i="10"/>
  <c r="H70" i="10" s="1"/>
  <c r="G71" i="10"/>
  <c r="G70" i="10" s="1"/>
  <c r="F71" i="10"/>
  <c r="F70" i="10" s="1"/>
  <c r="S69" i="10"/>
  <c r="Q69" i="10"/>
  <c r="P69" i="10"/>
  <c r="P68" i="10" s="1"/>
  <c r="O69" i="10"/>
  <c r="O68" i="10" s="1"/>
  <c r="N69" i="10"/>
  <c r="N68" i="10" s="1"/>
  <c r="M69" i="10"/>
  <c r="M68" i="10" s="1"/>
  <c r="L69" i="10"/>
  <c r="L68" i="10" s="1"/>
  <c r="K69" i="10"/>
  <c r="K68" i="10" s="1"/>
  <c r="J69" i="10"/>
  <c r="J68" i="10" s="1"/>
  <c r="I69" i="10"/>
  <c r="I68" i="10" s="1"/>
  <c r="H69" i="10"/>
  <c r="H68" i="10" s="1"/>
  <c r="G69" i="10"/>
  <c r="G68" i="10" s="1"/>
  <c r="F69" i="10"/>
  <c r="F68" i="10" s="1"/>
  <c r="Q68" i="10"/>
  <c r="S67" i="10"/>
  <c r="Q67" i="10"/>
  <c r="P67" i="10"/>
  <c r="O67" i="10"/>
  <c r="N67" i="10"/>
  <c r="N66" i="10" s="1"/>
  <c r="M67" i="10"/>
  <c r="M66" i="10" s="1"/>
  <c r="L67" i="10"/>
  <c r="L66" i="10" s="1"/>
  <c r="K67" i="10"/>
  <c r="K66" i="10" s="1"/>
  <c r="J67" i="10"/>
  <c r="J66" i="10" s="1"/>
  <c r="I67" i="10"/>
  <c r="H67" i="10"/>
  <c r="H66" i="10" s="1"/>
  <c r="G67" i="10"/>
  <c r="F67" i="10"/>
  <c r="F66" i="10" s="1"/>
  <c r="Q66" i="10"/>
  <c r="P66" i="10"/>
  <c r="O66" i="10"/>
  <c r="I66" i="10"/>
  <c r="G66" i="10"/>
  <c r="S65" i="10"/>
  <c r="Q65" i="10"/>
  <c r="P65" i="10"/>
  <c r="P64" i="10" s="1"/>
  <c r="O65" i="10"/>
  <c r="N65" i="10"/>
  <c r="N64" i="10" s="1"/>
  <c r="M65" i="10"/>
  <c r="M64" i="10" s="1"/>
  <c r="L65" i="10"/>
  <c r="L64" i="10" s="1"/>
  <c r="K65" i="10"/>
  <c r="J65" i="10"/>
  <c r="J64" i="10" s="1"/>
  <c r="I65" i="10"/>
  <c r="H65" i="10"/>
  <c r="H64" i="10" s="1"/>
  <c r="G65" i="10"/>
  <c r="F65" i="10"/>
  <c r="F64" i="10" s="1"/>
  <c r="Q64" i="10"/>
  <c r="O64" i="10"/>
  <c r="K64" i="10"/>
  <c r="I64" i="10"/>
  <c r="G64" i="10"/>
  <c r="S63" i="10"/>
  <c r="Q63" i="10"/>
  <c r="P63" i="10"/>
  <c r="O63" i="10"/>
  <c r="N63" i="10"/>
  <c r="N62" i="10" s="1"/>
  <c r="M63" i="10"/>
  <c r="M62" i="10" s="1"/>
  <c r="L63" i="10"/>
  <c r="L62" i="10" s="1"/>
  <c r="K63" i="10"/>
  <c r="K62" i="10" s="1"/>
  <c r="J63" i="10"/>
  <c r="J62" i="10" s="1"/>
  <c r="I63" i="10"/>
  <c r="I62" i="10" s="1"/>
  <c r="H63" i="10"/>
  <c r="H62" i="10" s="1"/>
  <c r="G63" i="10"/>
  <c r="G62" i="10" s="1"/>
  <c r="F63" i="10"/>
  <c r="F62" i="10" s="1"/>
  <c r="Q62" i="10"/>
  <c r="P62" i="10"/>
  <c r="O62" i="10"/>
  <c r="S61" i="10"/>
  <c r="Q61" i="10"/>
  <c r="P61" i="10"/>
  <c r="P60" i="10" s="1"/>
  <c r="O61" i="10"/>
  <c r="O60" i="10" s="1"/>
  <c r="N61" i="10"/>
  <c r="N60" i="10" s="1"/>
  <c r="M61" i="10"/>
  <c r="M60" i="10" s="1"/>
  <c r="L61" i="10"/>
  <c r="L60" i="10" s="1"/>
  <c r="K61" i="10"/>
  <c r="K60" i="10" s="1"/>
  <c r="J61" i="10"/>
  <c r="J60" i="10" s="1"/>
  <c r="I61" i="10"/>
  <c r="H61" i="10"/>
  <c r="H60" i="10" s="1"/>
  <c r="G61" i="10"/>
  <c r="G60" i="10" s="1"/>
  <c r="F61" i="10"/>
  <c r="F60" i="10" s="1"/>
  <c r="Q60" i="10"/>
  <c r="I60" i="10"/>
  <c r="S59" i="10"/>
  <c r="Q59" i="10"/>
  <c r="P59" i="10"/>
  <c r="O59" i="10"/>
  <c r="N59" i="10"/>
  <c r="N58" i="10" s="1"/>
  <c r="M59" i="10"/>
  <c r="M58" i="10" s="1"/>
  <c r="L59" i="10"/>
  <c r="L58" i="10" s="1"/>
  <c r="K59" i="10"/>
  <c r="K58" i="10" s="1"/>
  <c r="J59" i="10"/>
  <c r="J58" i="10" s="1"/>
  <c r="I59" i="10"/>
  <c r="I58" i="10" s="1"/>
  <c r="H59" i="10"/>
  <c r="H58" i="10" s="1"/>
  <c r="G59" i="10"/>
  <c r="G58" i="10" s="1"/>
  <c r="F59" i="10"/>
  <c r="F58" i="10" s="1"/>
  <c r="Q58" i="10"/>
  <c r="P58" i="10"/>
  <c r="O58" i="10"/>
  <c r="S57" i="10"/>
  <c r="Q57" i="10"/>
  <c r="Q56" i="10" s="1"/>
  <c r="P57" i="10"/>
  <c r="P56" i="10" s="1"/>
  <c r="O57" i="10"/>
  <c r="O56" i="10" s="1"/>
  <c r="N57" i="10"/>
  <c r="N56" i="10" s="1"/>
  <c r="M57" i="10"/>
  <c r="M56" i="10" s="1"/>
  <c r="L57" i="10"/>
  <c r="L56" i="10" s="1"/>
  <c r="K57" i="10"/>
  <c r="K56" i="10" s="1"/>
  <c r="J57" i="10"/>
  <c r="J56" i="10" s="1"/>
  <c r="I57" i="10"/>
  <c r="I56" i="10" s="1"/>
  <c r="H57" i="10"/>
  <c r="H56" i="10" s="1"/>
  <c r="G57" i="10"/>
  <c r="G56" i="10" s="1"/>
  <c r="F57" i="10"/>
  <c r="F56" i="10" s="1"/>
  <c r="S55" i="10"/>
  <c r="Q55" i="10"/>
  <c r="P55" i="10"/>
  <c r="O55" i="10"/>
  <c r="N55" i="10"/>
  <c r="N54" i="10" s="1"/>
  <c r="M55" i="10"/>
  <c r="M54" i="10" s="1"/>
  <c r="L55" i="10"/>
  <c r="L54" i="10" s="1"/>
  <c r="K55" i="10"/>
  <c r="K54" i="10" s="1"/>
  <c r="J55" i="10"/>
  <c r="J54" i="10" s="1"/>
  <c r="I55" i="10"/>
  <c r="I54" i="10" s="1"/>
  <c r="H55" i="10"/>
  <c r="H54" i="10" s="1"/>
  <c r="G55" i="10"/>
  <c r="G54" i="10" s="1"/>
  <c r="F55" i="10"/>
  <c r="F54" i="10" s="1"/>
  <c r="Q54" i="10"/>
  <c r="P54" i="10"/>
  <c r="O54" i="10"/>
  <c r="S53" i="10"/>
  <c r="Q53" i="10"/>
  <c r="Q52" i="10" s="1"/>
  <c r="P53" i="10"/>
  <c r="P52" i="10" s="1"/>
  <c r="O53" i="10"/>
  <c r="N53" i="10"/>
  <c r="N52" i="10" s="1"/>
  <c r="M53" i="10"/>
  <c r="M52" i="10" s="1"/>
  <c r="L53" i="10"/>
  <c r="L52" i="10" s="1"/>
  <c r="K53" i="10"/>
  <c r="K52" i="10" s="1"/>
  <c r="J53" i="10"/>
  <c r="J52" i="10" s="1"/>
  <c r="I53" i="10"/>
  <c r="I52" i="10" s="1"/>
  <c r="H53" i="10"/>
  <c r="H52" i="10" s="1"/>
  <c r="G53" i="10"/>
  <c r="G52" i="10" s="1"/>
  <c r="F53" i="10"/>
  <c r="F52" i="10" s="1"/>
  <c r="O52" i="10"/>
  <c r="S51" i="10"/>
  <c r="Q51" i="10"/>
  <c r="P51" i="10"/>
  <c r="O51" i="10"/>
  <c r="N51" i="10"/>
  <c r="N50" i="10" s="1"/>
  <c r="M51" i="10"/>
  <c r="M50" i="10" s="1"/>
  <c r="L51" i="10"/>
  <c r="L50" i="10" s="1"/>
  <c r="K51" i="10"/>
  <c r="K50" i="10" s="1"/>
  <c r="J51" i="10"/>
  <c r="J50" i="10" s="1"/>
  <c r="I51" i="10"/>
  <c r="I50" i="10" s="1"/>
  <c r="H51" i="10"/>
  <c r="G51" i="10"/>
  <c r="G50" i="10" s="1"/>
  <c r="F51" i="10"/>
  <c r="F50" i="10" s="1"/>
  <c r="Q50" i="10"/>
  <c r="P50" i="10"/>
  <c r="O50" i="10"/>
  <c r="H50" i="10"/>
  <c r="S49" i="10"/>
  <c r="Q49" i="10"/>
  <c r="P49" i="10"/>
  <c r="P48" i="10" s="1"/>
  <c r="O49" i="10"/>
  <c r="O48" i="10" s="1"/>
  <c r="N49" i="10"/>
  <c r="N48" i="10" s="1"/>
  <c r="M49" i="10"/>
  <c r="L49" i="10"/>
  <c r="L48" i="10" s="1"/>
  <c r="K49" i="10"/>
  <c r="K48" i="10" s="1"/>
  <c r="J49" i="10"/>
  <c r="J48" i="10" s="1"/>
  <c r="I49" i="10"/>
  <c r="H49" i="10"/>
  <c r="H48" i="10" s="1"/>
  <c r="G49" i="10"/>
  <c r="G48" i="10" s="1"/>
  <c r="F49" i="10"/>
  <c r="F48" i="10" s="1"/>
  <c r="Q48" i="10"/>
  <c r="M48" i="10"/>
  <c r="I48" i="10"/>
  <c r="S47" i="10"/>
  <c r="Q47" i="10"/>
  <c r="P47" i="10"/>
  <c r="O47" i="10"/>
  <c r="N47" i="10"/>
  <c r="N46" i="10" s="1"/>
  <c r="M47" i="10"/>
  <c r="M46" i="10" s="1"/>
  <c r="L47" i="10"/>
  <c r="L46" i="10" s="1"/>
  <c r="K47" i="10"/>
  <c r="K46" i="10" s="1"/>
  <c r="J47" i="10"/>
  <c r="J46" i="10" s="1"/>
  <c r="I47" i="10"/>
  <c r="I46" i="10" s="1"/>
  <c r="H47" i="10"/>
  <c r="H46" i="10" s="1"/>
  <c r="G47" i="10"/>
  <c r="G46" i="10" s="1"/>
  <c r="F47" i="10"/>
  <c r="F46" i="10" s="1"/>
  <c r="Q46" i="10"/>
  <c r="P46" i="10"/>
  <c r="O46" i="10"/>
  <c r="S45" i="10"/>
  <c r="Q45" i="10"/>
  <c r="P45" i="10"/>
  <c r="P44" i="10" s="1"/>
  <c r="O45" i="10"/>
  <c r="O44" i="10" s="1"/>
  <c r="N45" i="10"/>
  <c r="N44" i="10" s="1"/>
  <c r="M45" i="10"/>
  <c r="M44" i="10" s="1"/>
  <c r="L45" i="10"/>
  <c r="L44" i="10" s="1"/>
  <c r="K45" i="10"/>
  <c r="K44" i="10" s="1"/>
  <c r="J45" i="10"/>
  <c r="J44" i="10" s="1"/>
  <c r="I45" i="10"/>
  <c r="I44" i="10" s="1"/>
  <c r="H45" i="10"/>
  <c r="H44" i="10" s="1"/>
  <c r="G45" i="10"/>
  <c r="G44" i="10" s="1"/>
  <c r="F45" i="10"/>
  <c r="F44" i="10" s="1"/>
  <c r="Q44" i="10"/>
  <c r="S43" i="10"/>
  <c r="Q43" i="10"/>
  <c r="P43" i="10"/>
  <c r="O43" i="10"/>
  <c r="N43" i="10"/>
  <c r="N42" i="10" s="1"/>
  <c r="M43" i="10"/>
  <c r="M42" i="10" s="1"/>
  <c r="L43" i="10"/>
  <c r="L42" i="10" s="1"/>
  <c r="K43" i="10"/>
  <c r="K42" i="10" s="1"/>
  <c r="J43" i="10"/>
  <c r="J42" i="10" s="1"/>
  <c r="I43" i="10"/>
  <c r="I42" i="10" s="1"/>
  <c r="H43" i="10"/>
  <c r="H42" i="10" s="1"/>
  <c r="G43" i="10"/>
  <c r="G42" i="10" s="1"/>
  <c r="F43" i="10"/>
  <c r="F42" i="10" s="1"/>
  <c r="Q42" i="10"/>
  <c r="P42" i="10"/>
  <c r="O42" i="10"/>
  <c r="S41" i="10"/>
  <c r="Q41" i="10"/>
  <c r="P41" i="10"/>
  <c r="P40" i="10" s="1"/>
  <c r="O41" i="10"/>
  <c r="O40" i="10" s="1"/>
  <c r="N41" i="10"/>
  <c r="N40" i="10" s="1"/>
  <c r="M41" i="10"/>
  <c r="M40" i="10" s="1"/>
  <c r="L41" i="10"/>
  <c r="L40" i="10" s="1"/>
  <c r="K41" i="10"/>
  <c r="K40" i="10" s="1"/>
  <c r="J41" i="10"/>
  <c r="J40" i="10" s="1"/>
  <c r="I41" i="10"/>
  <c r="I40" i="10" s="1"/>
  <c r="H41" i="10"/>
  <c r="H40" i="10" s="1"/>
  <c r="G41" i="10"/>
  <c r="G40" i="10" s="1"/>
  <c r="F41" i="10"/>
  <c r="F40" i="10" s="1"/>
  <c r="Q40" i="10"/>
  <c r="S39" i="10"/>
  <c r="Q39" i="10"/>
  <c r="P39" i="10"/>
  <c r="O39" i="10"/>
  <c r="N39" i="10"/>
  <c r="N38" i="10" s="1"/>
  <c r="M39" i="10"/>
  <c r="M38" i="10" s="1"/>
  <c r="L39" i="10"/>
  <c r="L38" i="10" s="1"/>
  <c r="K39" i="10"/>
  <c r="K38" i="10" s="1"/>
  <c r="J39" i="10"/>
  <c r="J38" i="10" s="1"/>
  <c r="I39" i="10"/>
  <c r="I38" i="10" s="1"/>
  <c r="H39" i="10"/>
  <c r="H38" i="10" s="1"/>
  <c r="G39" i="10"/>
  <c r="G38" i="10" s="1"/>
  <c r="F39" i="10"/>
  <c r="F38" i="10" s="1"/>
  <c r="Q38" i="10"/>
  <c r="P38" i="10"/>
  <c r="O38" i="10"/>
  <c r="S37" i="10"/>
  <c r="Q37" i="10"/>
  <c r="Q36" i="10" s="1"/>
  <c r="P37" i="10"/>
  <c r="P36" i="10" s="1"/>
  <c r="O37" i="10"/>
  <c r="O36" i="10" s="1"/>
  <c r="N37" i="10"/>
  <c r="N36" i="10" s="1"/>
  <c r="M37" i="10"/>
  <c r="M36" i="10" s="1"/>
  <c r="L37" i="10"/>
  <c r="L36" i="10" s="1"/>
  <c r="K37" i="10"/>
  <c r="K36" i="10" s="1"/>
  <c r="J37" i="10"/>
  <c r="J36" i="10" s="1"/>
  <c r="I37" i="10"/>
  <c r="I36" i="10" s="1"/>
  <c r="H37" i="10"/>
  <c r="H36" i="10" s="1"/>
  <c r="G37" i="10"/>
  <c r="G36" i="10" s="1"/>
  <c r="F37" i="10"/>
  <c r="F36" i="10" s="1"/>
  <c r="S35" i="10"/>
  <c r="Q35" i="10"/>
  <c r="P35" i="10"/>
  <c r="O35" i="10"/>
  <c r="N35" i="10"/>
  <c r="N34" i="10" s="1"/>
  <c r="M35" i="10"/>
  <c r="L35" i="10"/>
  <c r="L34" i="10" s="1"/>
  <c r="K35" i="10"/>
  <c r="K34" i="10" s="1"/>
  <c r="J35" i="10"/>
  <c r="J34" i="10" s="1"/>
  <c r="I35" i="10"/>
  <c r="H35" i="10"/>
  <c r="H34" i="10" s="1"/>
  <c r="G35" i="10"/>
  <c r="G34" i="10" s="1"/>
  <c r="F35" i="10"/>
  <c r="F34" i="10" s="1"/>
  <c r="Q34" i="10"/>
  <c r="P34" i="10"/>
  <c r="O34" i="10"/>
  <c r="M34" i="10"/>
  <c r="I34" i="10"/>
  <c r="S33" i="10"/>
  <c r="Q33" i="10"/>
  <c r="Q32" i="10" s="1"/>
  <c r="P33" i="10"/>
  <c r="P32" i="10" s="1"/>
  <c r="O33" i="10"/>
  <c r="N33" i="10"/>
  <c r="M33" i="10"/>
  <c r="M32" i="10" s="1"/>
  <c r="L33" i="10"/>
  <c r="L32" i="10" s="1"/>
  <c r="K33" i="10"/>
  <c r="J33" i="10"/>
  <c r="I33" i="10"/>
  <c r="I32" i="10" s="1"/>
  <c r="H33" i="10"/>
  <c r="H32" i="10" s="1"/>
  <c r="G33" i="10"/>
  <c r="F33" i="10"/>
  <c r="O32" i="10"/>
  <c r="N32" i="10"/>
  <c r="K32" i="10"/>
  <c r="J32" i="10"/>
  <c r="G32" i="10"/>
  <c r="F32" i="10"/>
  <c r="S31" i="10"/>
  <c r="Q31" i="10"/>
  <c r="P31" i="10"/>
  <c r="O31" i="10"/>
  <c r="N31" i="10"/>
  <c r="N30" i="10" s="1"/>
  <c r="M31" i="10"/>
  <c r="M30" i="10" s="1"/>
  <c r="L31" i="10"/>
  <c r="L30" i="10" s="1"/>
  <c r="K31" i="10"/>
  <c r="K30" i="10" s="1"/>
  <c r="J31" i="10"/>
  <c r="J30" i="10" s="1"/>
  <c r="I31" i="10"/>
  <c r="I30" i="10" s="1"/>
  <c r="H31" i="10"/>
  <c r="H30" i="10" s="1"/>
  <c r="G31" i="10"/>
  <c r="G30" i="10" s="1"/>
  <c r="F31" i="10"/>
  <c r="F30" i="10" s="1"/>
  <c r="Q30" i="10"/>
  <c r="P30" i="10"/>
  <c r="O30" i="10"/>
  <c r="S29" i="10"/>
  <c r="Q29" i="10"/>
  <c r="P29" i="10"/>
  <c r="P28" i="10" s="1"/>
  <c r="O29" i="10"/>
  <c r="N29" i="10"/>
  <c r="N28" i="10" s="1"/>
  <c r="M29" i="10"/>
  <c r="M28" i="10" s="1"/>
  <c r="L29" i="10"/>
  <c r="L28" i="10" s="1"/>
  <c r="K29" i="10"/>
  <c r="K28" i="10" s="1"/>
  <c r="J29" i="10"/>
  <c r="J28" i="10" s="1"/>
  <c r="I29" i="10"/>
  <c r="I28" i="10" s="1"/>
  <c r="H29" i="10"/>
  <c r="H28" i="10" s="1"/>
  <c r="G29" i="10"/>
  <c r="G28" i="10" s="1"/>
  <c r="F29" i="10"/>
  <c r="F28" i="10" s="1"/>
  <c r="Q28" i="10"/>
  <c r="O28" i="10"/>
  <c r="S27" i="10"/>
  <c r="Q27" i="10"/>
  <c r="P27" i="10"/>
  <c r="O27" i="10"/>
  <c r="N27" i="10"/>
  <c r="N26" i="10" s="1"/>
  <c r="M27" i="10"/>
  <c r="L27" i="10"/>
  <c r="L26" i="10" s="1"/>
  <c r="K27" i="10"/>
  <c r="K26" i="10" s="1"/>
  <c r="J27" i="10"/>
  <c r="J26" i="10" s="1"/>
  <c r="I27" i="10"/>
  <c r="I26" i="10" s="1"/>
  <c r="H27" i="10"/>
  <c r="H26" i="10" s="1"/>
  <c r="G27" i="10"/>
  <c r="G26" i="10" s="1"/>
  <c r="F27" i="10"/>
  <c r="F26" i="10" s="1"/>
  <c r="Q26" i="10"/>
  <c r="P26" i="10"/>
  <c r="O26" i="10"/>
  <c r="M26" i="10"/>
  <c r="S25" i="10"/>
  <c r="Q25" i="10"/>
  <c r="Q23" i="10" s="1"/>
  <c r="Q17" i="10" s="1"/>
  <c r="P25" i="10"/>
  <c r="O25" i="10"/>
  <c r="N25" i="10"/>
  <c r="N23" i="10" s="1"/>
  <c r="M25" i="10"/>
  <c r="M23" i="10" s="1"/>
  <c r="L25" i="10"/>
  <c r="L23" i="10" s="1"/>
  <c r="K25" i="10"/>
  <c r="K23" i="10" s="1"/>
  <c r="J25" i="10"/>
  <c r="J23" i="10" s="1"/>
  <c r="I25" i="10"/>
  <c r="I23" i="10" s="1"/>
  <c r="H25" i="10"/>
  <c r="H23" i="10" s="1"/>
  <c r="G25" i="10"/>
  <c r="G23" i="10" s="1"/>
  <c r="F25" i="10"/>
  <c r="F23" i="10" s="1"/>
  <c r="S24" i="10"/>
  <c r="P23" i="10"/>
  <c r="O23" i="10"/>
  <c r="S20" i="10"/>
  <c r="S18" i="10" s="1"/>
  <c r="Q19" i="10"/>
  <c r="P19" i="10"/>
  <c r="O19" i="10"/>
  <c r="N19" i="10"/>
  <c r="M19" i="10"/>
  <c r="L19" i="10"/>
  <c r="K19" i="10"/>
  <c r="J19" i="10"/>
  <c r="I19" i="10"/>
  <c r="H19" i="10"/>
  <c r="G19" i="10"/>
  <c r="F19" i="10"/>
  <c r="D19" i="10"/>
  <c r="S125" i="9"/>
  <c r="S126" i="9" s="1"/>
  <c r="R125" i="9"/>
  <c r="R126" i="9" s="1"/>
  <c r="Q125" i="9"/>
  <c r="Q126" i="9" s="1"/>
  <c r="P125" i="9"/>
  <c r="P126" i="9" s="1"/>
  <c r="O125" i="9"/>
  <c r="O126" i="9" s="1"/>
  <c r="N125" i="9"/>
  <c r="N126" i="9" s="1"/>
  <c r="M125" i="9"/>
  <c r="M126" i="9" s="1"/>
  <c r="L125" i="9"/>
  <c r="L126" i="9" s="1"/>
  <c r="K125" i="9"/>
  <c r="J125" i="9"/>
  <c r="I125" i="9"/>
  <c r="H125" i="9"/>
  <c r="H126" i="9" s="1"/>
  <c r="S123" i="9"/>
  <c r="S124" i="9" s="1"/>
  <c r="R123" i="9"/>
  <c r="R124" i="9" s="1"/>
  <c r="Q123" i="9"/>
  <c r="Q124" i="9" s="1"/>
  <c r="P123" i="9"/>
  <c r="P124" i="9" s="1"/>
  <c r="O123" i="9"/>
  <c r="O124" i="9" s="1"/>
  <c r="N123" i="9"/>
  <c r="N124" i="9" s="1"/>
  <c r="M123" i="9"/>
  <c r="M124" i="9" s="1"/>
  <c r="L123" i="9"/>
  <c r="L124" i="9" s="1"/>
  <c r="K123" i="9"/>
  <c r="K124" i="9" s="1"/>
  <c r="J123" i="9"/>
  <c r="J124" i="9" s="1"/>
  <c r="I123" i="9"/>
  <c r="I124" i="9" s="1"/>
  <c r="H123" i="9"/>
  <c r="H124" i="9" s="1"/>
  <c r="S121" i="9"/>
  <c r="S122" i="9" s="1"/>
  <c r="R121" i="9"/>
  <c r="R122" i="9" s="1"/>
  <c r="Q121" i="9"/>
  <c r="Q122" i="9" s="1"/>
  <c r="P121" i="9"/>
  <c r="P122" i="9" s="1"/>
  <c r="O121" i="9"/>
  <c r="O122" i="9" s="1"/>
  <c r="N121" i="9"/>
  <c r="N122" i="9" s="1"/>
  <c r="M121" i="9"/>
  <c r="M122" i="9" s="1"/>
  <c r="L121" i="9"/>
  <c r="L122" i="9" s="1"/>
  <c r="K121" i="9"/>
  <c r="J121" i="9"/>
  <c r="I121" i="9"/>
  <c r="H121" i="9"/>
  <c r="H122" i="9" s="1"/>
  <c r="S119" i="9"/>
  <c r="S120" i="9" s="1"/>
  <c r="R119" i="9"/>
  <c r="R120" i="9" s="1"/>
  <c r="Q119" i="9"/>
  <c r="Q120" i="9" s="1"/>
  <c r="P119" i="9"/>
  <c r="P120" i="9" s="1"/>
  <c r="O119" i="9"/>
  <c r="O120" i="9" s="1"/>
  <c r="N119" i="9"/>
  <c r="N120" i="9" s="1"/>
  <c r="M119" i="9"/>
  <c r="M120" i="9" s="1"/>
  <c r="L119" i="9"/>
  <c r="L120" i="9" s="1"/>
  <c r="K119" i="9"/>
  <c r="J119" i="9"/>
  <c r="I119" i="9"/>
  <c r="H119" i="9"/>
  <c r="H120" i="9" s="1"/>
  <c r="S117" i="9"/>
  <c r="S118" i="9" s="1"/>
  <c r="R117" i="9"/>
  <c r="R118" i="9" s="1"/>
  <c r="Q117" i="9"/>
  <c r="Q118" i="9" s="1"/>
  <c r="P117" i="9"/>
  <c r="P118" i="9" s="1"/>
  <c r="O117" i="9"/>
  <c r="O118" i="9" s="1"/>
  <c r="N117" i="9"/>
  <c r="N118" i="9" s="1"/>
  <c r="M117" i="9"/>
  <c r="M118" i="9" s="1"/>
  <c r="L117" i="9"/>
  <c r="L118" i="9" s="1"/>
  <c r="K117" i="9"/>
  <c r="J117" i="9"/>
  <c r="I117" i="9"/>
  <c r="H117" i="9"/>
  <c r="H118" i="9" s="1"/>
  <c r="S115" i="9"/>
  <c r="S116" i="9" s="1"/>
  <c r="R115" i="9"/>
  <c r="R116" i="9" s="1"/>
  <c r="Q115" i="9"/>
  <c r="Q116" i="9" s="1"/>
  <c r="P115" i="9"/>
  <c r="P116" i="9" s="1"/>
  <c r="O115" i="9"/>
  <c r="O116" i="9" s="1"/>
  <c r="N115" i="9"/>
  <c r="N116" i="9" s="1"/>
  <c r="M115" i="9"/>
  <c r="M116" i="9" s="1"/>
  <c r="L115" i="9"/>
  <c r="L116" i="9" s="1"/>
  <c r="K115" i="9"/>
  <c r="J115" i="9"/>
  <c r="I115" i="9"/>
  <c r="H115" i="9"/>
  <c r="H116" i="9" s="1"/>
  <c r="S113" i="9"/>
  <c r="S114" i="9" s="1"/>
  <c r="R113" i="9"/>
  <c r="R114" i="9" s="1"/>
  <c r="Q113" i="9"/>
  <c r="Q114" i="9" s="1"/>
  <c r="P113" i="9"/>
  <c r="P114" i="9" s="1"/>
  <c r="O113" i="9"/>
  <c r="O114" i="9" s="1"/>
  <c r="N113" i="9"/>
  <c r="N114" i="9" s="1"/>
  <c r="M113" i="9"/>
  <c r="M114" i="9" s="1"/>
  <c r="L113" i="9"/>
  <c r="L114" i="9" s="1"/>
  <c r="K113" i="9"/>
  <c r="J113" i="9"/>
  <c r="I113" i="9"/>
  <c r="H113" i="9"/>
  <c r="H114" i="9" s="1"/>
  <c r="S109" i="9"/>
  <c r="S110" i="9" s="1"/>
  <c r="R109" i="9"/>
  <c r="R110" i="9" s="1"/>
  <c r="Q109" i="9"/>
  <c r="Q110" i="9" s="1"/>
  <c r="P109" i="9"/>
  <c r="P110" i="9" s="1"/>
  <c r="O109" i="9"/>
  <c r="O110" i="9" s="1"/>
  <c r="N109" i="9"/>
  <c r="N110" i="9" s="1"/>
  <c r="M109" i="9"/>
  <c r="M110" i="9" s="1"/>
  <c r="L109" i="9"/>
  <c r="L110" i="9" s="1"/>
  <c r="K109" i="9"/>
  <c r="J109" i="9"/>
  <c r="I109" i="9"/>
  <c r="H109" i="9"/>
  <c r="H110" i="9" s="1"/>
  <c r="S111" i="9"/>
  <c r="S112" i="9" s="1"/>
  <c r="R111" i="9"/>
  <c r="R112" i="9" s="1"/>
  <c r="Q111" i="9"/>
  <c r="Q112" i="9" s="1"/>
  <c r="P111" i="9"/>
  <c r="P112" i="9" s="1"/>
  <c r="O111" i="9"/>
  <c r="O112" i="9" s="1"/>
  <c r="N111" i="9"/>
  <c r="N112" i="9" s="1"/>
  <c r="M111" i="9"/>
  <c r="M112" i="9" s="1"/>
  <c r="L111" i="9"/>
  <c r="L112" i="9" s="1"/>
  <c r="K111" i="9"/>
  <c r="J111" i="9"/>
  <c r="I111" i="9"/>
  <c r="H111" i="9"/>
  <c r="H112" i="9" s="1"/>
  <c r="S107" i="9"/>
  <c r="S108" i="9" s="1"/>
  <c r="R107" i="9"/>
  <c r="R108" i="9" s="1"/>
  <c r="Q107" i="9"/>
  <c r="Q108" i="9" s="1"/>
  <c r="P107" i="9"/>
  <c r="P108" i="9" s="1"/>
  <c r="O107" i="9"/>
  <c r="O108" i="9" s="1"/>
  <c r="N107" i="9"/>
  <c r="N108" i="9" s="1"/>
  <c r="M107" i="9"/>
  <c r="M108" i="9" s="1"/>
  <c r="L107" i="9"/>
  <c r="L108" i="9" s="1"/>
  <c r="K107" i="9"/>
  <c r="J107" i="9"/>
  <c r="I107" i="9"/>
  <c r="H107" i="9"/>
  <c r="H108" i="9" s="1"/>
  <c r="S105" i="9"/>
  <c r="S106" i="9" s="1"/>
  <c r="R105" i="9"/>
  <c r="R106" i="9" s="1"/>
  <c r="Q105" i="9"/>
  <c r="Q106" i="9" s="1"/>
  <c r="P105" i="9"/>
  <c r="P106" i="9" s="1"/>
  <c r="O105" i="9"/>
  <c r="O106" i="9" s="1"/>
  <c r="N105" i="9"/>
  <c r="N106" i="9" s="1"/>
  <c r="M105" i="9"/>
  <c r="M106" i="9" s="1"/>
  <c r="L105" i="9"/>
  <c r="L106" i="9" s="1"/>
  <c r="K105" i="9"/>
  <c r="J105" i="9"/>
  <c r="I105" i="9"/>
  <c r="H105" i="9"/>
  <c r="H106" i="9" s="1"/>
  <c r="S103" i="9"/>
  <c r="S104" i="9" s="1"/>
  <c r="R103" i="9"/>
  <c r="R104" i="9" s="1"/>
  <c r="Q103" i="9"/>
  <c r="Q104" i="9" s="1"/>
  <c r="P103" i="9"/>
  <c r="P104" i="9" s="1"/>
  <c r="O103" i="9"/>
  <c r="O104" i="9" s="1"/>
  <c r="N103" i="9"/>
  <c r="N104" i="9" s="1"/>
  <c r="M103" i="9"/>
  <c r="M104" i="9" s="1"/>
  <c r="L103" i="9"/>
  <c r="L104" i="9" s="1"/>
  <c r="K103" i="9"/>
  <c r="J103" i="9"/>
  <c r="J104" i="9" s="1"/>
  <c r="I103" i="9"/>
  <c r="I104" i="9" s="1"/>
  <c r="H103" i="9"/>
  <c r="H104" i="9" s="1"/>
  <c r="S101" i="9"/>
  <c r="S102" i="9" s="1"/>
  <c r="R101" i="9"/>
  <c r="R102" i="9" s="1"/>
  <c r="Q101" i="9"/>
  <c r="Q102" i="9" s="1"/>
  <c r="P101" i="9"/>
  <c r="P102" i="9" s="1"/>
  <c r="O101" i="9"/>
  <c r="O102" i="9" s="1"/>
  <c r="N101" i="9"/>
  <c r="N102" i="9" s="1"/>
  <c r="M101" i="9"/>
  <c r="M102" i="9" s="1"/>
  <c r="L101" i="9"/>
  <c r="L102" i="9" s="1"/>
  <c r="K101" i="9"/>
  <c r="J101" i="9"/>
  <c r="I101" i="9"/>
  <c r="H101" i="9"/>
  <c r="H102" i="9" s="1"/>
  <c r="S99" i="9"/>
  <c r="S100" i="9" s="1"/>
  <c r="R99" i="9"/>
  <c r="R100" i="9" s="1"/>
  <c r="Q99" i="9"/>
  <c r="Q100" i="9" s="1"/>
  <c r="P99" i="9"/>
  <c r="P100" i="9" s="1"/>
  <c r="O99" i="9"/>
  <c r="O100" i="9" s="1"/>
  <c r="N99" i="9"/>
  <c r="N100" i="9" s="1"/>
  <c r="M99" i="9"/>
  <c r="M100" i="9" s="1"/>
  <c r="L99" i="9"/>
  <c r="L100" i="9" s="1"/>
  <c r="K99" i="9"/>
  <c r="J99" i="9"/>
  <c r="I99" i="9"/>
  <c r="H99" i="9"/>
  <c r="H100" i="9" s="1"/>
  <c r="S97" i="9"/>
  <c r="S98" i="9" s="1"/>
  <c r="R97" i="9"/>
  <c r="R98" i="9" s="1"/>
  <c r="Q97" i="9"/>
  <c r="Q98" i="9" s="1"/>
  <c r="P97" i="9"/>
  <c r="P98" i="9" s="1"/>
  <c r="O97" i="9"/>
  <c r="O98" i="9" s="1"/>
  <c r="N97" i="9"/>
  <c r="N98" i="9" s="1"/>
  <c r="M97" i="9"/>
  <c r="M98" i="9" s="1"/>
  <c r="L97" i="9"/>
  <c r="L98" i="9" s="1"/>
  <c r="K97" i="9"/>
  <c r="J97" i="9"/>
  <c r="I97" i="9"/>
  <c r="H97" i="9"/>
  <c r="H98" i="9" s="1"/>
  <c r="S95" i="9"/>
  <c r="S96" i="9" s="1"/>
  <c r="R95" i="9"/>
  <c r="R96" i="9" s="1"/>
  <c r="Q95" i="9"/>
  <c r="Q96" i="9" s="1"/>
  <c r="P95" i="9"/>
  <c r="P96" i="9" s="1"/>
  <c r="O95" i="9"/>
  <c r="O96" i="9" s="1"/>
  <c r="N95" i="9"/>
  <c r="N96" i="9" s="1"/>
  <c r="M95" i="9"/>
  <c r="M96" i="9" s="1"/>
  <c r="L95" i="9"/>
  <c r="L96" i="9" s="1"/>
  <c r="K95" i="9"/>
  <c r="J95" i="9"/>
  <c r="I95" i="9"/>
  <c r="H95" i="9"/>
  <c r="H96" i="9" s="1"/>
  <c r="S93" i="9"/>
  <c r="S94" i="9" s="1"/>
  <c r="R93" i="9"/>
  <c r="R94" i="9" s="1"/>
  <c r="Q93" i="9"/>
  <c r="Q94" i="9" s="1"/>
  <c r="P93" i="9"/>
  <c r="P94" i="9" s="1"/>
  <c r="O93" i="9"/>
  <c r="O94" i="9" s="1"/>
  <c r="N93" i="9"/>
  <c r="N94" i="9" s="1"/>
  <c r="M93" i="9"/>
  <c r="M94" i="9" s="1"/>
  <c r="L93" i="9"/>
  <c r="L94" i="9" s="1"/>
  <c r="K93" i="9"/>
  <c r="J93" i="9"/>
  <c r="I93" i="9"/>
  <c r="H93" i="9"/>
  <c r="H94" i="9" s="1"/>
  <c r="S91" i="9"/>
  <c r="S92" i="9" s="1"/>
  <c r="R91" i="9"/>
  <c r="R92" i="9" s="1"/>
  <c r="Q91" i="9"/>
  <c r="Q92" i="9" s="1"/>
  <c r="P91" i="9"/>
  <c r="P92" i="9" s="1"/>
  <c r="O91" i="9"/>
  <c r="O92" i="9" s="1"/>
  <c r="N91" i="9"/>
  <c r="N92" i="9" s="1"/>
  <c r="M91" i="9"/>
  <c r="M92" i="9" s="1"/>
  <c r="L91" i="9"/>
  <c r="L92" i="9" s="1"/>
  <c r="K91" i="9"/>
  <c r="K92" i="9" s="1"/>
  <c r="J91" i="9"/>
  <c r="J92" i="9" s="1"/>
  <c r="I91" i="9"/>
  <c r="I92" i="9" s="1"/>
  <c r="H91" i="9"/>
  <c r="H92" i="9" s="1"/>
  <c r="S89" i="9"/>
  <c r="S90" i="9" s="1"/>
  <c r="R89" i="9"/>
  <c r="R90" i="9" s="1"/>
  <c r="Q89" i="9"/>
  <c r="Q90" i="9" s="1"/>
  <c r="P89" i="9"/>
  <c r="P90" i="9" s="1"/>
  <c r="O89" i="9"/>
  <c r="O90" i="9" s="1"/>
  <c r="N89" i="9"/>
  <c r="N90" i="9" s="1"/>
  <c r="M89" i="9"/>
  <c r="M90" i="9" s="1"/>
  <c r="L89" i="9"/>
  <c r="L90" i="9" s="1"/>
  <c r="K89" i="9"/>
  <c r="J89" i="9"/>
  <c r="I89" i="9"/>
  <c r="H89" i="9"/>
  <c r="H90" i="9" s="1"/>
  <c r="S87" i="9"/>
  <c r="S88" i="9" s="1"/>
  <c r="R87" i="9"/>
  <c r="R88" i="9" s="1"/>
  <c r="Q87" i="9"/>
  <c r="Q88" i="9" s="1"/>
  <c r="P87" i="9"/>
  <c r="P88" i="9" s="1"/>
  <c r="O87" i="9"/>
  <c r="O88" i="9" s="1"/>
  <c r="N87" i="9"/>
  <c r="N88" i="9" s="1"/>
  <c r="M87" i="9"/>
  <c r="M88" i="9" s="1"/>
  <c r="L87" i="9"/>
  <c r="L88" i="9" s="1"/>
  <c r="K87" i="9"/>
  <c r="J87" i="9"/>
  <c r="I87" i="9"/>
  <c r="H87" i="9"/>
  <c r="H88" i="9" s="1"/>
  <c r="S85" i="9"/>
  <c r="S86" i="9" s="1"/>
  <c r="R85" i="9"/>
  <c r="R86" i="9" s="1"/>
  <c r="Q85" i="9"/>
  <c r="Q86" i="9" s="1"/>
  <c r="P85" i="9"/>
  <c r="P86" i="9" s="1"/>
  <c r="O85" i="9"/>
  <c r="O86" i="9" s="1"/>
  <c r="N85" i="9"/>
  <c r="N86" i="9" s="1"/>
  <c r="M85" i="9"/>
  <c r="M86" i="9" s="1"/>
  <c r="L85" i="9"/>
  <c r="L86" i="9" s="1"/>
  <c r="K85" i="9"/>
  <c r="J85" i="9"/>
  <c r="I85" i="9"/>
  <c r="H85" i="9"/>
  <c r="H86" i="9" s="1"/>
  <c r="S83" i="9"/>
  <c r="S84" i="9" s="1"/>
  <c r="R83" i="9"/>
  <c r="R84" i="9" s="1"/>
  <c r="Q83" i="9"/>
  <c r="Q84" i="9" s="1"/>
  <c r="P83" i="9"/>
  <c r="P84" i="9" s="1"/>
  <c r="O83" i="9"/>
  <c r="O84" i="9" s="1"/>
  <c r="N83" i="9"/>
  <c r="N84" i="9" s="1"/>
  <c r="M83" i="9"/>
  <c r="M84" i="9" s="1"/>
  <c r="L83" i="9"/>
  <c r="L84" i="9" s="1"/>
  <c r="K83" i="9"/>
  <c r="J83" i="9"/>
  <c r="I83" i="9"/>
  <c r="H83" i="9"/>
  <c r="H84" i="9" s="1"/>
  <c r="S81" i="9"/>
  <c r="S82" i="9" s="1"/>
  <c r="R81" i="9"/>
  <c r="R82" i="9" s="1"/>
  <c r="Q81" i="9"/>
  <c r="Q82" i="9" s="1"/>
  <c r="P81" i="9"/>
  <c r="P82" i="9" s="1"/>
  <c r="O81" i="9"/>
  <c r="O82" i="9" s="1"/>
  <c r="N81" i="9"/>
  <c r="N82" i="9" s="1"/>
  <c r="M81" i="9"/>
  <c r="M82" i="9" s="1"/>
  <c r="L81" i="9"/>
  <c r="L82" i="9" s="1"/>
  <c r="K81" i="9"/>
  <c r="J81" i="9"/>
  <c r="I81" i="9"/>
  <c r="H81" i="9"/>
  <c r="H82" i="9" s="1"/>
  <c r="S79" i="9"/>
  <c r="S80" i="9" s="1"/>
  <c r="R79" i="9"/>
  <c r="R80" i="9" s="1"/>
  <c r="Q79" i="9"/>
  <c r="Q80" i="9" s="1"/>
  <c r="P79" i="9"/>
  <c r="P80" i="9" s="1"/>
  <c r="O79" i="9"/>
  <c r="O80" i="9" s="1"/>
  <c r="N79" i="9"/>
  <c r="N80" i="9" s="1"/>
  <c r="M79" i="9"/>
  <c r="M80" i="9" s="1"/>
  <c r="L79" i="9"/>
  <c r="L80" i="9" s="1"/>
  <c r="K79" i="9"/>
  <c r="J79" i="9"/>
  <c r="I79" i="9"/>
  <c r="H79" i="9"/>
  <c r="H80" i="9" s="1"/>
  <c r="S77" i="9"/>
  <c r="S78" i="9" s="1"/>
  <c r="R77" i="9"/>
  <c r="R78" i="9" s="1"/>
  <c r="Q77" i="9"/>
  <c r="Q78" i="9" s="1"/>
  <c r="P77" i="9"/>
  <c r="P78" i="9" s="1"/>
  <c r="O77" i="9"/>
  <c r="O78" i="9" s="1"/>
  <c r="N77" i="9"/>
  <c r="N78" i="9" s="1"/>
  <c r="M77" i="9"/>
  <c r="M78" i="9" s="1"/>
  <c r="L77" i="9"/>
  <c r="L78" i="9" s="1"/>
  <c r="K77" i="9"/>
  <c r="J77" i="9"/>
  <c r="I77" i="9"/>
  <c r="H77" i="9"/>
  <c r="H78" i="9" s="1"/>
  <c r="S73" i="9"/>
  <c r="S74" i="9" s="1"/>
  <c r="R73" i="9"/>
  <c r="R74" i="9" s="1"/>
  <c r="Q73" i="9"/>
  <c r="Q74" i="9" s="1"/>
  <c r="P73" i="9"/>
  <c r="P74" i="9" s="1"/>
  <c r="O73" i="9"/>
  <c r="O74" i="9" s="1"/>
  <c r="N73" i="9"/>
  <c r="N74" i="9" s="1"/>
  <c r="M73" i="9"/>
  <c r="M74" i="9" s="1"/>
  <c r="L73" i="9"/>
  <c r="L74" i="9" s="1"/>
  <c r="K73" i="9"/>
  <c r="J73" i="9"/>
  <c r="I73" i="9"/>
  <c r="H73" i="9"/>
  <c r="H74" i="9" s="1"/>
  <c r="S71" i="9"/>
  <c r="S72" i="9" s="1"/>
  <c r="R71" i="9"/>
  <c r="R72" i="9" s="1"/>
  <c r="Q71" i="9"/>
  <c r="Q72" i="9" s="1"/>
  <c r="P71" i="9"/>
  <c r="P72" i="9" s="1"/>
  <c r="O71" i="9"/>
  <c r="O72" i="9" s="1"/>
  <c r="N71" i="9"/>
  <c r="N72" i="9" s="1"/>
  <c r="M71" i="9"/>
  <c r="M72" i="9" s="1"/>
  <c r="L71" i="9"/>
  <c r="L72" i="9" s="1"/>
  <c r="K71" i="9"/>
  <c r="J71" i="9"/>
  <c r="I71" i="9"/>
  <c r="H71" i="9"/>
  <c r="H72" i="9" s="1"/>
  <c r="S69" i="9"/>
  <c r="S70" i="9" s="1"/>
  <c r="R69" i="9"/>
  <c r="R70" i="9" s="1"/>
  <c r="Q69" i="9"/>
  <c r="Q70" i="9" s="1"/>
  <c r="P69" i="9"/>
  <c r="P70" i="9" s="1"/>
  <c r="O69" i="9"/>
  <c r="O70" i="9" s="1"/>
  <c r="N69" i="9"/>
  <c r="N70" i="9" s="1"/>
  <c r="M69" i="9"/>
  <c r="M70" i="9" s="1"/>
  <c r="L69" i="9"/>
  <c r="L70" i="9" s="1"/>
  <c r="K69" i="9"/>
  <c r="J69" i="9"/>
  <c r="I69" i="9"/>
  <c r="H69" i="9"/>
  <c r="H70" i="9" s="1"/>
  <c r="S67" i="9"/>
  <c r="S68" i="9" s="1"/>
  <c r="R67" i="9"/>
  <c r="R68" i="9" s="1"/>
  <c r="Q67" i="9"/>
  <c r="Q68" i="9" s="1"/>
  <c r="P67" i="9"/>
  <c r="P68" i="9" s="1"/>
  <c r="O67" i="9"/>
  <c r="O68" i="9" s="1"/>
  <c r="N67" i="9"/>
  <c r="N68" i="9" s="1"/>
  <c r="M67" i="9"/>
  <c r="M68" i="9" s="1"/>
  <c r="L67" i="9"/>
  <c r="L68" i="9" s="1"/>
  <c r="K67" i="9"/>
  <c r="J67" i="9"/>
  <c r="I67" i="9"/>
  <c r="H67" i="9"/>
  <c r="H68" i="9" s="1"/>
  <c r="S65" i="9"/>
  <c r="S66" i="9" s="1"/>
  <c r="R65" i="9"/>
  <c r="R66" i="9" s="1"/>
  <c r="Q65" i="9"/>
  <c r="Q66" i="9" s="1"/>
  <c r="P65" i="9"/>
  <c r="P66" i="9" s="1"/>
  <c r="O65" i="9"/>
  <c r="O66" i="9" s="1"/>
  <c r="N65" i="9"/>
  <c r="N66" i="9" s="1"/>
  <c r="M65" i="9"/>
  <c r="M66" i="9" s="1"/>
  <c r="L65" i="9"/>
  <c r="L66" i="9" s="1"/>
  <c r="K65" i="9"/>
  <c r="J65" i="9"/>
  <c r="I65" i="9"/>
  <c r="H65" i="9"/>
  <c r="H66" i="9" s="1"/>
  <c r="S63" i="9"/>
  <c r="S64" i="9" s="1"/>
  <c r="R63" i="9"/>
  <c r="R64" i="9" s="1"/>
  <c r="Q63" i="9"/>
  <c r="Q64" i="9" s="1"/>
  <c r="P63" i="9"/>
  <c r="P64" i="9" s="1"/>
  <c r="O63" i="9"/>
  <c r="O64" i="9" s="1"/>
  <c r="N63" i="9"/>
  <c r="N64" i="9" s="1"/>
  <c r="M63" i="9"/>
  <c r="M64" i="9" s="1"/>
  <c r="L63" i="9"/>
  <c r="L64" i="9" s="1"/>
  <c r="K63" i="9"/>
  <c r="J63" i="9"/>
  <c r="I63" i="9"/>
  <c r="H63" i="9"/>
  <c r="H64" i="9" s="1"/>
  <c r="S61" i="9"/>
  <c r="S62" i="9" s="1"/>
  <c r="R61" i="9"/>
  <c r="R62" i="9" s="1"/>
  <c r="Q61" i="9"/>
  <c r="Q62" i="9" s="1"/>
  <c r="P61" i="9"/>
  <c r="P62" i="9" s="1"/>
  <c r="O61" i="9"/>
  <c r="O62" i="9" s="1"/>
  <c r="N61" i="9"/>
  <c r="N62" i="9" s="1"/>
  <c r="M61" i="9"/>
  <c r="M62" i="9" s="1"/>
  <c r="L61" i="9"/>
  <c r="L62" i="9" s="1"/>
  <c r="K61" i="9"/>
  <c r="K62" i="9" s="1"/>
  <c r="J61" i="9"/>
  <c r="J62" i="9" s="1"/>
  <c r="I61" i="9"/>
  <c r="H61" i="9"/>
  <c r="H62" i="9" s="1"/>
  <c r="S59" i="9"/>
  <c r="S60" i="9" s="1"/>
  <c r="R59" i="9"/>
  <c r="R60" i="9" s="1"/>
  <c r="Q59" i="9"/>
  <c r="Q60" i="9" s="1"/>
  <c r="P59" i="9"/>
  <c r="P60" i="9" s="1"/>
  <c r="O59" i="9"/>
  <c r="O60" i="9" s="1"/>
  <c r="N59" i="9"/>
  <c r="N60" i="9" s="1"/>
  <c r="M59" i="9"/>
  <c r="M60" i="9" s="1"/>
  <c r="L59" i="9"/>
  <c r="L60" i="9" s="1"/>
  <c r="K59" i="9"/>
  <c r="J59" i="9"/>
  <c r="I59" i="9"/>
  <c r="H59" i="9"/>
  <c r="H60" i="9" s="1"/>
  <c r="S57" i="9"/>
  <c r="S58" i="9" s="1"/>
  <c r="R57" i="9"/>
  <c r="R58" i="9" s="1"/>
  <c r="Q57" i="9"/>
  <c r="Q58" i="9" s="1"/>
  <c r="P57" i="9"/>
  <c r="P58" i="9" s="1"/>
  <c r="O57" i="9"/>
  <c r="O58" i="9" s="1"/>
  <c r="N57" i="9"/>
  <c r="N58" i="9" s="1"/>
  <c r="M57" i="9"/>
  <c r="M58" i="9" s="1"/>
  <c r="L57" i="9"/>
  <c r="L58" i="9" s="1"/>
  <c r="K57" i="9"/>
  <c r="J57" i="9"/>
  <c r="I57" i="9"/>
  <c r="H57" i="9"/>
  <c r="H58" i="9" s="1"/>
  <c r="S55" i="9"/>
  <c r="S56" i="9" s="1"/>
  <c r="R55" i="9"/>
  <c r="R56" i="9" s="1"/>
  <c r="Q55" i="9"/>
  <c r="Q56" i="9" s="1"/>
  <c r="P55" i="9"/>
  <c r="P56" i="9" s="1"/>
  <c r="O55" i="9"/>
  <c r="O56" i="9" s="1"/>
  <c r="N55" i="9"/>
  <c r="N56" i="9" s="1"/>
  <c r="M55" i="9"/>
  <c r="M56" i="9" s="1"/>
  <c r="L55" i="9"/>
  <c r="L56" i="9" s="1"/>
  <c r="K55" i="9"/>
  <c r="J55" i="9"/>
  <c r="I55" i="9"/>
  <c r="H55" i="9"/>
  <c r="H56" i="9" s="1"/>
  <c r="S53" i="9"/>
  <c r="S54" i="9" s="1"/>
  <c r="R53" i="9"/>
  <c r="R54" i="9" s="1"/>
  <c r="Q53" i="9"/>
  <c r="Q54" i="9" s="1"/>
  <c r="P53" i="9"/>
  <c r="P54" i="9" s="1"/>
  <c r="O53" i="9"/>
  <c r="O54" i="9" s="1"/>
  <c r="N53" i="9"/>
  <c r="N54" i="9" s="1"/>
  <c r="M53" i="9"/>
  <c r="M54" i="9" s="1"/>
  <c r="L53" i="9"/>
  <c r="L54" i="9" s="1"/>
  <c r="K53" i="9"/>
  <c r="J53" i="9"/>
  <c r="I53" i="9"/>
  <c r="H53" i="9"/>
  <c r="H54" i="9" s="1"/>
  <c r="S51" i="9"/>
  <c r="S52" i="9" s="1"/>
  <c r="R51" i="9"/>
  <c r="R52" i="9" s="1"/>
  <c r="Q51" i="9"/>
  <c r="Q52" i="9" s="1"/>
  <c r="P51" i="9"/>
  <c r="P52" i="9" s="1"/>
  <c r="O51" i="9"/>
  <c r="O52" i="9" s="1"/>
  <c r="N51" i="9"/>
  <c r="N52" i="9" s="1"/>
  <c r="M51" i="9"/>
  <c r="M52" i="9" s="1"/>
  <c r="L51" i="9"/>
  <c r="L52" i="9" s="1"/>
  <c r="K51" i="9"/>
  <c r="J51" i="9"/>
  <c r="I51" i="9"/>
  <c r="H51" i="9"/>
  <c r="H52" i="9" s="1"/>
  <c r="S49" i="9"/>
  <c r="S50" i="9" s="1"/>
  <c r="R49" i="9"/>
  <c r="R50" i="9" s="1"/>
  <c r="Q49" i="9"/>
  <c r="Q50" i="9" s="1"/>
  <c r="P49" i="9"/>
  <c r="P50" i="9" s="1"/>
  <c r="O49" i="9"/>
  <c r="O50" i="9" s="1"/>
  <c r="N49" i="9"/>
  <c r="N50" i="9" s="1"/>
  <c r="M49" i="9"/>
  <c r="M50" i="9" s="1"/>
  <c r="L49" i="9"/>
  <c r="L50" i="9" s="1"/>
  <c r="K49" i="9"/>
  <c r="J49" i="9"/>
  <c r="I49" i="9"/>
  <c r="H49" i="9"/>
  <c r="H50" i="9" s="1"/>
  <c r="S47" i="9"/>
  <c r="S48" i="9" s="1"/>
  <c r="R47" i="9"/>
  <c r="R48" i="9" s="1"/>
  <c r="Q47" i="9"/>
  <c r="Q48" i="9" s="1"/>
  <c r="P47" i="9"/>
  <c r="P48" i="9" s="1"/>
  <c r="O47" i="9"/>
  <c r="O48" i="9" s="1"/>
  <c r="N47" i="9"/>
  <c r="N48" i="9" s="1"/>
  <c r="M47" i="9"/>
  <c r="M48" i="9" s="1"/>
  <c r="L47" i="9"/>
  <c r="L48" i="9" s="1"/>
  <c r="K47" i="9"/>
  <c r="J47" i="9"/>
  <c r="I47" i="9"/>
  <c r="H47" i="9"/>
  <c r="H48" i="9" s="1"/>
  <c r="S45" i="9"/>
  <c r="S46" i="9" s="1"/>
  <c r="R45" i="9"/>
  <c r="R46" i="9" s="1"/>
  <c r="Q45" i="9"/>
  <c r="Q46" i="9" s="1"/>
  <c r="P45" i="9"/>
  <c r="P46" i="9" s="1"/>
  <c r="O45" i="9"/>
  <c r="O46" i="9" s="1"/>
  <c r="N45" i="9"/>
  <c r="N46" i="9" s="1"/>
  <c r="M45" i="9"/>
  <c r="M46" i="9" s="1"/>
  <c r="L45" i="9"/>
  <c r="L46" i="9" s="1"/>
  <c r="K45" i="9"/>
  <c r="J45" i="9"/>
  <c r="I45" i="9"/>
  <c r="I46" i="9" s="1"/>
  <c r="H45" i="9"/>
  <c r="H46" i="9" s="1"/>
  <c r="S43" i="9"/>
  <c r="S44" i="9" s="1"/>
  <c r="R43" i="9"/>
  <c r="R44" i="9" s="1"/>
  <c r="Q43" i="9"/>
  <c r="Q44" i="9" s="1"/>
  <c r="P43" i="9"/>
  <c r="P44" i="9" s="1"/>
  <c r="O43" i="9"/>
  <c r="O44" i="9" s="1"/>
  <c r="N43" i="9"/>
  <c r="N44" i="9" s="1"/>
  <c r="M43" i="9"/>
  <c r="M44" i="9" s="1"/>
  <c r="L43" i="9"/>
  <c r="L44" i="9" s="1"/>
  <c r="K43" i="9"/>
  <c r="J43" i="9"/>
  <c r="I43" i="9"/>
  <c r="H43" i="9"/>
  <c r="H44" i="9" s="1"/>
  <c r="S41" i="9"/>
  <c r="S42" i="9" s="1"/>
  <c r="R41" i="9"/>
  <c r="R42" i="9" s="1"/>
  <c r="Q41" i="9"/>
  <c r="Q42" i="9" s="1"/>
  <c r="P41" i="9"/>
  <c r="P42" i="9" s="1"/>
  <c r="O41" i="9"/>
  <c r="O42" i="9" s="1"/>
  <c r="N41" i="9"/>
  <c r="N42" i="9" s="1"/>
  <c r="M41" i="9"/>
  <c r="M42" i="9" s="1"/>
  <c r="L41" i="9"/>
  <c r="L42" i="9" s="1"/>
  <c r="K41" i="9"/>
  <c r="J41" i="9"/>
  <c r="I41" i="9"/>
  <c r="H41" i="9"/>
  <c r="H42" i="9" s="1"/>
  <c r="S39" i="9"/>
  <c r="S40" i="9" s="1"/>
  <c r="R39" i="9"/>
  <c r="R40" i="9" s="1"/>
  <c r="Q39" i="9"/>
  <c r="Q40" i="9" s="1"/>
  <c r="P39" i="9"/>
  <c r="P40" i="9" s="1"/>
  <c r="O39" i="9"/>
  <c r="O40" i="9" s="1"/>
  <c r="N39" i="9"/>
  <c r="N40" i="9" s="1"/>
  <c r="M39" i="9"/>
  <c r="M40" i="9" s="1"/>
  <c r="L39" i="9"/>
  <c r="L40" i="9" s="1"/>
  <c r="K39" i="9"/>
  <c r="J39" i="9"/>
  <c r="I39" i="9"/>
  <c r="H39" i="9"/>
  <c r="H40" i="9" s="1"/>
  <c r="S37" i="9"/>
  <c r="S38" i="9" s="1"/>
  <c r="R37" i="9"/>
  <c r="R38" i="9" s="1"/>
  <c r="Q37" i="9"/>
  <c r="Q38" i="9" s="1"/>
  <c r="P37" i="9"/>
  <c r="P38" i="9" s="1"/>
  <c r="O37" i="9"/>
  <c r="O38" i="9" s="1"/>
  <c r="N37" i="9"/>
  <c r="N38" i="9" s="1"/>
  <c r="M37" i="9"/>
  <c r="M38" i="9" s="1"/>
  <c r="L37" i="9"/>
  <c r="L38" i="9" s="1"/>
  <c r="K37" i="9"/>
  <c r="J37" i="9"/>
  <c r="I37" i="9"/>
  <c r="I38" i="9" s="1"/>
  <c r="H37" i="9"/>
  <c r="H38" i="9" s="1"/>
  <c r="S35" i="9"/>
  <c r="S36" i="9" s="1"/>
  <c r="R35" i="9"/>
  <c r="R36" i="9" s="1"/>
  <c r="Q35" i="9"/>
  <c r="Q36" i="9" s="1"/>
  <c r="P35" i="9"/>
  <c r="P36" i="9" s="1"/>
  <c r="O35" i="9"/>
  <c r="O36" i="9" s="1"/>
  <c r="N35" i="9"/>
  <c r="N36" i="9" s="1"/>
  <c r="M35" i="9"/>
  <c r="M36" i="9" s="1"/>
  <c r="L35" i="9"/>
  <c r="L36" i="9" s="1"/>
  <c r="K35" i="9"/>
  <c r="J35" i="9"/>
  <c r="I35" i="9"/>
  <c r="H35" i="9"/>
  <c r="H36" i="9" s="1"/>
  <c r="S33" i="9"/>
  <c r="S34" i="9" s="1"/>
  <c r="R33" i="9"/>
  <c r="R34" i="9" s="1"/>
  <c r="Q33" i="9"/>
  <c r="Q34" i="9" s="1"/>
  <c r="P33" i="9"/>
  <c r="P34" i="9" s="1"/>
  <c r="O33" i="9"/>
  <c r="O34" i="9" s="1"/>
  <c r="N33" i="9"/>
  <c r="N34" i="9" s="1"/>
  <c r="M33" i="9"/>
  <c r="M34" i="9" s="1"/>
  <c r="L33" i="9"/>
  <c r="L34" i="9" s="1"/>
  <c r="K33" i="9"/>
  <c r="J33" i="9"/>
  <c r="I33" i="9"/>
  <c r="H33" i="9"/>
  <c r="H34" i="9" s="1"/>
  <c r="S31" i="9"/>
  <c r="S32" i="9" s="1"/>
  <c r="R31" i="9"/>
  <c r="R32" i="9" s="1"/>
  <c r="Q31" i="9"/>
  <c r="Q32" i="9" s="1"/>
  <c r="P31" i="9"/>
  <c r="P32" i="9" s="1"/>
  <c r="O31" i="9"/>
  <c r="O32" i="9" s="1"/>
  <c r="N31" i="9"/>
  <c r="N32" i="9" s="1"/>
  <c r="M31" i="9"/>
  <c r="M32" i="9" s="1"/>
  <c r="L31" i="9"/>
  <c r="L32" i="9" s="1"/>
  <c r="K31" i="9"/>
  <c r="J31" i="9"/>
  <c r="I31" i="9"/>
  <c r="H31" i="9"/>
  <c r="H32" i="9" s="1"/>
  <c r="S29" i="9"/>
  <c r="S30" i="9" s="1"/>
  <c r="R29" i="9"/>
  <c r="R30" i="9" s="1"/>
  <c r="Q29" i="9"/>
  <c r="Q30" i="9" s="1"/>
  <c r="P29" i="9"/>
  <c r="P30" i="9" s="1"/>
  <c r="O29" i="9"/>
  <c r="O30" i="9" s="1"/>
  <c r="N29" i="9"/>
  <c r="N30" i="9" s="1"/>
  <c r="M29" i="9"/>
  <c r="M30" i="9" s="1"/>
  <c r="L29" i="9"/>
  <c r="L30" i="9" s="1"/>
  <c r="K29" i="9"/>
  <c r="J29" i="9"/>
  <c r="I29" i="9"/>
  <c r="H29" i="9"/>
  <c r="H30" i="9" s="1"/>
  <c r="S27" i="9"/>
  <c r="S28" i="9" s="1"/>
  <c r="R27" i="9"/>
  <c r="R28" i="9" s="1"/>
  <c r="Q27" i="9"/>
  <c r="Q28" i="9" s="1"/>
  <c r="P27" i="9"/>
  <c r="P28" i="9" s="1"/>
  <c r="O27" i="9"/>
  <c r="O28" i="9" s="1"/>
  <c r="N27" i="9"/>
  <c r="N28" i="9" s="1"/>
  <c r="M27" i="9"/>
  <c r="M28" i="9" s="1"/>
  <c r="L27" i="9"/>
  <c r="L28" i="9" s="1"/>
  <c r="K27" i="9"/>
  <c r="J27" i="9"/>
  <c r="I27" i="9"/>
  <c r="H27" i="9"/>
  <c r="H28" i="9" s="1"/>
  <c r="S25" i="9"/>
  <c r="S26" i="9" s="1"/>
  <c r="R25" i="9"/>
  <c r="R26" i="9" s="1"/>
  <c r="Q25" i="9"/>
  <c r="Q26" i="9" s="1"/>
  <c r="P25" i="9"/>
  <c r="P26" i="9" s="1"/>
  <c r="O25" i="9"/>
  <c r="O26" i="9" s="1"/>
  <c r="N25" i="9"/>
  <c r="N26" i="9" s="1"/>
  <c r="M25" i="9"/>
  <c r="M26" i="9" s="1"/>
  <c r="L25" i="9"/>
  <c r="L26" i="9" s="1"/>
  <c r="K25" i="9"/>
  <c r="J25" i="9"/>
  <c r="I25" i="9"/>
  <c r="H25" i="9"/>
  <c r="H26" i="9" s="1"/>
  <c r="S23" i="9"/>
  <c r="S24" i="9" s="1"/>
  <c r="R23" i="9"/>
  <c r="R24" i="9" s="1"/>
  <c r="Q23" i="9"/>
  <c r="Q24" i="9" s="1"/>
  <c r="P23" i="9"/>
  <c r="P24" i="9" s="1"/>
  <c r="O23" i="9"/>
  <c r="O24" i="9" s="1"/>
  <c r="N23" i="9"/>
  <c r="N24" i="9" s="1"/>
  <c r="M23" i="9"/>
  <c r="M24" i="9" s="1"/>
  <c r="L23" i="9"/>
  <c r="L24" i="9" s="1"/>
  <c r="K23" i="9"/>
  <c r="J23" i="9"/>
  <c r="I23" i="9"/>
  <c r="H23" i="9"/>
  <c r="C126" i="9"/>
  <c r="C124" i="9"/>
  <c r="C122" i="9"/>
  <c r="C120" i="9"/>
  <c r="C118" i="9"/>
  <c r="C116" i="9"/>
  <c r="C114" i="9"/>
  <c r="C112" i="9"/>
  <c r="C110" i="9"/>
  <c r="C108" i="9"/>
  <c r="C106" i="9"/>
  <c r="U104" i="9"/>
  <c r="C104" i="9"/>
  <c r="C102" i="9"/>
  <c r="C100" i="9"/>
  <c r="C98" i="9"/>
  <c r="C96" i="9"/>
  <c r="C94" i="9"/>
  <c r="C92" i="9"/>
  <c r="C90" i="9"/>
  <c r="U88" i="9"/>
  <c r="C88" i="9"/>
  <c r="C86" i="9"/>
  <c r="C84" i="9"/>
  <c r="C82" i="9"/>
  <c r="C80" i="9"/>
  <c r="C78" i="9"/>
  <c r="F75" i="9"/>
  <c r="C74" i="9"/>
  <c r="C72" i="9"/>
  <c r="C70" i="9"/>
  <c r="C68" i="9"/>
  <c r="C66" i="9"/>
  <c r="C64" i="9"/>
  <c r="C62" i="9"/>
  <c r="C60" i="9"/>
  <c r="C58" i="9"/>
  <c r="C56" i="9"/>
  <c r="C54" i="9"/>
  <c r="C52" i="9"/>
  <c r="C50" i="9"/>
  <c r="C48" i="9"/>
  <c r="C46" i="9"/>
  <c r="C44" i="9"/>
  <c r="C42" i="9"/>
  <c r="C40" i="9"/>
  <c r="C38" i="9"/>
  <c r="C36" i="9"/>
  <c r="C34" i="9"/>
  <c r="C32" i="9"/>
  <c r="C30" i="9"/>
  <c r="C28" i="9"/>
  <c r="C26" i="9"/>
  <c r="C24" i="9"/>
  <c r="F21" i="9"/>
  <c r="M17" i="10" l="1"/>
  <c r="J17" i="10"/>
  <c r="N17" i="10"/>
  <c r="O17" i="10"/>
  <c r="G17" i="10"/>
  <c r="J24" i="9"/>
  <c r="J26" i="9"/>
  <c r="J28" i="9"/>
  <c r="J30" i="9"/>
  <c r="J32" i="9"/>
  <c r="J34" i="9"/>
  <c r="J36" i="9"/>
  <c r="S17" i="10"/>
  <c r="J38" i="9"/>
  <c r="J40" i="9"/>
  <c r="J42" i="9"/>
  <c r="J46" i="9"/>
  <c r="J48" i="9"/>
  <c r="J50" i="9"/>
  <c r="J52" i="9"/>
  <c r="J54" i="9"/>
  <c r="J56" i="9"/>
  <c r="J58" i="9"/>
  <c r="J60" i="9"/>
  <c r="J64" i="9"/>
  <c r="J66" i="9"/>
  <c r="J68" i="9"/>
  <c r="J70" i="9"/>
  <c r="J72" i="9"/>
  <c r="J74" i="9"/>
  <c r="J80" i="9"/>
  <c r="J82" i="9"/>
  <c r="J84" i="9"/>
  <c r="J86" i="9"/>
  <c r="J88" i="9"/>
  <c r="J94" i="9"/>
  <c r="J96" i="9"/>
  <c r="J98" i="9"/>
  <c r="J100" i="9"/>
  <c r="J102" i="9"/>
  <c r="J106" i="9"/>
  <c r="J108" i="9"/>
  <c r="K24" i="9"/>
  <c r="K26" i="9"/>
  <c r="K28" i="9"/>
  <c r="K30" i="9"/>
  <c r="K32" i="9"/>
  <c r="K34" i="9"/>
  <c r="K36" i="9"/>
  <c r="K38" i="9"/>
  <c r="K40" i="9"/>
  <c r="K42" i="9"/>
  <c r="K44" i="9"/>
  <c r="K46" i="9"/>
  <c r="K48" i="9"/>
  <c r="K50" i="9"/>
  <c r="K52" i="9"/>
  <c r="K54" i="9"/>
  <c r="K56" i="9"/>
  <c r="K58" i="9"/>
  <c r="K60" i="9"/>
  <c r="K64" i="9"/>
  <c r="K66" i="9"/>
  <c r="K68" i="9"/>
  <c r="K70" i="9"/>
  <c r="K72" i="9"/>
  <c r="K74" i="9"/>
  <c r="K78" i="9"/>
  <c r="K80" i="9"/>
  <c r="K82" i="9"/>
  <c r="K84" i="9"/>
  <c r="K86" i="9"/>
  <c r="K88" i="9"/>
  <c r="K90" i="9"/>
  <c r="K94" i="9"/>
  <c r="K96" i="9"/>
  <c r="K98" i="9"/>
  <c r="K100" i="9"/>
  <c r="K102" i="9"/>
  <c r="K104" i="9"/>
  <c r="K106" i="9"/>
  <c r="K108" i="9"/>
  <c r="K112" i="9"/>
  <c r="K110" i="9"/>
  <c r="K114" i="9"/>
  <c r="K116" i="9"/>
  <c r="K118" i="9"/>
  <c r="K120" i="9"/>
  <c r="K122" i="9"/>
  <c r="K126" i="9"/>
  <c r="I24" i="9"/>
  <c r="I26" i="9"/>
  <c r="I28" i="9"/>
  <c r="I30" i="9"/>
  <c r="I32" i="9"/>
  <c r="I34" i="9"/>
  <c r="I36" i="9"/>
  <c r="I40" i="9"/>
  <c r="I44" i="9"/>
  <c r="I48" i="9"/>
  <c r="I52" i="9"/>
  <c r="I56" i="9"/>
  <c r="J44" i="9"/>
  <c r="J78" i="9"/>
  <c r="J90" i="9"/>
  <c r="J112" i="9"/>
  <c r="J110" i="9"/>
  <c r="J114" i="9"/>
  <c r="J116" i="9"/>
  <c r="K17" i="10"/>
  <c r="L17" i="10"/>
  <c r="H17" i="10"/>
  <c r="I42" i="9"/>
  <c r="I50" i="9"/>
  <c r="I54" i="9"/>
  <c r="I58" i="9"/>
  <c r="I60" i="9"/>
  <c r="I62" i="9"/>
  <c r="I64" i="9"/>
  <c r="D17" i="10"/>
  <c r="I66" i="9"/>
  <c r="I68" i="9"/>
  <c r="I70" i="9"/>
  <c r="I72" i="9"/>
  <c r="I74" i="9"/>
  <c r="I78" i="9"/>
  <c r="I80" i="9"/>
  <c r="I82" i="9"/>
  <c r="I84" i="9"/>
  <c r="I86" i="9"/>
  <c r="I88" i="9"/>
  <c r="I90" i="9"/>
  <c r="I94" i="9"/>
  <c r="I96" i="9"/>
  <c r="I98" i="9"/>
  <c r="I100" i="9"/>
  <c r="I102" i="9"/>
  <c r="I106" i="9"/>
  <c r="I108" i="9"/>
  <c r="I112" i="9"/>
  <c r="I110" i="9"/>
  <c r="I114" i="9"/>
  <c r="I116" i="9"/>
  <c r="I118" i="9"/>
  <c r="I120" i="9"/>
  <c r="I122" i="9"/>
  <c r="I126" i="9"/>
  <c r="J118" i="9"/>
  <c r="J120" i="9"/>
  <c r="J122" i="9"/>
  <c r="J126" i="9"/>
  <c r="P17" i="10"/>
  <c r="S56" i="10"/>
  <c r="S30" i="10"/>
  <c r="S40" i="10"/>
  <c r="S129" i="10"/>
  <c r="S125" i="10"/>
  <c r="S121" i="10"/>
  <c r="S117" i="10"/>
  <c r="S113" i="10"/>
  <c r="S109" i="10"/>
  <c r="S105" i="10"/>
  <c r="S101" i="10"/>
  <c r="S97" i="10"/>
  <c r="S93" i="10"/>
  <c r="S89" i="10"/>
  <c r="S85" i="10"/>
  <c r="S81" i="10"/>
  <c r="S74" i="10"/>
  <c r="S127" i="10"/>
  <c r="S123" i="10"/>
  <c r="S119" i="10"/>
  <c r="S115" i="10"/>
  <c r="S111" i="10"/>
  <c r="S107" i="10"/>
  <c r="S103" i="10"/>
  <c r="S95" i="10"/>
  <c r="S68" i="10"/>
  <c r="S64" i="10"/>
  <c r="S99" i="10"/>
  <c r="S83" i="10"/>
  <c r="S87" i="10"/>
  <c r="S72" i="10"/>
  <c r="S70" i="10"/>
  <c r="S91" i="10"/>
  <c r="S76" i="10"/>
  <c r="S23" i="10"/>
  <c r="S21" i="10" s="1"/>
  <c r="S19" i="10" s="1"/>
  <c r="T25" i="10"/>
  <c r="S28" i="10"/>
  <c r="S34" i="10"/>
  <c r="S44" i="10"/>
  <c r="S50" i="10"/>
  <c r="S60" i="10"/>
  <c r="I17" i="10"/>
  <c r="S32" i="10"/>
  <c r="S38" i="10"/>
  <c r="S48" i="10"/>
  <c r="S54" i="10"/>
  <c r="S26" i="10"/>
  <c r="S36" i="10"/>
  <c r="S42" i="10"/>
  <c r="S52" i="10"/>
  <c r="S58" i="10"/>
  <c r="S46" i="10"/>
  <c r="S62" i="10"/>
  <c r="S66" i="10"/>
  <c r="S78" i="10"/>
  <c r="T80" i="10"/>
  <c r="F19" i="9"/>
  <c r="U27" i="9"/>
  <c r="U28" i="9" s="1"/>
  <c r="J21" i="9"/>
  <c r="N21" i="9"/>
  <c r="R21" i="9"/>
  <c r="U35" i="9"/>
  <c r="U36" i="9" s="1"/>
  <c r="U43" i="9"/>
  <c r="U44" i="9" s="1"/>
  <c r="U51" i="9"/>
  <c r="U52" i="9" s="1"/>
  <c r="U91" i="9"/>
  <c r="U92" i="9" s="1"/>
  <c r="K21" i="9"/>
  <c r="O21" i="9"/>
  <c r="S21" i="9"/>
  <c r="U25" i="9"/>
  <c r="U26" i="9" s="1"/>
  <c r="U33" i="9"/>
  <c r="U34" i="9" s="1"/>
  <c r="U41" i="9"/>
  <c r="U42" i="9" s="1"/>
  <c r="U49" i="9"/>
  <c r="U50" i="9" s="1"/>
  <c r="U57" i="9"/>
  <c r="U58" i="9" s="1"/>
  <c r="U61" i="9"/>
  <c r="U62" i="9" s="1"/>
  <c r="H21" i="9"/>
  <c r="U23" i="9"/>
  <c r="U24" i="9" s="1"/>
  <c r="H24" i="9"/>
  <c r="L21" i="9"/>
  <c r="P21" i="9"/>
  <c r="U31" i="9"/>
  <c r="U32" i="9" s="1"/>
  <c r="U39" i="9"/>
  <c r="U40" i="9" s="1"/>
  <c r="U47" i="9"/>
  <c r="U48" i="9" s="1"/>
  <c r="U55" i="9"/>
  <c r="U56" i="9" s="1"/>
  <c r="U65" i="9"/>
  <c r="U66" i="9" s="1"/>
  <c r="L75" i="9"/>
  <c r="L76" i="9" s="1"/>
  <c r="U79" i="9"/>
  <c r="U80" i="9" s="1"/>
  <c r="I21" i="9"/>
  <c r="M21" i="9"/>
  <c r="Q21" i="9"/>
  <c r="U29" i="9"/>
  <c r="U30" i="9" s="1"/>
  <c r="U37" i="9"/>
  <c r="U38" i="9" s="1"/>
  <c r="U45" i="9"/>
  <c r="U46" i="9" s="1"/>
  <c r="U53" i="9"/>
  <c r="U54" i="9" s="1"/>
  <c r="U59" i="9"/>
  <c r="U60" i="9" s="1"/>
  <c r="U67" i="9"/>
  <c r="U68" i="9" s="1"/>
  <c r="U69" i="9"/>
  <c r="U70" i="9" s="1"/>
  <c r="O75" i="9"/>
  <c r="O76" i="9" s="1"/>
  <c r="U73" i="9"/>
  <c r="U74" i="9" s="1"/>
  <c r="U77" i="9"/>
  <c r="U78" i="9" s="1"/>
  <c r="H75" i="9"/>
  <c r="P75" i="9"/>
  <c r="P76" i="9" s="1"/>
  <c r="U85" i="9"/>
  <c r="U86" i="9" s="1"/>
  <c r="U93" i="9"/>
  <c r="U94" i="9" s="1"/>
  <c r="U111" i="9"/>
  <c r="U112" i="9" s="1"/>
  <c r="U63" i="9"/>
  <c r="U64" i="9" s="1"/>
  <c r="K75" i="9"/>
  <c r="S75" i="9"/>
  <c r="S76" i="9" s="1"/>
  <c r="I75" i="9"/>
  <c r="I76" i="9" s="1"/>
  <c r="M75" i="9"/>
  <c r="M76" i="9" s="1"/>
  <c r="Q75" i="9"/>
  <c r="Q76" i="9" s="1"/>
  <c r="U83" i="9"/>
  <c r="U84" i="9" s="1"/>
  <c r="U89" i="9"/>
  <c r="U90" i="9" s="1"/>
  <c r="U119" i="9"/>
  <c r="U120" i="9" s="1"/>
  <c r="U71" i="9"/>
  <c r="U72" i="9" s="1"/>
  <c r="J75" i="9"/>
  <c r="N75" i="9"/>
  <c r="N76" i="9" s="1"/>
  <c r="R75" i="9"/>
  <c r="R76" i="9" s="1"/>
  <c r="U81" i="9"/>
  <c r="U82" i="9" s="1"/>
  <c r="U95" i="9"/>
  <c r="U96" i="9" s="1"/>
  <c r="U97" i="9"/>
  <c r="U98" i="9" s="1"/>
  <c r="U109" i="9"/>
  <c r="U110" i="9" s="1"/>
  <c r="U117" i="9"/>
  <c r="U118" i="9" s="1"/>
  <c r="U125" i="9"/>
  <c r="U126" i="9" s="1"/>
  <c r="U101" i="9"/>
  <c r="U102" i="9" s="1"/>
  <c r="U107" i="9"/>
  <c r="U108" i="9" s="1"/>
  <c r="U115" i="9"/>
  <c r="U116" i="9" s="1"/>
  <c r="U123" i="9"/>
  <c r="U124" i="9" s="1"/>
  <c r="U99" i="9"/>
  <c r="U100" i="9" s="1"/>
  <c r="U105" i="9"/>
  <c r="U106" i="9" s="1"/>
  <c r="U113" i="9"/>
  <c r="U114" i="9" s="1"/>
  <c r="U121" i="9"/>
  <c r="U122" i="9" s="1"/>
  <c r="J76" i="9" l="1"/>
  <c r="R15" i="5"/>
  <c r="K76" i="9"/>
  <c r="M17" i="9"/>
  <c r="M15" i="9" s="1"/>
  <c r="M22" i="9"/>
  <c r="S22" i="9"/>
  <c r="S17" i="9"/>
  <c r="S15" i="9" s="1"/>
  <c r="K22" i="9"/>
  <c r="K17" i="9"/>
  <c r="P17" i="9"/>
  <c r="P15" i="9" s="1"/>
  <c r="P22" i="9"/>
  <c r="N17" i="9"/>
  <c r="N15" i="9" s="1"/>
  <c r="N22" i="9"/>
  <c r="Q17" i="9"/>
  <c r="Q15" i="9" s="1"/>
  <c r="Q22" i="9"/>
  <c r="I17" i="9"/>
  <c r="I22" i="9"/>
  <c r="U21" i="9"/>
  <c r="U22" i="9" s="1"/>
  <c r="V22" i="9" s="1"/>
  <c r="H17" i="9"/>
  <c r="H22" i="9"/>
  <c r="O22" i="9"/>
  <c r="O17" i="9"/>
  <c r="O15" i="9" s="1"/>
  <c r="H76" i="9"/>
  <c r="U75" i="9"/>
  <c r="U76" i="9" s="1"/>
  <c r="V76" i="9" s="1"/>
  <c r="L17" i="9"/>
  <c r="L15" i="9" s="1"/>
  <c r="L22" i="9"/>
  <c r="R17" i="9"/>
  <c r="R15" i="9" s="1"/>
  <c r="R22" i="9"/>
  <c r="J17" i="9"/>
  <c r="J22" i="9"/>
  <c r="I14" i="5" l="1"/>
  <c r="K14" i="5"/>
  <c r="J14" i="5"/>
  <c r="O14" i="5"/>
  <c r="P14" i="5"/>
  <c r="L14" i="5"/>
  <c r="N14" i="5"/>
  <c r="M14" i="5"/>
  <c r="H15" i="9"/>
  <c r="F17" i="9"/>
  <c r="I15" i="9" l="1"/>
  <c r="E14" i="5"/>
  <c r="U15" i="9"/>
  <c r="F15" i="9"/>
  <c r="J15" i="9" l="1"/>
  <c r="F14" i="5"/>
  <c r="R14" i="5"/>
  <c r="Q70" i="8"/>
  <c r="P70" i="8"/>
  <c r="O70" i="8"/>
  <c r="N70" i="8"/>
  <c r="M70" i="8"/>
  <c r="L70" i="8"/>
  <c r="K70" i="8"/>
  <c r="J70" i="8"/>
  <c r="I70" i="8"/>
  <c r="H70" i="8"/>
  <c r="G70" i="8"/>
  <c r="F70" i="8"/>
  <c r="Q69" i="8"/>
  <c r="P69" i="8"/>
  <c r="O69" i="8"/>
  <c r="N69" i="8"/>
  <c r="M69" i="8"/>
  <c r="L69" i="8"/>
  <c r="K69" i="8"/>
  <c r="J69" i="8"/>
  <c r="I69" i="8"/>
  <c r="H69" i="8"/>
  <c r="G69" i="8"/>
  <c r="F69" i="8"/>
  <c r="Q68" i="8"/>
  <c r="P68" i="8"/>
  <c r="O68" i="8"/>
  <c r="N68" i="8"/>
  <c r="M68" i="8"/>
  <c r="L68" i="8"/>
  <c r="K68" i="8"/>
  <c r="J68" i="8"/>
  <c r="I68" i="8"/>
  <c r="H68" i="8"/>
  <c r="G68" i="8"/>
  <c r="F68" i="8"/>
  <c r="Q67" i="8"/>
  <c r="P67" i="8"/>
  <c r="O67" i="8"/>
  <c r="N67" i="8"/>
  <c r="M67" i="8"/>
  <c r="L67" i="8"/>
  <c r="K67" i="8"/>
  <c r="J67" i="8"/>
  <c r="I67" i="8"/>
  <c r="H67" i="8"/>
  <c r="G67" i="8"/>
  <c r="F67" i="8"/>
  <c r="Q66" i="8"/>
  <c r="P66" i="8"/>
  <c r="O66" i="8"/>
  <c r="N66" i="8"/>
  <c r="M66" i="8"/>
  <c r="L66" i="8"/>
  <c r="K66" i="8"/>
  <c r="J66" i="8"/>
  <c r="I66" i="8"/>
  <c r="H66" i="8"/>
  <c r="G66" i="8"/>
  <c r="F66" i="8"/>
  <c r="Q65" i="8"/>
  <c r="P65" i="8"/>
  <c r="O65" i="8"/>
  <c r="N65" i="8"/>
  <c r="M65" i="8"/>
  <c r="L65" i="8"/>
  <c r="K65" i="8"/>
  <c r="J65" i="8"/>
  <c r="I65" i="8"/>
  <c r="H65" i="8"/>
  <c r="G65" i="8"/>
  <c r="F65" i="8"/>
  <c r="Q64" i="8"/>
  <c r="P64" i="8"/>
  <c r="O64" i="8"/>
  <c r="N64" i="8"/>
  <c r="M64" i="8"/>
  <c r="L64" i="8"/>
  <c r="K64" i="8"/>
  <c r="J64" i="8"/>
  <c r="I64" i="8"/>
  <c r="H64" i="8"/>
  <c r="G64" i="8"/>
  <c r="F64" i="8"/>
  <c r="Q63" i="8"/>
  <c r="P63" i="8"/>
  <c r="O63" i="8"/>
  <c r="N63" i="8"/>
  <c r="M63" i="8"/>
  <c r="L63" i="8"/>
  <c r="K63" i="8"/>
  <c r="J63" i="8"/>
  <c r="I63" i="8"/>
  <c r="H63" i="8"/>
  <c r="G63" i="8"/>
  <c r="F63" i="8"/>
  <c r="Q62" i="8"/>
  <c r="P62" i="8"/>
  <c r="O62" i="8"/>
  <c r="N62" i="8"/>
  <c r="M62" i="8"/>
  <c r="L62" i="8"/>
  <c r="K62" i="8"/>
  <c r="J62" i="8"/>
  <c r="I62" i="8"/>
  <c r="H62" i="8"/>
  <c r="G62" i="8"/>
  <c r="F62" i="8"/>
  <c r="Q61" i="8"/>
  <c r="P61" i="8"/>
  <c r="O61" i="8"/>
  <c r="N61" i="8"/>
  <c r="M61" i="8"/>
  <c r="L61" i="8"/>
  <c r="K61" i="8"/>
  <c r="J61" i="8"/>
  <c r="I61" i="8"/>
  <c r="H61" i="8"/>
  <c r="G61" i="8"/>
  <c r="F61" i="8"/>
  <c r="Q60" i="8"/>
  <c r="P60" i="8"/>
  <c r="O60" i="8"/>
  <c r="N60" i="8"/>
  <c r="M60" i="8"/>
  <c r="L60" i="8"/>
  <c r="K60" i="8"/>
  <c r="J60" i="8"/>
  <c r="I60" i="8"/>
  <c r="H60" i="8"/>
  <c r="G60" i="8"/>
  <c r="F60" i="8"/>
  <c r="Q58" i="8"/>
  <c r="P58" i="8"/>
  <c r="O58" i="8"/>
  <c r="N58" i="8"/>
  <c r="M58" i="8"/>
  <c r="L58" i="8"/>
  <c r="K58" i="8"/>
  <c r="J58" i="8"/>
  <c r="I58" i="8"/>
  <c r="H58" i="8"/>
  <c r="G58" i="8"/>
  <c r="F58" i="8"/>
  <c r="Q59" i="8"/>
  <c r="P59" i="8"/>
  <c r="O59" i="8"/>
  <c r="N59" i="8"/>
  <c r="M59" i="8"/>
  <c r="L59" i="8"/>
  <c r="K59" i="8"/>
  <c r="J59" i="8"/>
  <c r="I59" i="8"/>
  <c r="H59" i="8"/>
  <c r="G59" i="8"/>
  <c r="F59" i="8"/>
  <c r="Q56" i="8"/>
  <c r="P56" i="8"/>
  <c r="O56" i="8"/>
  <c r="N56" i="8"/>
  <c r="M56" i="8"/>
  <c r="L56" i="8"/>
  <c r="K56" i="8"/>
  <c r="J56" i="8"/>
  <c r="I56" i="8"/>
  <c r="H56" i="8"/>
  <c r="G56" i="8"/>
  <c r="F56" i="8"/>
  <c r="Q57" i="8"/>
  <c r="P57" i="8"/>
  <c r="O57" i="8"/>
  <c r="N57" i="8"/>
  <c r="M57" i="8"/>
  <c r="L57" i="8"/>
  <c r="K57" i="8"/>
  <c r="J57" i="8"/>
  <c r="I57" i="8"/>
  <c r="H57" i="8"/>
  <c r="G57" i="8"/>
  <c r="F57" i="8"/>
  <c r="Q55" i="8"/>
  <c r="P55" i="8"/>
  <c r="O55" i="8"/>
  <c r="N55" i="8"/>
  <c r="M55" i="8"/>
  <c r="L55" i="8"/>
  <c r="K55" i="8"/>
  <c r="J55" i="8"/>
  <c r="I55" i="8"/>
  <c r="H55" i="8"/>
  <c r="G55" i="8"/>
  <c r="F55" i="8"/>
  <c r="Q54" i="8"/>
  <c r="P54" i="8"/>
  <c r="O54" i="8"/>
  <c r="N54" i="8"/>
  <c r="M54" i="8"/>
  <c r="L54" i="8"/>
  <c r="K54" i="8"/>
  <c r="J54" i="8"/>
  <c r="I54" i="8"/>
  <c r="H54" i="8"/>
  <c r="G54" i="8"/>
  <c r="F54" i="8"/>
  <c r="Q53" i="8"/>
  <c r="P53" i="8"/>
  <c r="O53" i="8"/>
  <c r="N53" i="8"/>
  <c r="M53" i="8"/>
  <c r="L53" i="8"/>
  <c r="K53" i="8"/>
  <c r="J53" i="8"/>
  <c r="I53" i="8"/>
  <c r="H53" i="8"/>
  <c r="G53" i="8"/>
  <c r="F53" i="8"/>
  <c r="Q52" i="8"/>
  <c r="P52" i="8"/>
  <c r="O52" i="8"/>
  <c r="N52" i="8"/>
  <c r="M52" i="8"/>
  <c r="L52" i="8"/>
  <c r="K52" i="8"/>
  <c r="J52" i="8"/>
  <c r="I52" i="8"/>
  <c r="H52" i="8"/>
  <c r="G52" i="8"/>
  <c r="F52" i="8"/>
  <c r="Q51" i="8"/>
  <c r="P51" i="8"/>
  <c r="O51" i="8"/>
  <c r="N51" i="8"/>
  <c r="M51" i="8"/>
  <c r="L51" i="8"/>
  <c r="K51" i="8"/>
  <c r="J51" i="8"/>
  <c r="I51" i="8"/>
  <c r="H51" i="8"/>
  <c r="G51" i="8"/>
  <c r="F51" i="8"/>
  <c r="Q50" i="8"/>
  <c r="P50" i="8"/>
  <c r="O50" i="8"/>
  <c r="N50" i="8"/>
  <c r="M50" i="8"/>
  <c r="L50" i="8"/>
  <c r="K50" i="8"/>
  <c r="J50" i="8"/>
  <c r="I50" i="8"/>
  <c r="H50" i="8"/>
  <c r="G50" i="8"/>
  <c r="F50" i="8"/>
  <c r="Q49" i="8"/>
  <c r="P49" i="8"/>
  <c r="O49" i="8"/>
  <c r="N49" i="8"/>
  <c r="M49" i="8"/>
  <c r="L49" i="8"/>
  <c r="K49" i="8"/>
  <c r="J49" i="8"/>
  <c r="I49" i="8"/>
  <c r="H49" i="8"/>
  <c r="G49" i="8"/>
  <c r="F49" i="8"/>
  <c r="Q48" i="8"/>
  <c r="P48" i="8"/>
  <c r="O48" i="8"/>
  <c r="N48" i="8"/>
  <c r="M48" i="8"/>
  <c r="L48" i="8"/>
  <c r="K48" i="8"/>
  <c r="J48" i="8"/>
  <c r="I48" i="8"/>
  <c r="H48" i="8"/>
  <c r="G48" i="8"/>
  <c r="F48" i="8"/>
  <c r="Q47" i="8"/>
  <c r="P47" i="8"/>
  <c r="O47" i="8"/>
  <c r="N47" i="8"/>
  <c r="M47" i="8"/>
  <c r="L47" i="8"/>
  <c r="K47" i="8"/>
  <c r="J47" i="8"/>
  <c r="I47" i="8"/>
  <c r="H47" i="8"/>
  <c r="G47" i="8"/>
  <c r="F47" i="8"/>
  <c r="Q46" i="8"/>
  <c r="P46" i="8"/>
  <c r="O46" i="8"/>
  <c r="N46" i="8"/>
  <c r="M46" i="8"/>
  <c r="L46" i="8"/>
  <c r="K46" i="8"/>
  <c r="J46" i="8"/>
  <c r="I46" i="8"/>
  <c r="H46" i="8"/>
  <c r="G46" i="8"/>
  <c r="F46" i="8"/>
  <c r="Q42" i="8"/>
  <c r="P42" i="8"/>
  <c r="O42" i="8"/>
  <c r="N42" i="8"/>
  <c r="M42" i="8"/>
  <c r="L42" i="8"/>
  <c r="K42" i="8"/>
  <c r="J42" i="8"/>
  <c r="I42" i="8"/>
  <c r="H42" i="8"/>
  <c r="G42" i="8"/>
  <c r="F42" i="8"/>
  <c r="Q41" i="8"/>
  <c r="P41" i="8"/>
  <c r="O41" i="8"/>
  <c r="N41" i="8"/>
  <c r="M41" i="8"/>
  <c r="L41" i="8"/>
  <c r="K41" i="8"/>
  <c r="J41" i="8"/>
  <c r="I41" i="8"/>
  <c r="H41" i="8"/>
  <c r="G41" i="8"/>
  <c r="F41" i="8"/>
  <c r="Q40" i="8"/>
  <c r="P40" i="8"/>
  <c r="O40" i="8"/>
  <c r="N40" i="8"/>
  <c r="M40" i="8"/>
  <c r="L40" i="8"/>
  <c r="K40" i="8"/>
  <c r="J40" i="8"/>
  <c r="I40" i="8"/>
  <c r="H40" i="8"/>
  <c r="G40" i="8"/>
  <c r="F40" i="8"/>
  <c r="Q39" i="8"/>
  <c r="P39" i="8"/>
  <c r="O39" i="8"/>
  <c r="N39" i="8"/>
  <c r="M39" i="8"/>
  <c r="L39" i="8"/>
  <c r="K39" i="8"/>
  <c r="J39" i="8"/>
  <c r="I39" i="8"/>
  <c r="H39" i="8"/>
  <c r="G39" i="8"/>
  <c r="F39" i="8"/>
  <c r="Q38" i="8"/>
  <c r="P38" i="8"/>
  <c r="O38" i="8"/>
  <c r="N38" i="8"/>
  <c r="M38" i="8"/>
  <c r="L38" i="8"/>
  <c r="K38" i="8"/>
  <c r="J38" i="8"/>
  <c r="I38" i="8"/>
  <c r="H38" i="8"/>
  <c r="G38" i="8"/>
  <c r="F38" i="8"/>
  <c r="Q37" i="8"/>
  <c r="P37" i="8"/>
  <c r="O37" i="8"/>
  <c r="N37" i="8"/>
  <c r="M37" i="8"/>
  <c r="L37" i="8"/>
  <c r="K37" i="8"/>
  <c r="J37" i="8"/>
  <c r="I37" i="8"/>
  <c r="H37" i="8"/>
  <c r="G37" i="8"/>
  <c r="F37" i="8"/>
  <c r="Q36" i="8"/>
  <c r="P36" i="8"/>
  <c r="O36" i="8"/>
  <c r="N36" i="8"/>
  <c r="M36" i="8"/>
  <c r="L36" i="8"/>
  <c r="K36" i="8"/>
  <c r="J36" i="8"/>
  <c r="I36" i="8"/>
  <c r="H36" i="8"/>
  <c r="G36" i="8"/>
  <c r="F36" i="8"/>
  <c r="Q35" i="8"/>
  <c r="P35" i="8"/>
  <c r="O35" i="8"/>
  <c r="N35" i="8"/>
  <c r="M35" i="8"/>
  <c r="L35" i="8"/>
  <c r="K35" i="8"/>
  <c r="J35" i="8"/>
  <c r="I35" i="8"/>
  <c r="H35" i="8"/>
  <c r="G35" i="8"/>
  <c r="F35" i="8"/>
  <c r="Q34" i="8"/>
  <c r="P34" i="8"/>
  <c r="O34" i="8"/>
  <c r="N34" i="8"/>
  <c r="M34" i="8"/>
  <c r="L34" i="8"/>
  <c r="K34" i="8"/>
  <c r="J34" i="8"/>
  <c r="I34" i="8"/>
  <c r="H34" i="8"/>
  <c r="G34" i="8"/>
  <c r="F34" i="8"/>
  <c r="Q33" i="8"/>
  <c r="P33" i="8"/>
  <c r="O33" i="8"/>
  <c r="N33" i="8"/>
  <c r="M33" i="8"/>
  <c r="L33" i="8"/>
  <c r="K33" i="8"/>
  <c r="J33" i="8"/>
  <c r="I33" i="8"/>
  <c r="H33" i="8"/>
  <c r="G33" i="8"/>
  <c r="F33" i="8"/>
  <c r="Q32" i="8"/>
  <c r="P32" i="8"/>
  <c r="O32" i="8"/>
  <c r="N32" i="8"/>
  <c r="M32" i="8"/>
  <c r="L32" i="8"/>
  <c r="K32" i="8"/>
  <c r="J32" i="8"/>
  <c r="I32" i="8"/>
  <c r="H32" i="8"/>
  <c r="G32" i="8"/>
  <c r="F32" i="8"/>
  <c r="Q31" i="8"/>
  <c r="P31" i="8"/>
  <c r="O31" i="8"/>
  <c r="N31" i="8"/>
  <c r="M31" i="8"/>
  <c r="L31" i="8"/>
  <c r="K31" i="8"/>
  <c r="J31" i="8"/>
  <c r="I31" i="8"/>
  <c r="H31" i="8"/>
  <c r="G31" i="8"/>
  <c r="F31" i="8"/>
  <c r="Q30" i="8"/>
  <c r="P30" i="8"/>
  <c r="O30" i="8"/>
  <c r="N30" i="8"/>
  <c r="M30" i="8"/>
  <c r="L30" i="8"/>
  <c r="K30" i="8"/>
  <c r="J30" i="8"/>
  <c r="I30" i="8"/>
  <c r="H30" i="8"/>
  <c r="G30" i="8"/>
  <c r="F30" i="8"/>
  <c r="Q29" i="8"/>
  <c r="P29" i="8"/>
  <c r="O29" i="8"/>
  <c r="N29" i="8"/>
  <c r="M29" i="8"/>
  <c r="L29" i="8"/>
  <c r="K29" i="8"/>
  <c r="J29" i="8"/>
  <c r="I29" i="8"/>
  <c r="H29" i="8"/>
  <c r="G29" i="8"/>
  <c r="F29" i="8"/>
  <c r="Q28" i="8"/>
  <c r="P28" i="8"/>
  <c r="O28" i="8"/>
  <c r="N28" i="8"/>
  <c r="M28" i="8"/>
  <c r="L28" i="8"/>
  <c r="K28" i="8"/>
  <c r="J28" i="8"/>
  <c r="I28" i="8"/>
  <c r="H28" i="8"/>
  <c r="G28" i="8"/>
  <c r="F28" i="8"/>
  <c r="Q27" i="8"/>
  <c r="P27" i="8"/>
  <c r="O27" i="8"/>
  <c r="N27" i="8"/>
  <c r="M27" i="8"/>
  <c r="L27" i="8"/>
  <c r="K27" i="8"/>
  <c r="J27" i="8"/>
  <c r="I27" i="8"/>
  <c r="H27" i="8"/>
  <c r="G27" i="8"/>
  <c r="F27" i="8"/>
  <c r="Q26" i="8"/>
  <c r="P26" i="8"/>
  <c r="O26" i="8"/>
  <c r="N26" i="8"/>
  <c r="M26" i="8"/>
  <c r="L26" i="8"/>
  <c r="K26" i="8"/>
  <c r="J26" i="8"/>
  <c r="I26" i="8"/>
  <c r="H26" i="8"/>
  <c r="G26" i="8"/>
  <c r="F26" i="8"/>
  <c r="Q25" i="8"/>
  <c r="P25" i="8"/>
  <c r="O25" i="8"/>
  <c r="N25" i="8"/>
  <c r="M25" i="8"/>
  <c r="L25" i="8"/>
  <c r="K25" i="8"/>
  <c r="J25" i="8"/>
  <c r="I25" i="8"/>
  <c r="H25" i="8"/>
  <c r="G25" i="8"/>
  <c r="F25" i="8"/>
  <c r="Q24" i="8"/>
  <c r="P24" i="8"/>
  <c r="O24" i="8"/>
  <c r="N24" i="8"/>
  <c r="M24" i="8"/>
  <c r="L24" i="8"/>
  <c r="K24" i="8"/>
  <c r="J24" i="8"/>
  <c r="I24" i="8"/>
  <c r="H24" i="8"/>
  <c r="G24" i="8"/>
  <c r="F24" i="8"/>
  <c r="Q23" i="8"/>
  <c r="P23" i="8"/>
  <c r="O23" i="8"/>
  <c r="N23" i="8"/>
  <c r="M23" i="8"/>
  <c r="L23" i="8"/>
  <c r="K23" i="8"/>
  <c r="J23" i="8"/>
  <c r="I23" i="8"/>
  <c r="H23" i="8"/>
  <c r="G23" i="8"/>
  <c r="F23" i="8"/>
  <c r="Q22" i="8"/>
  <c r="P22" i="8"/>
  <c r="O22" i="8"/>
  <c r="N22" i="8"/>
  <c r="M22" i="8"/>
  <c r="L22" i="8"/>
  <c r="K22" i="8"/>
  <c r="J22" i="8"/>
  <c r="I22" i="8"/>
  <c r="H22" i="8"/>
  <c r="G22" i="8"/>
  <c r="F22" i="8"/>
  <c r="Q21" i="8"/>
  <c r="P21" i="8"/>
  <c r="O21" i="8"/>
  <c r="N21" i="8"/>
  <c r="M21" i="8"/>
  <c r="L21" i="8"/>
  <c r="K21" i="8"/>
  <c r="J21" i="8"/>
  <c r="I21" i="8"/>
  <c r="H21" i="8"/>
  <c r="G21" i="8"/>
  <c r="F21" i="8"/>
  <c r="Q20" i="8"/>
  <c r="P20" i="8"/>
  <c r="O20" i="8"/>
  <c r="N20" i="8"/>
  <c r="M20" i="8"/>
  <c r="L20" i="8"/>
  <c r="K20" i="8"/>
  <c r="J20" i="8"/>
  <c r="I20" i="8"/>
  <c r="H20" i="8"/>
  <c r="G20" i="8"/>
  <c r="F20" i="8"/>
  <c r="Q19" i="8"/>
  <c r="P19" i="8"/>
  <c r="O19" i="8"/>
  <c r="N19" i="8"/>
  <c r="M19" i="8"/>
  <c r="L19" i="8"/>
  <c r="K19" i="8"/>
  <c r="J19" i="8"/>
  <c r="I19" i="8"/>
  <c r="H19" i="8"/>
  <c r="G19" i="8"/>
  <c r="F19" i="8"/>
  <c r="Q18" i="8"/>
  <c r="P18" i="8"/>
  <c r="O18" i="8"/>
  <c r="N18" i="8"/>
  <c r="M18" i="8"/>
  <c r="L18" i="8"/>
  <c r="K18" i="8"/>
  <c r="J18" i="8"/>
  <c r="I18" i="8"/>
  <c r="H18" i="8"/>
  <c r="G18" i="8"/>
  <c r="F18" i="8"/>
  <c r="Q17" i="8"/>
  <c r="P17" i="8"/>
  <c r="O17" i="8"/>
  <c r="N17" i="8"/>
  <c r="M17" i="8"/>
  <c r="L17" i="8"/>
  <c r="K17" i="8"/>
  <c r="J17" i="8"/>
  <c r="I17" i="8"/>
  <c r="H17" i="8"/>
  <c r="G17" i="8"/>
  <c r="F17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Q6" i="8"/>
  <c r="P6" i="8"/>
  <c r="O6" i="8"/>
  <c r="N6" i="8"/>
  <c r="M6" i="8"/>
  <c r="L6" i="8"/>
  <c r="K6" i="8"/>
  <c r="J6" i="8"/>
  <c r="I6" i="8"/>
  <c r="H6" i="8"/>
  <c r="G6" i="8"/>
  <c r="F6" i="8"/>
  <c r="K15" i="9" l="1"/>
  <c r="G14" i="5"/>
  <c r="S68" i="8"/>
  <c r="L15" i="8"/>
  <c r="S37" i="8"/>
  <c r="Q15" i="8"/>
  <c r="S54" i="8"/>
  <c r="O44" i="8"/>
  <c r="O45" i="8" s="1"/>
  <c r="S42" i="8"/>
  <c r="S40" i="8"/>
  <c r="S38" i="8"/>
  <c r="S34" i="8"/>
  <c r="S30" i="8"/>
  <c r="N44" i="8"/>
  <c r="N45" i="8" s="1"/>
  <c r="S39" i="8"/>
  <c r="I44" i="8"/>
  <c r="I45" i="8" s="1"/>
  <c r="P15" i="8"/>
  <c r="S28" i="8"/>
  <c r="S26" i="8"/>
  <c r="S24" i="8"/>
  <c r="S22" i="8"/>
  <c r="S20" i="8"/>
  <c r="S18" i="8"/>
  <c r="S59" i="8"/>
  <c r="O15" i="8"/>
  <c r="M15" i="8"/>
  <c r="S60" i="8"/>
  <c r="P44" i="8"/>
  <c r="P45" i="8" s="1"/>
  <c r="M44" i="8"/>
  <c r="M45" i="8" s="1"/>
  <c r="S70" i="8"/>
  <c r="S62" i="8"/>
  <c r="S55" i="8"/>
  <c r="S52" i="8"/>
  <c r="Q44" i="8"/>
  <c r="Q45" i="8" s="1"/>
  <c r="K44" i="8"/>
  <c r="K45" i="8" s="1"/>
  <c r="S50" i="8"/>
  <c r="S47" i="8"/>
  <c r="J44" i="8"/>
  <c r="J45" i="8" s="1"/>
  <c r="S41" i="8"/>
  <c r="S33" i="8"/>
  <c r="K15" i="8"/>
  <c r="S31" i="8"/>
  <c r="F15" i="8"/>
  <c r="I15" i="8"/>
  <c r="S67" i="8"/>
  <c r="S63" i="8"/>
  <c r="S64" i="8"/>
  <c r="S56" i="8"/>
  <c r="S48" i="8"/>
  <c r="N15" i="8"/>
  <c r="H15" i="8"/>
  <c r="S66" i="8"/>
  <c r="S58" i="8"/>
  <c r="S49" i="8"/>
  <c r="L44" i="8"/>
  <c r="L45" i="8" s="1"/>
  <c r="G44" i="8"/>
  <c r="G45" i="8" s="1"/>
  <c r="S36" i="8"/>
  <c r="S32" i="8"/>
  <c r="F44" i="8"/>
  <c r="S46" i="8"/>
  <c r="S57" i="8"/>
  <c r="S53" i="8"/>
  <c r="S29" i="8"/>
  <c r="S27" i="8"/>
  <c r="S25" i="8"/>
  <c r="S23" i="8"/>
  <c r="S21" i="8"/>
  <c r="S19" i="8"/>
  <c r="G15" i="8"/>
  <c r="S17" i="8"/>
  <c r="H44" i="8"/>
  <c r="H45" i="8" s="1"/>
  <c r="J15" i="8"/>
  <c r="S69" i="8"/>
  <c r="S65" i="8"/>
  <c r="S61" i="8"/>
  <c r="S51" i="8"/>
  <c r="S35" i="8"/>
  <c r="H14" i="5" l="1"/>
  <c r="N16" i="8"/>
  <c r="N8" i="8"/>
  <c r="N10" i="8" s="1"/>
  <c r="Q8" i="8"/>
  <c r="Q10" i="8" s="1"/>
  <c r="Q16" i="8"/>
  <c r="G8" i="8"/>
  <c r="G10" i="8" s="1"/>
  <c r="G16" i="8"/>
  <c r="K16" i="8"/>
  <c r="K8" i="8"/>
  <c r="K10" i="8" s="1"/>
  <c r="O8" i="8"/>
  <c r="O10" i="8" s="1"/>
  <c r="O16" i="8"/>
  <c r="P8" i="8"/>
  <c r="P10" i="8" s="1"/>
  <c r="P16" i="8"/>
  <c r="M8" i="8"/>
  <c r="M10" i="8" s="1"/>
  <c r="M16" i="8"/>
  <c r="I8" i="8"/>
  <c r="I10" i="8" s="1"/>
  <c r="I16" i="8"/>
  <c r="L8" i="8"/>
  <c r="L10" i="8" s="1"/>
  <c r="L16" i="8"/>
  <c r="J16" i="8"/>
  <c r="J8" i="8"/>
  <c r="J10" i="8" s="1"/>
  <c r="F45" i="8"/>
  <c r="S44" i="8"/>
  <c r="S43" i="8"/>
  <c r="H8" i="8"/>
  <c r="H10" i="8" s="1"/>
  <c r="H16" i="8"/>
  <c r="F16" i="8"/>
  <c r="S15" i="8"/>
  <c r="S14" i="8"/>
  <c r="F8" i="8"/>
  <c r="H8" i="5" l="1"/>
  <c r="O8" i="5"/>
  <c r="P8" i="5"/>
  <c r="M8" i="5"/>
  <c r="K8" i="5"/>
  <c r="F8" i="5"/>
  <c r="G8" i="5"/>
  <c r="I8" i="5"/>
  <c r="J8" i="5"/>
  <c r="L8" i="5"/>
  <c r="N8" i="5"/>
  <c r="S45" i="8"/>
  <c r="S16" i="8"/>
  <c r="T16" i="8" s="1"/>
  <c r="D8" i="8"/>
  <c r="S6" i="8"/>
  <c r="F10" i="8"/>
  <c r="D6" i="8"/>
  <c r="E8" i="5" l="1"/>
  <c r="D10" i="8"/>
  <c r="R8" i="5" l="1"/>
  <c r="R82" i="14"/>
  <c r="Q82" i="14"/>
  <c r="P82" i="14"/>
  <c r="O82" i="14"/>
  <c r="N82" i="14"/>
  <c r="M82" i="14"/>
  <c r="L82" i="14"/>
  <c r="K82" i="14"/>
  <c r="J82" i="14"/>
  <c r="I82" i="14"/>
  <c r="H82" i="14"/>
  <c r="G82" i="14"/>
  <c r="R80" i="14"/>
  <c r="Q80" i="14"/>
  <c r="P80" i="14"/>
  <c r="O80" i="14"/>
  <c r="N80" i="14"/>
  <c r="M80" i="14"/>
  <c r="L80" i="14"/>
  <c r="K80" i="14"/>
  <c r="J80" i="14"/>
  <c r="I80" i="14"/>
  <c r="H80" i="14"/>
  <c r="G80" i="14"/>
  <c r="R78" i="14"/>
  <c r="Q78" i="14"/>
  <c r="P78" i="14"/>
  <c r="O78" i="14"/>
  <c r="N78" i="14"/>
  <c r="M78" i="14"/>
  <c r="L78" i="14"/>
  <c r="K78" i="14"/>
  <c r="J78" i="14"/>
  <c r="I78" i="14"/>
  <c r="H78" i="14"/>
  <c r="G78" i="14"/>
  <c r="R76" i="14"/>
  <c r="Q76" i="14"/>
  <c r="P76" i="14"/>
  <c r="O76" i="14"/>
  <c r="N76" i="14"/>
  <c r="M76" i="14"/>
  <c r="L76" i="14"/>
  <c r="K76" i="14"/>
  <c r="J76" i="14"/>
  <c r="I76" i="14"/>
  <c r="H76" i="14"/>
  <c r="G76" i="14"/>
  <c r="R74" i="14"/>
  <c r="Q74" i="14"/>
  <c r="P74" i="14"/>
  <c r="O74" i="14"/>
  <c r="N74" i="14"/>
  <c r="M74" i="14"/>
  <c r="L74" i="14"/>
  <c r="K74" i="14"/>
  <c r="J74" i="14"/>
  <c r="I74" i="14"/>
  <c r="H74" i="14"/>
  <c r="G74" i="14"/>
  <c r="R72" i="14"/>
  <c r="Q72" i="14"/>
  <c r="P72" i="14"/>
  <c r="O72" i="14"/>
  <c r="N72" i="14"/>
  <c r="M72" i="14"/>
  <c r="L72" i="14"/>
  <c r="K72" i="14"/>
  <c r="J72" i="14"/>
  <c r="I72" i="14"/>
  <c r="H72" i="14"/>
  <c r="G72" i="14"/>
  <c r="R70" i="14"/>
  <c r="Q70" i="14"/>
  <c r="P70" i="14"/>
  <c r="O70" i="14"/>
  <c r="N70" i="14"/>
  <c r="M70" i="14"/>
  <c r="L70" i="14"/>
  <c r="K70" i="14"/>
  <c r="J70" i="14"/>
  <c r="I70" i="14"/>
  <c r="H70" i="14"/>
  <c r="G70" i="14"/>
  <c r="R68" i="14"/>
  <c r="Q68" i="14"/>
  <c r="P68" i="14"/>
  <c r="O68" i="14"/>
  <c r="N68" i="14"/>
  <c r="M68" i="14"/>
  <c r="L68" i="14"/>
  <c r="K68" i="14"/>
  <c r="J68" i="14"/>
  <c r="I68" i="14"/>
  <c r="H68" i="14"/>
  <c r="G68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R64" i="14"/>
  <c r="Q64" i="14"/>
  <c r="P64" i="14"/>
  <c r="O64" i="14"/>
  <c r="N64" i="14"/>
  <c r="M64" i="14"/>
  <c r="L64" i="14"/>
  <c r="K64" i="14"/>
  <c r="J64" i="14"/>
  <c r="I64" i="14"/>
  <c r="H64" i="14"/>
  <c r="G64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R60" i="14"/>
  <c r="Q60" i="14"/>
  <c r="P60" i="14"/>
  <c r="O60" i="14"/>
  <c r="N60" i="14"/>
  <c r="M60" i="14"/>
  <c r="L60" i="14"/>
  <c r="K60" i="14"/>
  <c r="J60" i="14"/>
  <c r="I60" i="14"/>
  <c r="H60" i="14"/>
  <c r="G60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R52" i="14"/>
  <c r="Q52" i="14"/>
  <c r="P52" i="14"/>
  <c r="O52" i="14"/>
  <c r="N52" i="14"/>
  <c r="M52" i="14"/>
  <c r="L52" i="14"/>
  <c r="K52" i="14"/>
  <c r="J52" i="14"/>
  <c r="I52" i="14"/>
  <c r="H52" i="14"/>
  <c r="G52" i="14"/>
  <c r="R50" i="14"/>
  <c r="Q50" i="14"/>
  <c r="P50" i="14"/>
  <c r="O50" i="14"/>
  <c r="N50" i="14"/>
  <c r="M50" i="14"/>
  <c r="L50" i="14"/>
  <c r="K50" i="14"/>
  <c r="J50" i="14"/>
  <c r="I50" i="14"/>
  <c r="H50" i="14"/>
  <c r="G50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T83" i="14"/>
  <c r="T75" i="14"/>
  <c r="T53" i="14"/>
  <c r="R83" i="13"/>
  <c r="R82" i="13" s="1"/>
  <c r="R54" i="13"/>
  <c r="R23" i="13"/>
  <c r="R75" i="13"/>
  <c r="R74" i="13" s="1"/>
  <c r="R52" i="13"/>
  <c r="R51" i="13" s="1"/>
  <c r="Q27" i="14" l="1"/>
  <c r="Q24" i="14"/>
  <c r="J29" i="14"/>
  <c r="H31" i="14"/>
  <c r="R35" i="14"/>
  <c r="I61" i="14"/>
  <c r="E24" i="14"/>
  <c r="J27" i="14"/>
  <c r="J24" i="14"/>
  <c r="N27" i="14"/>
  <c r="N24" i="14"/>
  <c r="R27" i="14"/>
  <c r="R24" i="14"/>
  <c r="G29" i="14"/>
  <c r="T28" i="14"/>
  <c r="T29" i="14" s="1"/>
  <c r="K29" i="14"/>
  <c r="O29" i="14"/>
  <c r="L31" i="14"/>
  <c r="Q33" i="14"/>
  <c r="K37" i="14"/>
  <c r="P39" i="14"/>
  <c r="J43" i="14"/>
  <c r="O45" i="14"/>
  <c r="I49" i="14"/>
  <c r="N51" i="14"/>
  <c r="I27" i="14"/>
  <c r="I24" i="14"/>
  <c r="R29" i="14"/>
  <c r="G37" i="14"/>
  <c r="T36" i="14"/>
  <c r="T37" i="14" s="1"/>
  <c r="Q41" i="14"/>
  <c r="K45" i="14"/>
  <c r="J51" i="14"/>
  <c r="G27" i="14"/>
  <c r="G24" i="14"/>
  <c r="T26" i="14"/>
  <c r="T27" i="14" s="1"/>
  <c r="K27" i="14"/>
  <c r="K24" i="14"/>
  <c r="O27" i="14"/>
  <c r="O24" i="14"/>
  <c r="H29" i="14"/>
  <c r="L29" i="14"/>
  <c r="P29" i="14"/>
  <c r="P31" i="14"/>
  <c r="J35" i="14"/>
  <c r="O37" i="14"/>
  <c r="I41" i="14"/>
  <c r="N43" i="14"/>
  <c r="H47" i="14"/>
  <c r="M49" i="14"/>
  <c r="R51" i="14"/>
  <c r="G53" i="14"/>
  <c r="J57" i="14"/>
  <c r="J54" i="14"/>
  <c r="M27" i="14"/>
  <c r="M24" i="14"/>
  <c r="N29" i="14"/>
  <c r="M33" i="14"/>
  <c r="L39" i="14"/>
  <c r="P47" i="14"/>
  <c r="O53" i="14"/>
  <c r="O59" i="14"/>
  <c r="H27" i="14"/>
  <c r="H24" i="14"/>
  <c r="L24" i="14"/>
  <c r="L27" i="14"/>
  <c r="P27" i="14"/>
  <c r="P24" i="14"/>
  <c r="I29" i="14"/>
  <c r="M29" i="14"/>
  <c r="Q29" i="14"/>
  <c r="T30" i="14"/>
  <c r="T31" i="14" s="1"/>
  <c r="G31" i="14"/>
  <c r="I33" i="14"/>
  <c r="N35" i="14"/>
  <c r="H39" i="14"/>
  <c r="M41" i="14"/>
  <c r="R43" i="14"/>
  <c r="G45" i="14"/>
  <c r="T44" i="14"/>
  <c r="T45" i="14" s="1"/>
  <c r="L47" i="14"/>
  <c r="Q49" i="14"/>
  <c r="K53" i="14"/>
  <c r="O57" i="14"/>
  <c r="O54" i="14"/>
  <c r="O55" i="14" s="1"/>
  <c r="I59" i="14"/>
  <c r="I31" i="14"/>
  <c r="M31" i="14"/>
  <c r="Q31" i="14"/>
  <c r="J33" i="14"/>
  <c r="N33" i="14"/>
  <c r="R33" i="14"/>
  <c r="G35" i="14"/>
  <c r="T34" i="14"/>
  <c r="T35" i="14" s="1"/>
  <c r="K35" i="14"/>
  <c r="O35" i="14"/>
  <c r="H37" i="14"/>
  <c r="L37" i="14"/>
  <c r="P37" i="14"/>
  <c r="I39" i="14"/>
  <c r="M39" i="14"/>
  <c r="Q39" i="14"/>
  <c r="J41" i="14"/>
  <c r="N41" i="14"/>
  <c r="R41" i="14"/>
  <c r="G43" i="14"/>
  <c r="T42" i="14"/>
  <c r="T43" i="14" s="1"/>
  <c r="K43" i="14"/>
  <c r="O43" i="14"/>
  <c r="H45" i="14"/>
  <c r="L45" i="14"/>
  <c r="P45" i="14"/>
  <c r="I47" i="14"/>
  <c r="M47" i="14"/>
  <c r="Q47" i="14"/>
  <c r="J49" i="14"/>
  <c r="N49" i="14"/>
  <c r="R49" i="14"/>
  <c r="G51" i="14"/>
  <c r="T50" i="14"/>
  <c r="T51" i="14" s="1"/>
  <c r="K51" i="14"/>
  <c r="O51" i="14"/>
  <c r="H53" i="14"/>
  <c r="L53" i="14"/>
  <c r="P53" i="14"/>
  <c r="E54" i="14"/>
  <c r="K57" i="14"/>
  <c r="K54" i="14"/>
  <c r="K55" i="14" s="1"/>
  <c r="P57" i="14"/>
  <c r="P54" i="14"/>
  <c r="P55" i="14" s="1"/>
  <c r="K59" i="14"/>
  <c r="P59" i="14"/>
  <c r="M61" i="14"/>
  <c r="J31" i="14"/>
  <c r="N31" i="14"/>
  <c r="R31" i="14"/>
  <c r="G33" i="14"/>
  <c r="T32" i="14"/>
  <c r="T33" i="14" s="1"/>
  <c r="K33" i="14"/>
  <c r="O33" i="14"/>
  <c r="H35" i="14"/>
  <c r="L35" i="14"/>
  <c r="P35" i="14"/>
  <c r="I37" i="14"/>
  <c r="M37" i="14"/>
  <c r="Q37" i="14"/>
  <c r="J39" i="14"/>
  <c r="N39" i="14"/>
  <c r="R39" i="14"/>
  <c r="G41" i="14"/>
  <c r="T40" i="14"/>
  <c r="T41" i="14" s="1"/>
  <c r="K41" i="14"/>
  <c r="O41" i="14"/>
  <c r="H43" i="14"/>
  <c r="L43" i="14"/>
  <c r="P43" i="14"/>
  <c r="I45" i="14"/>
  <c r="M45" i="14"/>
  <c r="Q45" i="14"/>
  <c r="J47" i="14"/>
  <c r="N47" i="14"/>
  <c r="R47" i="14"/>
  <c r="G49" i="14"/>
  <c r="T48" i="14"/>
  <c r="T49" i="14" s="1"/>
  <c r="K49" i="14"/>
  <c r="O49" i="14"/>
  <c r="H51" i="14"/>
  <c r="L51" i="14"/>
  <c r="P51" i="14"/>
  <c r="I53" i="14"/>
  <c r="M53" i="14"/>
  <c r="Q53" i="14"/>
  <c r="T56" i="14"/>
  <c r="T57" i="14" s="1"/>
  <c r="G54" i="14"/>
  <c r="G57" i="14"/>
  <c r="L57" i="14"/>
  <c r="L54" i="14"/>
  <c r="L55" i="14" s="1"/>
  <c r="R54" i="14"/>
  <c r="R55" i="14" s="1"/>
  <c r="R57" i="14"/>
  <c r="T58" i="14"/>
  <c r="T59" i="14" s="1"/>
  <c r="G59" i="14"/>
  <c r="L59" i="14"/>
  <c r="Q59" i="14"/>
  <c r="Q61" i="14"/>
  <c r="K31" i="14"/>
  <c r="O31" i="14"/>
  <c r="H33" i="14"/>
  <c r="L33" i="14"/>
  <c r="P33" i="14"/>
  <c r="I35" i="14"/>
  <c r="M35" i="14"/>
  <c r="Q35" i="14"/>
  <c r="J37" i="14"/>
  <c r="N37" i="14"/>
  <c r="R37" i="14"/>
  <c r="T38" i="14"/>
  <c r="T39" i="14" s="1"/>
  <c r="G39" i="14"/>
  <c r="K39" i="14"/>
  <c r="O39" i="14"/>
  <c r="H41" i="14"/>
  <c r="L41" i="14"/>
  <c r="P41" i="14"/>
  <c r="I43" i="14"/>
  <c r="M43" i="14"/>
  <c r="Q43" i="14"/>
  <c r="J45" i="14"/>
  <c r="N45" i="14"/>
  <c r="R45" i="14"/>
  <c r="T46" i="14"/>
  <c r="T47" i="14" s="1"/>
  <c r="G47" i="14"/>
  <c r="K47" i="14"/>
  <c r="O47" i="14"/>
  <c r="H49" i="14"/>
  <c r="L49" i="14"/>
  <c r="P49" i="14"/>
  <c r="I51" i="14"/>
  <c r="M51" i="14"/>
  <c r="Q51" i="14"/>
  <c r="J53" i="14"/>
  <c r="N53" i="14"/>
  <c r="R53" i="14"/>
  <c r="H57" i="14"/>
  <c r="H54" i="14"/>
  <c r="N54" i="14"/>
  <c r="N55" i="14" s="1"/>
  <c r="N57" i="14"/>
  <c r="H59" i="14"/>
  <c r="M59" i="14"/>
  <c r="H61" i="14"/>
  <c r="L61" i="14"/>
  <c r="P61" i="14"/>
  <c r="I63" i="14"/>
  <c r="M63" i="14"/>
  <c r="Q63" i="14"/>
  <c r="J65" i="14"/>
  <c r="N65" i="14"/>
  <c r="R65" i="14"/>
  <c r="G67" i="14"/>
  <c r="T66" i="14"/>
  <c r="T67" i="14" s="1"/>
  <c r="K67" i="14"/>
  <c r="O67" i="14"/>
  <c r="H69" i="14"/>
  <c r="L69" i="14"/>
  <c r="P69" i="14"/>
  <c r="I71" i="14"/>
  <c r="M71" i="14"/>
  <c r="Q71" i="14"/>
  <c r="J73" i="14"/>
  <c r="N73" i="14"/>
  <c r="R73" i="14"/>
  <c r="G75" i="14"/>
  <c r="K75" i="14"/>
  <c r="O75" i="14"/>
  <c r="I77" i="14"/>
  <c r="M77" i="14"/>
  <c r="Q77" i="14"/>
  <c r="J79" i="14"/>
  <c r="N79" i="14"/>
  <c r="R79" i="14"/>
  <c r="G81" i="14"/>
  <c r="T80" i="14"/>
  <c r="T81" i="14" s="1"/>
  <c r="K81" i="14"/>
  <c r="O81" i="14"/>
  <c r="H83" i="14"/>
  <c r="L83" i="14"/>
  <c r="P83" i="14"/>
  <c r="J63" i="14"/>
  <c r="N63" i="14"/>
  <c r="R63" i="14"/>
  <c r="G65" i="14"/>
  <c r="T64" i="14"/>
  <c r="T65" i="14" s="1"/>
  <c r="K65" i="14"/>
  <c r="O65" i="14"/>
  <c r="H67" i="14"/>
  <c r="L67" i="14"/>
  <c r="P67" i="14"/>
  <c r="I69" i="14"/>
  <c r="M69" i="14"/>
  <c r="Q69" i="14"/>
  <c r="J71" i="14"/>
  <c r="N71" i="14"/>
  <c r="R71" i="14"/>
  <c r="G73" i="14"/>
  <c r="T72" i="14"/>
  <c r="T73" i="14" s="1"/>
  <c r="K73" i="14"/>
  <c r="O73" i="14"/>
  <c r="H75" i="14"/>
  <c r="L75" i="14"/>
  <c r="P75" i="14"/>
  <c r="J77" i="14"/>
  <c r="N77" i="14"/>
  <c r="R77" i="14"/>
  <c r="G79" i="14"/>
  <c r="T78" i="14"/>
  <c r="T79" i="14" s="1"/>
  <c r="K79" i="14"/>
  <c r="O79" i="14"/>
  <c r="H81" i="14"/>
  <c r="L81" i="14"/>
  <c r="P81" i="14"/>
  <c r="I83" i="14"/>
  <c r="M83" i="14"/>
  <c r="Q83" i="14"/>
  <c r="J61" i="14"/>
  <c r="N61" i="14"/>
  <c r="R61" i="14"/>
  <c r="G63" i="14"/>
  <c r="T62" i="14"/>
  <c r="T63" i="14" s="1"/>
  <c r="K63" i="14"/>
  <c r="O63" i="14"/>
  <c r="H65" i="14"/>
  <c r="L65" i="14"/>
  <c r="P65" i="14"/>
  <c r="I67" i="14"/>
  <c r="M67" i="14"/>
  <c r="Q67" i="14"/>
  <c r="J69" i="14"/>
  <c r="N69" i="14"/>
  <c r="R69" i="14"/>
  <c r="G71" i="14"/>
  <c r="T70" i="14"/>
  <c r="T71" i="14" s="1"/>
  <c r="K71" i="14"/>
  <c r="O71" i="14"/>
  <c r="H73" i="14"/>
  <c r="L73" i="14"/>
  <c r="P73" i="14"/>
  <c r="I75" i="14"/>
  <c r="M75" i="14"/>
  <c r="Q75" i="14"/>
  <c r="G77" i="14"/>
  <c r="T76" i="14"/>
  <c r="T77" i="14" s="1"/>
  <c r="K77" i="14"/>
  <c r="O77" i="14"/>
  <c r="H79" i="14"/>
  <c r="L79" i="14"/>
  <c r="P79" i="14"/>
  <c r="I81" i="14"/>
  <c r="M81" i="14"/>
  <c r="Q81" i="14"/>
  <c r="J83" i="14"/>
  <c r="N83" i="14"/>
  <c r="R83" i="14"/>
  <c r="I54" i="14"/>
  <c r="I57" i="14"/>
  <c r="M54" i="14"/>
  <c r="M55" i="14" s="1"/>
  <c r="M57" i="14"/>
  <c r="Q57" i="14"/>
  <c r="Q54" i="14"/>
  <c r="Q55" i="14" s="1"/>
  <c r="J59" i="14"/>
  <c r="N59" i="14"/>
  <c r="R59" i="14"/>
  <c r="T60" i="14"/>
  <c r="T61" i="14" s="1"/>
  <c r="G61" i="14"/>
  <c r="K61" i="14"/>
  <c r="O61" i="14"/>
  <c r="H63" i="14"/>
  <c r="L63" i="14"/>
  <c r="P63" i="14"/>
  <c r="I65" i="14"/>
  <c r="M65" i="14"/>
  <c r="Q65" i="14"/>
  <c r="J67" i="14"/>
  <c r="N67" i="14"/>
  <c r="R67" i="14"/>
  <c r="T68" i="14"/>
  <c r="T69" i="14" s="1"/>
  <c r="G69" i="14"/>
  <c r="K69" i="14"/>
  <c r="O69" i="14"/>
  <c r="H71" i="14"/>
  <c r="L71" i="14"/>
  <c r="P71" i="14"/>
  <c r="I73" i="14"/>
  <c r="M73" i="14"/>
  <c r="Q73" i="14"/>
  <c r="J75" i="14"/>
  <c r="N75" i="14"/>
  <c r="R75" i="14"/>
  <c r="H77" i="14"/>
  <c r="L77" i="14"/>
  <c r="P77" i="14"/>
  <c r="I79" i="14"/>
  <c r="M79" i="14"/>
  <c r="Q79" i="14"/>
  <c r="J81" i="14"/>
  <c r="N81" i="14"/>
  <c r="R81" i="14"/>
  <c r="G83" i="14"/>
  <c r="K83" i="14"/>
  <c r="O83" i="14"/>
  <c r="I55" i="14" l="1"/>
  <c r="P20" i="14"/>
  <c r="P18" i="14" s="1"/>
  <c r="P25" i="14"/>
  <c r="H20" i="14"/>
  <c r="H25" i="14"/>
  <c r="M25" i="14"/>
  <c r="M20" i="14"/>
  <c r="M18" i="14" s="1"/>
  <c r="O25" i="14"/>
  <c r="O20" i="14"/>
  <c r="O18" i="14" s="1"/>
  <c r="H55" i="14"/>
  <c r="T24" i="14"/>
  <c r="T25" i="14" s="1"/>
  <c r="G20" i="14"/>
  <c r="G25" i="14"/>
  <c r="I20" i="14"/>
  <c r="I25" i="14"/>
  <c r="N25" i="14"/>
  <c r="N20" i="14"/>
  <c r="N18" i="14" s="1"/>
  <c r="E22" i="14"/>
  <c r="J55" i="14"/>
  <c r="K25" i="14"/>
  <c r="K20" i="14"/>
  <c r="K18" i="14" s="1"/>
  <c r="Q20" i="14"/>
  <c r="Q18" i="14" s="1"/>
  <c r="Q25" i="14"/>
  <c r="G55" i="14"/>
  <c r="T54" i="14"/>
  <c r="T55" i="14" s="1"/>
  <c r="L20" i="14"/>
  <c r="L18" i="14" s="1"/>
  <c r="L25" i="14"/>
  <c r="R25" i="14"/>
  <c r="R20" i="14"/>
  <c r="R18" i="14" s="1"/>
  <c r="J25" i="14"/>
  <c r="J20" i="14"/>
  <c r="P17" i="5" l="1"/>
  <c r="I17" i="5"/>
  <c r="K17" i="5"/>
  <c r="J17" i="5"/>
  <c r="O17" i="5"/>
  <c r="N17" i="5"/>
  <c r="L17" i="5"/>
  <c r="M17" i="5"/>
  <c r="J18" i="14"/>
  <c r="I18" i="14"/>
  <c r="G18" i="14"/>
  <c r="E20" i="14"/>
  <c r="E18" i="14" s="1"/>
  <c r="H18" i="14"/>
  <c r="R17" i="5" l="1"/>
  <c r="E17" i="5"/>
  <c r="F17" i="5"/>
  <c r="G17" i="5"/>
  <c r="H17" i="5"/>
  <c r="T21" i="14"/>
  <c r="T18" i="14"/>
  <c r="T19" i="14"/>
  <c r="T20" i="14"/>
  <c r="T22" i="14"/>
  <c r="L55" i="13" l="1"/>
  <c r="L53" i="13" s="1"/>
  <c r="I44" i="13"/>
  <c r="I43" i="13" s="1"/>
  <c r="I50" i="13"/>
  <c r="I49" i="13" s="1"/>
  <c r="I42" i="13"/>
  <c r="I41" i="13" s="1"/>
  <c r="L28" i="13"/>
  <c r="L27" i="13" s="1"/>
  <c r="F46" i="13"/>
  <c r="F45" i="13" s="1"/>
  <c r="H36" i="13"/>
  <c r="H35" i="13" s="1"/>
  <c r="G36" i="13"/>
  <c r="G35" i="13" s="1"/>
  <c r="I34" i="13"/>
  <c r="I33" i="13" s="1"/>
  <c r="E46" i="13"/>
  <c r="E45" i="13" s="1"/>
  <c r="L40" i="13"/>
  <c r="L39" i="13" s="1"/>
  <c r="K40" i="13"/>
  <c r="K39" i="13" s="1"/>
  <c r="R36" i="13"/>
  <c r="P79" i="13"/>
  <c r="P78" i="13" s="1"/>
  <c r="H59" i="13"/>
  <c r="H58" i="13" s="1"/>
  <c r="O67" i="13"/>
  <c r="O66" i="13" s="1"/>
  <c r="J71" i="13"/>
  <c r="J70" i="13" s="1"/>
  <c r="E59" i="13"/>
  <c r="E58" i="13" s="1"/>
  <c r="G73" i="13"/>
  <c r="G72" i="13" s="1"/>
  <c r="K55" i="13"/>
  <c r="K53" i="13" s="1"/>
  <c r="O24" i="13"/>
  <c r="O22" i="13" s="1"/>
  <c r="L34" i="13"/>
  <c r="L33" i="13" s="1"/>
  <c r="O44" i="13"/>
  <c r="O43" i="13" s="1"/>
  <c r="M44" i="13"/>
  <c r="M43" i="13" s="1"/>
  <c r="J30" i="13"/>
  <c r="J29" i="13" s="1"/>
  <c r="F26" i="13"/>
  <c r="F25" i="13" s="1"/>
  <c r="L36" i="13"/>
  <c r="L35" i="13" s="1"/>
  <c r="O46" i="13"/>
  <c r="O45" i="13" s="1"/>
  <c r="E50" i="13"/>
  <c r="E49" i="13" s="1"/>
  <c r="N42" i="13"/>
  <c r="N41" i="13" s="1"/>
  <c r="I40" i="13"/>
  <c r="I39" i="13" s="1"/>
  <c r="H44" i="13"/>
  <c r="H43" i="13" s="1"/>
  <c r="P32" i="13"/>
  <c r="P31" i="13" s="1"/>
  <c r="M30" i="13"/>
  <c r="M29" i="13" s="1"/>
  <c r="G44" i="13"/>
  <c r="G43" i="13" s="1"/>
  <c r="O32" i="13"/>
  <c r="O31" i="13" s="1"/>
  <c r="N52" i="13"/>
  <c r="N51" i="13" s="1"/>
  <c r="F32" i="13"/>
  <c r="F31" i="13" s="1"/>
  <c r="R46" i="13"/>
  <c r="L48" i="13"/>
  <c r="L47" i="13" s="1"/>
  <c r="H38" i="13"/>
  <c r="H37" i="13" s="1"/>
  <c r="E52" i="13"/>
  <c r="E51" i="13" s="1"/>
  <c r="K48" i="13"/>
  <c r="K47" i="13" s="1"/>
  <c r="G38" i="13"/>
  <c r="G37" i="13" s="1"/>
  <c r="I52" i="13"/>
  <c r="I51" i="13" s="1"/>
  <c r="I32" i="13"/>
  <c r="I31" i="13" s="1"/>
  <c r="J44" i="13"/>
  <c r="J43" i="13" s="1"/>
  <c r="F34" i="13"/>
  <c r="F33" i="13" s="1"/>
  <c r="E44" i="13"/>
  <c r="E43" i="13" s="1"/>
  <c r="E28" i="13"/>
  <c r="E27" i="13" s="1"/>
  <c r="E26" i="13"/>
  <c r="E25" i="13" s="1"/>
  <c r="L77" i="13"/>
  <c r="L76" i="13" s="1"/>
  <c r="H67" i="13"/>
  <c r="H66" i="13" s="1"/>
  <c r="E79" i="13"/>
  <c r="E78" i="13" s="1"/>
  <c r="M63" i="13"/>
  <c r="M62" i="13" s="1"/>
  <c r="O75" i="13"/>
  <c r="O74" i="13" s="1"/>
  <c r="K65" i="13"/>
  <c r="K64" i="13" s="1"/>
  <c r="E75" i="13"/>
  <c r="E74" i="13" s="1"/>
  <c r="J79" i="13"/>
  <c r="J78" i="13" s="1"/>
  <c r="F69" i="13"/>
  <c r="F68" i="13" s="1"/>
  <c r="I83" i="13"/>
  <c r="I82" i="13" s="1"/>
  <c r="N57" i="13"/>
  <c r="N56" i="13" s="1"/>
  <c r="E57" i="13"/>
  <c r="E56" i="13" s="1"/>
  <c r="P69" i="13"/>
  <c r="P68" i="13" s="1"/>
  <c r="R59" i="13"/>
  <c r="E77" i="13"/>
  <c r="E76" i="13" s="1"/>
  <c r="F67" i="13"/>
  <c r="F66" i="13" s="1"/>
  <c r="P81" i="13"/>
  <c r="P80" i="13" s="1"/>
  <c r="L71" i="13"/>
  <c r="L70" i="13" s="1"/>
  <c r="H61" i="13"/>
  <c r="H60" i="13" s="1"/>
  <c r="R69" i="13"/>
  <c r="G81" i="13"/>
  <c r="G80" i="13" s="1"/>
  <c r="O69" i="13"/>
  <c r="O68" i="13" s="1"/>
  <c r="K59" i="13"/>
  <c r="K58" i="13" s="1"/>
  <c r="N83" i="13"/>
  <c r="N82" i="13" s="1"/>
  <c r="J73" i="13"/>
  <c r="J72" i="13" s="1"/>
  <c r="F63" i="13"/>
  <c r="F62" i="13" s="1"/>
  <c r="M69" i="13"/>
  <c r="M68" i="13" s="1"/>
  <c r="L59" i="13"/>
  <c r="L58" i="13" s="1"/>
  <c r="G69" i="13"/>
  <c r="G68" i="13" s="1"/>
  <c r="J69" i="13"/>
  <c r="J68" i="13" s="1"/>
  <c r="L81" i="13"/>
  <c r="L80" i="13" s="1"/>
  <c r="H71" i="13"/>
  <c r="H70" i="13" s="1"/>
  <c r="P59" i="13"/>
  <c r="P58" i="13" s="1"/>
  <c r="R67" i="13"/>
  <c r="O79" i="13"/>
  <c r="O78" i="13" s="1"/>
  <c r="K69" i="13"/>
  <c r="K68" i="13" s="1"/>
  <c r="G59" i="13"/>
  <c r="G58" i="13" s="1"/>
  <c r="J83" i="13"/>
  <c r="J82" i="13" s="1"/>
  <c r="F73" i="13"/>
  <c r="F72" i="13" s="1"/>
  <c r="N61" i="13"/>
  <c r="N60" i="13" s="1"/>
  <c r="P57" i="13"/>
  <c r="P56" i="13" s="1"/>
  <c r="L75" i="13"/>
  <c r="L74" i="13" s="1"/>
  <c r="O81" i="13"/>
  <c r="O80" i="13" s="1"/>
  <c r="I69" i="13"/>
  <c r="I68" i="13" s="1"/>
  <c r="I75" i="13"/>
  <c r="I74" i="13" s="1"/>
  <c r="N55" i="13"/>
  <c r="N53" i="13" s="1"/>
  <c r="J55" i="13"/>
  <c r="J53" i="13" s="1"/>
  <c r="N24" i="13"/>
  <c r="N22" i="13" s="1"/>
  <c r="J24" i="13"/>
  <c r="J22" i="13" s="1"/>
  <c r="P52" i="13"/>
  <c r="P51" i="13" s="1"/>
  <c r="L42" i="13"/>
  <c r="L41" i="13" s="1"/>
  <c r="H32" i="13"/>
  <c r="H31" i="13" s="1"/>
  <c r="O52" i="13"/>
  <c r="O51" i="13" s="1"/>
  <c r="K42" i="13"/>
  <c r="K41" i="13" s="1"/>
  <c r="G32" i="13"/>
  <c r="G31" i="13" s="1"/>
  <c r="E38" i="13"/>
  <c r="E37" i="13" s="1"/>
  <c r="N48" i="13"/>
  <c r="N47" i="13" s="1"/>
  <c r="J38" i="13"/>
  <c r="J37" i="13" s="1"/>
  <c r="F28" i="13"/>
  <c r="F27" i="13" s="1"/>
  <c r="R34" i="13"/>
  <c r="H26" i="13"/>
  <c r="H25" i="13" s="1"/>
  <c r="L44" i="13"/>
  <c r="L43" i="13" s="1"/>
  <c r="H34" i="13"/>
  <c r="H33" i="13" s="1"/>
  <c r="M32" i="13"/>
  <c r="M31" i="13" s="1"/>
  <c r="K44" i="13"/>
  <c r="K43" i="13" s="1"/>
  <c r="G34" i="13"/>
  <c r="G33" i="13" s="1"/>
  <c r="R50" i="13"/>
  <c r="N50" i="13"/>
  <c r="N49" i="13" s="1"/>
  <c r="J40" i="13"/>
  <c r="J39" i="13" s="1"/>
  <c r="F30" i="13"/>
  <c r="F29" i="13" s="1"/>
  <c r="E32" i="13"/>
  <c r="E31" i="13" s="1"/>
  <c r="H52" i="13"/>
  <c r="H51" i="13" s="1"/>
  <c r="P40" i="13"/>
  <c r="P39" i="13" s="1"/>
  <c r="L30" i="13"/>
  <c r="L29" i="13" s="1"/>
  <c r="G52" i="13"/>
  <c r="G51" i="13" s="1"/>
  <c r="O40" i="13"/>
  <c r="O39" i="13" s="1"/>
  <c r="K30" i="13"/>
  <c r="K29" i="13" s="1"/>
  <c r="E42" i="13"/>
  <c r="E41" i="13" s="1"/>
  <c r="J50" i="13"/>
  <c r="J49" i="13" s="1"/>
  <c r="F40" i="13"/>
  <c r="F39" i="13" s="1"/>
  <c r="N28" i="13"/>
  <c r="N27" i="13" s="1"/>
  <c r="I38" i="13"/>
  <c r="I37" i="13" s="1"/>
  <c r="J26" i="13"/>
  <c r="J25" i="13" s="1"/>
  <c r="H46" i="13"/>
  <c r="H45" i="13" s="1"/>
  <c r="P34" i="13"/>
  <c r="P33" i="13" s="1"/>
  <c r="M36" i="13"/>
  <c r="M35" i="13" s="1"/>
  <c r="G46" i="13"/>
  <c r="G45" i="13" s="1"/>
  <c r="O34" i="13"/>
  <c r="O33" i="13" s="1"/>
  <c r="I46" i="13"/>
  <c r="I45" i="13" s="1"/>
  <c r="J52" i="13"/>
  <c r="J51" i="13" s="1"/>
  <c r="F42" i="13"/>
  <c r="F41" i="13" s="1"/>
  <c r="N30" i="13"/>
  <c r="N29" i="13" s="1"/>
  <c r="R44" i="13"/>
  <c r="R28" i="13"/>
  <c r="R26" i="13"/>
  <c r="H75" i="13"/>
  <c r="H74" i="13" s="1"/>
  <c r="P63" i="13"/>
  <c r="P62" i="13" s="1"/>
  <c r="R79" i="13"/>
  <c r="O83" i="13"/>
  <c r="O82" i="13" s="1"/>
  <c r="K73" i="13"/>
  <c r="K72" i="13" s="1"/>
  <c r="G63" i="13"/>
  <c r="G62" i="13" s="1"/>
  <c r="I67" i="13"/>
  <c r="I66" i="13" s="1"/>
  <c r="F77" i="13"/>
  <c r="F76" i="13" s="1"/>
  <c r="N65" i="13"/>
  <c r="N64" i="13" s="1"/>
  <c r="E73" i="13"/>
  <c r="E72" i="13" s="1"/>
  <c r="J57" i="13"/>
  <c r="J56" i="13" s="1"/>
  <c r="R57" i="13"/>
  <c r="H65" i="13"/>
  <c r="H64" i="13" s="1"/>
  <c r="G77" i="13"/>
  <c r="G76" i="13" s="1"/>
  <c r="R77" i="13"/>
  <c r="F59" i="13"/>
  <c r="F58" i="13" s="1"/>
  <c r="L79" i="13"/>
  <c r="L78" i="13" s="1"/>
  <c r="H69" i="13"/>
  <c r="H68" i="13" s="1"/>
  <c r="E83" i="13"/>
  <c r="E82" i="13" s="1"/>
  <c r="E63" i="13"/>
  <c r="E62" i="13" s="1"/>
  <c r="O77" i="13"/>
  <c r="O76" i="13" s="1"/>
  <c r="K67" i="13"/>
  <c r="K66" i="13" s="1"/>
  <c r="I79" i="13"/>
  <c r="I78" i="13" s="1"/>
  <c r="J81" i="13"/>
  <c r="J80" i="13" s="1"/>
  <c r="F71" i="13"/>
  <c r="F70" i="13" s="1"/>
  <c r="N59" i="13"/>
  <c r="N58" i="13" s="1"/>
  <c r="M59" i="13"/>
  <c r="M58" i="13" s="1"/>
  <c r="E65" i="13"/>
  <c r="E64" i="13" s="1"/>
  <c r="M83" i="13"/>
  <c r="M82" i="13" s="1"/>
  <c r="J61" i="13"/>
  <c r="J60" i="13" s="1"/>
  <c r="H79" i="13"/>
  <c r="H78" i="13" s="1"/>
  <c r="P67" i="13"/>
  <c r="P66" i="13" s="1"/>
  <c r="M81" i="13"/>
  <c r="M80" i="13" s="1"/>
  <c r="E61" i="13"/>
  <c r="E60" i="13" s="1"/>
  <c r="K77" i="13"/>
  <c r="K76" i="13" s="1"/>
  <c r="G67" i="13"/>
  <c r="G66" i="13" s="1"/>
  <c r="M77" i="13"/>
  <c r="M76" i="13" s="1"/>
  <c r="F81" i="13"/>
  <c r="F80" i="13" s="1"/>
  <c r="N69" i="13"/>
  <c r="N68" i="13" s="1"/>
  <c r="J59" i="13"/>
  <c r="J58" i="13" s="1"/>
  <c r="L57" i="13"/>
  <c r="L56" i="13" s="1"/>
  <c r="L67" i="13"/>
  <c r="L66" i="13" s="1"/>
  <c r="O73" i="13"/>
  <c r="O72" i="13" s="1"/>
  <c r="N79" i="13"/>
  <c r="N78" i="13" s="1"/>
  <c r="K57" i="13"/>
  <c r="K56" i="13" s="1"/>
  <c r="P55" i="13"/>
  <c r="P53" i="13" s="1"/>
  <c r="L24" i="13"/>
  <c r="L22" i="13" s="1"/>
  <c r="P36" i="13"/>
  <c r="P35" i="13" s="1"/>
  <c r="G48" i="13"/>
  <c r="G47" i="13" s="1"/>
  <c r="F44" i="13"/>
  <c r="F43" i="13" s="1"/>
  <c r="H50" i="13"/>
  <c r="H49" i="13" s="1"/>
  <c r="G50" i="13"/>
  <c r="G49" i="13" s="1"/>
  <c r="I36" i="13"/>
  <c r="I35" i="13" s="1"/>
  <c r="M46" i="13"/>
  <c r="M45" i="13" s="1"/>
  <c r="O26" i="13"/>
  <c r="O25" i="13" s="1"/>
  <c r="M38" i="13"/>
  <c r="M37" i="13" s="1"/>
  <c r="E48" i="13"/>
  <c r="E47" i="13" s="1"/>
  <c r="N44" i="13"/>
  <c r="N43" i="13" s="1"/>
  <c r="J34" i="13"/>
  <c r="J33" i="13" s="1"/>
  <c r="P50" i="13"/>
  <c r="P49" i="13" s="1"/>
  <c r="R40" i="13"/>
  <c r="N46" i="13"/>
  <c r="N45" i="13" s="1"/>
  <c r="M48" i="13"/>
  <c r="M47" i="13" s="1"/>
  <c r="I26" i="13"/>
  <c r="I25" i="13" s="1"/>
  <c r="L69" i="13"/>
  <c r="L68" i="13" s="1"/>
  <c r="G79" i="13"/>
  <c r="G78" i="13" s="1"/>
  <c r="N81" i="13"/>
  <c r="N80" i="13" s="1"/>
  <c r="M61" i="13"/>
  <c r="M60" i="13" s="1"/>
  <c r="P77" i="13"/>
  <c r="P76" i="13" s="1"/>
  <c r="L63" i="13"/>
  <c r="L62" i="13" s="1"/>
  <c r="O55" i="13"/>
  <c r="O53" i="13" s="1"/>
  <c r="K24" i="13"/>
  <c r="K22" i="13" s="1"/>
  <c r="P44" i="13"/>
  <c r="P43" i="13" s="1"/>
  <c r="M34" i="13"/>
  <c r="M33" i="13" s="1"/>
  <c r="K34" i="13"/>
  <c r="K33" i="13" s="1"/>
  <c r="F52" i="13"/>
  <c r="F51" i="13" s="1"/>
  <c r="N40" i="13"/>
  <c r="N39" i="13" s="1"/>
  <c r="E34" i="13"/>
  <c r="E33" i="13" s="1"/>
  <c r="P46" i="13"/>
  <c r="P45" i="13" s="1"/>
  <c r="M40" i="13"/>
  <c r="M39" i="13" s="1"/>
  <c r="K36" i="13"/>
  <c r="K35" i="13" s="1"/>
  <c r="I28" i="13"/>
  <c r="I27" i="13" s="1"/>
  <c r="J32" i="13"/>
  <c r="J31" i="13" s="1"/>
  <c r="K26" i="13"/>
  <c r="K25" i="13" s="1"/>
  <c r="R48" i="13"/>
  <c r="J42" i="13"/>
  <c r="J41" i="13" s="1"/>
  <c r="N26" i="13"/>
  <c r="N25" i="13" s="1"/>
  <c r="M55" i="13"/>
  <c r="M53" i="13" s="1"/>
  <c r="I55" i="13"/>
  <c r="I53" i="13" s="1"/>
  <c r="M24" i="13"/>
  <c r="M22" i="13" s="1"/>
  <c r="I24" i="13"/>
  <c r="I22" i="13" s="1"/>
  <c r="L50" i="13"/>
  <c r="L49" i="13" s="1"/>
  <c r="H40" i="13"/>
  <c r="H39" i="13" s="1"/>
  <c r="P28" i="13"/>
  <c r="P27" i="13" s="1"/>
  <c r="K50" i="13"/>
  <c r="K49" i="13" s="1"/>
  <c r="G40" i="13"/>
  <c r="G39" i="13" s="1"/>
  <c r="O28" i="13"/>
  <c r="O27" i="13" s="1"/>
  <c r="R38" i="13"/>
  <c r="J46" i="13"/>
  <c r="J45" i="13" s="1"/>
  <c r="F36" i="13"/>
  <c r="F35" i="13" s="1"/>
  <c r="I48" i="13"/>
  <c r="I47" i="13" s="1"/>
  <c r="P26" i="13"/>
  <c r="P25" i="13" s="1"/>
  <c r="L52" i="13"/>
  <c r="L51" i="13" s="1"/>
  <c r="H42" i="13"/>
  <c r="H41" i="13" s="1"/>
  <c r="P30" i="13"/>
  <c r="P29" i="13" s="1"/>
  <c r="K52" i="13"/>
  <c r="K51" i="13" s="1"/>
  <c r="G42" i="13"/>
  <c r="G41" i="13" s="1"/>
  <c r="O30" i="13"/>
  <c r="O29" i="13" s="1"/>
  <c r="M42" i="13"/>
  <c r="M41" i="13" s="1"/>
  <c r="J48" i="13"/>
  <c r="J47" i="13" s="1"/>
  <c r="F38" i="13"/>
  <c r="F37" i="13" s="1"/>
  <c r="M52" i="13"/>
  <c r="M51" i="13" s="1"/>
  <c r="R32" i="13"/>
  <c r="P48" i="13"/>
  <c r="P47" i="13" s="1"/>
  <c r="L38" i="13"/>
  <c r="L37" i="13" s="1"/>
  <c r="H28" i="13"/>
  <c r="H27" i="13" s="1"/>
  <c r="O48" i="13"/>
  <c r="O47" i="13" s="1"/>
  <c r="K38" i="13"/>
  <c r="K37" i="13" s="1"/>
  <c r="G28" i="13"/>
  <c r="G27" i="13" s="1"/>
  <c r="R42" i="13"/>
  <c r="F48" i="13"/>
  <c r="F47" i="13" s="1"/>
  <c r="N36" i="13"/>
  <c r="N35" i="13" s="1"/>
  <c r="M50" i="13"/>
  <c r="M49" i="13" s="1"/>
  <c r="E30" i="13"/>
  <c r="E29" i="13" s="1"/>
  <c r="G26" i="13"/>
  <c r="G25" i="13" s="1"/>
  <c r="P42" i="13"/>
  <c r="P41" i="13" s="1"/>
  <c r="L32" i="13"/>
  <c r="L31" i="13" s="1"/>
  <c r="M28" i="13"/>
  <c r="M27" i="13" s="1"/>
  <c r="O42" i="13"/>
  <c r="O41" i="13" s="1"/>
  <c r="K32" i="13"/>
  <c r="K31" i="13" s="1"/>
  <c r="E40" i="13"/>
  <c r="E39" i="13" s="1"/>
  <c r="F50" i="13"/>
  <c r="F49" i="13" s="1"/>
  <c r="N38" i="13"/>
  <c r="N37" i="13" s="1"/>
  <c r="J28" i="13"/>
  <c r="J27" i="13" s="1"/>
  <c r="E36" i="13"/>
  <c r="E35" i="13" s="1"/>
  <c r="M26" i="13"/>
  <c r="M25" i="13" s="1"/>
  <c r="H83" i="13"/>
  <c r="H82" i="13" s="1"/>
  <c r="P71" i="13"/>
  <c r="P70" i="13" s="1"/>
  <c r="L61" i="13"/>
  <c r="L60" i="13" s="1"/>
  <c r="E71" i="13"/>
  <c r="E70" i="13" s="1"/>
  <c r="K81" i="13"/>
  <c r="K80" i="13" s="1"/>
  <c r="G71" i="13"/>
  <c r="G70" i="13" s="1"/>
  <c r="O59" i="13"/>
  <c r="O58" i="13" s="1"/>
  <c r="I59" i="13"/>
  <c r="I58" i="13" s="1"/>
  <c r="N73" i="13"/>
  <c r="N72" i="13" s="1"/>
  <c r="J63" i="13"/>
  <c r="J62" i="13" s="1"/>
  <c r="R73" i="13"/>
  <c r="F57" i="13"/>
  <c r="F56" i="13" s="1"/>
  <c r="H81" i="13"/>
  <c r="H80" i="13" s="1"/>
  <c r="M79" i="13"/>
  <c r="M78" i="13" s="1"/>
  <c r="K71" i="13"/>
  <c r="K70" i="13" s="1"/>
  <c r="F83" i="13"/>
  <c r="F82" i="13" s="1"/>
  <c r="O57" i="13"/>
  <c r="O56" i="13" s="1"/>
  <c r="H77" i="13"/>
  <c r="H76" i="13" s="1"/>
  <c r="P65" i="13"/>
  <c r="P64" i="13" s="1"/>
  <c r="M75" i="13"/>
  <c r="M74" i="13" s="1"/>
  <c r="R63" i="13"/>
  <c r="K75" i="13"/>
  <c r="K74" i="13" s="1"/>
  <c r="G65" i="13"/>
  <c r="G64" i="13" s="1"/>
  <c r="I73" i="13"/>
  <c r="I72" i="13" s="1"/>
  <c r="F79" i="13"/>
  <c r="F78" i="13" s="1"/>
  <c r="N67" i="13"/>
  <c r="N66" i="13" s="1"/>
  <c r="E81" i="13"/>
  <c r="E80" i="13" s="1"/>
  <c r="I57" i="13"/>
  <c r="I56" i="13" s="1"/>
  <c r="R65" i="13"/>
  <c r="I61" i="13"/>
  <c r="I60" i="13" s="1"/>
  <c r="M65" i="13"/>
  <c r="M64" i="13" s="1"/>
  <c r="P75" i="13"/>
  <c r="P74" i="13" s="1"/>
  <c r="L65" i="13"/>
  <c r="L64" i="13" s="1"/>
  <c r="M73" i="13"/>
  <c r="M72" i="13" s="1"/>
  <c r="R61" i="13"/>
  <c r="G75" i="13"/>
  <c r="G74" i="13" s="1"/>
  <c r="O63" i="13"/>
  <c r="O62" i="13" s="1"/>
  <c r="I71" i="13"/>
  <c r="I70" i="13" s="1"/>
  <c r="N77" i="13"/>
  <c r="N76" i="13" s="1"/>
  <c r="J67" i="13"/>
  <c r="J66" i="13" s="1"/>
  <c r="I77" i="13"/>
  <c r="I76" i="13" s="1"/>
  <c r="H57" i="13"/>
  <c r="H56" i="13" s="1"/>
  <c r="P61" i="13"/>
  <c r="P60" i="13" s="1"/>
  <c r="O65" i="13"/>
  <c r="O64" i="13" s="1"/>
  <c r="N71" i="13"/>
  <c r="N70" i="13" s="1"/>
  <c r="P24" i="13"/>
  <c r="P22" i="13" s="1"/>
  <c r="H48" i="13"/>
  <c r="H47" i="13" s="1"/>
  <c r="O36" i="13"/>
  <c r="O35" i="13" s="1"/>
  <c r="I30" i="13"/>
  <c r="I29" i="13" s="1"/>
  <c r="N32" i="13"/>
  <c r="N31" i="13" s="1"/>
  <c r="L26" i="13"/>
  <c r="L25" i="13" s="1"/>
  <c r="P38" i="13"/>
  <c r="P37" i="13" s="1"/>
  <c r="O38" i="13"/>
  <c r="O37" i="13" s="1"/>
  <c r="K28" i="13"/>
  <c r="K27" i="13" s="1"/>
  <c r="N34" i="13"/>
  <c r="N33" i="13" s="1"/>
  <c r="L46" i="13"/>
  <c r="L45" i="13" s="1"/>
  <c r="K46" i="13"/>
  <c r="K45" i="13" s="1"/>
  <c r="R30" i="13"/>
  <c r="H30" i="13"/>
  <c r="H29" i="13" s="1"/>
  <c r="O50" i="13"/>
  <c r="O49" i="13" s="1"/>
  <c r="G30" i="13"/>
  <c r="G29" i="13" s="1"/>
  <c r="J36" i="13"/>
  <c r="J35" i="13" s="1"/>
  <c r="R71" i="13"/>
  <c r="I81" i="13"/>
  <c r="I80" i="13" s="1"/>
  <c r="F61" i="13"/>
  <c r="F60" i="13" s="1"/>
  <c r="M57" i="13"/>
  <c r="M56" i="13" s="1"/>
  <c r="K63" i="13"/>
  <c r="K62" i="13" s="1"/>
  <c r="F75" i="13"/>
  <c r="F74" i="13" s="1"/>
  <c r="G57" i="13"/>
  <c r="G56" i="13" s="1"/>
  <c r="P73" i="13"/>
  <c r="P72" i="13" s="1"/>
  <c r="E69" i="13"/>
  <c r="E68" i="13" s="1"/>
  <c r="K83" i="13"/>
  <c r="K82" i="13" s="1"/>
  <c r="O61" i="13"/>
  <c r="O60" i="13" s="1"/>
  <c r="I65" i="13"/>
  <c r="I64" i="13" s="1"/>
  <c r="N75" i="13"/>
  <c r="N74" i="13" s="1"/>
  <c r="J65" i="13"/>
  <c r="J64" i="13" s="1"/>
  <c r="R81" i="13"/>
  <c r="H73" i="13"/>
  <c r="H72" i="13" s="1"/>
  <c r="K79" i="13"/>
  <c r="K78" i="13" s="1"/>
  <c r="J77" i="13"/>
  <c r="J76" i="13" s="1"/>
  <c r="P83" i="13"/>
  <c r="P82" i="13" s="1"/>
  <c r="L73" i="13"/>
  <c r="L72" i="13" s="1"/>
  <c r="H63" i="13"/>
  <c r="H62" i="13" s="1"/>
  <c r="E67" i="13"/>
  <c r="E66" i="13" s="1"/>
  <c r="G83" i="13"/>
  <c r="G82" i="13" s="1"/>
  <c r="O71" i="13"/>
  <c r="O70" i="13" s="1"/>
  <c r="K61" i="13"/>
  <c r="K60" i="13" s="1"/>
  <c r="I63" i="13"/>
  <c r="I62" i="13" s="1"/>
  <c r="J75" i="13"/>
  <c r="J74" i="13" s="1"/>
  <c r="F65" i="13"/>
  <c r="F64" i="13" s="1"/>
  <c r="M67" i="13"/>
  <c r="M66" i="13" s="1"/>
  <c r="L83" i="13"/>
  <c r="L82" i="13" s="1"/>
  <c r="M71" i="13"/>
  <c r="M70" i="13" s="1"/>
  <c r="G61" i="13"/>
  <c r="G60" i="13" s="1"/>
  <c r="N63" i="13"/>
  <c r="N62" i="13" s="1"/>
  <c r="M16" i="13" l="1"/>
  <c r="M18" i="5" s="1"/>
  <c r="K16" i="13"/>
  <c r="K18" i="5" s="1"/>
  <c r="N18" i="13"/>
  <c r="G24" i="13"/>
  <c r="G22" i="13" s="1"/>
  <c r="R70" i="13" s="1"/>
  <c r="J16" i="13"/>
  <c r="M18" i="13"/>
  <c r="O18" i="13"/>
  <c r="R55" i="13"/>
  <c r="F24" i="13"/>
  <c r="F22" i="13" s="1"/>
  <c r="F55" i="13"/>
  <c r="F53" i="13" s="1"/>
  <c r="I18" i="13"/>
  <c r="K18" i="13"/>
  <c r="G55" i="13"/>
  <c r="G53" i="13" s="1"/>
  <c r="H55" i="13"/>
  <c r="H53" i="13" s="1"/>
  <c r="I16" i="13"/>
  <c r="N16" i="13"/>
  <c r="O16" i="13"/>
  <c r="L16" i="13"/>
  <c r="R24" i="13"/>
  <c r="P16" i="13"/>
  <c r="L18" i="13"/>
  <c r="H24" i="13"/>
  <c r="H22" i="13" s="1"/>
  <c r="H16" i="13" s="1"/>
  <c r="P18" i="13"/>
  <c r="J18" i="13"/>
  <c r="E24" i="13"/>
  <c r="E22" i="13" s="1"/>
  <c r="E55" i="13"/>
  <c r="E53" i="13" s="1"/>
  <c r="K15" i="5" l="1"/>
  <c r="M15" i="5"/>
  <c r="O18" i="5"/>
  <c r="O15" i="5"/>
  <c r="N18" i="5"/>
  <c r="N15" i="5"/>
  <c r="H18" i="5"/>
  <c r="H15" i="5"/>
  <c r="P18" i="5"/>
  <c r="P15" i="5"/>
  <c r="J18" i="5"/>
  <c r="J15" i="5"/>
  <c r="I18" i="5"/>
  <c r="I15" i="5"/>
  <c r="L18" i="5"/>
  <c r="L15" i="5"/>
  <c r="G16" i="13"/>
  <c r="F16" i="13"/>
  <c r="R22" i="13"/>
  <c r="E18" i="13"/>
  <c r="R78" i="13"/>
  <c r="R43" i="13"/>
  <c r="R45" i="13"/>
  <c r="R76" i="13"/>
  <c r="R31" i="13"/>
  <c r="R41" i="13"/>
  <c r="E16" i="13"/>
  <c r="R53" i="13"/>
  <c r="R72" i="13"/>
  <c r="R58" i="13"/>
  <c r="R33" i="13"/>
  <c r="R39" i="13"/>
  <c r="R62" i="13"/>
  <c r="H18" i="13"/>
  <c r="R80" i="13"/>
  <c r="R66" i="13"/>
  <c r="G18" i="13"/>
  <c r="F18" i="13"/>
  <c r="R64" i="13"/>
  <c r="R37" i="13"/>
  <c r="R35" i="13"/>
  <c r="R68" i="13"/>
  <c r="R27" i="13"/>
  <c r="R47" i="13"/>
  <c r="R60" i="13"/>
  <c r="R49" i="13"/>
  <c r="R25" i="13"/>
  <c r="R56" i="13"/>
  <c r="R29" i="13"/>
  <c r="F18" i="5" l="1"/>
  <c r="F15" i="5"/>
  <c r="G18" i="5"/>
  <c r="G15" i="5"/>
  <c r="E18" i="5"/>
  <c r="E15" i="5"/>
  <c r="C18" i="13"/>
  <c r="C16" i="13" s="1"/>
  <c r="R77" i="15"/>
  <c r="Q77" i="15"/>
  <c r="P77" i="15"/>
  <c r="O77" i="15"/>
  <c r="N77" i="15"/>
  <c r="M77" i="15"/>
  <c r="L77" i="15"/>
  <c r="K77" i="15"/>
  <c r="J77" i="15"/>
  <c r="I77" i="15"/>
  <c r="H77" i="15"/>
  <c r="G77" i="15"/>
  <c r="R75" i="15"/>
  <c r="Q75" i="15"/>
  <c r="P75" i="15"/>
  <c r="O75" i="15"/>
  <c r="N75" i="15"/>
  <c r="M75" i="15"/>
  <c r="L75" i="15"/>
  <c r="K75" i="15"/>
  <c r="J75" i="15"/>
  <c r="I75" i="15"/>
  <c r="H75" i="15"/>
  <c r="G75" i="15"/>
  <c r="R73" i="15"/>
  <c r="Q73" i="15"/>
  <c r="P73" i="15"/>
  <c r="O73" i="15"/>
  <c r="N73" i="15"/>
  <c r="M73" i="15"/>
  <c r="L73" i="15"/>
  <c r="K73" i="15"/>
  <c r="J73" i="15"/>
  <c r="I73" i="15"/>
  <c r="H73" i="15"/>
  <c r="G73" i="15"/>
  <c r="R71" i="15"/>
  <c r="Q71" i="15"/>
  <c r="P71" i="15"/>
  <c r="O71" i="15"/>
  <c r="N71" i="15"/>
  <c r="M71" i="15"/>
  <c r="L71" i="15"/>
  <c r="K71" i="15"/>
  <c r="J71" i="15"/>
  <c r="I71" i="15"/>
  <c r="H71" i="15"/>
  <c r="G71" i="15"/>
  <c r="R69" i="15"/>
  <c r="Q69" i="15"/>
  <c r="P69" i="15"/>
  <c r="O69" i="15"/>
  <c r="N69" i="15"/>
  <c r="M69" i="15"/>
  <c r="L69" i="15"/>
  <c r="K69" i="15"/>
  <c r="J69" i="15"/>
  <c r="I69" i="15"/>
  <c r="H69" i="15"/>
  <c r="G69" i="15"/>
  <c r="R67" i="15"/>
  <c r="Q67" i="15"/>
  <c r="P67" i="15"/>
  <c r="O67" i="15"/>
  <c r="N67" i="15"/>
  <c r="M67" i="15"/>
  <c r="L67" i="15"/>
  <c r="K67" i="15"/>
  <c r="J67" i="15"/>
  <c r="I67" i="15"/>
  <c r="H67" i="15"/>
  <c r="G67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R61" i="15"/>
  <c r="Q61" i="15"/>
  <c r="P61" i="15"/>
  <c r="O61" i="15"/>
  <c r="N61" i="15"/>
  <c r="M61" i="15"/>
  <c r="L61" i="15"/>
  <c r="K61" i="15"/>
  <c r="J61" i="15"/>
  <c r="I61" i="15"/>
  <c r="H61" i="15"/>
  <c r="G61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R55" i="15"/>
  <c r="Q55" i="15"/>
  <c r="P55" i="15"/>
  <c r="O55" i="15"/>
  <c r="N55" i="15"/>
  <c r="M55" i="15"/>
  <c r="L55" i="15"/>
  <c r="K55" i="15"/>
  <c r="J55" i="15"/>
  <c r="I55" i="15"/>
  <c r="H55" i="15"/>
  <c r="G55" i="15"/>
  <c r="R53" i="15"/>
  <c r="Q53" i="15"/>
  <c r="P53" i="15"/>
  <c r="O53" i="15"/>
  <c r="N53" i="15"/>
  <c r="M53" i="15"/>
  <c r="L53" i="15"/>
  <c r="K53" i="15"/>
  <c r="J53" i="15"/>
  <c r="I53" i="15"/>
  <c r="H53" i="15"/>
  <c r="G53" i="15"/>
  <c r="R51" i="15"/>
  <c r="Q51" i="15"/>
  <c r="P51" i="15"/>
  <c r="O51" i="15"/>
  <c r="N51" i="15"/>
  <c r="M51" i="15"/>
  <c r="L51" i="15"/>
  <c r="K51" i="15"/>
  <c r="J51" i="15"/>
  <c r="I51" i="15"/>
  <c r="H51" i="15"/>
  <c r="G51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B78" i="15"/>
  <c r="B76" i="15"/>
  <c r="B74" i="15"/>
  <c r="B72" i="15"/>
  <c r="B70" i="15"/>
  <c r="B68" i="15"/>
  <c r="B66" i="15"/>
  <c r="B64" i="15"/>
  <c r="B62" i="15"/>
  <c r="B60" i="15"/>
  <c r="B58" i="15"/>
  <c r="B56" i="15"/>
  <c r="B54" i="15"/>
  <c r="B52" i="15"/>
  <c r="C50" i="15"/>
  <c r="B48" i="15"/>
  <c r="B46" i="15"/>
  <c r="B44" i="15"/>
  <c r="B42" i="15"/>
  <c r="B40" i="15"/>
  <c r="B38" i="15"/>
  <c r="B36" i="15"/>
  <c r="B34" i="15"/>
  <c r="B32" i="15"/>
  <c r="B30" i="15"/>
  <c r="B28" i="15"/>
  <c r="B26" i="15"/>
  <c r="B24" i="15"/>
  <c r="B22" i="15"/>
  <c r="C20" i="15"/>
  <c r="P40" i="12"/>
  <c r="O40" i="12"/>
  <c r="N40" i="12"/>
  <c r="M40" i="12"/>
  <c r="L40" i="12"/>
  <c r="K40" i="12"/>
  <c r="J40" i="12"/>
  <c r="I40" i="12"/>
  <c r="H40" i="12"/>
  <c r="G40" i="12"/>
  <c r="F40" i="12"/>
  <c r="E40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R18" i="5" l="1"/>
  <c r="R16" i="13"/>
  <c r="N22" i="15"/>
  <c r="N19" i="15"/>
  <c r="P24" i="15"/>
  <c r="H28" i="15"/>
  <c r="G22" i="15"/>
  <c r="G19" i="15"/>
  <c r="T21" i="15"/>
  <c r="K22" i="15"/>
  <c r="K19" i="15"/>
  <c r="O22" i="15"/>
  <c r="O19" i="15"/>
  <c r="I24" i="15"/>
  <c r="M24" i="15"/>
  <c r="Q24" i="15"/>
  <c r="G26" i="15"/>
  <c r="T25" i="15"/>
  <c r="K26" i="15"/>
  <c r="O26" i="15"/>
  <c r="I28" i="15"/>
  <c r="M28" i="15"/>
  <c r="R28" i="15"/>
  <c r="M30" i="15"/>
  <c r="K32" i="15"/>
  <c r="H34" i="15"/>
  <c r="P34" i="15"/>
  <c r="R36" i="15"/>
  <c r="J40" i="15"/>
  <c r="L42" i="15"/>
  <c r="R44" i="15"/>
  <c r="J48" i="15"/>
  <c r="I66" i="15"/>
  <c r="Q74" i="15"/>
  <c r="R22" i="15"/>
  <c r="R19" i="15"/>
  <c r="L24" i="15"/>
  <c r="N26" i="15"/>
  <c r="L28" i="15"/>
  <c r="L30" i="15"/>
  <c r="R32" i="15"/>
  <c r="P38" i="15"/>
  <c r="N44" i="15"/>
  <c r="H19" i="15"/>
  <c r="H22" i="15"/>
  <c r="L19" i="15"/>
  <c r="L22" i="15"/>
  <c r="P19" i="15"/>
  <c r="P22" i="15"/>
  <c r="J24" i="15"/>
  <c r="N24" i="15"/>
  <c r="R24" i="15"/>
  <c r="H26" i="15"/>
  <c r="L26" i="15"/>
  <c r="P26" i="15"/>
  <c r="J28" i="15"/>
  <c r="N28" i="15"/>
  <c r="H30" i="15"/>
  <c r="P30" i="15"/>
  <c r="N32" i="15"/>
  <c r="I34" i="15"/>
  <c r="Q34" i="15"/>
  <c r="G36" i="15"/>
  <c r="T35" i="15"/>
  <c r="H38" i="15"/>
  <c r="N40" i="15"/>
  <c r="P42" i="15"/>
  <c r="H46" i="15"/>
  <c r="P48" i="15"/>
  <c r="J54" i="15"/>
  <c r="G56" i="15"/>
  <c r="T55" i="15"/>
  <c r="H60" i="15"/>
  <c r="O72" i="15"/>
  <c r="J22" i="15"/>
  <c r="J19" i="15"/>
  <c r="H24" i="15"/>
  <c r="J26" i="15"/>
  <c r="R26" i="15"/>
  <c r="P28" i="15"/>
  <c r="J32" i="15"/>
  <c r="M34" i="15"/>
  <c r="N36" i="15"/>
  <c r="H42" i="15"/>
  <c r="P46" i="15"/>
  <c r="K68" i="15"/>
  <c r="I19" i="15"/>
  <c r="I22" i="15"/>
  <c r="M22" i="15"/>
  <c r="M19" i="15"/>
  <c r="Q19" i="15"/>
  <c r="Q22" i="15"/>
  <c r="T23" i="15"/>
  <c r="G24" i="15"/>
  <c r="K24" i="15"/>
  <c r="O24" i="15"/>
  <c r="I26" i="15"/>
  <c r="M26" i="15"/>
  <c r="Q26" i="15"/>
  <c r="G28" i="15"/>
  <c r="T27" i="15"/>
  <c r="K28" i="15"/>
  <c r="O28" i="15"/>
  <c r="I30" i="15"/>
  <c r="Q30" i="15"/>
  <c r="G32" i="15"/>
  <c r="T31" i="15"/>
  <c r="O32" i="15"/>
  <c r="L34" i="15"/>
  <c r="J36" i="15"/>
  <c r="L38" i="15"/>
  <c r="R40" i="15"/>
  <c r="J44" i="15"/>
  <c r="L46" i="15"/>
  <c r="L52" i="15"/>
  <c r="L49" i="15"/>
  <c r="L50" i="15" s="1"/>
  <c r="R54" i="15"/>
  <c r="O56" i="15"/>
  <c r="M58" i="15"/>
  <c r="G64" i="15"/>
  <c r="T63" i="15"/>
  <c r="M70" i="15"/>
  <c r="K36" i="15"/>
  <c r="O36" i="15"/>
  <c r="I38" i="15"/>
  <c r="M38" i="15"/>
  <c r="Q38" i="15"/>
  <c r="G40" i="15"/>
  <c r="T39" i="15"/>
  <c r="K40" i="15"/>
  <c r="O40" i="15"/>
  <c r="I42" i="15"/>
  <c r="M42" i="15"/>
  <c r="Q42" i="15"/>
  <c r="G44" i="15"/>
  <c r="T43" i="15"/>
  <c r="K44" i="15"/>
  <c r="O44" i="15"/>
  <c r="I46" i="15"/>
  <c r="M46" i="15"/>
  <c r="Q46" i="15"/>
  <c r="T47" i="15"/>
  <c r="G48" i="15"/>
  <c r="L48" i="15"/>
  <c r="Q48" i="15"/>
  <c r="G52" i="15"/>
  <c r="T51" i="15"/>
  <c r="G49" i="15"/>
  <c r="O52" i="15"/>
  <c r="O49" i="15"/>
  <c r="O50" i="15" s="1"/>
  <c r="M54" i="15"/>
  <c r="H56" i="15"/>
  <c r="P56" i="15"/>
  <c r="N58" i="15"/>
  <c r="K60" i="15"/>
  <c r="I62" i="15"/>
  <c r="K64" i="15"/>
  <c r="M66" i="15"/>
  <c r="O68" i="15"/>
  <c r="Q70" i="15"/>
  <c r="G76" i="15"/>
  <c r="T75" i="15"/>
  <c r="I78" i="15"/>
  <c r="J30" i="15"/>
  <c r="N30" i="15"/>
  <c r="R30" i="15"/>
  <c r="H32" i="15"/>
  <c r="L32" i="15"/>
  <c r="P32" i="15"/>
  <c r="J34" i="15"/>
  <c r="N34" i="15"/>
  <c r="R34" i="15"/>
  <c r="H36" i="15"/>
  <c r="L36" i="15"/>
  <c r="P36" i="15"/>
  <c r="J38" i="15"/>
  <c r="N38" i="15"/>
  <c r="R38" i="15"/>
  <c r="H40" i="15"/>
  <c r="L40" i="15"/>
  <c r="P40" i="15"/>
  <c r="J42" i="15"/>
  <c r="N42" i="15"/>
  <c r="R42" i="15"/>
  <c r="H44" i="15"/>
  <c r="L44" i="15"/>
  <c r="P44" i="15"/>
  <c r="J46" i="15"/>
  <c r="N46" i="15"/>
  <c r="R46" i="15"/>
  <c r="H48" i="15"/>
  <c r="M48" i="15"/>
  <c r="R48" i="15"/>
  <c r="H52" i="15"/>
  <c r="H49" i="15"/>
  <c r="H50" i="15" s="1"/>
  <c r="P52" i="15"/>
  <c r="P49" i="15"/>
  <c r="P50" i="15" s="1"/>
  <c r="N54" i="15"/>
  <c r="K56" i="15"/>
  <c r="I58" i="15"/>
  <c r="Q58" i="15"/>
  <c r="L60" i="15"/>
  <c r="M62" i="15"/>
  <c r="O64" i="15"/>
  <c r="Q66" i="15"/>
  <c r="G72" i="15"/>
  <c r="T71" i="15"/>
  <c r="I74" i="15"/>
  <c r="K76" i="15"/>
  <c r="M78" i="15"/>
  <c r="Q28" i="15"/>
  <c r="T29" i="15"/>
  <c r="G30" i="15"/>
  <c r="K30" i="15"/>
  <c r="O30" i="15"/>
  <c r="I32" i="15"/>
  <c r="M32" i="15"/>
  <c r="Q32" i="15"/>
  <c r="T33" i="15"/>
  <c r="G34" i="15"/>
  <c r="K34" i="15"/>
  <c r="O34" i="15"/>
  <c r="I36" i="15"/>
  <c r="M36" i="15"/>
  <c r="Q36" i="15"/>
  <c r="T37" i="15"/>
  <c r="G38" i="15"/>
  <c r="K38" i="15"/>
  <c r="O38" i="15"/>
  <c r="I40" i="15"/>
  <c r="M40" i="15"/>
  <c r="Q40" i="15"/>
  <c r="T41" i="15"/>
  <c r="G42" i="15"/>
  <c r="K42" i="15"/>
  <c r="O42" i="15"/>
  <c r="I44" i="15"/>
  <c r="M44" i="15"/>
  <c r="Q44" i="15"/>
  <c r="T45" i="15"/>
  <c r="G46" i="15"/>
  <c r="K46" i="15"/>
  <c r="O46" i="15"/>
  <c r="I48" i="15"/>
  <c r="N48" i="15"/>
  <c r="K52" i="15"/>
  <c r="K49" i="15"/>
  <c r="K50" i="15" s="1"/>
  <c r="I54" i="15"/>
  <c r="Q54" i="15"/>
  <c r="L56" i="15"/>
  <c r="J58" i="15"/>
  <c r="R58" i="15"/>
  <c r="G60" i="15"/>
  <c r="T59" i="15"/>
  <c r="O60" i="15"/>
  <c r="Q62" i="15"/>
  <c r="G68" i="15"/>
  <c r="T67" i="15"/>
  <c r="I70" i="15"/>
  <c r="K72" i="15"/>
  <c r="M74" i="15"/>
  <c r="O76" i="15"/>
  <c r="Q78" i="15"/>
  <c r="P60" i="15"/>
  <c r="J62" i="15"/>
  <c r="N62" i="15"/>
  <c r="R62" i="15"/>
  <c r="H64" i="15"/>
  <c r="L64" i="15"/>
  <c r="P64" i="15"/>
  <c r="J66" i="15"/>
  <c r="N66" i="15"/>
  <c r="R66" i="15"/>
  <c r="H68" i="15"/>
  <c r="L68" i="15"/>
  <c r="P68" i="15"/>
  <c r="J70" i="15"/>
  <c r="N70" i="15"/>
  <c r="R70" i="15"/>
  <c r="H72" i="15"/>
  <c r="L72" i="15"/>
  <c r="P72" i="15"/>
  <c r="J74" i="15"/>
  <c r="N74" i="15"/>
  <c r="R74" i="15"/>
  <c r="H76" i="15"/>
  <c r="L76" i="15"/>
  <c r="P76" i="15"/>
  <c r="J78" i="15"/>
  <c r="N78" i="15"/>
  <c r="R78" i="15"/>
  <c r="I49" i="15"/>
  <c r="I50" i="15" s="1"/>
  <c r="I52" i="15"/>
  <c r="M49" i="15"/>
  <c r="M50" i="15" s="1"/>
  <c r="M52" i="15"/>
  <c r="Q49" i="15"/>
  <c r="Q50" i="15" s="1"/>
  <c r="Q52" i="15"/>
  <c r="T53" i="15"/>
  <c r="G54" i="15"/>
  <c r="K54" i="15"/>
  <c r="O54" i="15"/>
  <c r="I56" i="15"/>
  <c r="M56" i="15"/>
  <c r="Q56" i="15"/>
  <c r="T57" i="15"/>
  <c r="G58" i="15"/>
  <c r="K58" i="15"/>
  <c r="O58" i="15"/>
  <c r="I60" i="15"/>
  <c r="M60" i="15"/>
  <c r="Q60" i="15"/>
  <c r="T61" i="15"/>
  <c r="G62" i="15"/>
  <c r="K62" i="15"/>
  <c r="O62" i="15"/>
  <c r="I64" i="15"/>
  <c r="M64" i="15"/>
  <c r="Q64" i="15"/>
  <c r="T65" i="15"/>
  <c r="G66" i="15"/>
  <c r="K66" i="15"/>
  <c r="O66" i="15"/>
  <c r="I68" i="15"/>
  <c r="M68" i="15"/>
  <c r="Q68" i="15"/>
  <c r="T69" i="15"/>
  <c r="G70" i="15"/>
  <c r="K70" i="15"/>
  <c r="O70" i="15"/>
  <c r="I72" i="15"/>
  <c r="M72" i="15"/>
  <c r="Q72" i="15"/>
  <c r="T73" i="15"/>
  <c r="G74" i="15"/>
  <c r="K74" i="15"/>
  <c r="O74" i="15"/>
  <c r="I76" i="15"/>
  <c r="M76" i="15"/>
  <c r="Q76" i="15"/>
  <c r="T77" i="15"/>
  <c r="G78" i="15"/>
  <c r="K78" i="15"/>
  <c r="O78" i="15"/>
  <c r="K48" i="15"/>
  <c r="O48" i="15"/>
  <c r="J52" i="15"/>
  <c r="J49" i="15"/>
  <c r="J50" i="15" s="1"/>
  <c r="N49" i="15"/>
  <c r="N50" i="15" s="1"/>
  <c r="N52" i="15"/>
  <c r="R52" i="15"/>
  <c r="R49" i="15"/>
  <c r="R50" i="15" s="1"/>
  <c r="H54" i="15"/>
  <c r="L54" i="15"/>
  <c r="P54" i="15"/>
  <c r="J56" i="15"/>
  <c r="N56" i="15"/>
  <c r="R56" i="15"/>
  <c r="H58" i="15"/>
  <c r="L58" i="15"/>
  <c r="P58" i="15"/>
  <c r="J60" i="15"/>
  <c r="N60" i="15"/>
  <c r="R60" i="15"/>
  <c r="H62" i="15"/>
  <c r="L62" i="15"/>
  <c r="P62" i="15"/>
  <c r="J64" i="15"/>
  <c r="N64" i="15"/>
  <c r="R64" i="15"/>
  <c r="H66" i="15"/>
  <c r="L66" i="15"/>
  <c r="P66" i="15"/>
  <c r="J68" i="15"/>
  <c r="N68" i="15"/>
  <c r="R68" i="15"/>
  <c r="H70" i="15"/>
  <c r="L70" i="15"/>
  <c r="P70" i="15"/>
  <c r="J72" i="15"/>
  <c r="N72" i="15"/>
  <c r="R72" i="15"/>
  <c r="H74" i="15"/>
  <c r="L74" i="15"/>
  <c r="P74" i="15"/>
  <c r="J76" i="15"/>
  <c r="N76" i="15"/>
  <c r="R76" i="15"/>
  <c r="H78" i="15"/>
  <c r="L78" i="15"/>
  <c r="P78" i="15"/>
  <c r="G26" i="12"/>
  <c r="G17" i="12"/>
  <c r="K26" i="12"/>
  <c r="K17" i="12"/>
  <c r="O26" i="12"/>
  <c r="O17" i="12"/>
  <c r="F19" i="12"/>
  <c r="J19" i="12"/>
  <c r="N19" i="12"/>
  <c r="H29" i="12"/>
  <c r="L29" i="12"/>
  <c r="P29" i="12"/>
  <c r="E32" i="12"/>
  <c r="R30" i="12"/>
  <c r="I32" i="12"/>
  <c r="M32" i="12"/>
  <c r="F35" i="12"/>
  <c r="J35" i="12"/>
  <c r="N35" i="12"/>
  <c r="R34" i="12"/>
  <c r="G38" i="12"/>
  <c r="K38" i="12"/>
  <c r="O38" i="12"/>
  <c r="H41" i="12"/>
  <c r="L41" i="12"/>
  <c r="P41" i="12"/>
  <c r="H26" i="12"/>
  <c r="H17" i="12"/>
  <c r="L26" i="12"/>
  <c r="L17" i="12"/>
  <c r="P26" i="12"/>
  <c r="P17" i="12"/>
  <c r="G19" i="12"/>
  <c r="K19" i="12"/>
  <c r="O19" i="12"/>
  <c r="E29" i="12"/>
  <c r="R27" i="12"/>
  <c r="I29" i="12"/>
  <c r="M29" i="12"/>
  <c r="F32" i="12"/>
  <c r="J32" i="12"/>
  <c r="N32" i="12"/>
  <c r="R31" i="12"/>
  <c r="G35" i="12"/>
  <c r="K35" i="12"/>
  <c r="O35" i="12"/>
  <c r="H38" i="12"/>
  <c r="L38" i="12"/>
  <c r="P38" i="12"/>
  <c r="E41" i="12"/>
  <c r="R39" i="12"/>
  <c r="I41" i="12"/>
  <c r="M41" i="12"/>
  <c r="E17" i="12"/>
  <c r="R24" i="12"/>
  <c r="E26" i="12"/>
  <c r="I17" i="12"/>
  <c r="I26" i="12"/>
  <c r="M17" i="12"/>
  <c r="M26" i="12"/>
  <c r="H19" i="12"/>
  <c r="L19" i="12"/>
  <c r="P19" i="12"/>
  <c r="F29" i="12"/>
  <c r="J29" i="12"/>
  <c r="N29" i="12"/>
  <c r="R28" i="12"/>
  <c r="G32" i="12"/>
  <c r="K32" i="12"/>
  <c r="O32" i="12"/>
  <c r="H35" i="12"/>
  <c r="L35" i="12"/>
  <c r="P35" i="12"/>
  <c r="R36" i="12"/>
  <c r="E38" i="12"/>
  <c r="I38" i="12"/>
  <c r="M38" i="12"/>
  <c r="F41" i="12"/>
  <c r="J41" i="12"/>
  <c r="N41" i="12"/>
  <c r="R40" i="12"/>
  <c r="F26" i="12"/>
  <c r="F17" i="12"/>
  <c r="J26" i="12"/>
  <c r="J17" i="12"/>
  <c r="N26" i="12"/>
  <c r="N17" i="12"/>
  <c r="R25" i="12"/>
  <c r="E19" i="12"/>
  <c r="I19" i="12"/>
  <c r="M19" i="12"/>
  <c r="G29" i="12"/>
  <c r="K29" i="12"/>
  <c r="O29" i="12"/>
  <c r="H32" i="12"/>
  <c r="L32" i="12"/>
  <c r="P32" i="12"/>
  <c r="R33" i="12"/>
  <c r="E35" i="12"/>
  <c r="I35" i="12"/>
  <c r="M35" i="12"/>
  <c r="F38" i="12"/>
  <c r="J38" i="12"/>
  <c r="N38" i="12"/>
  <c r="R37" i="12"/>
  <c r="G41" i="12"/>
  <c r="K41" i="12"/>
  <c r="O41" i="12"/>
  <c r="I7" i="5" l="1"/>
  <c r="E7" i="5"/>
  <c r="H7" i="5"/>
  <c r="G7" i="5"/>
  <c r="N7" i="5"/>
  <c r="J7" i="5"/>
  <c r="M21" i="12"/>
  <c r="M7" i="5"/>
  <c r="P7" i="5"/>
  <c r="O7" i="5"/>
  <c r="F7" i="5"/>
  <c r="L21" i="12"/>
  <c r="L7" i="5"/>
  <c r="K7" i="5"/>
  <c r="L20" i="15"/>
  <c r="L13" i="15"/>
  <c r="L15" i="15" s="1"/>
  <c r="O13" i="15"/>
  <c r="O15" i="15" s="1"/>
  <c r="O20" i="15"/>
  <c r="G50" i="15"/>
  <c r="T49" i="15"/>
  <c r="T50" i="15" s="1"/>
  <c r="J20" i="15"/>
  <c r="J13" i="15"/>
  <c r="J15" i="15" s="1"/>
  <c r="P13" i="15"/>
  <c r="P15" i="15" s="1"/>
  <c r="P20" i="15"/>
  <c r="H13" i="15"/>
  <c r="H15" i="15" s="1"/>
  <c r="H20" i="15"/>
  <c r="R20" i="15"/>
  <c r="R13" i="15"/>
  <c r="R15" i="15" s="1"/>
  <c r="G13" i="15"/>
  <c r="G20" i="15"/>
  <c r="T19" i="15"/>
  <c r="N20" i="15"/>
  <c r="N13" i="15"/>
  <c r="N15" i="15" s="1"/>
  <c r="M20" i="15"/>
  <c r="M13" i="15"/>
  <c r="M15" i="15" s="1"/>
  <c r="Q20" i="15"/>
  <c r="Q13" i="15"/>
  <c r="Q15" i="15" s="1"/>
  <c r="I20" i="15"/>
  <c r="I13" i="15"/>
  <c r="I15" i="15" s="1"/>
  <c r="K13" i="15"/>
  <c r="K15" i="15" s="1"/>
  <c r="K20" i="15"/>
  <c r="R35" i="12"/>
  <c r="R26" i="12"/>
  <c r="P21" i="12"/>
  <c r="O21" i="12"/>
  <c r="K21" i="12"/>
  <c r="H21" i="12"/>
  <c r="G21" i="12"/>
  <c r="J21" i="12"/>
  <c r="R41" i="12"/>
  <c r="F21" i="12"/>
  <c r="I21" i="12"/>
  <c r="R38" i="12"/>
  <c r="R32" i="12"/>
  <c r="E21" i="12"/>
  <c r="C17" i="12"/>
  <c r="C19" i="12"/>
  <c r="R29" i="12"/>
  <c r="N21" i="12"/>
  <c r="I6" i="5" l="1"/>
  <c r="G6" i="5"/>
  <c r="P6" i="5"/>
  <c r="I16" i="5"/>
  <c r="P16" i="5"/>
  <c r="J16" i="5"/>
  <c r="F6" i="5"/>
  <c r="N16" i="5"/>
  <c r="N6" i="5"/>
  <c r="E6" i="5"/>
  <c r="H6" i="5"/>
  <c r="G16" i="5"/>
  <c r="K16" i="5"/>
  <c r="K6" i="5"/>
  <c r="H16" i="5"/>
  <c r="L6" i="5"/>
  <c r="R7" i="5"/>
  <c r="J6" i="5"/>
  <c r="O6" i="5"/>
  <c r="O16" i="5"/>
  <c r="L16" i="5"/>
  <c r="F16" i="5"/>
  <c r="M16" i="5"/>
  <c r="M6" i="5"/>
  <c r="E13" i="15"/>
  <c r="E15" i="15" s="1"/>
  <c r="G15" i="15"/>
  <c r="T13" i="15"/>
  <c r="T20" i="15"/>
  <c r="C21" i="12"/>
  <c r="Q29" i="7"/>
  <c r="P29" i="7"/>
  <c r="O29" i="7"/>
  <c r="N29" i="7"/>
  <c r="M29" i="7"/>
  <c r="L29" i="7"/>
  <c r="K29" i="7"/>
  <c r="J29" i="7"/>
  <c r="I29" i="7"/>
  <c r="H29" i="7"/>
  <c r="G29" i="7"/>
  <c r="Q28" i="7"/>
  <c r="P28" i="7"/>
  <c r="O28" i="7"/>
  <c r="N28" i="7"/>
  <c r="M28" i="7"/>
  <c r="L28" i="7"/>
  <c r="K28" i="7"/>
  <c r="J28" i="7"/>
  <c r="I28" i="7"/>
  <c r="H28" i="7"/>
  <c r="G28" i="7"/>
  <c r="F29" i="7"/>
  <c r="F28" i="7"/>
  <c r="Q25" i="7"/>
  <c r="P25" i="7"/>
  <c r="O25" i="7"/>
  <c r="N25" i="7"/>
  <c r="M25" i="7"/>
  <c r="L25" i="7"/>
  <c r="K25" i="7"/>
  <c r="J25" i="7"/>
  <c r="I25" i="7"/>
  <c r="H25" i="7"/>
  <c r="G25" i="7"/>
  <c r="F25" i="7"/>
  <c r="Q24" i="7"/>
  <c r="P24" i="7"/>
  <c r="P26" i="7" s="1"/>
  <c r="P27" i="7" s="1"/>
  <c r="O24" i="7"/>
  <c r="N24" i="7"/>
  <c r="N26" i="7" s="1"/>
  <c r="N27" i="7" s="1"/>
  <c r="M24" i="7"/>
  <c r="L24" i="7"/>
  <c r="K24" i="7"/>
  <c r="J24" i="7"/>
  <c r="J26" i="7" s="1"/>
  <c r="J27" i="7" s="1"/>
  <c r="I24" i="7"/>
  <c r="H24" i="7"/>
  <c r="G24" i="7"/>
  <c r="F24" i="7"/>
  <c r="Q21" i="7"/>
  <c r="P21" i="7"/>
  <c r="O21" i="7"/>
  <c r="N21" i="7"/>
  <c r="M21" i="7"/>
  <c r="L21" i="7"/>
  <c r="K21" i="7"/>
  <c r="J21" i="7"/>
  <c r="I21" i="7"/>
  <c r="H21" i="7"/>
  <c r="G21" i="7"/>
  <c r="F21" i="7"/>
  <c r="Q20" i="7"/>
  <c r="P20" i="7"/>
  <c r="P22" i="7" s="1"/>
  <c r="P23" i="7" s="1"/>
  <c r="O20" i="7"/>
  <c r="N20" i="7"/>
  <c r="N22" i="7" s="1"/>
  <c r="N23" i="7" s="1"/>
  <c r="M20" i="7"/>
  <c r="L20" i="7"/>
  <c r="L22" i="7" s="1"/>
  <c r="L23" i="7" s="1"/>
  <c r="K20" i="7"/>
  <c r="J20" i="7"/>
  <c r="I20" i="7"/>
  <c r="H20" i="7"/>
  <c r="H22" i="7" s="1"/>
  <c r="H23" i="7" s="1"/>
  <c r="G20" i="7"/>
  <c r="G22" i="7" s="1"/>
  <c r="G23" i="7" s="1"/>
  <c r="F20" i="7"/>
  <c r="F22" i="7" s="1"/>
  <c r="F23" i="7" s="1"/>
  <c r="Q17" i="7"/>
  <c r="P17" i="7"/>
  <c r="O17" i="7"/>
  <c r="N17" i="7"/>
  <c r="M17" i="7"/>
  <c r="L17" i="7"/>
  <c r="K17" i="7"/>
  <c r="J17" i="7"/>
  <c r="I17" i="7"/>
  <c r="H17" i="7"/>
  <c r="G17" i="7"/>
  <c r="F17" i="7"/>
  <c r="Q16" i="7"/>
  <c r="P16" i="7"/>
  <c r="P18" i="7" s="1"/>
  <c r="P19" i="7" s="1"/>
  <c r="O16" i="7"/>
  <c r="N16" i="7"/>
  <c r="N18" i="7" s="1"/>
  <c r="N19" i="7" s="1"/>
  <c r="M16" i="7"/>
  <c r="L16" i="7"/>
  <c r="L18" i="7" s="1"/>
  <c r="L19" i="7" s="1"/>
  <c r="K16" i="7"/>
  <c r="J16" i="7"/>
  <c r="J18" i="7" s="1"/>
  <c r="J19" i="7" s="1"/>
  <c r="I16" i="7"/>
  <c r="H16" i="7"/>
  <c r="H18" i="7" s="1"/>
  <c r="H19" i="7" s="1"/>
  <c r="G16" i="7"/>
  <c r="F16" i="7"/>
  <c r="F18" i="7" s="1"/>
  <c r="F19" i="7" s="1"/>
  <c r="Q13" i="7"/>
  <c r="P13" i="7"/>
  <c r="O13" i="7"/>
  <c r="N13" i="7"/>
  <c r="M13" i="7"/>
  <c r="L13" i="7"/>
  <c r="K13" i="7"/>
  <c r="K5" i="7" s="1"/>
  <c r="J13" i="7"/>
  <c r="I13" i="7"/>
  <c r="H13" i="7"/>
  <c r="G13" i="7"/>
  <c r="F13" i="7"/>
  <c r="Q12" i="7"/>
  <c r="P12" i="7"/>
  <c r="P14" i="7" s="1"/>
  <c r="P15" i="7" s="1"/>
  <c r="O12" i="7"/>
  <c r="N12" i="7"/>
  <c r="N14" i="7" s="1"/>
  <c r="N15" i="7" s="1"/>
  <c r="M12" i="7"/>
  <c r="L12" i="7"/>
  <c r="L14" i="7" s="1"/>
  <c r="L15" i="7" s="1"/>
  <c r="K12" i="7"/>
  <c r="K14" i="7" s="1"/>
  <c r="K15" i="7" s="1"/>
  <c r="J12" i="7"/>
  <c r="J14" i="7" s="1"/>
  <c r="J15" i="7" s="1"/>
  <c r="I12" i="7"/>
  <c r="H12" i="7"/>
  <c r="H14" i="7" s="1"/>
  <c r="H15" i="7" s="1"/>
  <c r="G12" i="7"/>
  <c r="F12" i="7"/>
  <c r="R30" i="7"/>
  <c r="P30" i="7"/>
  <c r="P31" i="7" s="1"/>
  <c r="K30" i="7"/>
  <c r="K31" i="7" s="1"/>
  <c r="L26" i="7"/>
  <c r="L27" i="7" s="1"/>
  <c r="Q22" i="7"/>
  <c r="M22" i="7"/>
  <c r="I22" i="7"/>
  <c r="I23" i="7" s="1"/>
  <c r="Q18" i="7"/>
  <c r="Q19" i="7" s="1"/>
  <c r="O18" i="7"/>
  <c r="O19" i="7" s="1"/>
  <c r="M18" i="7"/>
  <c r="M19" i="7" s="1"/>
  <c r="I18" i="7"/>
  <c r="I19" i="7" s="1"/>
  <c r="Q14" i="7"/>
  <c r="Q15" i="7" s="1"/>
  <c r="O14" i="7"/>
  <c r="M14" i="7"/>
  <c r="M15" i="7" s="1"/>
  <c r="I14" i="7"/>
  <c r="I15" i="7" s="1"/>
  <c r="G14" i="7"/>
  <c r="G15" i="7" s="1"/>
  <c r="G30" i="7" l="1"/>
  <c r="G31" i="7" s="1"/>
  <c r="O30" i="7"/>
  <c r="O31" i="7" s="1"/>
  <c r="S17" i="7"/>
  <c r="N30" i="7"/>
  <c r="N31" i="7" s="1"/>
  <c r="J30" i="7"/>
  <c r="J31" i="7" s="1"/>
  <c r="H30" i="7"/>
  <c r="H31" i="7" s="1"/>
  <c r="L30" i="7"/>
  <c r="L31" i="7" s="1"/>
  <c r="S13" i="7"/>
  <c r="E16" i="5"/>
  <c r="R17" i="12"/>
  <c r="R6" i="5"/>
  <c r="E17" i="15"/>
  <c r="R16" i="5"/>
  <c r="G18" i="7"/>
  <c r="G19" i="7" s="1"/>
  <c r="K18" i="7"/>
  <c r="K19" i="7" s="1"/>
  <c r="K22" i="7"/>
  <c r="K23" i="7" s="1"/>
  <c r="O5" i="7"/>
  <c r="F30" i="7"/>
  <c r="O22" i="7"/>
  <c r="O23" i="7" s="1"/>
  <c r="S16" i="7"/>
  <c r="S12" i="7"/>
  <c r="F14" i="7"/>
  <c r="F15" i="7" s="1"/>
  <c r="Q5" i="7"/>
  <c r="N3" i="7"/>
  <c r="L5" i="7"/>
  <c r="M5" i="7"/>
  <c r="Q3" i="7"/>
  <c r="J3" i="7"/>
  <c r="J5" i="7"/>
  <c r="N5" i="7"/>
  <c r="P5" i="7"/>
  <c r="M3" i="7"/>
  <c r="P3" i="7"/>
  <c r="L3" i="7"/>
  <c r="M23" i="7"/>
  <c r="Q23" i="7"/>
  <c r="O7" i="7"/>
  <c r="M26" i="7"/>
  <c r="M27" i="7" s="1"/>
  <c r="Q26" i="7"/>
  <c r="Q27" i="7" s="1"/>
  <c r="I30" i="7"/>
  <c r="I31" i="7" s="1"/>
  <c r="M30" i="7"/>
  <c r="M31" i="7" s="1"/>
  <c r="Q30" i="7"/>
  <c r="Q31" i="7" s="1"/>
  <c r="S21" i="7"/>
  <c r="J22" i="7"/>
  <c r="S29" i="7"/>
  <c r="G5" i="7"/>
  <c r="G3" i="7"/>
  <c r="J7" i="7"/>
  <c r="O15" i="7"/>
  <c r="K3" i="7"/>
  <c r="O3" i="7"/>
  <c r="H7" i="7"/>
  <c r="L7" i="7"/>
  <c r="P7" i="7"/>
  <c r="K26" i="7"/>
  <c r="K27" i="7" s="1"/>
  <c r="O26" i="7"/>
  <c r="O27" i="7" s="1"/>
  <c r="S18" i="7"/>
  <c r="S19" i="7" s="1"/>
  <c r="S20" i="7"/>
  <c r="S28" i="7"/>
  <c r="F31" i="7"/>
  <c r="K7" i="7" l="1"/>
  <c r="N7" i="7"/>
  <c r="S22" i="7"/>
  <c r="S14" i="7"/>
  <c r="S15" i="7" s="1"/>
  <c r="J23" i="7"/>
  <c r="G26" i="7"/>
  <c r="G27" i="7" s="1"/>
  <c r="S30" i="7"/>
  <c r="S31" i="7" s="1"/>
  <c r="S23" i="7"/>
  <c r="Q7" i="7"/>
  <c r="I7" i="7"/>
  <c r="M7" i="7"/>
  <c r="I5" i="7"/>
  <c r="H5" i="7"/>
  <c r="H9" i="7" s="1"/>
  <c r="I3" i="7"/>
  <c r="H3" i="7"/>
  <c r="F5" i="7"/>
  <c r="S24" i="7"/>
  <c r="F26" i="7"/>
  <c r="F3" i="7"/>
  <c r="G7" i="7" l="1"/>
  <c r="G9" i="7" s="1"/>
  <c r="F13" i="5" s="1"/>
  <c r="G13" i="5"/>
  <c r="I26" i="7"/>
  <c r="I27" i="7" s="1"/>
  <c r="I9" i="7"/>
  <c r="S25" i="7"/>
  <c r="H26" i="7"/>
  <c r="H27" i="7" s="1"/>
  <c r="D5" i="7"/>
  <c r="D3" i="7"/>
  <c r="F27" i="7"/>
  <c r="F7" i="7"/>
  <c r="H13" i="5" l="1"/>
  <c r="S26" i="7"/>
  <c r="S27" i="7" s="1"/>
  <c r="D7" i="7"/>
  <c r="F9" i="7"/>
  <c r="E13" i="5" l="1"/>
  <c r="S3" i="7"/>
  <c r="D9" i="7"/>
  <c r="R13" i="5" l="1"/>
  <c r="E11" i="5"/>
  <c r="E10" i="5"/>
  <c r="T45" i="8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7C57ED3-E9B4-4BBB-9860-46BD30775180}" keepAlive="1" name="ThisWorkbookDataModel" description="Modèle de données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4C7AEDF6-B2AD-4C91-BA89-2D40162D6747}" name="WorksheetConnection_TBD CCE.2022.xlsx!Mois" type="102" refreshedVersion="7" minRefreshableVersion="5">
    <extLst>
      <ext xmlns:x15="http://schemas.microsoft.com/office/spreadsheetml/2010/11/main" uri="{DE250136-89BD-433C-8126-D09CA5730AF9}">
        <x15:connection id="Mois">
          <x15:rangePr sourceName="_xlcn.WorksheetConnection_TBDCCE.2022.xlsxMois1"/>
        </x15:connection>
      </ext>
    </extLst>
  </connection>
  <connection id="3" xr16:uid="{A1449CAF-D8AB-42E1-B011-ABD5CA2070FA}" name="WorksheetConnection_TBD CCE.2022.xlsx!Service" type="102" refreshedVersion="7" minRefreshableVersion="5">
    <extLst>
      <ext xmlns:x15="http://schemas.microsoft.com/office/spreadsheetml/2010/11/main" uri="{DE250136-89BD-433C-8126-D09CA5730AF9}">
        <x15:connection id="Service">
          <x15:rangePr sourceName="_xlcn.WorksheetConnection_TBDCCE.2022.xlsxService1"/>
        </x15:connection>
      </ext>
    </extLst>
  </connection>
</connections>
</file>

<file path=xl/sharedStrings.xml><?xml version="1.0" encoding="utf-8"?>
<sst xmlns="http://schemas.openxmlformats.org/spreadsheetml/2006/main" count="1886" uniqueCount="162">
  <si>
    <t>Taux de Déchet</t>
  </si>
  <si>
    <t>KPI</t>
  </si>
  <si>
    <t>PIC Vs Réalisation Prod.</t>
  </si>
  <si>
    <t>PIC Vs Réalisation Liv.</t>
  </si>
  <si>
    <t>Taux de Remplissage Magasin PF</t>
  </si>
  <si>
    <t>Durée Moyenne de Stockage PF</t>
  </si>
  <si>
    <t>Taux de Couverture de Stock Fer</t>
  </si>
  <si>
    <t>Durée Moy.de Stockage Fer Nu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</si>
  <si>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</si>
  <si>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</si>
  <si>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</si>
  <si>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</si>
  <si>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</si>
  <si>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</si>
  <si>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</si>
  <si>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</si>
  <si>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</si>
  <si>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</si>
  <si>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</si>
  <si>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</si>
  <si>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Objectif</t>
  </si>
  <si>
    <t>Taux de Retour Client</t>
  </si>
  <si>
    <t>90j</t>
  </si>
  <si>
    <t>CA Réalisé</t>
  </si>
  <si>
    <t>Total Consommation</t>
  </si>
  <si>
    <t>Total Production</t>
  </si>
  <si>
    <t>Ecart</t>
  </si>
  <si>
    <t>Atelier</t>
  </si>
  <si>
    <t>Total</t>
  </si>
  <si>
    <t>Fond &amp; Accessoires</t>
  </si>
  <si>
    <t>Consommation</t>
  </si>
  <si>
    <t>Production</t>
  </si>
  <si>
    <t>BT1/5EMB</t>
  </si>
  <si>
    <t>BT1/6PC</t>
  </si>
  <si>
    <t>BT185GCHAMIA</t>
  </si>
  <si>
    <t>BT1KGD108</t>
  </si>
  <si>
    <t>Géneral Ligne</t>
  </si>
  <si>
    <t>BT1/10PRE</t>
  </si>
  <si>
    <t>BT1/2LRD</t>
  </si>
  <si>
    <t>BT1/2PRE</t>
  </si>
  <si>
    <t>BT1KGLAQ</t>
  </si>
  <si>
    <t>BT1KGPRE</t>
  </si>
  <si>
    <t>BT1LRD</t>
  </si>
  <si>
    <t>SC10L</t>
  </si>
  <si>
    <t>SC4L</t>
  </si>
  <si>
    <t>SC5L</t>
  </si>
  <si>
    <t>Haute Cadence</t>
  </si>
  <si>
    <t>BT1/2</t>
  </si>
  <si>
    <t>BT1/6</t>
  </si>
  <si>
    <t>BT1-9KGTHON</t>
  </si>
  <si>
    <t>BT2K5HARISSA</t>
  </si>
  <si>
    <t>BT2K5THON</t>
  </si>
  <si>
    <t>Galon</t>
  </si>
  <si>
    <t>Impremerie</t>
  </si>
  <si>
    <t>BT1/10EMB</t>
  </si>
  <si>
    <t>Avancement</t>
  </si>
  <si>
    <t>Secteur</t>
  </si>
  <si>
    <t>Année</t>
  </si>
  <si>
    <t>Alimentaire</t>
  </si>
  <si>
    <t>2021</t>
  </si>
  <si>
    <t>2022</t>
  </si>
  <si>
    <t>Chamia</t>
  </si>
  <si>
    <t>Huile</t>
  </si>
  <si>
    <t>Industriel</t>
  </si>
  <si>
    <t>Passager</t>
  </si>
  <si>
    <t>Thon</t>
  </si>
  <si>
    <t>TBD CCE</t>
  </si>
  <si>
    <t>Stock.Moy.</t>
  </si>
  <si>
    <t>T.Couverture</t>
  </si>
  <si>
    <t>Secteur 1</t>
  </si>
  <si>
    <t>Conso.Moy</t>
  </si>
  <si>
    <t>Stock</t>
  </si>
  <si>
    <t>Couverture</t>
  </si>
  <si>
    <t>BT4/4-400GR</t>
  </si>
  <si>
    <t>BT620/700/850/1KTHON</t>
  </si>
  <si>
    <t>BT2/3/4/5LRECT</t>
  </si>
  <si>
    <t>BT5/1-3/1</t>
  </si>
  <si>
    <t>BT2KG/5KGCHAMIA</t>
  </si>
  <si>
    <t>Secteur 2</t>
  </si>
  <si>
    <t>BD18L/SC20L</t>
  </si>
  <si>
    <t>SC18L/BD16L</t>
  </si>
  <si>
    <t>BT1KGMASTIC/3K6</t>
  </si>
  <si>
    <t>SC22L/BD20</t>
  </si>
  <si>
    <t>D.Moy.Stockage</t>
  </si>
  <si>
    <t>Rotation de Stock</t>
  </si>
  <si>
    <t>Nbre Jour</t>
  </si>
  <si>
    <t>T.Rotation</t>
  </si>
  <si>
    <t>Stock Final</t>
  </si>
  <si>
    <t>Stock Départ</t>
  </si>
  <si>
    <t>Stock.</t>
  </si>
  <si>
    <t>Capacité Global</t>
  </si>
  <si>
    <t>T.Palette</t>
  </si>
  <si>
    <t>Taux d'Occupation</t>
  </si>
  <si>
    <t>Dépôt PF1</t>
  </si>
  <si>
    <t>Capacité / Palette</t>
  </si>
  <si>
    <t>Nbre.Palette</t>
  </si>
  <si>
    <t>Dépôt PF2</t>
  </si>
  <si>
    <t>Taux de Rotation</t>
  </si>
  <si>
    <t>BT1KGTHON</t>
  </si>
  <si>
    <t>BT2KGCHAMIA</t>
  </si>
  <si>
    <t>BT2LRECT</t>
  </si>
  <si>
    <t>BT3/1</t>
  </si>
  <si>
    <t>BT3LRECT</t>
  </si>
  <si>
    <t>BT4/4</t>
  </si>
  <si>
    <t>BT400GCHAM</t>
  </si>
  <si>
    <t>BT400GTHON</t>
  </si>
  <si>
    <t>BT4LRECT</t>
  </si>
  <si>
    <t>BT5/1</t>
  </si>
  <si>
    <t>BT500GCHAMIA</t>
  </si>
  <si>
    <t>BT5KGCHAMIA</t>
  </si>
  <si>
    <t>BT5LRECT</t>
  </si>
  <si>
    <t>BT620GTHON</t>
  </si>
  <si>
    <t>BT700GTHON</t>
  </si>
  <si>
    <t>BT800GCHAM</t>
  </si>
  <si>
    <t>BT850GTHON</t>
  </si>
  <si>
    <t>BD18L</t>
  </si>
  <si>
    <t>BD20L</t>
  </si>
  <si>
    <t>BT1/4LRD</t>
  </si>
  <si>
    <t>BT1/4PRE</t>
  </si>
  <si>
    <t>BT1K5MASTIC</t>
  </si>
  <si>
    <t>BT1KGMASTIC</t>
  </si>
  <si>
    <t>BT3K6</t>
  </si>
  <si>
    <t>BT3KG</t>
  </si>
  <si>
    <t>SC18L</t>
  </si>
  <si>
    <t>SC20L</t>
  </si>
  <si>
    <t>SC22L</t>
  </si>
  <si>
    <t>SC23L</t>
  </si>
  <si>
    <t>D.Stockage</t>
  </si>
  <si>
    <t>Suivi Prévision Vs Réalisation Prod.2022</t>
  </si>
  <si>
    <t>Total Prévision</t>
  </si>
  <si>
    <t>Total Réalisation</t>
  </si>
  <si>
    <t>Famille</t>
  </si>
  <si>
    <t>Prévision</t>
  </si>
  <si>
    <t>Réelle</t>
  </si>
  <si>
    <t>Réalisation en %</t>
  </si>
  <si>
    <t>Suivi Prévision Vs Réalisation Liv.2022</t>
  </si>
  <si>
    <t>Nbre Liv.</t>
  </si>
  <si>
    <t>Nbre Ret.</t>
  </si>
  <si>
    <t xml:space="preserve">Taux </t>
  </si>
  <si>
    <t xml:space="preserve">TBD SUPPLY CHAIN </t>
  </si>
  <si>
    <t>Tendence Production 22 Vs 2021</t>
  </si>
  <si>
    <t>Ecart 21 Vs 22</t>
  </si>
  <si>
    <t>Avancement CA 22 Vs 21</t>
  </si>
  <si>
    <t>Service</t>
  </si>
  <si>
    <t>Logistique</t>
  </si>
  <si>
    <t>Commercial</t>
  </si>
  <si>
    <t>Rotation des Stocks PF</t>
  </si>
  <si>
    <t>Rotation des Stocks Fer Nu</t>
  </si>
  <si>
    <t>Mois</t>
  </si>
  <si>
    <t>Étiquettes de lignes</t>
  </si>
  <si>
    <t>Total général</t>
  </si>
  <si>
    <t>Valeur</t>
  </si>
  <si>
    <t>Somme de Janvier</t>
  </si>
  <si>
    <t>Somme de Février</t>
  </si>
  <si>
    <t>Somme de Mars</t>
  </si>
  <si>
    <t>Somme de Avril</t>
  </si>
  <si>
    <t>Étiquettes de colonnes</t>
  </si>
  <si>
    <t>Somme de Valeur</t>
  </si>
  <si>
    <t/>
  </si>
  <si>
    <t>CA</t>
  </si>
  <si>
    <t>Tendence Production</t>
  </si>
  <si>
    <t>Moyenne de Valeur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</si>
</sst>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164" formatCode="0.0%"/>
    <numFmt numFmtId="165" formatCode="#,##0&quot;&quot;&quot;j&quot;"/>
    <numFmt numFmtId="166" formatCode="_-* #,##0\ _€_-;\-* #,##0\ _€_-;_-* &quot;-&quot;??\ _€_-;_-@_-"/>
    <numFmt numFmtId="167" formatCode="_-* #,##0\ _€_-;\-* #,##0\ _€_-;_-* &quot;-&quot;\ _€_-;_-@_-"/>
    <numFmt numFmtId="168" formatCode="#,##0_ ;\-#,##0\ "/>
    <numFmt numFmtId="169" formatCode="#,##0&quot;&quot;\ &quot;j&quot;"/>
    <numFmt numFmtId="170" formatCode="#,##0&quot;&quot;\ &quot;T&quot;"/>
    <numFmt numFmtId="171" formatCode="0.0"/>
    <numFmt numFmtId="172" formatCode="#,##0\ [$TND]"/>
    <numFmt numFmtId="173" formatCode="_-* #,##0\ [$TND]_-;\-* #,##0\ [$TND]_-;_-* &quot;-&quot;\ [$TND]_-;_-@_-"/>
    <numFmt numFmtId="174" formatCode="#,##0&quot;&quot;\ &quot;Bt&quot;"/>
    <numFmt numFmtId="180" formatCode="#,##0&quot;j&quot;"/>
    <numFmt numFmtId="181" formatCode="#,##0.0"/>
  </numFmts>
  <fonts count="6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FF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660066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10"/>
      <color rgb="FF660066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rgb="FFC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 tint="0.14999847407452621"/>
      <name val="Calibri"/>
      <family val="2"/>
      <scheme val="minor"/>
    </font>
    <font>
      <b/>
      <sz val="16"/>
      <color rgb="FFFFFF00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b/>
      <sz val="20"/>
      <color rgb="FFFFFF00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22"/>
      <color rgb="FFFFFF0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10"/>
      <color rgb="FFF80000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10"/>
      <color theme="9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name val="Calibri"/>
      <family val="2"/>
      <scheme val="minor"/>
    </font>
    <font>
      <sz val="18"/>
      <color theme="1"/>
      <name val="Wingdings"/>
      <charset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Wingdings"/>
      <charset val="2"/>
    </font>
    <font>
      <u/>
      <sz val="11"/>
      <color theme="8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4"/>
      <color theme="0"/>
      <name val="Calibri"/>
      <family val="2"/>
      <scheme val="minor"/>
    </font>
    <font>
      <b/>
      <sz val="28"/>
      <color rgb="FFFFFF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36"/>
      <color theme="7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660066"/>
      <name val="Calibri"/>
      <family val="2"/>
      <scheme val="minor"/>
    </font>
    <font>
      <b/>
      <sz val="12"/>
      <color rgb="FF660066"/>
      <name val="Calibri"/>
      <family val="2"/>
      <scheme val="minor"/>
    </font>
    <font>
      <b/>
      <u/>
      <sz val="18"/>
      <color rgb="FFFF66FF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5F5"/>
        <bgColor indexed="64"/>
      </patternFill>
    </fill>
    <fill>
      <patternFill patternType="solid">
        <fgColor rgb="FFFAE4D6"/>
        <bgColor indexed="64"/>
      </patternFill>
    </fill>
  </fills>
  <borders count="301">
    <border>
      <left/>
      <right/>
      <top/>
      <bottom/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hair">
        <color theme="9" tint="-0.499984740745262"/>
      </right>
      <top style="thin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 style="thin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 style="thin">
        <color theme="9" tint="-0.499984740745262"/>
      </right>
      <top style="thin">
        <color theme="9" tint="-0.499984740745262"/>
      </top>
      <bottom style="hair">
        <color theme="9" tint="-0.499984740745262"/>
      </bottom>
      <diagonal/>
    </border>
    <border>
      <left style="thin">
        <color theme="9" tint="-0.499984740745262"/>
      </left>
      <right style="hair">
        <color theme="9" tint="-0.499984740745262"/>
      </right>
      <top style="hair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 style="hair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 style="thin">
        <color theme="9" tint="-0.499984740745262"/>
      </right>
      <top style="hair">
        <color theme="9" tint="-0.499984740745262"/>
      </top>
      <bottom style="hair">
        <color theme="9" tint="-0.499984740745262"/>
      </bottom>
      <diagonal/>
    </border>
    <border>
      <left style="thin">
        <color theme="9" tint="-0.499984740745262"/>
      </left>
      <right style="hair">
        <color theme="9" tint="-0.499984740745262"/>
      </right>
      <top style="hair">
        <color theme="9" tint="-0.499984740745262"/>
      </top>
      <bottom style="thin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 style="hair">
        <color theme="9" tint="-0.499984740745262"/>
      </top>
      <bottom style="thin">
        <color theme="9" tint="-0.499984740745262"/>
      </bottom>
      <diagonal/>
    </border>
    <border>
      <left style="hair">
        <color theme="9" tint="-0.499984740745262"/>
      </left>
      <right style="thin">
        <color theme="9" tint="-0.499984740745262"/>
      </right>
      <top style="hair">
        <color theme="9" tint="-0.499984740745262"/>
      </top>
      <bottom style="thin">
        <color theme="9" tint="-0.499984740745262"/>
      </bottom>
      <diagonal/>
    </border>
    <border>
      <left/>
      <right/>
      <top style="double">
        <color theme="9" tint="-0.499984740745262"/>
      </top>
      <bottom/>
      <diagonal/>
    </border>
    <border>
      <left style="thin">
        <color theme="9" tint="-0.249977111117893"/>
      </left>
      <right/>
      <top/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hair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hair">
        <color theme="9" tint="-0.249977111117893"/>
      </left>
      <right style="hair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hair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/>
      <top style="thin">
        <color theme="9" tint="-0.249977111117893"/>
      </top>
      <bottom/>
      <diagonal/>
    </border>
    <border>
      <left style="thin">
        <color theme="9" tint="-0.249977111117893"/>
      </left>
      <right/>
      <top style="thin">
        <color theme="9" tint="-0.249977111117893"/>
      </top>
      <bottom/>
      <diagonal/>
    </border>
    <border>
      <left/>
      <right style="thin">
        <color theme="9" tint="-0.249977111117893"/>
      </right>
      <top style="thin">
        <color theme="9" tint="-0.249977111117893"/>
      </top>
      <bottom/>
      <diagonal/>
    </border>
    <border>
      <left/>
      <right/>
      <top style="medium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 style="hair">
        <color theme="9" tint="-0.249977111117893"/>
      </right>
      <top style="thin">
        <color theme="9" tint="-0.249977111117893"/>
      </top>
      <bottom/>
      <diagonal/>
    </border>
    <border>
      <left style="hair">
        <color theme="9" tint="-0.249977111117893"/>
      </left>
      <right style="hair">
        <color theme="9" tint="-0.249977111117893"/>
      </right>
      <top style="thin">
        <color theme="9" tint="-0.249977111117893"/>
      </top>
      <bottom/>
      <diagonal/>
    </border>
    <border>
      <left style="hair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/>
      <bottom/>
      <diagonal/>
    </border>
    <border>
      <left style="thin">
        <color theme="9" tint="-0.249977111117893"/>
      </left>
      <right style="hair">
        <color theme="9" tint="-0.249977111117893"/>
      </right>
      <top/>
      <bottom/>
      <diagonal/>
    </border>
    <border>
      <left style="hair">
        <color theme="9" tint="-0.249977111117893"/>
      </left>
      <right style="hair">
        <color theme="9" tint="-0.249977111117893"/>
      </right>
      <top/>
      <bottom/>
      <diagonal/>
    </border>
    <border>
      <left style="hair">
        <color theme="9" tint="-0.249977111117893"/>
      </left>
      <right style="thin">
        <color theme="9" tint="-0.249977111117893"/>
      </right>
      <top/>
      <bottom/>
      <diagonal/>
    </border>
    <border>
      <left style="thin">
        <color theme="9" tint="-0.249977111117893"/>
      </left>
      <right/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 style="hair">
        <color theme="9" tint="-0.249977111117893"/>
      </right>
      <top/>
      <bottom style="thin">
        <color theme="9" tint="-0.249977111117893"/>
      </bottom>
      <diagonal/>
    </border>
    <border>
      <left style="hair">
        <color theme="9" tint="-0.249977111117893"/>
      </left>
      <right style="hair">
        <color theme="9" tint="-0.249977111117893"/>
      </right>
      <top/>
      <bottom style="thin">
        <color theme="9" tint="-0.249977111117893"/>
      </bottom>
      <diagonal/>
    </border>
    <border>
      <left style="hair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rgb="FF7030A0"/>
      </left>
      <right/>
      <top style="thin">
        <color rgb="FF7030A0"/>
      </top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hair">
        <color rgb="FF7030A0"/>
      </right>
      <top style="thin">
        <color rgb="FF7030A0"/>
      </top>
      <bottom style="thin">
        <color rgb="FF7030A0"/>
      </bottom>
      <diagonal/>
    </border>
    <border>
      <left style="hair">
        <color rgb="FF7030A0"/>
      </left>
      <right style="hair">
        <color rgb="FF7030A0"/>
      </right>
      <top style="thin">
        <color rgb="FF7030A0"/>
      </top>
      <bottom style="thin">
        <color rgb="FF7030A0"/>
      </bottom>
      <diagonal/>
    </border>
    <border>
      <left style="hair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 style="thin">
        <color rgb="FF7030A0"/>
      </right>
      <top/>
      <bottom/>
      <diagonal/>
    </border>
    <border>
      <left style="thin">
        <color rgb="FF7030A0"/>
      </left>
      <right/>
      <top/>
      <bottom/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  <border>
      <left/>
      <right/>
      <top/>
      <bottom style="hair">
        <color rgb="FF7030A0"/>
      </bottom>
      <diagonal/>
    </border>
    <border>
      <left/>
      <right style="thin">
        <color rgb="FF7030A0"/>
      </right>
      <top/>
      <bottom/>
      <diagonal/>
    </border>
    <border>
      <left style="thin">
        <color rgb="FF7030A0"/>
      </left>
      <right style="hair">
        <color rgb="FF7030A0"/>
      </right>
      <top style="thin">
        <color rgb="FF7030A0"/>
      </top>
      <bottom/>
      <diagonal/>
    </border>
    <border>
      <left style="hair">
        <color rgb="FF7030A0"/>
      </left>
      <right style="hair">
        <color rgb="FF7030A0"/>
      </right>
      <top style="thin">
        <color rgb="FF7030A0"/>
      </top>
      <bottom/>
      <diagonal/>
    </border>
    <border>
      <left style="hair">
        <color rgb="FF7030A0"/>
      </left>
      <right style="thin">
        <color rgb="FF7030A0"/>
      </right>
      <top style="thin">
        <color rgb="FF7030A0"/>
      </top>
      <bottom/>
      <diagonal/>
    </border>
    <border>
      <left/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 style="hair">
        <color rgb="FF7030A0"/>
      </right>
      <top/>
      <bottom/>
      <diagonal/>
    </border>
    <border>
      <left style="hair">
        <color rgb="FF7030A0"/>
      </left>
      <right style="hair">
        <color rgb="FF7030A0"/>
      </right>
      <top/>
      <bottom/>
      <diagonal/>
    </border>
    <border>
      <left style="hair">
        <color rgb="FF7030A0"/>
      </left>
      <right style="thin">
        <color rgb="FF7030A0"/>
      </right>
      <top/>
      <bottom/>
      <diagonal/>
    </border>
    <border>
      <left style="thin">
        <color rgb="FF7030A0"/>
      </left>
      <right/>
      <top/>
      <bottom style="hair">
        <color rgb="FF7030A0"/>
      </bottom>
      <diagonal/>
    </border>
    <border>
      <left/>
      <right style="thin">
        <color rgb="FF7030A0"/>
      </right>
      <top/>
      <bottom style="hair">
        <color rgb="FF7030A0"/>
      </bottom>
      <diagonal/>
    </border>
    <border>
      <left style="thin">
        <color rgb="FF7030A0"/>
      </left>
      <right style="hair">
        <color rgb="FF7030A0"/>
      </right>
      <top/>
      <bottom style="hair">
        <color rgb="FF7030A0"/>
      </bottom>
      <diagonal/>
    </border>
    <border>
      <left style="hair">
        <color rgb="FF7030A0"/>
      </left>
      <right style="hair">
        <color rgb="FF7030A0"/>
      </right>
      <top/>
      <bottom style="hair">
        <color rgb="FF7030A0"/>
      </bottom>
      <diagonal/>
    </border>
    <border>
      <left style="hair">
        <color rgb="FF7030A0"/>
      </left>
      <right style="thin">
        <color rgb="FF7030A0"/>
      </right>
      <top/>
      <bottom style="hair">
        <color rgb="FF7030A0"/>
      </bottom>
      <diagonal/>
    </border>
    <border>
      <left style="thin">
        <color rgb="FF7030A0"/>
      </left>
      <right style="thin">
        <color rgb="FF7030A0"/>
      </right>
      <top/>
      <bottom style="hair">
        <color rgb="FF7030A0"/>
      </bottom>
      <diagonal/>
    </border>
    <border>
      <left style="thin">
        <color rgb="FF7030A0"/>
      </left>
      <right/>
      <top style="hair">
        <color rgb="FF7030A0"/>
      </top>
      <bottom/>
      <diagonal/>
    </border>
    <border>
      <left/>
      <right style="thin">
        <color rgb="FF7030A0"/>
      </right>
      <top style="hair">
        <color rgb="FF7030A0"/>
      </top>
      <bottom/>
      <diagonal/>
    </border>
    <border>
      <left style="thin">
        <color rgb="FF7030A0"/>
      </left>
      <right style="hair">
        <color rgb="FF7030A0"/>
      </right>
      <top style="hair">
        <color rgb="FF7030A0"/>
      </top>
      <bottom/>
      <diagonal/>
    </border>
    <border>
      <left style="hair">
        <color rgb="FF7030A0"/>
      </left>
      <right style="hair">
        <color rgb="FF7030A0"/>
      </right>
      <top style="hair">
        <color rgb="FF7030A0"/>
      </top>
      <bottom/>
      <diagonal/>
    </border>
    <border>
      <left style="hair">
        <color rgb="FF7030A0"/>
      </left>
      <right style="thin">
        <color rgb="FF7030A0"/>
      </right>
      <top style="hair">
        <color rgb="FF7030A0"/>
      </top>
      <bottom/>
      <diagonal/>
    </border>
    <border>
      <left style="thin">
        <color rgb="FF7030A0"/>
      </left>
      <right style="thin">
        <color rgb="FF7030A0"/>
      </right>
      <top style="hair">
        <color rgb="FF7030A0"/>
      </top>
      <bottom/>
      <diagonal/>
    </border>
    <border>
      <left style="thin">
        <color rgb="FF7030A0"/>
      </left>
      <right/>
      <top/>
      <bottom style="thin">
        <color rgb="FF7030A0"/>
      </bottom>
      <diagonal/>
    </border>
    <border>
      <left/>
      <right style="thin">
        <color rgb="FF7030A0"/>
      </right>
      <top/>
      <bottom style="thin">
        <color rgb="FF7030A0"/>
      </bottom>
      <diagonal/>
    </border>
    <border>
      <left style="thin">
        <color rgb="FF7030A0"/>
      </left>
      <right style="hair">
        <color rgb="FF7030A0"/>
      </right>
      <top/>
      <bottom style="thin">
        <color rgb="FF7030A0"/>
      </bottom>
      <diagonal/>
    </border>
    <border>
      <left style="hair">
        <color rgb="FF7030A0"/>
      </left>
      <right style="hair">
        <color rgb="FF7030A0"/>
      </right>
      <top/>
      <bottom style="thin">
        <color rgb="FF7030A0"/>
      </bottom>
      <diagonal/>
    </border>
    <border>
      <left style="hair">
        <color rgb="FF7030A0"/>
      </left>
      <right style="thin">
        <color rgb="FF7030A0"/>
      </right>
      <top/>
      <bottom style="thin">
        <color rgb="FF7030A0"/>
      </bottom>
      <diagonal/>
    </border>
    <border>
      <left style="thin">
        <color theme="7" tint="-0.499984740745262"/>
      </left>
      <right/>
      <top/>
      <bottom/>
      <diagonal/>
    </border>
    <border>
      <left/>
      <right style="thin">
        <color theme="7" tint="-0.499984740745262"/>
      </right>
      <top/>
      <bottom/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thin">
        <color theme="7" tint="-0.499984740745262"/>
      </left>
      <right style="hair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hair">
        <color theme="7" tint="-0.499984740745262"/>
      </left>
      <right style="hair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hair">
        <color theme="7" tint="-0.499984740745262"/>
      </left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thin">
        <color theme="7" tint="-0.499984740745262"/>
      </left>
      <right/>
      <top style="thin">
        <color theme="7" tint="-0.499984740745262"/>
      </top>
      <bottom/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/>
      <diagonal/>
    </border>
    <border>
      <left/>
      <right/>
      <top style="thin">
        <color theme="7" tint="-0.499984740745262"/>
      </top>
      <bottom/>
      <diagonal/>
    </border>
    <border>
      <left/>
      <right style="thin">
        <color theme="7" tint="-0.499984740745262"/>
      </right>
      <top style="thin">
        <color theme="7" tint="-0.499984740745262"/>
      </top>
      <bottom/>
      <diagonal/>
    </border>
    <border>
      <left style="thin">
        <color theme="7" tint="-0.499984740745262"/>
      </left>
      <right style="thin">
        <color theme="7" tint="-0.499984740745262"/>
      </right>
      <top/>
      <bottom/>
      <diagonal/>
    </border>
    <border>
      <left/>
      <right/>
      <top/>
      <bottom style="hair">
        <color theme="7" tint="-0.499984740745262"/>
      </bottom>
      <diagonal/>
    </border>
    <border>
      <left/>
      <right style="thin">
        <color theme="7" tint="-0.499984740745262"/>
      </right>
      <top/>
      <bottom style="hair">
        <color theme="7" tint="-0.499984740745262"/>
      </bottom>
      <diagonal/>
    </border>
    <border>
      <left style="thin">
        <color theme="7" tint="-0.499984740745262"/>
      </left>
      <right style="thin">
        <color theme="7" tint="-0.499984740745262"/>
      </right>
      <top/>
      <bottom style="hair">
        <color theme="7" tint="-0.499984740745262"/>
      </bottom>
      <diagonal/>
    </border>
    <border>
      <left style="thin">
        <color theme="7" tint="-0.499984740745262"/>
      </left>
      <right/>
      <top/>
      <bottom style="hair">
        <color theme="7" tint="-0.499984740745262"/>
      </bottom>
      <diagonal/>
    </border>
    <border>
      <left style="thin">
        <color theme="7" tint="-0.499984740745262"/>
      </left>
      <right/>
      <top/>
      <bottom style="thin">
        <color theme="7" tint="-0.499984740745262"/>
      </bottom>
      <diagonal/>
    </border>
    <border>
      <left/>
      <right/>
      <top/>
      <bottom style="thin">
        <color theme="7" tint="-0.499984740745262"/>
      </bottom>
      <diagonal/>
    </border>
    <border>
      <left/>
      <right style="thin">
        <color theme="7" tint="-0.499984740745262"/>
      </right>
      <top/>
      <bottom style="thin">
        <color theme="7" tint="-0.499984740745262"/>
      </bottom>
      <diagonal/>
    </border>
    <border>
      <left style="thin">
        <color theme="7" tint="-0.499984740745262"/>
      </left>
      <right style="thin">
        <color theme="7" tint="-0.499984740745262"/>
      </right>
      <top/>
      <bottom style="thin">
        <color theme="7" tint="-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/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hair">
        <color theme="5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hair">
        <color theme="5" tint="-0.499984740745262"/>
      </left>
      <right style="hair">
        <color theme="5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hair">
        <color theme="5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/>
      <right/>
      <top style="thin">
        <color theme="8" tint="-0.499984740745262"/>
      </top>
      <bottom/>
      <diagonal/>
    </border>
    <border>
      <left style="thin">
        <color theme="8" tint="-0.499984740745262"/>
      </left>
      <right style="hair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hair">
        <color theme="8" tint="-0.499984740745262"/>
      </left>
      <right style="hair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hair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/>
      <top style="thin">
        <color theme="8" tint="-0.499984740745262"/>
      </top>
      <bottom style="thin">
        <color theme="8" tint="-0.499984740745262"/>
      </bottom>
      <diagonal/>
    </border>
    <border>
      <left/>
      <right/>
      <top style="thin">
        <color theme="8" tint="-0.499984740745262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/>
      <top style="thin">
        <color theme="8" tint="-0.499984740745262"/>
      </top>
      <bottom/>
      <diagonal/>
    </border>
    <border>
      <left style="thin">
        <color theme="8" tint="-0.499984740745262"/>
      </left>
      <right/>
      <top/>
      <bottom/>
      <diagonal/>
    </border>
    <border>
      <left/>
      <right style="thin">
        <color theme="8" tint="-0.499984740745262"/>
      </right>
      <top/>
      <bottom/>
      <diagonal/>
    </border>
    <border>
      <left style="thin">
        <color theme="8" tint="-0.499984740745262"/>
      </left>
      <right style="thin">
        <color theme="8" tint="-0.499984740745262"/>
      </right>
      <top/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/>
      <bottom/>
      <diagonal/>
    </border>
    <border>
      <left/>
      <right/>
      <top/>
      <bottom style="hair">
        <color theme="8" tint="-0.499984740745262"/>
      </bottom>
      <diagonal/>
    </border>
    <border>
      <left/>
      <right style="thin">
        <color theme="8" tint="-0.499984740745262"/>
      </right>
      <top/>
      <bottom style="hair">
        <color theme="8" tint="-0.499984740745262"/>
      </bottom>
      <diagonal/>
    </border>
    <border>
      <left/>
      <right/>
      <top style="hair">
        <color theme="5" tint="-0.499984740745262"/>
      </top>
      <bottom/>
      <diagonal/>
    </border>
    <border>
      <left/>
      <right/>
      <top/>
      <bottom style="hair">
        <color theme="5" tint="-0.499984740745262"/>
      </bottom>
      <diagonal/>
    </border>
    <border>
      <left style="thin">
        <color theme="8" tint="-0.499984740745262"/>
      </left>
      <right/>
      <top/>
      <bottom style="thin">
        <color theme="8" tint="-0.499984740745262"/>
      </bottom>
      <diagonal/>
    </border>
    <border>
      <left/>
      <right/>
      <top/>
      <bottom style="thin">
        <color theme="8" tint="-0.499984740745262"/>
      </bottom>
      <diagonal/>
    </border>
    <border>
      <left/>
      <right style="thin">
        <color theme="8" tint="-0.499984740745262"/>
      </right>
      <top/>
      <bottom style="thin">
        <color theme="8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hair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hair">
        <color theme="5" tint="-0.499984740745262"/>
      </left>
      <right style="hair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hair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double">
        <color theme="5" tint="-0.499984740745262"/>
      </bottom>
      <diagonal/>
    </border>
    <border>
      <left style="thin">
        <color theme="5" tint="-0.499984740745262"/>
      </left>
      <right/>
      <top/>
      <bottom/>
      <diagonal/>
    </border>
    <border>
      <left/>
      <right style="thin">
        <color theme="5" tint="-0.499984740745262"/>
      </right>
      <top style="thin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/>
      <bottom/>
      <diagonal/>
    </border>
    <border>
      <left/>
      <right style="thin">
        <color theme="5" tint="-0.499984740745262"/>
      </right>
      <top/>
      <bottom/>
      <diagonal/>
    </border>
    <border>
      <left style="thin">
        <color theme="5" tint="-0.499984740745262"/>
      </left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/>
      <top style="thin">
        <color theme="5" tint="-0.499984740745262"/>
      </top>
      <bottom/>
      <diagonal/>
    </border>
    <border>
      <left/>
      <right/>
      <top style="thin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/>
      <bottom style="hair">
        <color theme="5" tint="-0.499984740745262"/>
      </bottom>
      <diagonal/>
    </border>
    <border>
      <left style="thin">
        <color theme="5" tint="-0.499984740745262"/>
      </left>
      <right/>
      <top/>
      <bottom style="hair">
        <color theme="5" tint="-0.499984740745262"/>
      </bottom>
      <diagonal/>
    </border>
    <border>
      <left/>
      <right style="thin">
        <color theme="5" tint="-0.499984740745262"/>
      </right>
      <top/>
      <bottom style="hair">
        <color theme="5" tint="-0.499984740745262"/>
      </bottom>
      <diagonal/>
    </border>
    <border>
      <left/>
      <right style="thin">
        <color theme="5" tint="-0.499984740745262"/>
      </right>
      <top style="hair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hair">
        <color theme="5" tint="-0.499984740745262"/>
      </top>
      <bottom/>
      <diagonal/>
    </border>
    <border>
      <left style="thin">
        <color theme="5" tint="-0.499984740745262"/>
      </left>
      <right/>
      <top style="hair">
        <color theme="5" tint="-0.499984740745262"/>
      </top>
      <bottom/>
      <diagonal/>
    </border>
    <border>
      <left/>
      <right/>
      <top/>
      <bottom style="thin">
        <color theme="5" tint="-0.499984740745262"/>
      </bottom>
      <diagonal/>
    </border>
    <border>
      <left/>
      <right style="thin">
        <color theme="5" tint="-0.499984740745262"/>
      </right>
      <top/>
      <bottom style="thin">
        <color theme="5" tint="-0.499984740745262"/>
      </bottom>
      <diagonal/>
    </border>
    <border>
      <left style="thin">
        <color theme="5" tint="-0.499984740745262"/>
      </left>
      <right/>
      <top/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 style="thin">
        <color rgb="FF660066"/>
      </left>
      <right/>
      <top style="thin">
        <color rgb="FF660066"/>
      </top>
      <bottom/>
      <diagonal/>
    </border>
    <border>
      <left style="thin">
        <color rgb="FF660066"/>
      </left>
      <right style="thin">
        <color rgb="FF660066"/>
      </right>
      <top style="thin">
        <color rgb="FF660066"/>
      </top>
      <bottom style="thin">
        <color rgb="FF660066"/>
      </bottom>
      <diagonal/>
    </border>
    <border>
      <left/>
      <right/>
      <top style="thin">
        <color rgb="FF660066"/>
      </top>
      <bottom/>
      <diagonal/>
    </border>
    <border>
      <left/>
      <right style="thin">
        <color rgb="FF660066"/>
      </right>
      <top style="thin">
        <color rgb="FF660066"/>
      </top>
      <bottom/>
      <diagonal/>
    </border>
    <border>
      <left style="thin">
        <color rgb="FF660066"/>
      </left>
      <right/>
      <top/>
      <bottom/>
      <diagonal/>
    </border>
    <border>
      <left style="thin">
        <color rgb="FF660066"/>
      </left>
      <right/>
      <top style="thin">
        <color rgb="FF660066"/>
      </top>
      <bottom style="thin">
        <color rgb="FF660066"/>
      </bottom>
      <diagonal/>
    </border>
    <border>
      <left/>
      <right/>
      <top style="thin">
        <color rgb="FF660066"/>
      </top>
      <bottom style="thin">
        <color rgb="FF660066"/>
      </bottom>
      <diagonal/>
    </border>
    <border>
      <left/>
      <right style="thin">
        <color rgb="FF660066"/>
      </right>
      <top style="thin">
        <color rgb="FF660066"/>
      </top>
      <bottom style="thin">
        <color rgb="FF660066"/>
      </bottom>
      <diagonal/>
    </border>
    <border>
      <left style="thin">
        <color rgb="FF660066"/>
      </left>
      <right/>
      <top/>
      <bottom style="thin">
        <color rgb="FF660066"/>
      </bottom>
      <diagonal/>
    </border>
    <border>
      <left style="thin">
        <color rgb="FF660066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rgb="FF660066"/>
      </right>
      <top style="thin">
        <color theme="0"/>
      </top>
      <bottom/>
      <diagonal/>
    </border>
    <border>
      <left style="thin">
        <color rgb="FF660066"/>
      </left>
      <right style="thin">
        <color rgb="FF660066"/>
      </right>
      <top style="thin">
        <color theme="0"/>
      </top>
      <bottom/>
      <diagonal/>
    </border>
    <border>
      <left/>
      <right style="thin">
        <color rgb="FF660066"/>
      </right>
      <top/>
      <bottom/>
      <diagonal/>
    </border>
    <border>
      <left style="thin">
        <color rgb="FF660066"/>
      </left>
      <right style="thin">
        <color rgb="FF660066"/>
      </right>
      <top/>
      <bottom/>
      <diagonal/>
    </border>
    <border>
      <left style="thin">
        <color rgb="FF660066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rgb="FF660066"/>
      </right>
      <top/>
      <bottom style="thin">
        <color theme="0"/>
      </bottom>
      <diagonal/>
    </border>
    <border>
      <left style="thin">
        <color rgb="FF660066"/>
      </left>
      <right style="thin">
        <color rgb="FF660066"/>
      </right>
      <top/>
      <bottom style="thin">
        <color theme="0"/>
      </bottom>
      <diagonal/>
    </border>
    <border>
      <left/>
      <right/>
      <top/>
      <bottom style="thin">
        <color rgb="FF660066"/>
      </bottom>
      <diagonal/>
    </border>
    <border>
      <left/>
      <right style="thin">
        <color rgb="FF660066"/>
      </right>
      <top/>
      <bottom style="thin">
        <color rgb="FF660066"/>
      </bottom>
      <diagonal/>
    </border>
    <border>
      <left style="thin">
        <color rgb="FF660066"/>
      </left>
      <right style="thin">
        <color rgb="FF660066"/>
      </right>
      <top/>
      <bottom style="thin">
        <color rgb="FF660066"/>
      </bottom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24994659260841701"/>
      </left>
      <right/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/>
      <right/>
      <top/>
      <bottom style="hair">
        <color theme="4" tint="-0.24994659260841701"/>
      </bottom>
      <diagonal/>
    </border>
    <border>
      <left/>
      <right style="thin">
        <color theme="4" tint="-0.24994659260841701"/>
      </right>
      <top/>
      <bottom style="hair">
        <color theme="4" tint="-0.24994659260841701"/>
      </bottom>
      <diagonal/>
    </border>
    <border>
      <left style="thin">
        <color theme="4" tint="-0.499984740745262"/>
      </left>
      <right style="thin">
        <color theme="4" tint="-0.499984740745262"/>
      </right>
      <top/>
      <bottom style="hair">
        <color theme="4" tint="-0.499984740745262"/>
      </bottom>
      <diagonal/>
    </border>
    <border>
      <left style="thin">
        <color theme="4" tint="-0.24994659260841701"/>
      </left>
      <right/>
      <top/>
      <bottom style="hair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hair">
        <color theme="4" tint="-0.24994659260841701"/>
      </bottom>
      <diagonal/>
    </border>
    <border>
      <left style="thin">
        <color theme="4" tint="-0.499984740745262"/>
      </left>
      <right style="thin">
        <color theme="4" tint="-0.499984740745262"/>
      </right>
      <top style="hair">
        <color theme="4" tint="-0.499984740745262"/>
      </top>
      <bottom/>
      <diagonal/>
    </border>
    <border>
      <left style="thin">
        <color theme="4" tint="-0.24994659260841701"/>
      </left>
      <right/>
      <top style="hair">
        <color theme="4" tint="-0.24994659260841701"/>
      </top>
      <bottom/>
      <diagonal/>
    </border>
    <border>
      <left/>
      <right/>
      <top style="hair">
        <color theme="4" tint="-0.24994659260841701"/>
      </top>
      <bottom/>
      <diagonal/>
    </border>
    <border>
      <left/>
      <right style="thin">
        <color theme="4" tint="-0.24994659260841701"/>
      </right>
      <top style="hair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hair">
        <color theme="4" tint="-0.24994659260841701"/>
      </top>
      <bottom/>
      <diagonal/>
    </border>
    <border>
      <left style="thin">
        <color theme="4" tint="-0.499984740745262"/>
      </left>
      <right style="thin">
        <color theme="4" tint="-0.499984740745262"/>
      </right>
      <top/>
      <bottom/>
      <diagonal/>
    </border>
    <border>
      <left style="thin">
        <color theme="4" tint="-0.499984740745262"/>
      </left>
      <right/>
      <top/>
      <bottom/>
      <diagonal/>
    </border>
    <border>
      <left/>
      <right style="thin">
        <color theme="4" tint="-0.499984740745262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/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/>
      <top/>
      <bottom/>
      <diagonal/>
    </border>
    <border>
      <left/>
      <right style="thin">
        <color theme="9" tint="-0.499984740745262"/>
      </right>
      <top/>
      <bottom/>
      <diagonal/>
    </border>
    <border>
      <left style="thin">
        <color theme="9" tint="-0.499984740745262"/>
      </left>
      <right style="thin">
        <color theme="9" tint="-0.499984740745262"/>
      </right>
      <top/>
      <bottom/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hair">
        <color theme="4" tint="-0.24994659260841701"/>
      </bottom>
      <diagonal/>
    </border>
    <border>
      <left style="thin">
        <color theme="9" tint="-0.499984740745262"/>
      </left>
      <right/>
      <top/>
      <bottom style="hair">
        <color theme="9" tint="-0.499984740745262"/>
      </bottom>
      <diagonal/>
    </border>
    <border>
      <left/>
      <right/>
      <top/>
      <bottom style="hair">
        <color theme="9" tint="-0.499984740745262"/>
      </bottom>
      <diagonal/>
    </border>
    <border>
      <left/>
      <right style="thin">
        <color theme="9" tint="-0.499984740745262"/>
      </right>
      <top/>
      <bottom style="hair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/>
      <bottom style="hair">
        <color theme="9" tint="-0.499984740745262"/>
      </bottom>
      <diagonal/>
    </border>
    <border>
      <left style="thin">
        <color theme="9" tint="-0.499984740745262"/>
      </left>
      <right/>
      <top style="hair">
        <color theme="9" tint="-0.499984740745262"/>
      </top>
      <bottom/>
      <diagonal/>
    </border>
    <border>
      <left/>
      <right/>
      <top style="hair">
        <color theme="9" tint="-0.499984740745262"/>
      </top>
      <bottom/>
      <diagonal/>
    </border>
    <border>
      <left/>
      <right style="thin">
        <color theme="9" tint="-0.499984740745262"/>
      </right>
      <top style="hair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hair">
        <color theme="9" tint="-0.499984740745262"/>
      </top>
      <bottom/>
      <diagonal/>
    </border>
    <border>
      <left style="thin">
        <color theme="9" tint="-0.499984740745262"/>
      </left>
      <right/>
      <top style="thin">
        <color theme="4" tint="-0.24994659260841701"/>
      </top>
      <bottom/>
      <diagonal/>
    </border>
    <border>
      <left style="thin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  <border>
      <left style="double">
        <color theme="4"/>
      </left>
      <right/>
      <top style="double">
        <color theme="4"/>
      </top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  <border>
      <left/>
      <right style="double">
        <color theme="4"/>
      </right>
      <top style="double">
        <color theme="4"/>
      </top>
      <bottom style="double">
        <color theme="4"/>
      </bottom>
      <diagonal/>
    </border>
    <border>
      <left style="double">
        <color theme="4"/>
      </left>
      <right/>
      <top style="double">
        <color theme="4"/>
      </top>
      <bottom/>
      <diagonal/>
    </border>
    <border>
      <left/>
      <right/>
      <top style="double">
        <color theme="4"/>
      </top>
      <bottom/>
      <diagonal/>
    </border>
    <border>
      <left/>
      <right style="double">
        <color theme="4"/>
      </right>
      <top style="double">
        <color theme="4"/>
      </top>
      <bottom/>
      <diagonal/>
    </border>
    <border>
      <left style="double">
        <color theme="4"/>
      </left>
      <right/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hair">
        <color theme="4"/>
      </right>
      <top style="thin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thin">
        <color theme="4"/>
      </top>
      <bottom style="thin">
        <color theme="4"/>
      </bottom>
      <diagonal/>
    </border>
    <border>
      <left style="hair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double">
        <color theme="4"/>
      </right>
      <top/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/>
      <right style="thin">
        <color theme="4" tint="0.39997558519241921"/>
      </right>
      <top style="thin">
        <color theme="4"/>
      </top>
      <bottom style="thin">
        <color theme="4"/>
      </bottom>
      <diagonal/>
    </border>
    <border>
      <left style="thin">
        <color theme="4" tint="0.39997558519241921"/>
      </left>
      <right style="thin">
        <color theme="4"/>
      </right>
      <top style="thin">
        <color theme="4"/>
      </top>
      <bottom style="thin">
        <color theme="4" tint="0.39994506668294322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 style="thin">
        <color indexed="64"/>
      </right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/>
      <diagonal/>
    </border>
    <border>
      <left style="thin">
        <color indexed="6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indexed="64"/>
      </bottom>
      <diagonal/>
    </border>
    <border>
      <left/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4506668294322"/>
      </top>
      <bottom/>
      <diagonal/>
    </border>
    <border>
      <left/>
      <right style="thin">
        <color theme="4"/>
      </right>
      <top style="thin">
        <color theme="4" tint="0.39994506668294322"/>
      </top>
      <bottom/>
      <diagonal/>
    </border>
    <border>
      <left style="thin">
        <color theme="4" tint="0.39997558519241921"/>
      </left>
      <right style="thin">
        <color theme="4"/>
      </right>
      <top style="thin">
        <color theme="4" tint="0.39994506668294322"/>
      </top>
      <bottom/>
      <diagonal/>
    </border>
    <border>
      <left style="thin">
        <color theme="4" tint="0.39997558519241921"/>
      </left>
      <right/>
      <top/>
      <bottom/>
      <diagonal/>
    </border>
    <border>
      <left style="thin">
        <color theme="4" tint="0.39997558519241921"/>
      </left>
      <right style="thin">
        <color theme="4"/>
      </right>
      <top/>
      <bottom/>
      <diagonal/>
    </border>
    <border>
      <left style="thin">
        <color theme="4" tint="0.39997558519241921"/>
      </left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 tint="0.39997558519241921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double">
        <color theme="4"/>
      </left>
      <right/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double">
        <color theme="4"/>
      </right>
      <top/>
      <bottom style="double">
        <color theme="4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hair">
        <color theme="4" tint="-0.499984740745262"/>
      </right>
      <top style="thin">
        <color theme="4" tint="-0.499984740745262"/>
      </top>
      <bottom/>
      <diagonal/>
    </border>
    <border>
      <left style="hair">
        <color theme="4" tint="-0.499984740745262"/>
      </left>
      <right style="hair">
        <color theme="4" tint="-0.499984740745262"/>
      </right>
      <top style="thin">
        <color theme="4" tint="-0.499984740745262"/>
      </top>
      <bottom/>
      <diagonal/>
    </border>
    <border>
      <left style="hair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hair">
        <color theme="4" tint="-0.499984740745262"/>
      </right>
      <top/>
      <bottom/>
      <diagonal/>
    </border>
    <border>
      <left style="hair">
        <color theme="4" tint="-0.499984740745262"/>
      </left>
      <right style="hair">
        <color theme="4" tint="-0.499984740745262"/>
      </right>
      <top/>
      <bottom/>
      <diagonal/>
    </border>
    <border>
      <left style="hair">
        <color theme="4" tint="-0.499984740745262"/>
      </left>
      <right style="thin">
        <color theme="4" tint="-0.499984740745262"/>
      </right>
      <top/>
      <bottom/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7" tint="-0.499984740745262"/>
      </bottom>
      <diagonal/>
    </border>
    <border>
      <left style="thin">
        <color theme="4" tint="-0.499984740745262"/>
      </left>
      <right style="hair">
        <color theme="4" tint="-0.499984740745262"/>
      </right>
      <top/>
      <bottom style="thin">
        <color theme="4" tint="-0.499984740745262"/>
      </bottom>
      <diagonal/>
    </border>
    <border>
      <left style="hair">
        <color theme="4" tint="-0.499984740745262"/>
      </left>
      <right style="hair">
        <color theme="4" tint="-0.499984740745262"/>
      </right>
      <top/>
      <bottom style="thin">
        <color theme="4" tint="-0.499984740745262"/>
      </bottom>
      <diagonal/>
    </border>
    <border>
      <left style="hair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/>
      <right style="hair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hair">
        <color theme="4" tint="-0.499984740745262"/>
      </left>
      <right style="hair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hair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 style="thin">
        <color theme="4" tint="-0.499984740745262"/>
      </left>
      <right/>
      <top/>
      <bottom style="hair">
        <color theme="4" tint="-0.499984740745262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thin">
        <color theme="4" tint="-0.499984740745262"/>
      </right>
      <top/>
      <bottom style="hair">
        <color theme="4" tint="-0.499984740745262"/>
      </bottom>
      <diagonal/>
    </border>
    <border>
      <left style="thin">
        <color theme="4" tint="-0.499984740745262"/>
      </left>
      <right/>
      <top style="hair">
        <color theme="4" tint="-0.499984740745262"/>
      </top>
      <bottom/>
      <diagonal/>
    </border>
    <border>
      <left/>
      <right/>
      <top style="hair">
        <color theme="4" tint="-0.499984740745262"/>
      </top>
      <bottom/>
      <diagonal/>
    </border>
    <border>
      <left/>
      <right style="thin">
        <color theme="4" tint="-0.499984740745262"/>
      </right>
      <top style="hair">
        <color theme="4" tint="-0.499984740745262"/>
      </top>
      <bottom/>
      <diagonal/>
    </border>
    <border>
      <left style="thin">
        <color theme="9" tint="-0.499984740745262"/>
      </left>
      <right style="hair">
        <color theme="9" tint="-0.499984740745262"/>
      </right>
      <top style="hair">
        <color theme="9" tint="-0.499984740745262"/>
      </top>
      <bottom/>
      <diagonal/>
    </border>
    <border>
      <left style="hair">
        <color theme="9" tint="-0.499984740745262"/>
      </left>
      <right style="hair">
        <color theme="9" tint="-0.499984740745262"/>
      </right>
      <top style="hair">
        <color theme="9" tint="-0.499984740745262"/>
      </top>
      <bottom/>
      <diagonal/>
    </border>
    <border>
      <left style="hair">
        <color theme="9" tint="-0.499984740745262"/>
      </left>
      <right style="thin">
        <color theme="9" tint="-0.499984740745262"/>
      </right>
      <top style="hair">
        <color theme="9" tint="-0.499984740745262"/>
      </top>
      <bottom/>
      <diagonal/>
    </border>
    <border>
      <left/>
      <right style="hair">
        <color theme="9" tint="-0.499984740745262"/>
      </right>
      <top style="thin">
        <color theme="9" tint="-0.499984740745262"/>
      </top>
      <bottom style="hair">
        <color theme="9" tint="-0.499984740745262"/>
      </bottom>
      <diagonal/>
    </border>
    <border>
      <left/>
      <right style="hair">
        <color theme="9" tint="-0.499984740745262"/>
      </right>
      <top style="hair">
        <color theme="9" tint="-0.499984740745262"/>
      </top>
      <bottom style="hair">
        <color theme="9" tint="-0.499984740745262"/>
      </bottom>
      <diagonal/>
    </border>
    <border>
      <left/>
      <right style="hair">
        <color theme="9" tint="-0.499984740745262"/>
      </right>
      <top style="hair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hair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hair">
        <color theme="9" tint="-0.499984740745262"/>
      </top>
      <bottom style="hair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hair">
        <color theme="9" tint="-0.499984740745262"/>
      </top>
      <bottom style="thin">
        <color theme="9" tint="-0.499984740745262"/>
      </bottom>
      <diagonal/>
    </border>
    <border>
      <left/>
      <right/>
      <top style="double">
        <color rgb="FF660066"/>
      </top>
      <bottom/>
      <diagonal/>
    </border>
    <border>
      <left/>
      <right/>
      <top/>
      <bottom style="double">
        <color rgb="FF660066"/>
      </bottom>
      <diagonal/>
    </border>
    <border>
      <left style="double">
        <color rgb="FF660066"/>
      </left>
      <right/>
      <top style="double">
        <color rgb="FF660066"/>
      </top>
      <bottom/>
      <diagonal/>
    </border>
    <border>
      <left/>
      <right style="double">
        <color rgb="FF660066"/>
      </right>
      <top style="double">
        <color rgb="FF660066"/>
      </top>
      <bottom/>
      <diagonal/>
    </border>
    <border>
      <left style="double">
        <color rgb="FF660066"/>
      </left>
      <right/>
      <top/>
      <bottom/>
      <diagonal/>
    </border>
    <border>
      <left/>
      <right style="double">
        <color rgb="FF660066"/>
      </right>
      <top/>
      <bottom/>
      <diagonal/>
    </border>
    <border>
      <left style="double">
        <color rgb="FF660066"/>
      </left>
      <right/>
      <top/>
      <bottom style="double">
        <color rgb="FF660066"/>
      </bottom>
      <diagonal/>
    </border>
    <border>
      <left/>
      <right style="double">
        <color rgb="FF660066"/>
      </right>
      <top/>
      <bottom style="double">
        <color rgb="FF660066"/>
      </bottom>
      <diagonal/>
    </border>
    <border>
      <left style="double">
        <color rgb="FF660066"/>
      </left>
      <right/>
      <top/>
      <bottom style="thin">
        <color rgb="FF660066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851">
    <xf numFmtId="0" fontId="0" fillId="0" borderId="0" xfId="0"/>
    <xf numFmtId="0" fontId="0" fillId="0" borderId="0" xfId="0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164" fontId="0" fillId="0" borderId="8" xfId="2" applyNumberFormat="1" applyFont="1" applyBorder="1" applyAlignment="1">
      <alignment horizontal="center"/>
    </xf>
    <xf numFmtId="3" fontId="0" fillId="0" borderId="8" xfId="2" applyNumberFormat="1" applyFont="1" applyBorder="1" applyAlignment="1">
      <alignment horizontal="center"/>
    </xf>
    <xf numFmtId="9" fontId="0" fillId="0" borderId="11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/>
    <xf numFmtId="0" fontId="7" fillId="0" borderId="13" xfId="0" applyFont="1" applyBorder="1" applyAlignment="1">
      <alignment horizontal="center"/>
    </xf>
    <xf numFmtId="0" fontId="8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4" fillId="2" borderId="14" xfId="0" applyFont="1" applyFill="1" applyBorder="1" applyAlignment="1">
      <alignment vertical="top"/>
    </xf>
    <xf numFmtId="166" fontId="9" fillId="0" borderId="15" xfId="0" applyNumberFormat="1" applyFont="1" applyBorder="1" applyAlignment="1">
      <alignment horizontal="center" vertical="top"/>
    </xf>
    <xf numFmtId="166" fontId="0" fillId="0" borderId="0" xfId="0" applyNumberFormat="1" applyAlignment="1">
      <alignment horizontal="center"/>
    </xf>
    <xf numFmtId="166" fontId="5" fillId="0" borderId="16" xfId="0" applyNumberFormat="1" applyFont="1" applyBorder="1" applyAlignment="1">
      <alignment horizontal="center"/>
    </xf>
    <xf numFmtId="166" fontId="5" fillId="0" borderId="17" xfId="0" applyNumberFormat="1" applyFont="1" applyBorder="1" applyAlignment="1">
      <alignment horizontal="center"/>
    </xf>
    <xf numFmtId="166" fontId="5" fillId="0" borderId="18" xfId="0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166" fontId="0" fillId="0" borderId="0" xfId="0" applyNumberFormat="1"/>
    <xf numFmtId="0" fontId="7" fillId="0" borderId="0" xfId="0" applyFont="1" applyAlignment="1">
      <alignment horizontal="left" vertical="center"/>
    </xf>
    <xf numFmtId="166" fontId="7" fillId="0" borderId="0" xfId="0" applyNumberFormat="1" applyFont="1"/>
    <xf numFmtId="166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top"/>
    </xf>
    <xf numFmtId="166" fontId="11" fillId="0" borderId="15" xfId="0" applyNumberFormat="1" applyFont="1" applyBorder="1" applyAlignment="1">
      <alignment horizontal="center" vertical="top"/>
    </xf>
    <xf numFmtId="164" fontId="9" fillId="0" borderId="15" xfId="2" applyNumberFormat="1" applyFont="1" applyFill="1" applyBorder="1" applyAlignment="1">
      <alignment horizontal="center" vertical="top"/>
    </xf>
    <xf numFmtId="164" fontId="5" fillId="0" borderId="16" xfId="2" applyNumberFormat="1" applyFont="1" applyBorder="1" applyAlignment="1">
      <alignment horizontal="center"/>
    </xf>
    <xf numFmtId="164" fontId="5" fillId="0" borderId="17" xfId="2" applyNumberFormat="1" applyFont="1" applyBorder="1" applyAlignment="1">
      <alignment horizontal="center"/>
    </xf>
    <xf numFmtId="9" fontId="5" fillId="0" borderId="17" xfId="2" applyFont="1" applyBorder="1" applyAlignment="1">
      <alignment horizontal="center"/>
    </xf>
    <xf numFmtId="9" fontId="5" fillId="0" borderId="18" xfId="2" applyFont="1" applyBorder="1" applyAlignment="1">
      <alignment horizontal="center"/>
    </xf>
    <xf numFmtId="0" fontId="4" fillId="2" borderId="20" xfId="0" applyFont="1" applyFill="1" applyBorder="1" applyAlignment="1">
      <alignment horizontal="center" vertical="top"/>
    </xf>
    <xf numFmtId="0" fontId="4" fillId="2" borderId="20" xfId="0" applyFont="1" applyFill="1" applyBorder="1" applyAlignment="1">
      <alignment horizontal="center" vertical="center"/>
    </xf>
    <xf numFmtId="0" fontId="0" fillId="2" borderId="21" xfId="0" applyFill="1" applyBorder="1"/>
    <xf numFmtId="0" fontId="0" fillId="0" borderId="22" xfId="0" applyBorder="1" applyAlignment="1">
      <alignment horizontal="center"/>
    </xf>
    <xf numFmtId="0" fontId="4" fillId="2" borderId="23" xfId="0" applyFont="1" applyFill="1" applyBorder="1" applyAlignment="1">
      <alignment horizontal="center" vertical="center"/>
    </xf>
    <xf numFmtId="0" fontId="13" fillId="2" borderId="23" xfId="0" applyFont="1" applyFill="1" applyBorder="1"/>
    <xf numFmtId="167" fontId="13" fillId="0" borderId="0" xfId="0" applyNumberFormat="1" applyFont="1" applyAlignment="1">
      <alignment horizontal="center"/>
    </xf>
    <xf numFmtId="167" fontId="13" fillId="2" borderId="24" xfId="0" applyNumberFormat="1" applyFont="1" applyFill="1" applyBorder="1" applyAlignment="1">
      <alignment horizontal="center" vertical="center"/>
    </xf>
    <xf numFmtId="167" fontId="13" fillId="2" borderId="25" xfId="0" applyNumberFormat="1" applyFont="1" applyFill="1" applyBorder="1" applyAlignment="1">
      <alignment horizontal="center" vertical="center"/>
    </xf>
    <xf numFmtId="167" fontId="13" fillId="2" borderId="26" xfId="0" applyNumberFormat="1" applyFont="1" applyFill="1" applyBorder="1" applyAlignment="1">
      <alignment horizontal="center" vertical="center"/>
    </xf>
    <xf numFmtId="168" fontId="13" fillId="0" borderId="0" xfId="0" applyNumberFormat="1" applyFont="1" applyAlignment="1">
      <alignment horizontal="center" vertical="center"/>
    </xf>
    <xf numFmtId="168" fontId="13" fillId="2" borderId="23" xfId="0" applyNumberFormat="1" applyFont="1" applyFill="1" applyBorder="1" applyAlignment="1">
      <alignment horizontal="center" vertical="center"/>
    </xf>
    <xf numFmtId="0" fontId="13" fillId="2" borderId="27" xfId="0" applyFont="1" applyFill="1" applyBorder="1"/>
    <xf numFmtId="167" fontId="13" fillId="2" borderId="28" xfId="0" applyNumberFormat="1" applyFont="1" applyFill="1" applyBorder="1" applyAlignment="1">
      <alignment horizontal="center" vertical="center"/>
    </xf>
    <xf numFmtId="167" fontId="13" fillId="2" borderId="29" xfId="0" applyNumberFormat="1" applyFont="1" applyFill="1" applyBorder="1" applyAlignment="1">
      <alignment horizontal="center" vertical="center"/>
    </xf>
    <xf numFmtId="167" fontId="13" fillId="2" borderId="30" xfId="0" applyNumberFormat="1" applyFont="1" applyFill="1" applyBorder="1" applyAlignment="1">
      <alignment horizontal="center" vertical="center"/>
    </xf>
    <xf numFmtId="168" fontId="13" fillId="2" borderId="27" xfId="0" applyNumberFormat="1" applyFont="1" applyFill="1" applyBorder="1" applyAlignment="1">
      <alignment horizontal="center" vertical="center"/>
    </xf>
    <xf numFmtId="0" fontId="13" fillId="2" borderId="32" xfId="0" applyFont="1" applyFill="1" applyBorder="1"/>
    <xf numFmtId="9" fontId="13" fillId="0" borderId="0" xfId="2" applyFont="1" applyFill="1" applyBorder="1" applyAlignment="1">
      <alignment horizontal="center"/>
    </xf>
    <xf numFmtId="164" fontId="14" fillId="2" borderId="33" xfId="2" applyNumberFormat="1" applyFont="1" applyFill="1" applyBorder="1" applyAlignment="1">
      <alignment horizontal="center" vertical="center"/>
    </xf>
    <xf numFmtId="164" fontId="14" fillId="2" borderId="34" xfId="2" applyNumberFormat="1" applyFont="1" applyFill="1" applyBorder="1" applyAlignment="1">
      <alignment horizontal="center" vertical="center"/>
    </xf>
    <xf numFmtId="164" fontId="14" fillId="2" borderId="35" xfId="2" applyNumberFormat="1" applyFont="1" applyFill="1" applyBorder="1" applyAlignment="1">
      <alignment horizontal="center" vertical="center"/>
    </xf>
    <xf numFmtId="9" fontId="14" fillId="0" borderId="0" xfId="2" applyFont="1" applyFill="1" applyBorder="1" applyAlignment="1">
      <alignment horizontal="center" vertical="center"/>
    </xf>
    <xf numFmtId="164" fontId="15" fillId="2" borderId="34" xfId="2" applyNumberFormat="1" applyFont="1" applyFill="1" applyBorder="1" applyAlignment="1">
      <alignment horizontal="center" vertical="center"/>
    </xf>
    <xf numFmtId="167" fontId="7" fillId="0" borderId="0" xfId="0" applyNumberFormat="1" applyFont="1" applyAlignment="1">
      <alignment horizontal="center"/>
    </xf>
    <xf numFmtId="9" fontId="16" fillId="0" borderId="0" xfId="2" applyFont="1" applyFill="1" applyBorder="1" applyAlignment="1">
      <alignment horizontal="center"/>
    </xf>
    <xf numFmtId="164" fontId="15" fillId="2" borderId="32" xfId="2" applyNumberFormat="1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vertical="center"/>
    </xf>
    <xf numFmtId="9" fontId="13" fillId="0" borderId="0" xfId="2" applyFont="1" applyFill="1" applyBorder="1" applyAlignment="1">
      <alignment horizontal="center" vertical="center"/>
    </xf>
    <xf numFmtId="0" fontId="13" fillId="3" borderId="36" xfId="0" applyFont="1" applyFill="1" applyBorder="1" applyAlignment="1">
      <alignment horizontal="left" vertical="center"/>
    </xf>
    <xf numFmtId="167" fontId="17" fillId="0" borderId="37" xfId="0" applyNumberFormat="1" applyFont="1" applyBorder="1" applyAlignment="1">
      <alignment horizontal="center"/>
    </xf>
    <xf numFmtId="167" fontId="17" fillId="0" borderId="38" xfId="0" applyNumberFormat="1" applyFont="1" applyBorder="1" applyAlignment="1">
      <alignment horizontal="center"/>
    </xf>
    <xf numFmtId="167" fontId="17" fillId="0" borderId="39" xfId="0" applyNumberFormat="1" applyFont="1" applyBorder="1" applyAlignment="1">
      <alignment horizontal="center"/>
    </xf>
    <xf numFmtId="167" fontId="17" fillId="0" borderId="40" xfId="0" applyNumberFormat="1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3" borderId="43" xfId="0" applyFont="1" applyFill="1" applyBorder="1" applyAlignment="1">
      <alignment horizontal="left" vertical="center"/>
    </xf>
    <xf numFmtId="9" fontId="17" fillId="0" borderId="37" xfId="2" applyFont="1" applyBorder="1" applyAlignment="1">
      <alignment horizontal="center"/>
    </xf>
    <xf numFmtId="9" fontId="16" fillId="0" borderId="38" xfId="2" applyFont="1" applyBorder="1" applyAlignment="1">
      <alignment horizontal="center"/>
    </xf>
    <xf numFmtId="9" fontId="16" fillId="0" borderId="39" xfId="2" applyFont="1" applyBorder="1" applyAlignment="1">
      <alignment horizontal="center"/>
    </xf>
    <xf numFmtId="9" fontId="16" fillId="0" borderId="40" xfId="2" applyFont="1" applyBorder="1" applyAlignment="1">
      <alignment horizontal="center"/>
    </xf>
    <xf numFmtId="0" fontId="13" fillId="3" borderId="45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left"/>
    </xf>
    <xf numFmtId="0" fontId="13" fillId="0" borderId="0" xfId="0" applyFont="1" applyAlignment="1">
      <alignment horizontal="center"/>
    </xf>
    <xf numFmtId="0" fontId="13" fillId="3" borderId="47" xfId="0" applyFont="1" applyFill="1" applyBorder="1" applyAlignment="1">
      <alignment horizontal="center"/>
    </xf>
    <xf numFmtId="0" fontId="13" fillId="3" borderId="48" xfId="0" applyFont="1" applyFill="1" applyBorder="1" applyAlignment="1">
      <alignment horizontal="center"/>
    </xf>
    <xf numFmtId="0" fontId="13" fillId="3" borderId="49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9" fillId="0" borderId="50" xfId="0" applyFont="1" applyBorder="1"/>
    <xf numFmtId="167" fontId="7" fillId="0" borderId="47" xfId="0" applyNumberFormat="1" applyFont="1" applyBorder="1" applyAlignment="1">
      <alignment horizontal="center"/>
    </xf>
    <xf numFmtId="167" fontId="7" fillId="0" borderId="48" xfId="0" applyNumberFormat="1" applyFont="1" applyBorder="1" applyAlignment="1">
      <alignment horizontal="center"/>
    </xf>
    <xf numFmtId="167" fontId="7" fillId="0" borderId="49" xfId="0" applyNumberFormat="1" applyFont="1" applyBorder="1" applyAlignment="1">
      <alignment horizontal="center"/>
    </xf>
    <xf numFmtId="167" fontId="7" fillId="0" borderId="41" xfId="0" applyNumberFormat="1" applyFont="1" applyBorder="1" applyAlignment="1">
      <alignment horizontal="center"/>
    </xf>
    <xf numFmtId="0" fontId="19" fillId="0" borderId="46" xfId="0" applyFont="1" applyBorder="1"/>
    <xf numFmtId="167" fontId="7" fillId="0" borderId="51" xfId="0" applyNumberFormat="1" applyFont="1" applyBorder="1" applyAlignment="1">
      <alignment horizontal="center"/>
    </xf>
    <xf numFmtId="167" fontId="7" fillId="0" borderId="52" xfId="0" applyNumberFormat="1" applyFont="1" applyBorder="1" applyAlignment="1">
      <alignment horizontal="center"/>
    </xf>
    <xf numFmtId="167" fontId="7" fillId="0" borderId="53" xfId="0" applyNumberFormat="1" applyFont="1" applyBorder="1" applyAlignment="1">
      <alignment horizontal="center"/>
    </xf>
    <xf numFmtId="167" fontId="7" fillId="0" borderId="42" xfId="0" applyNumberFormat="1" applyFont="1" applyBorder="1" applyAlignment="1">
      <alignment horizontal="center"/>
    </xf>
    <xf numFmtId="0" fontId="19" fillId="0" borderId="55" xfId="0" applyFont="1" applyBorder="1"/>
    <xf numFmtId="9" fontId="16" fillId="0" borderId="56" xfId="2" applyFont="1" applyBorder="1" applyAlignment="1">
      <alignment horizontal="center"/>
    </xf>
    <xf numFmtId="9" fontId="16" fillId="0" borderId="57" xfId="2" applyFont="1" applyBorder="1" applyAlignment="1">
      <alignment horizontal="center"/>
    </xf>
    <xf numFmtId="9" fontId="16" fillId="0" borderId="58" xfId="2" applyFont="1" applyBorder="1" applyAlignment="1">
      <alignment horizontal="center"/>
    </xf>
    <xf numFmtId="9" fontId="16" fillId="0" borderId="59" xfId="2" applyFont="1" applyBorder="1" applyAlignment="1">
      <alignment horizontal="center"/>
    </xf>
    <xf numFmtId="0" fontId="19" fillId="0" borderId="61" xfId="0" applyFont="1" applyBorder="1"/>
    <xf numFmtId="167" fontId="7" fillId="0" borderId="62" xfId="0" applyNumberFormat="1" applyFont="1" applyBorder="1" applyAlignment="1">
      <alignment horizontal="center"/>
    </xf>
    <xf numFmtId="167" fontId="7" fillId="0" borderId="63" xfId="0" applyNumberFormat="1" applyFont="1" applyBorder="1" applyAlignment="1">
      <alignment horizontal="center"/>
    </xf>
    <xf numFmtId="167" fontId="7" fillId="0" borderId="64" xfId="0" applyNumberFormat="1" applyFont="1" applyBorder="1" applyAlignment="1">
      <alignment horizontal="center"/>
    </xf>
    <xf numFmtId="167" fontId="7" fillId="0" borderId="65" xfId="0" applyNumberFormat="1" applyFont="1" applyBorder="1" applyAlignment="1">
      <alignment horizontal="center"/>
    </xf>
    <xf numFmtId="0" fontId="19" fillId="0" borderId="67" xfId="0" applyFont="1" applyBorder="1"/>
    <xf numFmtId="9" fontId="16" fillId="0" borderId="68" xfId="2" applyFont="1" applyBorder="1" applyAlignment="1">
      <alignment horizontal="center"/>
    </xf>
    <xf numFmtId="9" fontId="16" fillId="0" borderId="69" xfId="2" applyFont="1" applyBorder="1" applyAlignment="1">
      <alignment horizontal="center"/>
    </xf>
    <xf numFmtId="9" fontId="16" fillId="0" borderId="70" xfId="2" applyFont="1" applyBorder="1" applyAlignment="1">
      <alignment horizontal="center"/>
    </xf>
    <xf numFmtId="9" fontId="16" fillId="0" borderId="44" xfId="2" applyFont="1" applyBorder="1" applyAlignment="1">
      <alignment horizontal="center"/>
    </xf>
    <xf numFmtId="0" fontId="1" fillId="0" borderId="0" xfId="1" applyAlignment="1"/>
    <xf numFmtId="0" fontId="4" fillId="0" borderId="0" xfId="0" applyFont="1" applyAlignment="1">
      <alignment horizontal="center" vertical="center"/>
    </xf>
    <xf numFmtId="168" fontId="20" fillId="0" borderId="73" xfId="0" applyNumberFormat="1" applyFont="1" applyBorder="1" applyAlignment="1">
      <alignment horizontal="center"/>
    </xf>
    <xf numFmtId="0" fontId="21" fillId="0" borderId="0" xfId="0" applyFont="1"/>
    <xf numFmtId="168" fontId="20" fillId="0" borderId="74" xfId="0" applyNumberFormat="1" applyFont="1" applyBorder="1" applyAlignment="1">
      <alignment horizontal="center"/>
    </xf>
    <xf numFmtId="168" fontId="20" fillId="0" borderId="75" xfId="0" applyNumberFormat="1" applyFont="1" applyBorder="1" applyAlignment="1">
      <alignment horizontal="center"/>
    </xf>
    <xf numFmtId="168" fontId="20" fillId="0" borderId="76" xfId="0" applyNumberFormat="1" applyFont="1" applyBorder="1" applyAlignment="1">
      <alignment horizontal="center"/>
    </xf>
    <xf numFmtId="0" fontId="6" fillId="0" borderId="0" xfId="0" applyFont="1"/>
    <xf numFmtId="0" fontId="23" fillId="0" borderId="0" xfId="0" applyFont="1"/>
    <xf numFmtId="0" fontId="4" fillId="4" borderId="0" xfId="0" applyFont="1" applyFill="1" applyAlignment="1">
      <alignment vertical="center"/>
    </xf>
    <xf numFmtId="0" fontId="4" fillId="4" borderId="72" xfId="0" applyFont="1" applyFill="1" applyBorder="1" applyAlignment="1">
      <alignment vertical="center"/>
    </xf>
    <xf numFmtId="9" fontId="20" fillId="0" borderId="73" xfId="2" applyFont="1" applyFill="1" applyBorder="1" applyAlignment="1">
      <alignment horizontal="center"/>
    </xf>
    <xf numFmtId="0" fontId="9" fillId="0" borderId="0" xfId="0" applyFont="1"/>
    <xf numFmtId="9" fontId="24" fillId="0" borderId="74" xfId="2" applyFont="1" applyBorder="1" applyAlignment="1">
      <alignment horizontal="center"/>
    </xf>
    <xf numFmtId="9" fontId="24" fillId="0" borderId="75" xfId="2" applyFont="1" applyBorder="1" applyAlignment="1">
      <alignment horizontal="center"/>
    </xf>
    <xf numFmtId="9" fontId="24" fillId="0" borderId="76" xfId="2" applyFont="1" applyBorder="1" applyAlignment="1">
      <alignment horizontal="center"/>
    </xf>
    <xf numFmtId="10" fontId="6" fillId="0" borderId="0" xfId="0" applyNumberFormat="1" applyFont="1"/>
    <xf numFmtId="0" fontId="4" fillId="4" borderId="0" xfId="0" applyFont="1" applyFill="1" applyAlignment="1">
      <alignment horizontal="center"/>
    </xf>
    <xf numFmtId="168" fontId="4" fillId="4" borderId="77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4" borderId="78" xfId="0" applyFont="1" applyFill="1" applyBorder="1"/>
    <xf numFmtId="168" fontId="4" fillId="4" borderId="77" xfId="0" applyNumberFormat="1" applyFont="1" applyFill="1" applyBorder="1" applyAlignment="1">
      <alignment horizontal="center"/>
    </xf>
    <xf numFmtId="168" fontId="4" fillId="4" borderId="79" xfId="0" applyNumberFormat="1" applyFont="1" applyFill="1" applyBorder="1" applyAlignment="1">
      <alignment horizontal="center"/>
    </xf>
    <xf numFmtId="168" fontId="4" fillId="4" borderId="80" xfId="0" applyNumberFormat="1" applyFont="1" applyFill="1" applyBorder="1" applyAlignment="1">
      <alignment horizontal="center"/>
    </xf>
    <xf numFmtId="0" fontId="4" fillId="4" borderId="81" xfId="0" applyFont="1" applyFill="1" applyBorder="1"/>
    <xf numFmtId="9" fontId="4" fillId="4" borderId="71" xfId="2" applyFont="1" applyFill="1" applyBorder="1" applyAlignment="1">
      <alignment horizontal="center"/>
    </xf>
    <xf numFmtId="9" fontId="4" fillId="4" borderId="0" xfId="2" applyFont="1" applyFill="1" applyBorder="1" applyAlignment="1">
      <alignment horizontal="center"/>
    </xf>
    <xf numFmtId="9" fontId="4" fillId="4" borderId="72" xfId="2" applyFont="1" applyFill="1" applyBorder="1" applyAlignment="1">
      <alignment horizontal="center"/>
    </xf>
    <xf numFmtId="9" fontId="4" fillId="4" borderId="81" xfId="2" applyFont="1" applyFill="1" applyBorder="1" applyAlignment="1">
      <alignment horizontal="center"/>
    </xf>
    <xf numFmtId="0" fontId="0" fillId="0" borderId="77" xfId="0" applyBorder="1"/>
    <xf numFmtId="0" fontId="21" fillId="0" borderId="79" xfId="0" applyFont="1" applyBorder="1"/>
    <xf numFmtId="3" fontId="0" fillId="0" borderId="80" xfId="0" applyNumberFormat="1" applyBorder="1" applyAlignment="1">
      <alignment horizontal="center"/>
    </xf>
    <xf numFmtId="0" fontId="0" fillId="0" borderId="81" xfId="0" applyBorder="1"/>
    <xf numFmtId="3" fontId="0" fillId="0" borderId="71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72" xfId="0" applyNumberFormat="1" applyBorder="1" applyAlignment="1">
      <alignment horizontal="center"/>
    </xf>
    <xf numFmtId="3" fontId="0" fillId="0" borderId="81" xfId="0" applyNumberFormat="1" applyBorder="1" applyAlignment="1">
      <alignment horizontal="center"/>
    </xf>
    <xf numFmtId="0" fontId="0" fillId="0" borderId="71" xfId="0" applyBorder="1"/>
    <xf numFmtId="0" fontId="21" fillId="0" borderId="82" xfId="0" applyFont="1" applyBorder="1"/>
    <xf numFmtId="0" fontId="0" fillId="0" borderId="83" xfId="0" applyBorder="1" applyAlignment="1">
      <alignment horizontal="center"/>
    </xf>
    <xf numFmtId="0" fontId="0" fillId="0" borderId="84" xfId="0" applyBorder="1"/>
    <xf numFmtId="9" fontId="25" fillId="0" borderId="85" xfId="2" applyFont="1" applyBorder="1" applyAlignment="1">
      <alignment horizontal="center"/>
    </xf>
    <xf numFmtId="9" fontId="25" fillId="0" borderId="82" xfId="2" applyFont="1" applyBorder="1" applyAlignment="1">
      <alignment horizontal="center"/>
    </xf>
    <xf numFmtId="9" fontId="25" fillId="0" borderId="83" xfId="2" applyFont="1" applyBorder="1" applyAlignment="1">
      <alignment horizontal="center"/>
    </xf>
    <xf numFmtId="3" fontId="2" fillId="0" borderId="84" xfId="2" applyNumberFormat="1" applyFont="1" applyBorder="1" applyAlignment="1">
      <alignment horizontal="center"/>
    </xf>
    <xf numFmtId="3" fontId="0" fillId="0" borderId="84" xfId="0" applyNumberFormat="1" applyBorder="1" applyAlignment="1">
      <alignment horizontal="center"/>
    </xf>
    <xf numFmtId="0" fontId="0" fillId="0" borderId="86" xfId="0" applyBorder="1"/>
    <xf numFmtId="0" fontId="21" fillId="0" borderId="87" xfId="0" applyFont="1" applyBorder="1"/>
    <xf numFmtId="0" fontId="0" fillId="0" borderId="88" xfId="0" applyBorder="1" applyAlignment="1">
      <alignment horizontal="center"/>
    </xf>
    <xf numFmtId="9" fontId="25" fillId="0" borderId="71" xfId="2" applyFont="1" applyBorder="1" applyAlignment="1">
      <alignment horizontal="center"/>
    </xf>
    <xf numFmtId="9" fontId="25" fillId="0" borderId="0" xfId="2" applyFont="1" applyBorder="1" applyAlignment="1">
      <alignment horizontal="center"/>
    </xf>
    <xf numFmtId="9" fontId="25" fillId="0" borderId="72" xfId="2" applyFont="1" applyBorder="1" applyAlignment="1">
      <alignment horizontal="center"/>
    </xf>
    <xf numFmtId="0" fontId="4" fillId="4" borderId="89" xfId="0" applyFont="1" applyFill="1" applyBorder="1"/>
    <xf numFmtId="9" fontId="4" fillId="4" borderId="86" xfId="2" applyFont="1" applyFill="1" applyBorder="1" applyAlignment="1">
      <alignment horizontal="center" vertical="center"/>
    </xf>
    <xf numFmtId="9" fontId="4" fillId="4" borderId="87" xfId="2" applyFont="1" applyFill="1" applyBorder="1" applyAlignment="1">
      <alignment horizontal="center" vertical="center"/>
    </xf>
    <xf numFmtId="9" fontId="4" fillId="4" borderId="88" xfId="2" applyFont="1" applyFill="1" applyBorder="1" applyAlignment="1">
      <alignment horizontal="center" vertical="center"/>
    </xf>
    <xf numFmtId="9" fontId="4" fillId="4" borderId="89" xfId="2" applyFont="1" applyFill="1" applyBorder="1" applyAlignment="1">
      <alignment horizontal="center"/>
    </xf>
    <xf numFmtId="3" fontId="0" fillId="0" borderId="71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72" xfId="0" applyNumberFormat="1" applyBorder="1" applyAlignment="1">
      <alignment horizontal="center" vertical="center"/>
    </xf>
    <xf numFmtId="0" fontId="0" fillId="0" borderId="89" xfId="0" applyBorder="1"/>
    <xf numFmtId="9" fontId="25" fillId="0" borderId="86" xfId="2" applyFont="1" applyBorder="1" applyAlignment="1">
      <alignment horizontal="center" vertical="center"/>
    </xf>
    <xf numFmtId="9" fontId="25" fillId="0" borderId="87" xfId="2" applyFont="1" applyBorder="1" applyAlignment="1">
      <alignment horizontal="center" vertical="center"/>
    </xf>
    <xf numFmtId="9" fontId="25" fillId="0" borderId="88" xfId="2" applyFont="1" applyBorder="1" applyAlignment="1">
      <alignment horizontal="center" vertical="center"/>
    </xf>
    <xf numFmtId="3" fontId="0" fillId="0" borderId="89" xfId="0" applyNumberFormat="1" applyBorder="1" applyAlignment="1">
      <alignment horizontal="center"/>
    </xf>
    <xf numFmtId="0" fontId="26" fillId="0" borderId="0" xfId="1" applyFont="1" applyAlignment="1">
      <alignment horizontal="left"/>
    </xf>
    <xf numFmtId="0" fontId="1" fillId="0" borderId="0" xfId="1" applyAlignment="1">
      <alignment horizontal="left"/>
    </xf>
    <xf numFmtId="0" fontId="7" fillId="0" borderId="0" xfId="0" applyFont="1" applyAlignment="1">
      <alignment horizontal="left"/>
    </xf>
    <xf numFmtId="0" fontId="13" fillId="0" borderId="0" xfId="0" applyFont="1"/>
    <xf numFmtId="165" fontId="27" fillId="0" borderId="0" xfId="0" applyNumberFormat="1" applyFont="1" applyAlignment="1">
      <alignment horizontal="center"/>
    </xf>
    <xf numFmtId="0" fontId="13" fillId="5" borderId="90" xfId="0" applyFont="1" applyFill="1" applyBorder="1" applyAlignment="1">
      <alignment horizontal="left"/>
    </xf>
    <xf numFmtId="165" fontId="28" fillId="0" borderId="91" xfId="2" applyNumberFormat="1" applyFont="1" applyFill="1" applyBorder="1" applyAlignment="1">
      <alignment horizontal="center"/>
    </xf>
    <xf numFmtId="165" fontId="28" fillId="0" borderId="92" xfId="2" applyNumberFormat="1" applyFont="1" applyFill="1" applyBorder="1" applyAlignment="1">
      <alignment horizontal="center"/>
    </xf>
    <xf numFmtId="165" fontId="28" fillId="0" borderId="93" xfId="2" applyNumberFormat="1" applyFont="1" applyFill="1" applyBorder="1" applyAlignment="1">
      <alignment horizontal="center"/>
    </xf>
    <xf numFmtId="165" fontId="28" fillId="0" borderId="94" xfId="2" applyNumberFormat="1" applyFont="1" applyFill="1" applyBorder="1" applyAlignment="1">
      <alignment horizontal="center"/>
    </xf>
    <xf numFmtId="0" fontId="13" fillId="5" borderId="0" xfId="0" applyFont="1" applyFill="1"/>
    <xf numFmtId="2" fontId="28" fillId="0" borderId="91" xfId="2" applyNumberFormat="1" applyFont="1" applyFill="1" applyBorder="1" applyAlignment="1">
      <alignment horizontal="center"/>
    </xf>
    <xf numFmtId="2" fontId="28" fillId="0" borderId="96" xfId="2" applyNumberFormat="1" applyFont="1" applyFill="1" applyBorder="1" applyAlignment="1">
      <alignment horizontal="center"/>
    </xf>
    <xf numFmtId="2" fontId="28" fillId="0" borderId="97" xfId="2" applyNumberFormat="1" applyFont="1" applyFill="1" applyBorder="1" applyAlignment="1">
      <alignment horizontal="center"/>
    </xf>
    <xf numFmtId="2" fontId="28" fillId="0" borderId="98" xfId="2" applyNumberFormat="1" applyFont="1" applyFill="1" applyBorder="1" applyAlignment="1">
      <alignment horizontal="center"/>
    </xf>
    <xf numFmtId="0" fontId="13" fillId="5" borderId="99" xfId="0" applyFont="1" applyFill="1" applyBorder="1" applyAlignment="1">
      <alignment horizontal="center"/>
    </xf>
    <xf numFmtId="0" fontId="13" fillId="5" borderId="100" xfId="0" applyFont="1" applyFill="1" applyBorder="1" applyAlignment="1">
      <alignment horizontal="center"/>
    </xf>
    <xf numFmtId="0" fontId="13" fillId="5" borderId="101" xfId="0" applyFont="1" applyFill="1" applyBorder="1" applyAlignment="1">
      <alignment horizontal="center"/>
    </xf>
    <xf numFmtId="2" fontId="7" fillId="0" borderId="0" xfId="0" applyNumberFormat="1" applyFont="1" applyAlignment="1">
      <alignment horizontal="center"/>
    </xf>
    <xf numFmtId="169" fontId="13" fillId="5" borderId="102" xfId="0" applyNumberFormat="1" applyFont="1" applyFill="1" applyBorder="1" applyAlignment="1">
      <alignment horizontal="center"/>
    </xf>
    <xf numFmtId="169" fontId="13" fillId="5" borderId="95" xfId="0" applyNumberFormat="1" applyFont="1" applyFill="1" applyBorder="1" applyAlignment="1">
      <alignment horizontal="center"/>
    </xf>
    <xf numFmtId="169" fontId="13" fillId="5" borderId="90" xfId="0" applyNumberFormat="1" applyFont="1" applyFill="1" applyBorder="1" applyAlignment="1">
      <alignment horizontal="center"/>
    </xf>
    <xf numFmtId="1" fontId="7" fillId="0" borderId="0" xfId="0" applyNumberFormat="1" applyFont="1"/>
    <xf numFmtId="0" fontId="13" fillId="5" borderId="104" xfId="0" applyFont="1" applyFill="1" applyBorder="1" applyAlignment="1">
      <alignment horizontal="left"/>
    </xf>
    <xf numFmtId="169" fontId="13" fillId="5" borderId="103" xfId="0" applyNumberFormat="1" applyFont="1" applyFill="1" applyBorder="1" applyAlignment="1">
      <alignment horizontal="center"/>
    </xf>
    <xf numFmtId="169" fontId="13" fillId="5" borderId="0" xfId="0" applyNumberFormat="1" applyFont="1" applyFill="1" applyAlignment="1">
      <alignment horizontal="center"/>
    </xf>
    <xf numFmtId="169" fontId="13" fillId="5" borderId="104" xfId="0" applyNumberFormat="1" applyFont="1" applyFill="1" applyBorder="1" applyAlignment="1">
      <alignment horizontal="center"/>
    </xf>
    <xf numFmtId="2" fontId="14" fillId="5" borderId="103" xfId="2" applyNumberFormat="1" applyFont="1" applyFill="1" applyBorder="1" applyAlignment="1">
      <alignment horizontal="center"/>
    </xf>
    <xf numFmtId="2" fontId="14" fillId="5" borderId="0" xfId="2" applyNumberFormat="1" applyFont="1" applyFill="1" applyBorder="1" applyAlignment="1">
      <alignment horizontal="center"/>
    </xf>
    <xf numFmtId="2" fontId="14" fillId="5" borderId="104" xfId="2" applyNumberFormat="1" applyFont="1" applyFill="1" applyBorder="1" applyAlignment="1">
      <alignment horizontal="center"/>
    </xf>
    <xf numFmtId="2" fontId="14" fillId="5" borderId="105" xfId="2" applyNumberFormat="1" applyFont="1" applyFill="1" applyBorder="1" applyAlignment="1">
      <alignment horizontal="center"/>
    </xf>
    <xf numFmtId="0" fontId="7" fillId="0" borderId="103" xfId="0" applyFont="1" applyBorder="1"/>
    <xf numFmtId="0" fontId="30" fillId="0" borderId="0" xfId="0" applyFont="1"/>
    <xf numFmtId="0" fontId="30" fillId="0" borderId="104" xfId="0" applyFont="1" applyBorder="1"/>
    <xf numFmtId="168" fontId="7" fillId="0" borderId="103" xfId="0" applyNumberFormat="1" applyFont="1" applyBorder="1" applyAlignment="1">
      <alignment horizontal="center"/>
    </xf>
    <xf numFmtId="168" fontId="7" fillId="0" borderId="0" xfId="0" applyNumberFormat="1" applyFont="1" applyAlignment="1">
      <alignment horizontal="center"/>
    </xf>
    <xf numFmtId="168" fontId="7" fillId="0" borderId="104" xfId="0" applyNumberFormat="1" applyFont="1" applyBorder="1" applyAlignment="1">
      <alignment horizontal="center"/>
    </xf>
    <xf numFmtId="167" fontId="7" fillId="0" borderId="106" xfId="0" applyNumberFormat="1" applyFont="1" applyBorder="1" applyAlignment="1">
      <alignment horizontal="center"/>
    </xf>
    <xf numFmtId="167" fontId="7" fillId="0" borderId="0" xfId="0" applyNumberFormat="1" applyFont="1"/>
    <xf numFmtId="0" fontId="30" fillId="0" borderId="107" xfId="0" applyFont="1" applyBorder="1"/>
    <xf numFmtId="0" fontId="30" fillId="0" borderId="108" xfId="0" applyFont="1" applyBorder="1"/>
    <xf numFmtId="2" fontId="16" fillId="0" borderId="103" xfId="2" applyNumberFormat="1" applyFont="1" applyBorder="1" applyAlignment="1">
      <alignment horizontal="center"/>
    </xf>
    <xf numFmtId="2" fontId="16" fillId="0" borderId="0" xfId="2" applyNumberFormat="1" applyFont="1" applyBorder="1" applyAlignment="1">
      <alignment horizontal="center"/>
    </xf>
    <xf numFmtId="2" fontId="16" fillId="0" borderId="104" xfId="2" applyNumberFormat="1" applyFont="1" applyBorder="1" applyAlignment="1">
      <alignment horizontal="center"/>
    </xf>
    <xf numFmtId="2" fontId="16" fillId="0" borderId="106" xfId="2" applyNumberFormat="1" applyFont="1" applyBorder="1" applyAlignment="1">
      <alignment horizontal="center"/>
    </xf>
    <xf numFmtId="9" fontId="7" fillId="0" borderId="0" xfId="2" applyFont="1"/>
    <xf numFmtId="2" fontId="7" fillId="0" borderId="109" xfId="0" applyNumberFormat="1" applyFont="1" applyBorder="1" applyAlignment="1">
      <alignment horizontal="center"/>
    </xf>
    <xf numFmtId="167" fontId="7" fillId="0" borderId="110" xfId="0" applyNumberFormat="1" applyFont="1" applyBorder="1" applyAlignment="1">
      <alignment horizontal="center"/>
    </xf>
    <xf numFmtId="0" fontId="7" fillId="0" borderId="111" xfId="0" applyFont="1" applyBorder="1"/>
    <xf numFmtId="0" fontId="30" fillId="0" borderId="112" xfId="0" applyFont="1" applyBorder="1"/>
    <xf numFmtId="0" fontId="30" fillId="0" borderId="113" xfId="0" applyFont="1" applyBorder="1"/>
    <xf numFmtId="2" fontId="16" fillId="0" borderId="111" xfId="2" applyNumberFormat="1" applyFont="1" applyBorder="1" applyAlignment="1">
      <alignment horizontal="center"/>
    </xf>
    <xf numFmtId="2" fontId="16" fillId="0" borderId="112" xfId="2" applyNumberFormat="1" applyFont="1" applyBorder="1" applyAlignment="1">
      <alignment horizontal="center"/>
    </xf>
    <xf numFmtId="2" fontId="16" fillId="0" borderId="113" xfId="2" applyNumberFormat="1" applyFont="1" applyBorder="1" applyAlignment="1">
      <alignment horizontal="center"/>
    </xf>
    <xf numFmtId="2" fontId="16" fillId="0" borderId="105" xfId="2" applyNumberFormat="1" applyFont="1" applyBorder="1" applyAlignment="1">
      <alignment horizontal="center"/>
    </xf>
    <xf numFmtId="2" fontId="28" fillId="0" borderId="114" xfId="2" applyNumberFormat="1" applyFont="1" applyFill="1" applyBorder="1" applyAlignment="1">
      <alignment horizontal="center"/>
    </xf>
    <xf numFmtId="2" fontId="28" fillId="0" borderId="115" xfId="2" applyNumberFormat="1" applyFont="1" applyFill="1" applyBorder="1" applyAlignment="1">
      <alignment horizontal="center"/>
    </xf>
    <xf numFmtId="2" fontId="28" fillId="0" borderId="116" xfId="2" applyNumberFormat="1" applyFont="1" applyFill="1" applyBorder="1" applyAlignment="1">
      <alignment horizontal="center"/>
    </xf>
    <xf numFmtId="2" fontId="28" fillId="0" borderId="117" xfId="2" applyNumberFormat="1" applyFont="1" applyFill="1" applyBorder="1" applyAlignment="1">
      <alignment horizontal="center"/>
    </xf>
    <xf numFmtId="170" fontId="28" fillId="0" borderId="114" xfId="0" applyNumberFormat="1" applyFont="1" applyBorder="1" applyAlignment="1">
      <alignment horizontal="center"/>
    </xf>
    <xf numFmtId="170" fontId="28" fillId="0" borderId="115" xfId="0" applyNumberFormat="1" applyFont="1" applyBorder="1" applyAlignment="1">
      <alignment horizontal="center"/>
    </xf>
    <xf numFmtId="170" fontId="28" fillId="0" borderId="116" xfId="0" applyNumberFormat="1" applyFont="1" applyBorder="1" applyAlignment="1">
      <alignment horizontal="center"/>
    </xf>
    <xf numFmtId="170" fontId="28" fillId="0" borderId="117" xfId="0" applyNumberFormat="1" applyFont="1" applyBorder="1" applyAlignment="1">
      <alignment horizontal="center"/>
    </xf>
    <xf numFmtId="0" fontId="13" fillId="6" borderId="118" xfId="0" applyFont="1" applyFill="1" applyBorder="1" applyAlignment="1">
      <alignment horizontal="left"/>
    </xf>
    <xf numFmtId="0" fontId="7" fillId="6" borderId="0" xfId="0" applyFont="1" applyFill="1"/>
    <xf numFmtId="170" fontId="32" fillId="0" borderId="114" xfId="0" applyNumberFormat="1" applyFont="1" applyBorder="1" applyAlignment="1">
      <alignment horizontal="left"/>
    </xf>
    <xf numFmtId="0" fontId="13" fillId="6" borderId="115" xfId="0" applyFont="1" applyFill="1" applyBorder="1" applyAlignment="1">
      <alignment horizontal="center"/>
    </xf>
    <xf numFmtId="0" fontId="13" fillId="6" borderId="116" xfId="0" applyFont="1" applyFill="1" applyBorder="1" applyAlignment="1">
      <alignment horizontal="center"/>
    </xf>
    <xf numFmtId="0" fontId="13" fillId="6" borderId="117" xfId="0" applyFont="1" applyFill="1" applyBorder="1" applyAlignment="1">
      <alignment horizontal="center"/>
    </xf>
    <xf numFmtId="0" fontId="13" fillId="6" borderId="120" xfId="0" applyFont="1" applyFill="1" applyBorder="1" applyAlignment="1">
      <alignment horizontal="left"/>
    </xf>
    <xf numFmtId="3" fontId="13" fillId="6" borderId="114" xfId="0" applyNumberFormat="1" applyFont="1" applyFill="1" applyBorder="1" applyAlignment="1">
      <alignment horizontal="center"/>
    </xf>
    <xf numFmtId="170" fontId="13" fillId="6" borderId="115" xfId="0" applyNumberFormat="1" applyFont="1" applyFill="1" applyBorder="1" applyAlignment="1">
      <alignment horizontal="center"/>
    </xf>
    <xf numFmtId="170" fontId="13" fillId="6" borderId="114" xfId="0" applyNumberFormat="1" applyFont="1" applyFill="1" applyBorder="1" applyAlignment="1">
      <alignment horizontal="center"/>
    </xf>
    <xf numFmtId="167" fontId="13" fillId="6" borderId="121" xfId="0" applyNumberFormat="1" applyFont="1" applyFill="1" applyBorder="1" applyAlignment="1">
      <alignment horizontal="center"/>
    </xf>
    <xf numFmtId="0" fontId="13" fillId="6" borderId="122" xfId="0" applyFont="1" applyFill="1" applyBorder="1" applyAlignment="1">
      <alignment horizontal="left"/>
    </xf>
    <xf numFmtId="3" fontId="7" fillId="6" borderId="0" xfId="0" applyNumberFormat="1" applyFont="1" applyFill="1" applyAlignment="1">
      <alignment horizontal="center"/>
    </xf>
    <xf numFmtId="2" fontId="14" fillId="6" borderId="123" xfId="2" applyNumberFormat="1" applyFont="1" applyFill="1" applyBorder="1" applyAlignment="1">
      <alignment horizontal="center"/>
    </xf>
    <xf numFmtId="2" fontId="14" fillId="6" borderId="124" xfId="2" applyNumberFormat="1" applyFont="1" applyFill="1" applyBorder="1" applyAlignment="1">
      <alignment horizontal="center"/>
    </xf>
    <xf numFmtId="2" fontId="14" fillId="6" borderId="125" xfId="2" applyNumberFormat="1" applyFont="1" applyFill="1" applyBorder="1" applyAlignment="1">
      <alignment horizontal="center"/>
    </xf>
    <xf numFmtId="2" fontId="14" fillId="6" borderId="114" xfId="2" applyNumberFormat="1" applyFont="1" applyFill="1" applyBorder="1" applyAlignment="1">
      <alignment horizontal="center"/>
    </xf>
    <xf numFmtId="0" fontId="7" fillId="0" borderId="119" xfId="0" applyFont="1" applyBorder="1"/>
    <xf numFmtId="0" fontId="7" fillId="0" borderId="122" xfId="0" applyFont="1" applyBorder="1"/>
    <xf numFmtId="3" fontId="7" fillId="0" borderId="121" xfId="0" applyNumberFormat="1" applyFont="1" applyBorder="1" applyAlignment="1">
      <alignment horizontal="center"/>
    </xf>
    <xf numFmtId="168" fontId="7" fillId="0" borderId="126" xfId="0" applyNumberFormat="1" applyFont="1" applyBorder="1" applyAlignment="1">
      <alignment horizontal="center"/>
    </xf>
    <xf numFmtId="168" fontId="7" fillId="0" borderId="127" xfId="0" applyNumberFormat="1" applyFont="1" applyBorder="1" applyAlignment="1">
      <alignment horizontal="center"/>
    </xf>
    <xf numFmtId="168" fontId="7" fillId="0" borderId="120" xfId="0" applyNumberFormat="1" applyFont="1" applyBorder="1" applyAlignment="1">
      <alignment horizontal="center"/>
    </xf>
    <xf numFmtId="167" fontId="7" fillId="0" borderId="121" xfId="0" applyNumberFormat="1" applyFont="1" applyBorder="1" applyAlignment="1">
      <alignment horizontal="center"/>
    </xf>
    <xf numFmtId="3" fontId="7" fillId="0" borderId="128" xfId="0" applyNumberFormat="1" applyFont="1" applyBorder="1" applyAlignment="1">
      <alignment horizontal="center"/>
    </xf>
    <xf numFmtId="2" fontId="16" fillId="0" borderId="129" xfId="2" applyNumberFormat="1" applyFont="1" applyBorder="1" applyAlignment="1">
      <alignment horizontal="center"/>
    </xf>
    <xf numFmtId="2" fontId="16" fillId="0" borderId="110" xfId="2" applyNumberFormat="1" applyFont="1" applyBorder="1" applyAlignment="1">
      <alignment horizontal="center"/>
    </xf>
    <xf numFmtId="2" fontId="16" fillId="0" borderId="130" xfId="2" applyNumberFormat="1" applyFont="1" applyBorder="1" applyAlignment="1">
      <alignment horizontal="center"/>
    </xf>
    <xf numFmtId="2" fontId="16" fillId="0" borderId="121" xfId="2" applyNumberFormat="1" applyFont="1" applyBorder="1" applyAlignment="1">
      <alignment horizontal="center"/>
    </xf>
    <xf numFmtId="0" fontId="7" fillId="0" borderId="109" xfId="0" applyFont="1" applyBorder="1"/>
    <xf numFmtId="0" fontId="7" fillId="0" borderId="131" xfId="0" applyFont="1" applyBorder="1"/>
    <xf numFmtId="3" fontId="7" fillId="0" borderId="132" xfId="0" applyNumberFormat="1" applyFont="1" applyBorder="1" applyAlignment="1">
      <alignment horizontal="center"/>
    </xf>
    <xf numFmtId="168" fontId="7" fillId="0" borderId="133" xfId="0" applyNumberFormat="1" applyFont="1" applyBorder="1" applyAlignment="1">
      <alignment horizontal="center"/>
    </xf>
    <xf numFmtId="168" fontId="7" fillId="0" borderId="109" xfId="0" applyNumberFormat="1" applyFont="1" applyBorder="1" applyAlignment="1">
      <alignment horizontal="center"/>
    </xf>
    <xf numFmtId="168" fontId="7" fillId="0" borderId="131" xfId="0" applyNumberFormat="1" applyFont="1" applyBorder="1" applyAlignment="1">
      <alignment horizontal="center"/>
    </xf>
    <xf numFmtId="0" fontId="7" fillId="0" borderId="110" xfId="0" applyFont="1" applyBorder="1"/>
    <xf numFmtId="0" fontId="7" fillId="0" borderId="130" xfId="0" applyFont="1" applyBorder="1"/>
    <xf numFmtId="168" fontId="7" fillId="0" borderId="119" xfId="0" applyNumberFormat="1" applyFont="1" applyBorder="1" applyAlignment="1">
      <alignment horizontal="center"/>
    </xf>
    <xf numFmtId="168" fontId="7" fillId="0" borderId="122" xfId="0" applyNumberFormat="1" applyFont="1" applyBorder="1" applyAlignment="1">
      <alignment horizontal="center"/>
    </xf>
    <xf numFmtId="0" fontId="7" fillId="0" borderId="134" xfId="0" applyFont="1" applyBorder="1"/>
    <xf numFmtId="0" fontId="7" fillId="0" borderId="135" xfId="0" applyFont="1" applyBorder="1"/>
    <xf numFmtId="2" fontId="16" fillId="0" borderId="119" xfId="2" applyNumberFormat="1" applyFont="1" applyBorder="1" applyAlignment="1">
      <alignment horizontal="center"/>
    </xf>
    <xf numFmtId="2" fontId="16" fillId="0" borderId="122" xfId="2" applyNumberFormat="1" applyFont="1" applyBorder="1" applyAlignment="1">
      <alignment horizontal="center"/>
    </xf>
    <xf numFmtId="3" fontId="7" fillId="6" borderId="114" xfId="0" applyNumberFormat="1" applyFont="1" applyFill="1" applyBorder="1" applyAlignment="1">
      <alignment horizontal="center"/>
    </xf>
    <xf numFmtId="0" fontId="7" fillId="0" borderId="127" xfId="0" applyFont="1" applyBorder="1"/>
    <xf numFmtId="0" fontId="7" fillId="0" borderId="120" xfId="0" applyFont="1" applyBorder="1"/>
    <xf numFmtId="167" fontId="7" fillId="0" borderId="109" xfId="0" applyNumberFormat="1" applyFont="1" applyBorder="1" applyAlignment="1">
      <alignment horizontal="center"/>
    </xf>
    <xf numFmtId="0" fontId="7" fillId="0" borderId="136" xfId="0" applyFont="1" applyBorder="1"/>
    <xf numFmtId="3" fontId="7" fillId="0" borderId="137" xfId="0" applyNumberFormat="1" applyFont="1" applyBorder="1" applyAlignment="1">
      <alignment horizontal="center"/>
    </xf>
    <xf numFmtId="2" fontId="16" fillId="0" borderId="136" xfId="2" applyNumberFormat="1" applyFont="1" applyBorder="1" applyAlignment="1">
      <alignment horizontal="center"/>
    </xf>
    <xf numFmtId="2" fontId="16" fillId="0" borderId="134" xfId="2" applyNumberFormat="1" applyFont="1" applyBorder="1" applyAlignment="1">
      <alignment horizontal="center"/>
    </xf>
    <xf numFmtId="2" fontId="16" fillId="0" borderId="135" xfId="2" applyNumberFormat="1" applyFont="1" applyBorder="1" applyAlignment="1">
      <alignment horizontal="center"/>
    </xf>
    <xf numFmtId="2" fontId="16" fillId="0" borderId="137" xfId="2" applyNumberFormat="1" applyFont="1" applyBorder="1" applyAlignment="1">
      <alignment horizontal="center"/>
    </xf>
    <xf numFmtId="0" fontId="1" fillId="0" borderId="0" xfId="1"/>
    <xf numFmtId="0" fontId="33" fillId="0" borderId="0" xfId="0" applyFont="1" applyAlignment="1">
      <alignment horizontal="center"/>
    </xf>
    <xf numFmtId="0" fontId="33" fillId="0" borderId="0" xfId="0" applyFont="1"/>
    <xf numFmtId="0" fontId="33" fillId="0" borderId="0" xfId="0" applyFont="1" applyAlignment="1">
      <alignment horizontal="center" vertical="center"/>
    </xf>
    <xf numFmtId="0" fontId="13" fillId="3" borderId="138" xfId="0" applyFont="1" applyFill="1" applyBorder="1"/>
    <xf numFmtId="167" fontId="17" fillId="0" borderId="139" xfId="0" applyNumberFormat="1" applyFont="1" applyBorder="1"/>
    <xf numFmtId="167" fontId="33" fillId="0" borderId="0" xfId="0" applyNumberFormat="1" applyFont="1"/>
    <xf numFmtId="167" fontId="17" fillId="0" borderId="138" xfId="0" applyNumberFormat="1" applyFont="1" applyBorder="1"/>
    <xf numFmtId="167" fontId="17" fillId="0" borderId="140" xfId="0" applyNumberFormat="1" applyFont="1" applyBorder="1"/>
    <xf numFmtId="167" fontId="17" fillId="0" borderId="141" xfId="0" applyNumberFormat="1" applyFont="1" applyBorder="1"/>
    <xf numFmtId="167" fontId="13" fillId="0" borderId="140" xfId="0" applyNumberFormat="1" applyFont="1" applyBorder="1"/>
    <xf numFmtId="0" fontId="13" fillId="3" borderId="142" xfId="0" applyFont="1" applyFill="1" applyBorder="1"/>
    <xf numFmtId="167" fontId="17" fillId="0" borderId="143" xfId="0" applyNumberFormat="1" applyFont="1" applyBorder="1"/>
    <xf numFmtId="167" fontId="17" fillId="0" borderId="144" xfId="0" applyNumberFormat="1" applyFont="1" applyBorder="1"/>
    <xf numFmtId="167" fontId="17" fillId="0" borderId="145" xfId="0" applyNumberFormat="1" applyFont="1" applyBorder="1"/>
    <xf numFmtId="0" fontId="13" fillId="0" borderId="140" xfId="0" applyFont="1" applyBorder="1" applyAlignment="1">
      <alignment horizontal="center"/>
    </xf>
    <xf numFmtId="0" fontId="13" fillId="3" borderId="146" xfId="0" applyFont="1" applyFill="1" applyBorder="1"/>
    <xf numFmtId="164" fontId="17" fillId="0" borderId="139" xfId="2" applyNumberFormat="1" applyFont="1" applyBorder="1" applyAlignment="1">
      <alignment horizontal="center" vertical="center"/>
    </xf>
    <xf numFmtId="164" fontId="17" fillId="0" borderId="143" xfId="2" applyNumberFormat="1" applyFont="1" applyFill="1" applyBorder="1" applyAlignment="1">
      <alignment horizontal="center"/>
    </xf>
    <xf numFmtId="164" fontId="17" fillId="0" borderId="144" xfId="2" applyNumberFormat="1" applyFont="1" applyFill="1" applyBorder="1" applyAlignment="1">
      <alignment horizontal="center"/>
    </xf>
    <xf numFmtId="164" fontId="17" fillId="0" borderId="145" xfId="2" applyNumberFormat="1" applyFont="1" applyFill="1" applyBorder="1" applyAlignment="1">
      <alignment horizontal="center"/>
    </xf>
    <xf numFmtId="0" fontId="13" fillId="3" borderId="143" xfId="0" applyFont="1" applyFill="1" applyBorder="1" applyAlignment="1">
      <alignment horizontal="center"/>
    </xf>
    <xf numFmtId="0" fontId="13" fillId="3" borderId="144" xfId="0" applyFont="1" applyFill="1" applyBorder="1" applyAlignment="1">
      <alignment horizontal="center"/>
    </xf>
    <xf numFmtId="0" fontId="13" fillId="3" borderId="145" xfId="0" applyFont="1" applyFill="1" applyBorder="1" applyAlignment="1">
      <alignment horizontal="center"/>
    </xf>
    <xf numFmtId="0" fontId="35" fillId="3" borderId="149" xfId="0" applyFont="1" applyFill="1" applyBorder="1" applyAlignment="1">
      <alignment horizontal="left" vertical="center"/>
    </xf>
    <xf numFmtId="3" fontId="13" fillId="3" borderId="147" xfId="0" applyNumberFormat="1" applyFont="1" applyFill="1" applyBorder="1" applyAlignment="1">
      <alignment horizontal="center"/>
    </xf>
    <xf numFmtId="3" fontId="13" fillId="3" borderId="148" xfId="0" applyNumberFormat="1" applyFont="1" applyFill="1" applyBorder="1" applyAlignment="1">
      <alignment horizontal="center"/>
    </xf>
    <xf numFmtId="3" fontId="13" fillId="3" borderId="149" xfId="0" applyNumberFormat="1" applyFont="1" applyFill="1" applyBorder="1" applyAlignment="1">
      <alignment horizontal="center"/>
    </xf>
    <xf numFmtId="3" fontId="13" fillId="3" borderId="150" xfId="0" applyNumberFormat="1" applyFont="1" applyFill="1" applyBorder="1" applyAlignment="1">
      <alignment horizontal="center" vertical="center"/>
    </xf>
    <xf numFmtId="0" fontId="35" fillId="3" borderId="151" xfId="0" applyFont="1" applyFill="1" applyBorder="1" applyAlignment="1">
      <alignment horizontal="left" vertical="center"/>
    </xf>
    <xf numFmtId="3" fontId="13" fillId="3" borderId="142" xfId="0" applyNumberFormat="1" applyFont="1" applyFill="1" applyBorder="1" applyAlignment="1">
      <alignment horizontal="center"/>
    </xf>
    <xf numFmtId="3" fontId="13" fillId="3" borderId="0" xfId="0" applyNumberFormat="1" applyFont="1" applyFill="1" applyAlignment="1">
      <alignment horizontal="center"/>
    </xf>
    <xf numFmtId="3" fontId="13" fillId="3" borderId="151" xfId="0" applyNumberFormat="1" applyFont="1" applyFill="1" applyBorder="1" applyAlignment="1">
      <alignment horizontal="center"/>
    </xf>
    <xf numFmtId="3" fontId="13" fillId="3" borderId="152" xfId="0" applyNumberFormat="1" applyFont="1" applyFill="1" applyBorder="1" applyAlignment="1">
      <alignment horizontal="center" vertical="center"/>
    </xf>
    <xf numFmtId="0" fontId="35" fillId="3" borderId="155" xfId="0" applyFont="1" applyFill="1" applyBorder="1" applyAlignment="1">
      <alignment horizontal="left" vertical="center"/>
    </xf>
    <xf numFmtId="9" fontId="14" fillId="3" borderId="153" xfId="2" applyFont="1" applyFill="1" applyBorder="1" applyAlignment="1">
      <alignment horizontal="center"/>
    </xf>
    <xf numFmtId="9" fontId="14" fillId="3" borderId="154" xfId="2" applyFont="1" applyFill="1" applyBorder="1" applyAlignment="1">
      <alignment horizontal="center"/>
    </xf>
    <xf numFmtId="9" fontId="14" fillId="3" borderId="155" xfId="2" applyFont="1" applyFill="1" applyBorder="1" applyAlignment="1">
      <alignment horizontal="center"/>
    </xf>
    <xf numFmtId="9" fontId="14" fillId="3" borderId="156" xfId="2" applyFont="1" applyFill="1" applyBorder="1" applyAlignment="1">
      <alignment horizontal="center"/>
    </xf>
    <xf numFmtId="0" fontId="33" fillId="0" borderId="142" xfId="0" applyFont="1" applyBorder="1" applyAlignment="1">
      <alignment horizontal="center"/>
    </xf>
    <xf numFmtId="0" fontId="19" fillId="0" borderId="0" xfId="0" applyFont="1"/>
    <xf numFmtId="0" fontId="19" fillId="0" borderId="151" xfId="0" applyFont="1" applyBorder="1"/>
    <xf numFmtId="167" fontId="19" fillId="0" borderId="142" xfId="0" applyNumberFormat="1" applyFont="1" applyBorder="1" applyAlignment="1">
      <alignment horizontal="center"/>
    </xf>
    <xf numFmtId="167" fontId="19" fillId="0" borderId="0" xfId="0" applyNumberFormat="1" applyFont="1" applyAlignment="1">
      <alignment horizontal="center"/>
    </xf>
    <xf numFmtId="167" fontId="19" fillId="0" borderId="151" xfId="0" applyNumberFormat="1" applyFont="1" applyBorder="1" applyAlignment="1">
      <alignment horizontal="center"/>
    </xf>
    <xf numFmtId="3" fontId="19" fillId="0" borderId="152" xfId="0" applyNumberFormat="1" applyFont="1" applyBorder="1" applyAlignment="1">
      <alignment horizontal="center" vertical="center"/>
    </xf>
    <xf numFmtId="3" fontId="13" fillId="3" borderId="142" xfId="0" applyNumberFormat="1" applyFont="1" applyFill="1" applyBorder="1" applyAlignment="1">
      <alignment horizontal="center" vertical="center"/>
    </xf>
    <xf numFmtId="3" fontId="13" fillId="3" borderId="0" xfId="0" applyNumberFormat="1" applyFont="1" applyFill="1" applyAlignment="1">
      <alignment horizontal="center" vertical="center"/>
    </xf>
    <xf numFmtId="3" fontId="13" fillId="3" borderId="151" xfId="0" applyNumberFormat="1" applyFont="1" applyFill="1" applyBorder="1" applyAlignment="1">
      <alignment horizontal="center" vertical="center"/>
    </xf>
    <xf numFmtId="0" fontId="33" fillId="0" borderId="142" xfId="0" applyFont="1" applyBorder="1" applyAlignment="1">
      <alignment horizontal="center" vertical="center"/>
    </xf>
    <xf numFmtId="0" fontId="33" fillId="0" borderId="146" xfId="0" applyFont="1" applyBorder="1" applyAlignment="1">
      <alignment horizontal="center"/>
    </xf>
    <xf numFmtId="0" fontId="19" fillId="0" borderId="158" xfId="0" applyFont="1" applyBorder="1"/>
    <xf numFmtId="167" fontId="19" fillId="0" borderId="146" xfId="0" applyNumberFormat="1" applyFont="1" applyBorder="1" applyAlignment="1">
      <alignment horizontal="center"/>
    </xf>
    <xf numFmtId="167" fontId="19" fillId="0" borderId="157" xfId="0" applyNumberFormat="1" applyFont="1" applyBorder="1" applyAlignment="1">
      <alignment horizontal="center"/>
    </xf>
    <xf numFmtId="167" fontId="19" fillId="0" borderId="158" xfId="0" applyNumberFormat="1" applyFont="1" applyBorder="1" applyAlignment="1">
      <alignment horizontal="center"/>
    </xf>
    <xf numFmtId="3" fontId="19" fillId="0" borderId="159" xfId="0" applyNumberFormat="1" applyFont="1" applyBorder="1" applyAlignment="1">
      <alignment horizontal="center" vertical="center"/>
    </xf>
    <xf numFmtId="0" fontId="36" fillId="0" borderId="0" xfId="0" applyFont="1"/>
    <xf numFmtId="9" fontId="36" fillId="0" borderId="0" xfId="0" applyNumberFormat="1" applyFont="1"/>
    <xf numFmtId="0" fontId="35" fillId="3" borderId="141" xfId="0" applyFont="1" applyFill="1" applyBorder="1" applyAlignment="1">
      <alignment horizontal="left" vertical="center"/>
    </xf>
    <xf numFmtId="0" fontId="19" fillId="0" borderId="142" xfId="0" applyFont="1" applyBorder="1"/>
    <xf numFmtId="0" fontId="19" fillId="0" borderId="146" xfId="0" applyFont="1" applyBorder="1"/>
    <xf numFmtId="0" fontId="1" fillId="0" borderId="0" xfId="1" applyAlignment="1">
      <alignment horizontal="left"/>
    </xf>
    <xf numFmtId="9" fontId="34" fillId="0" borderId="0" xfId="2" applyFont="1" applyFill="1" applyBorder="1" applyAlignment="1">
      <alignment vertical="center"/>
    </xf>
    <xf numFmtId="0" fontId="13" fillId="7" borderId="0" xfId="0" applyFont="1" applyFill="1"/>
    <xf numFmtId="0" fontId="13" fillId="0" borderId="160" xfId="0" applyFont="1" applyBorder="1"/>
    <xf numFmtId="2" fontId="37" fillId="0" borderId="161" xfId="2" applyNumberFormat="1" applyFont="1" applyBorder="1" applyAlignment="1">
      <alignment horizontal="center" vertical="center"/>
    </xf>
    <xf numFmtId="0" fontId="38" fillId="0" borderId="0" xfId="0" applyFont="1"/>
    <xf numFmtId="2" fontId="37" fillId="0" borderId="162" xfId="2" applyNumberFormat="1" applyFont="1" applyFill="1" applyBorder="1" applyAlignment="1">
      <alignment horizontal="center"/>
    </xf>
    <xf numFmtId="2" fontId="37" fillId="0" borderId="163" xfId="2" applyNumberFormat="1" applyFont="1" applyFill="1" applyBorder="1" applyAlignment="1">
      <alignment horizontal="center"/>
    </xf>
    <xf numFmtId="2" fontId="37" fillId="0" borderId="164" xfId="2" applyNumberFormat="1" applyFont="1" applyFill="1" applyBorder="1" applyAlignment="1">
      <alignment horizontal="center"/>
    </xf>
    <xf numFmtId="167" fontId="37" fillId="0" borderId="161" xfId="0" applyNumberFormat="1" applyFont="1" applyBorder="1" applyAlignment="1">
      <alignment horizontal="center"/>
    </xf>
    <xf numFmtId="167" fontId="38" fillId="0" borderId="0" xfId="0" applyNumberFormat="1" applyFont="1"/>
    <xf numFmtId="167" fontId="37" fillId="0" borderId="162" xfId="0" applyNumberFormat="1" applyFont="1" applyBorder="1"/>
    <xf numFmtId="167" fontId="37" fillId="0" borderId="163" xfId="0" applyNumberFormat="1" applyFont="1" applyBorder="1"/>
    <xf numFmtId="167" fontId="37" fillId="0" borderId="164" xfId="0" applyNumberFormat="1" applyFont="1" applyBorder="1"/>
    <xf numFmtId="167" fontId="37" fillId="0" borderId="165" xfId="0" applyNumberFormat="1" applyFont="1" applyBorder="1" applyAlignment="1">
      <alignment horizontal="center" vertical="center"/>
    </xf>
    <xf numFmtId="0" fontId="13" fillId="7" borderId="166" xfId="0" applyFont="1" applyFill="1" applyBorder="1" applyAlignment="1">
      <alignment horizontal="center"/>
    </xf>
    <xf numFmtId="0" fontId="13" fillId="7" borderId="167" xfId="0" applyFont="1" applyFill="1" applyBorder="1" applyAlignment="1">
      <alignment horizontal="center"/>
    </xf>
    <xf numFmtId="0" fontId="13" fillId="0" borderId="166" xfId="0" applyFont="1" applyBorder="1" applyAlignment="1">
      <alignment horizontal="center"/>
    </xf>
    <xf numFmtId="0" fontId="13" fillId="0" borderId="167" xfId="0" applyFont="1" applyBorder="1" applyAlignment="1">
      <alignment horizontal="center"/>
    </xf>
    <xf numFmtId="0" fontId="13" fillId="7" borderId="168" xfId="0" applyFont="1" applyFill="1" applyBorder="1" applyAlignment="1">
      <alignment vertical="center"/>
    </xf>
    <xf numFmtId="0" fontId="13" fillId="7" borderId="0" xfId="0" applyFont="1" applyFill="1" applyAlignment="1">
      <alignment vertical="center"/>
    </xf>
    <xf numFmtId="0" fontId="35" fillId="7" borderId="160" xfId="0" applyFont="1" applyFill="1" applyBorder="1" applyAlignment="1">
      <alignment horizontal="left" vertical="center"/>
    </xf>
    <xf numFmtId="3" fontId="13" fillId="7" borderId="169" xfId="0" applyNumberFormat="1" applyFont="1" applyFill="1" applyBorder="1" applyAlignment="1">
      <alignment horizontal="center" vertical="center"/>
    </xf>
    <xf numFmtId="3" fontId="13" fillId="7" borderId="168" xfId="0" applyNumberFormat="1" applyFont="1" applyFill="1" applyBorder="1" applyAlignment="1">
      <alignment horizontal="center"/>
    </xf>
    <xf numFmtId="3" fontId="13" fillId="7" borderId="0" xfId="0" applyNumberFormat="1" applyFont="1" applyFill="1" applyAlignment="1">
      <alignment horizontal="center"/>
    </xf>
    <xf numFmtId="3" fontId="13" fillId="7" borderId="160" xfId="0" applyNumberFormat="1" applyFont="1" applyFill="1" applyBorder="1" applyAlignment="1">
      <alignment horizontal="center"/>
    </xf>
    <xf numFmtId="3" fontId="13" fillId="7" borderId="170" xfId="0" applyNumberFormat="1" applyFont="1" applyFill="1" applyBorder="1" applyAlignment="1">
      <alignment horizontal="center" vertical="center"/>
    </xf>
    <xf numFmtId="164" fontId="14" fillId="7" borderId="168" xfId="2" applyNumberFormat="1" applyFont="1" applyFill="1" applyBorder="1" applyAlignment="1">
      <alignment horizontal="center"/>
    </xf>
    <xf numFmtId="2" fontId="14" fillId="7" borderId="168" xfId="2" applyNumberFormat="1" applyFont="1" applyFill="1" applyBorder="1" applyAlignment="1">
      <alignment horizontal="center"/>
    </xf>
    <xf numFmtId="2" fontId="14" fillId="7" borderId="0" xfId="2" applyNumberFormat="1" applyFont="1" applyFill="1" applyBorder="1" applyAlignment="1">
      <alignment horizontal="center"/>
    </xf>
    <xf numFmtId="2" fontId="14" fillId="7" borderId="160" xfId="2" applyNumberFormat="1" applyFont="1" applyFill="1" applyBorder="1" applyAlignment="1">
      <alignment horizontal="center"/>
    </xf>
    <xf numFmtId="2" fontId="14" fillId="7" borderId="170" xfId="2" applyNumberFormat="1" applyFont="1" applyFill="1" applyBorder="1" applyAlignment="1">
      <alignment horizontal="center"/>
    </xf>
    <xf numFmtId="164" fontId="36" fillId="0" borderId="0" xfId="0" applyNumberFormat="1" applyFont="1"/>
    <xf numFmtId="0" fontId="33" fillId="0" borderId="168" xfId="0" applyFont="1" applyBorder="1" applyAlignment="1">
      <alignment horizontal="center"/>
    </xf>
    <xf numFmtId="0" fontId="37" fillId="0" borderId="0" xfId="0" applyFont="1"/>
    <xf numFmtId="0" fontId="38" fillId="0" borderId="160" xfId="0" applyFont="1" applyBorder="1"/>
    <xf numFmtId="167" fontId="38" fillId="0" borderId="169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167" fontId="38" fillId="0" borderId="171" xfId="0" applyNumberFormat="1" applyFont="1" applyBorder="1" applyAlignment="1">
      <alignment horizontal="center"/>
    </xf>
    <xf numFmtId="167" fontId="38" fillId="0" borderId="172" xfId="0" applyNumberFormat="1" applyFont="1" applyBorder="1" applyAlignment="1">
      <alignment horizontal="center"/>
    </xf>
    <xf numFmtId="167" fontId="38" fillId="0" borderId="173" xfId="0" applyNumberFormat="1" applyFont="1" applyBorder="1" applyAlignment="1">
      <alignment horizontal="center"/>
    </xf>
    <xf numFmtId="3" fontId="38" fillId="0" borderId="170" xfId="0" applyNumberFormat="1" applyFont="1" applyBorder="1" applyAlignment="1">
      <alignment horizontal="center" vertical="center"/>
    </xf>
    <xf numFmtId="0" fontId="37" fillId="0" borderId="174" xfId="0" applyFont="1" applyBorder="1"/>
    <xf numFmtId="0" fontId="38" fillId="0" borderId="175" xfId="0" applyFont="1" applyBorder="1"/>
    <xf numFmtId="167" fontId="38" fillId="0" borderId="176" xfId="0" applyNumberFormat="1" applyFont="1" applyBorder="1" applyAlignment="1">
      <alignment horizontal="center"/>
    </xf>
    <xf numFmtId="2" fontId="39" fillId="0" borderId="177" xfId="2" applyNumberFormat="1" applyFont="1" applyBorder="1" applyAlignment="1">
      <alignment horizontal="center"/>
    </xf>
    <xf numFmtId="2" fontId="39" fillId="0" borderId="174" xfId="2" applyNumberFormat="1" applyFont="1" applyBorder="1" applyAlignment="1">
      <alignment horizontal="center"/>
    </xf>
    <xf numFmtId="2" fontId="39" fillId="0" borderId="175" xfId="2" applyNumberFormat="1" applyFont="1" applyBorder="1" applyAlignment="1">
      <alignment horizontal="center"/>
    </xf>
    <xf numFmtId="2" fontId="16" fillId="0" borderId="178" xfId="2" applyNumberFormat="1" applyFont="1" applyBorder="1" applyAlignment="1">
      <alignment horizontal="center" vertical="center"/>
    </xf>
    <xf numFmtId="167" fontId="38" fillId="0" borderId="179" xfId="0" applyNumberFormat="1" applyFont="1" applyBorder="1" applyAlignment="1">
      <alignment horizontal="center"/>
    </xf>
    <xf numFmtId="167" fontId="38" fillId="0" borderId="180" xfId="0" applyNumberFormat="1" applyFont="1" applyBorder="1" applyAlignment="1">
      <alignment horizontal="center"/>
    </xf>
    <xf numFmtId="167" fontId="38" fillId="0" borderId="181" xfId="0" applyNumberFormat="1" applyFont="1" applyBorder="1" applyAlignment="1">
      <alignment horizontal="center"/>
    </xf>
    <xf numFmtId="167" fontId="38" fillId="0" borderId="182" xfId="0" applyNumberFormat="1" applyFont="1" applyBorder="1" applyAlignment="1">
      <alignment horizontal="center"/>
    </xf>
    <xf numFmtId="3" fontId="38" fillId="0" borderId="183" xfId="0" applyNumberFormat="1" applyFont="1" applyBorder="1" applyAlignment="1">
      <alignment horizontal="center" vertical="center"/>
    </xf>
    <xf numFmtId="2" fontId="39" fillId="0" borderId="177" xfId="2" applyNumberFormat="1" applyFont="1" applyFill="1" applyBorder="1" applyAlignment="1">
      <alignment horizontal="center"/>
    </xf>
    <xf numFmtId="2" fontId="39" fillId="0" borderId="174" xfId="2" applyNumberFormat="1" applyFont="1" applyFill="1" applyBorder="1" applyAlignment="1">
      <alignment horizontal="center"/>
    </xf>
    <xf numFmtId="2" fontId="39" fillId="0" borderId="175" xfId="2" applyNumberFormat="1" applyFont="1" applyFill="1" applyBorder="1" applyAlignment="1">
      <alignment horizontal="center"/>
    </xf>
    <xf numFmtId="167" fontId="38" fillId="0" borderId="184" xfId="0" applyNumberFormat="1" applyFont="1" applyBorder="1" applyAlignment="1">
      <alignment horizontal="center"/>
    </xf>
    <xf numFmtId="167" fontId="38" fillId="0" borderId="168" xfId="0" applyNumberFormat="1" applyFont="1" applyBorder="1" applyAlignment="1">
      <alignment horizontal="center"/>
    </xf>
    <xf numFmtId="167" fontId="38" fillId="0" borderId="0" xfId="0" applyNumberFormat="1" applyFont="1" applyAlignment="1">
      <alignment horizontal="center"/>
    </xf>
    <xf numFmtId="167" fontId="38" fillId="0" borderId="160" xfId="0" applyNumberFormat="1" applyFont="1" applyBorder="1" applyAlignment="1">
      <alignment horizontal="center"/>
    </xf>
    <xf numFmtId="2" fontId="39" fillId="0" borderId="168" xfId="2" applyNumberFormat="1" applyFont="1" applyFill="1" applyBorder="1" applyAlignment="1">
      <alignment horizontal="center"/>
    </xf>
    <xf numFmtId="2" fontId="39" fillId="0" borderId="0" xfId="2" applyNumberFormat="1" applyFont="1" applyFill="1" applyBorder="1" applyAlignment="1">
      <alignment horizontal="center"/>
    </xf>
    <xf numFmtId="2" fontId="39" fillId="0" borderId="160" xfId="2" applyNumberFormat="1" applyFont="1" applyFill="1" applyBorder="1" applyAlignment="1">
      <alignment horizontal="center"/>
    </xf>
    <xf numFmtId="2" fontId="16" fillId="0" borderId="170" xfId="2" applyNumberFormat="1" applyFont="1" applyBorder="1" applyAlignment="1">
      <alignment horizontal="center" vertical="center"/>
    </xf>
    <xf numFmtId="0" fontId="13" fillId="7" borderId="168" xfId="0" applyFont="1" applyFill="1" applyBorder="1" applyAlignment="1">
      <alignment horizontal="left" vertical="center"/>
    </xf>
    <xf numFmtId="0" fontId="13" fillId="7" borderId="0" xfId="0" applyFont="1" applyFill="1" applyAlignment="1">
      <alignment horizontal="left" vertical="center"/>
    </xf>
    <xf numFmtId="3" fontId="13" fillId="7" borderId="184" xfId="0" applyNumberFormat="1" applyFont="1" applyFill="1" applyBorder="1" applyAlignment="1">
      <alignment horizontal="center" vertical="center"/>
    </xf>
    <xf numFmtId="3" fontId="13" fillId="7" borderId="168" xfId="0" applyNumberFormat="1" applyFont="1" applyFill="1" applyBorder="1" applyAlignment="1">
      <alignment horizontal="center" vertical="center"/>
    </xf>
    <xf numFmtId="3" fontId="13" fillId="7" borderId="0" xfId="0" applyNumberFormat="1" applyFont="1" applyFill="1" applyAlignment="1">
      <alignment horizontal="center" vertical="center"/>
    </xf>
    <xf numFmtId="3" fontId="13" fillId="7" borderId="160" xfId="0" applyNumberFormat="1" applyFont="1" applyFill="1" applyBorder="1" applyAlignment="1">
      <alignment horizontal="center" vertical="center"/>
    </xf>
    <xf numFmtId="9" fontId="14" fillId="7" borderId="184" xfId="2" applyFont="1" applyFill="1" applyBorder="1" applyAlignment="1">
      <alignment horizontal="center"/>
    </xf>
    <xf numFmtId="2" fontId="33" fillId="0" borderId="0" xfId="0" applyNumberFormat="1" applyFont="1" applyAlignment="1">
      <alignment horizontal="center"/>
    </xf>
    <xf numFmtId="0" fontId="38" fillId="0" borderId="171" xfId="0" applyFont="1" applyBorder="1" applyAlignment="1">
      <alignment horizontal="center" vertical="center"/>
    </xf>
    <xf numFmtId="167" fontId="38" fillId="0" borderId="180" xfId="0" applyNumberFormat="1" applyFont="1" applyBorder="1" applyAlignment="1">
      <alignment horizontal="right"/>
    </xf>
    <xf numFmtId="167" fontId="38" fillId="0" borderId="181" xfId="0" applyNumberFormat="1" applyFont="1" applyBorder="1" applyAlignment="1">
      <alignment horizontal="right"/>
    </xf>
    <xf numFmtId="167" fontId="38" fillId="0" borderId="182" xfId="0" applyNumberFormat="1" applyFont="1" applyBorder="1" applyAlignment="1">
      <alignment horizontal="right"/>
    </xf>
    <xf numFmtId="0" fontId="38" fillId="0" borderId="168" xfId="0" applyFont="1" applyBorder="1" applyAlignment="1">
      <alignment horizontal="center"/>
    </xf>
    <xf numFmtId="2" fontId="39" fillId="0" borderId="177" xfId="2" applyNumberFormat="1" applyFont="1" applyFill="1" applyBorder="1" applyAlignment="1">
      <alignment horizontal="right"/>
    </xf>
    <xf numFmtId="2" fontId="39" fillId="0" borderId="174" xfId="2" applyNumberFormat="1" applyFont="1" applyFill="1" applyBorder="1" applyAlignment="1">
      <alignment horizontal="right"/>
    </xf>
    <xf numFmtId="2" fontId="39" fillId="0" borderId="175" xfId="2" applyNumberFormat="1" applyFont="1" applyFill="1" applyBorder="1" applyAlignment="1">
      <alignment horizontal="right"/>
    </xf>
    <xf numFmtId="0" fontId="38" fillId="0" borderId="183" xfId="0" applyFont="1" applyBorder="1" applyAlignment="1">
      <alignment horizontal="center" vertical="center"/>
    </xf>
    <xf numFmtId="167" fontId="38" fillId="0" borderId="185" xfId="0" applyNumberFormat="1" applyFont="1" applyBorder="1" applyAlignment="1">
      <alignment horizontal="right"/>
    </xf>
    <xf numFmtId="167" fontId="38" fillId="0" borderId="0" xfId="0" applyNumberFormat="1" applyFont="1" applyAlignment="1">
      <alignment horizontal="right"/>
    </xf>
    <xf numFmtId="167" fontId="38" fillId="0" borderId="186" xfId="0" applyNumberFormat="1" applyFont="1" applyBorder="1" applyAlignment="1">
      <alignment horizontal="right"/>
    </xf>
    <xf numFmtId="0" fontId="38" fillId="0" borderId="184" xfId="0" applyFont="1" applyBorder="1" applyAlignment="1">
      <alignment horizontal="center" vertical="center"/>
    </xf>
    <xf numFmtId="0" fontId="33" fillId="0" borderId="187" xfId="0" applyFont="1" applyBorder="1" applyAlignment="1">
      <alignment horizontal="center"/>
    </xf>
    <xf numFmtId="0" fontId="37" fillId="0" borderId="188" xfId="0" applyFont="1" applyBorder="1"/>
    <xf numFmtId="0" fontId="38" fillId="0" borderId="189" xfId="0" applyFont="1" applyBorder="1"/>
    <xf numFmtId="0" fontId="33" fillId="0" borderId="190" xfId="0" applyFont="1" applyBorder="1" applyAlignment="1">
      <alignment horizontal="center"/>
    </xf>
    <xf numFmtId="2" fontId="39" fillId="0" borderId="191" xfId="2" applyNumberFormat="1" applyFont="1" applyFill="1" applyBorder="1" applyAlignment="1">
      <alignment horizontal="right"/>
    </xf>
    <xf numFmtId="2" fontId="39" fillId="0" borderId="192" xfId="2" applyNumberFormat="1" applyFont="1" applyFill="1" applyBorder="1" applyAlignment="1">
      <alignment horizontal="right"/>
    </xf>
    <xf numFmtId="2" fontId="39" fillId="0" borderId="193" xfId="2" applyNumberFormat="1" applyFont="1" applyFill="1" applyBorder="1" applyAlignment="1">
      <alignment horizontal="right"/>
    </xf>
    <xf numFmtId="2" fontId="16" fillId="0" borderId="190" xfId="2" applyNumberFormat="1" applyFont="1" applyBorder="1" applyAlignment="1">
      <alignment horizontal="center" vertical="center"/>
    </xf>
    <xf numFmtId="165" fontId="33" fillId="0" borderId="0" xfId="0" applyNumberFormat="1" applyFont="1" applyAlignment="1">
      <alignment horizontal="center"/>
    </xf>
    <xf numFmtId="167" fontId="13" fillId="0" borderId="0" xfId="0" applyNumberFormat="1" applyFont="1"/>
    <xf numFmtId="0" fontId="13" fillId="2" borderId="0" xfId="0" applyFont="1" applyFill="1"/>
    <xf numFmtId="165" fontId="40" fillId="0" borderId="1" xfId="0" applyNumberFormat="1" applyFont="1" applyBorder="1" applyAlignment="1">
      <alignment horizontal="center"/>
    </xf>
    <xf numFmtId="165" fontId="40" fillId="0" borderId="2" xfId="0" applyNumberFormat="1" applyFont="1" applyBorder="1" applyAlignment="1">
      <alignment horizontal="center"/>
    </xf>
    <xf numFmtId="165" fontId="40" fillId="0" borderId="3" xfId="0" applyNumberFormat="1" applyFont="1" applyBorder="1" applyAlignment="1">
      <alignment horizontal="center"/>
    </xf>
    <xf numFmtId="2" fontId="41" fillId="0" borderId="194" xfId="2" applyNumberFormat="1" applyFont="1" applyBorder="1" applyAlignment="1">
      <alignment horizontal="center" vertical="center"/>
    </xf>
    <xf numFmtId="2" fontId="40" fillId="0" borderId="1" xfId="2" applyNumberFormat="1" applyFont="1" applyFill="1" applyBorder="1" applyAlignment="1">
      <alignment horizontal="center"/>
    </xf>
    <xf numFmtId="2" fontId="40" fillId="0" borderId="2" xfId="2" applyNumberFormat="1" applyFont="1" applyFill="1" applyBorder="1" applyAlignment="1">
      <alignment horizontal="center"/>
    </xf>
    <xf numFmtId="2" fontId="40" fillId="0" borderId="3" xfId="2" applyNumberFormat="1" applyFont="1" applyFill="1" applyBorder="1" applyAlignment="1">
      <alignment horizontal="center"/>
    </xf>
    <xf numFmtId="0" fontId="13" fillId="2" borderId="166" xfId="0" applyFont="1" applyFill="1" applyBorder="1" applyAlignment="1">
      <alignment horizontal="center"/>
    </xf>
    <xf numFmtId="0" fontId="13" fillId="2" borderId="167" xfId="0" applyFont="1" applyFill="1" applyBorder="1" applyAlignment="1">
      <alignment horizontal="center"/>
    </xf>
    <xf numFmtId="0" fontId="13" fillId="0" borderId="195" xfId="0" applyFont="1" applyBorder="1" applyAlignment="1">
      <alignment horizontal="center"/>
    </xf>
    <xf numFmtId="0" fontId="13" fillId="0" borderId="196" xfId="0" applyFont="1" applyBorder="1" applyAlignment="1">
      <alignment horizontal="center"/>
    </xf>
    <xf numFmtId="0" fontId="35" fillId="2" borderId="199" xfId="0" applyFont="1" applyFill="1" applyBorder="1" applyAlignment="1">
      <alignment horizontal="left" vertical="center"/>
    </xf>
    <xf numFmtId="165" fontId="13" fillId="2" borderId="197" xfId="0" applyNumberFormat="1" applyFont="1" applyFill="1" applyBorder="1" applyAlignment="1">
      <alignment horizontal="center"/>
    </xf>
    <xf numFmtId="165" fontId="13" fillId="2" borderId="198" xfId="0" applyNumberFormat="1" applyFont="1" applyFill="1" applyBorder="1" applyAlignment="1">
      <alignment horizontal="center"/>
    </xf>
    <xf numFmtId="165" fontId="13" fillId="2" borderId="199" xfId="0" applyNumberFormat="1" applyFont="1" applyFill="1" applyBorder="1" applyAlignment="1">
      <alignment horizontal="center"/>
    </xf>
    <xf numFmtId="165" fontId="13" fillId="2" borderId="200" xfId="0" applyNumberFormat="1" applyFont="1" applyFill="1" applyBorder="1" applyAlignment="1">
      <alignment horizontal="center"/>
    </xf>
    <xf numFmtId="0" fontId="35" fillId="2" borderId="202" xfId="0" applyFont="1" applyFill="1" applyBorder="1" applyAlignment="1">
      <alignment horizontal="left" vertical="center"/>
    </xf>
    <xf numFmtId="165" fontId="13" fillId="2" borderId="201" xfId="0" applyNumberFormat="1" applyFont="1" applyFill="1" applyBorder="1" applyAlignment="1">
      <alignment horizontal="center"/>
    </xf>
    <xf numFmtId="165" fontId="13" fillId="2" borderId="0" xfId="0" applyNumberFormat="1" applyFont="1" applyFill="1" applyAlignment="1">
      <alignment horizontal="center"/>
    </xf>
    <xf numFmtId="165" fontId="13" fillId="2" borderId="202" xfId="0" applyNumberFormat="1" applyFont="1" applyFill="1" applyBorder="1" applyAlignment="1">
      <alignment horizontal="center"/>
    </xf>
    <xf numFmtId="165" fontId="13" fillId="2" borderId="203" xfId="0" applyNumberFormat="1" applyFont="1" applyFill="1" applyBorder="1" applyAlignment="1">
      <alignment horizontal="center"/>
    </xf>
    <xf numFmtId="0" fontId="35" fillId="2" borderId="206" xfId="0" applyFont="1" applyFill="1" applyBorder="1" applyAlignment="1">
      <alignment horizontal="left" vertical="center"/>
    </xf>
    <xf numFmtId="2" fontId="14" fillId="2" borderId="204" xfId="2" applyNumberFormat="1" applyFont="1" applyFill="1" applyBorder="1" applyAlignment="1">
      <alignment horizontal="center"/>
    </xf>
    <xf numFmtId="2" fontId="14" fillId="2" borderId="205" xfId="2" applyNumberFormat="1" applyFont="1" applyFill="1" applyBorder="1" applyAlignment="1">
      <alignment horizontal="center"/>
    </xf>
    <xf numFmtId="2" fontId="14" fillId="2" borderId="206" xfId="2" applyNumberFormat="1" applyFont="1" applyFill="1" applyBorder="1" applyAlignment="1">
      <alignment horizontal="center"/>
    </xf>
    <xf numFmtId="2" fontId="14" fillId="2" borderId="203" xfId="2" applyNumberFormat="1" applyFont="1" applyFill="1" applyBorder="1" applyAlignment="1">
      <alignment horizontal="center"/>
    </xf>
    <xf numFmtId="0" fontId="33" fillId="0" borderId="201" xfId="0" applyFont="1" applyBorder="1" applyAlignment="1">
      <alignment horizontal="center"/>
    </xf>
    <xf numFmtId="0" fontId="40" fillId="0" borderId="0" xfId="0" applyFont="1"/>
    <xf numFmtId="0" fontId="42" fillId="0" borderId="202" xfId="0" applyFont="1" applyBorder="1"/>
    <xf numFmtId="167" fontId="42" fillId="0" borderId="197" xfId="0" applyNumberFormat="1" applyFont="1" applyBorder="1" applyAlignment="1">
      <alignment horizontal="center"/>
    </xf>
    <xf numFmtId="167" fontId="42" fillId="0" borderId="198" xfId="0" applyNumberFormat="1" applyFont="1" applyBorder="1" applyAlignment="1">
      <alignment horizontal="center"/>
    </xf>
    <xf numFmtId="167" fontId="42" fillId="0" borderId="199" xfId="0" applyNumberFormat="1" applyFont="1" applyBorder="1" applyAlignment="1">
      <alignment horizontal="center"/>
    </xf>
    <xf numFmtId="3" fontId="42" fillId="0" borderId="200" xfId="0" applyNumberFormat="1" applyFont="1" applyBorder="1" applyAlignment="1">
      <alignment horizontal="center"/>
    </xf>
    <xf numFmtId="0" fontId="40" fillId="0" borderId="174" xfId="0" applyFont="1" applyBorder="1"/>
    <xf numFmtId="0" fontId="42" fillId="0" borderId="207" xfId="0" applyFont="1" applyBorder="1"/>
    <xf numFmtId="2" fontId="39" fillId="0" borderId="208" xfId="2" applyNumberFormat="1" applyFont="1" applyBorder="1" applyAlignment="1">
      <alignment horizontal="center"/>
    </xf>
    <xf numFmtId="2" fontId="39" fillId="0" borderId="209" xfId="2" applyNumberFormat="1" applyFont="1" applyBorder="1" applyAlignment="1">
      <alignment horizontal="center"/>
    </xf>
    <xf numFmtId="2" fontId="39" fillId="0" borderId="210" xfId="2" applyNumberFormat="1" applyFont="1" applyBorder="1" applyAlignment="1">
      <alignment horizontal="center"/>
    </xf>
    <xf numFmtId="2" fontId="39" fillId="0" borderId="211" xfId="2" applyNumberFormat="1" applyFont="1" applyBorder="1" applyAlignment="1">
      <alignment horizontal="center"/>
    </xf>
    <xf numFmtId="167" fontId="42" fillId="0" borderId="212" xfId="0" applyNumberFormat="1" applyFont="1" applyBorder="1" applyAlignment="1">
      <alignment horizontal="center"/>
    </xf>
    <xf numFmtId="167" fontId="42" fillId="0" borderId="213" xfId="0" applyNumberFormat="1" applyFont="1" applyBorder="1" applyAlignment="1">
      <alignment horizontal="center"/>
    </xf>
    <xf numFmtId="167" fontId="42" fillId="0" borderId="214" xfId="0" applyNumberFormat="1" applyFont="1" applyBorder="1" applyAlignment="1">
      <alignment horizontal="center"/>
    </xf>
    <xf numFmtId="3" fontId="42" fillId="0" borderId="215" xfId="0" applyNumberFormat="1" applyFont="1" applyBorder="1" applyAlignment="1">
      <alignment horizontal="center"/>
    </xf>
    <xf numFmtId="3" fontId="42" fillId="0" borderId="203" xfId="0" applyNumberFormat="1" applyFont="1" applyBorder="1" applyAlignment="1">
      <alignment horizontal="center"/>
    </xf>
    <xf numFmtId="2" fontId="39" fillId="0" borderId="203" xfId="2" applyNumberFormat="1" applyFont="1" applyBorder="1" applyAlignment="1">
      <alignment horizontal="center"/>
    </xf>
    <xf numFmtId="165" fontId="13" fillId="2" borderId="201" xfId="0" applyNumberFormat="1" applyFont="1" applyFill="1" applyBorder="1" applyAlignment="1">
      <alignment horizontal="center" vertical="center"/>
    </xf>
    <xf numFmtId="165" fontId="13" fillId="2" borderId="0" xfId="0" applyNumberFormat="1" applyFont="1" applyFill="1" applyAlignment="1">
      <alignment horizontal="center" vertical="center"/>
    </xf>
    <xf numFmtId="165" fontId="13" fillId="2" borderId="202" xfId="0" applyNumberFormat="1" applyFont="1" applyFill="1" applyBorder="1" applyAlignment="1">
      <alignment horizontal="center" vertical="center"/>
    </xf>
    <xf numFmtId="2" fontId="14" fillId="2" borderId="201" xfId="2" applyNumberFormat="1" applyFont="1" applyFill="1" applyBorder="1" applyAlignment="1">
      <alignment horizontal="center"/>
    </xf>
    <xf numFmtId="2" fontId="14" fillId="2" borderId="0" xfId="2" applyNumberFormat="1" applyFont="1" applyFill="1" applyBorder="1" applyAlignment="1">
      <alignment horizontal="center"/>
    </xf>
    <xf numFmtId="2" fontId="14" fillId="2" borderId="202" xfId="2" applyNumberFormat="1" applyFont="1" applyFill="1" applyBorder="1" applyAlignment="1">
      <alignment horizontal="center"/>
    </xf>
    <xf numFmtId="164" fontId="33" fillId="0" borderId="0" xfId="0" applyNumberFormat="1" applyFont="1" applyAlignment="1">
      <alignment horizontal="center"/>
    </xf>
    <xf numFmtId="0" fontId="38" fillId="0" borderId="216" xfId="0" applyFont="1" applyBorder="1" applyAlignment="1">
      <alignment horizontal="center" vertical="center"/>
    </xf>
    <xf numFmtId="0" fontId="38" fillId="0" borderId="201" xfId="0" applyFont="1" applyBorder="1" applyAlignment="1">
      <alignment horizontal="center"/>
    </xf>
    <xf numFmtId="167" fontId="42" fillId="0" borderId="0" xfId="0" applyNumberFormat="1" applyFont="1" applyAlignment="1">
      <alignment horizontal="center"/>
    </xf>
    <xf numFmtId="164" fontId="39" fillId="0" borderId="0" xfId="2" applyNumberFormat="1" applyFont="1" applyBorder="1" applyAlignment="1">
      <alignment horizontal="center"/>
    </xf>
    <xf numFmtId="0" fontId="33" fillId="0" borderId="204" xfId="0" applyFont="1" applyBorder="1" applyAlignment="1">
      <alignment horizontal="center"/>
    </xf>
    <xf numFmtId="0" fontId="40" fillId="0" borderId="205" xfId="0" applyFont="1" applyBorder="1"/>
    <xf numFmtId="0" fontId="42" fillId="0" borderId="206" xfId="0" applyFont="1" applyBorder="1"/>
    <xf numFmtId="2" fontId="39" fillId="0" borderId="204" xfId="2" applyNumberFormat="1" applyFont="1" applyBorder="1" applyAlignment="1">
      <alignment horizontal="center"/>
    </xf>
    <xf numFmtId="2" fontId="39" fillId="0" borderId="205" xfId="2" applyNumberFormat="1" applyFont="1" applyBorder="1" applyAlignment="1">
      <alignment horizontal="center"/>
    </xf>
    <xf numFmtId="2" fontId="39" fillId="0" borderId="206" xfId="2" applyNumberFormat="1" applyFont="1" applyBorder="1" applyAlignment="1">
      <alignment horizontal="center"/>
    </xf>
    <xf numFmtId="2" fontId="39" fillId="0" borderId="217" xfId="2" applyNumberFormat="1" applyFont="1" applyBorder="1" applyAlignment="1">
      <alignment horizontal="center"/>
    </xf>
    <xf numFmtId="0" fontId="33" fillId="0" borderId="0" xfId="0" applyFont="1" applyFill="1"/>
    <xf numFmtId="167" fontId="33" fillId="0" borderId="0" xfId="0" applyNumberFormat="1" applyFont="1" applyFill="1"/>
    <xf numFmtId="0" fontId="13" fillId="0" borderId="0" xfId="0" applyFont="1" applyFill="1"/>
    <xf numFmtId="0" fontId="19" fillId="0" borderId="0" xfId="0" applyFont="1" applyFill="1"/>
    <xf numFmtId="0" fontId="38" fillId="0" borderId="0" xfId="0" applyFont="1" applyFill="1"/>
    <xf numFmtId="0" fontId="1" fillId="0" borderId="4" xfId="1" applyFill="1" applyBorder="1"/>
    <xf numFmtId="0" fontId="1" fillId="0" borderId="7" xfId="1" applyFill="1" applyBorder="1"/>
    <xf numFmtId="0" fontId="1" fillId="0" borderId="10" xfId="1" applyFill="1" applyBorder="1"/>
    <xf numFmtId="0" fontId="5" fillId="0" borderId="0" xfId="0" applyFont="1"/>
    <xf numFmtId="0" fontId="21" fillId="0" borderId="0" xfId="0" applyFont="1" applyAlignment="1">
      <alignment horizontal="center"/>
    </xf>
    <xf numFmtId="0" fontId="0" fillId="0" borderId="221" xfId="0" applyBorder="1"/>
    <xf numFmtId="0" fontId="0" fillId="0" borderId="222" xfId="0" applyBorder="1"/>
    <xf numFmtId="0" fontId="5" fillId="0" borderId="222" xfId="0" applyFont="1" applyBorder="1"/>
    <xf numFmtId="0" fontId="0" fillId="0" borderId="222" xfId="0" applyBorder="1" applyAlignment="1">
      <alignment horizontal="center"/>
    </xf>
    <xf numFmtId="0" fontId="21" fillId="0" borderId="222" xfId="0" applyFont="1" applyBorder="1" applyAlignment="1">
      <alignment horizontal="center"/>
    </xf>
    <xf numFmtId="0" fontId="0" fillId="0" borderId="223" xfId="0" applyBorder="1"/>
    <xf numFmtId="0" fontId="9" fillId="0" borderId="0" xfId="0" applyFont="1" applyAlignment="1">
      <alignment vertical="center"/>
    </xf>
    <xf numFmtId="0" fontId="9" fillId="0" borderId="224" xfId="0" applyFont="1" applyBorder="1" applyAlignment="1">
      <alignment vertical="center"/>
    </xf>
    <xf numFmtId="167" fontId="45" fillId="0" borderId="226" xfId="0" applyNumberFormat="1" applyFont="1" applyBorder="1" applyAlignment="1">
      <alignment vertical="center"/>
    </xf>
    <xf numFmtId="3" fontId="9" fillId="0" borderId="227" xfId="0" applyNumberFormat="1" applyFont="1" applyBorder="1" applyAlignment="1">
      <alignment horizontal="center" vertical="center"/>
    </xf>
    <xf numFmtId="3" fontId="9" fillId="0" borderId="228" xfId="0" applyNumberFormat="1" applyFont="1" applyBorder="1" applyAlignment="1">
      <alignment horizontal="center" vertical="center"/>
    </xf>
    <xf numFmtId="3" fontId="9" fillId="0" borderId="229" xfId="0" applyNumberFormat="1" applyFont="1" applyBorder="1" applyAlignment="1">
      <alignment horizontal="center" vertical="center"/>
    </xf>
    <xf numFmtId="0" fontId="9" fillId="0" borderId="232" xfId="0" applyFont="1" applyBorder="1" applyAlignment="1">
      <alignment vertical="center"/>
    </xf>
    <xf numFmtId="0" fontId="0" fillId="0" borderId="224" xfId="0" applyBorder="1"/>
    <xf numFmtId="0" fontId="48" fillId="0" borderId="0" xfId="0" applyFont="1" applyAlignment="1">
      <alignment horizontal="left" vertical="center"/>
    </xf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0" fillId="0" borderId="232" xfId="0" applyBorder="1"/>
    <xf numFmtId="167" fontId="45" fillId="0" borderId="236" xfId="0" applyNumberFormat="1" applyFont="1" applyBorder="1" applyAlignment="1">
      <alignment vertical="center"/>
    </xf>
    <xf numFmtId="167" fontId="9" fillId="0" borderId="227" xfId="0" applyNumberFormat="1" applyFont="1" applyBorder="1" applyAlignment="1">
      <alignment horizontal="center" vertical="center"/>
    </xf>
    <xf numFmtId="167" fontId="9" fillId="0" borderId="228" xfId="0" applyNumberFormat="1" applyFont="1" applyBorder="1" applyAlignment="1">
      <alignment horizontal="center" vertical="center"/>
    </xf>
    <xf numFmtId="167" fontId="9" fillId="0" borderId="229" xfId="0" applyNumberFormat="1" applyFont="1" applyBorder="1" applyAlignment="1">
      <alignment horizontal="center" vertical="center"/>
    </xf>
    <xf numFmtId="9" fontId="46" fillId="0" borderId="0" xfId="2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9" fontId="45" fillId="0" borderId="236" xfId="2" applyFont="1" applyBorder="1" applyAlignment="1">
      <alignment horizontal="center" vertical="center"/>
    </xf>
    <xf numFmtId="9" fontId="9" fillId="0" borderId="227" xfId="2" applyFont="1" applyBorder="1" applyAlignment="1">
      <alignment horizontal="center" vertical="center"/>
    </xf>
    <xf numFmtId="9" fontId="9" fillId="0" borderId="228" xfId="2" applyFont="1" applyBorder="1" applyAlignment="1">
      <alignment horizontal="center" vertical="center"/>
    </xf>
    <xf numFmtId="164" fontId="9" fillId="0" borderId="228" xfId="2" applyNumberFormat="1" applyFont="1" applyBorder="1" applyAlignment="1">
      <alignment horizontal="center" vertical="center"/>
    </xf>
    <xf numFmtId="9" fontId="9" fillId="0" borderId="229" xfId="2" applyFont="1" applyBorder="1" applyAlignment="1">
      <alignment horizontal="center" vertical="center"/>
    </xf>
    <xf numFmtId="9" fontId="46" fillId="0" borderId="233" xfId="2" applyFont="1" applyBorder="1" applyAlignment="1">
      <alignment horizontal="center" vertical="center"/>
    </xf>
    <xf numFmtId="0" fontId="0" fillId="0" borderId="237" xfId="0" applyBorder="1" applyAlignment="1">
      <alignment horizontal="left"/>
    </xf>
    <xf numFmtId="0" fontId="0" fillId="0" borderId="237" xfId="0" applyBorder="1"/>
    <xf numFmtId="0" fontId="0" fillId="0" borderId="237" xfId="0" applyBorder="1" applyAlignment="1">
      <alignment horizontal="center"/>
    </xf>
    <xf numFmtId="0" fontId="21" fillId="0" borderId="237" xfId="0" applyFont="1" applyBorder="1" applyAlignment="1">
      <alignment horizontal="center" vertical="center"/>
    </xf>
    <xf numFmtId="0" fontId="50" fillId="0" borderId="237" xfId="0" applyFont="1" applyBorder="1" applyAlignment="1">
      <alignment vertical="center"/>
    </xf>
    <xf numFmtId="0" fontId="5" fillId="8" borderId="230" xfId="0" applyFont="1" applyFill="1" applyBorder="1"/>
    <xf numFmtId="0" fontId="5" fillId="8" borderId="231" xfId="0" applyFont="1" applyFill="1" applyBorder="1"/>
    <xf numFmtId="0" fontId="5" fillId="8" borderId="238" xfId="0" applyFont="1" applyFill="1" applyBorder="1"/>
    <xf numFmtId="0" fontId="5" fillId="8" borderId="239" xfId="0" applyFont="1" applyFill="1" applyBorder="1" applyAlignment="1">
      <alignment horizontal="center" vertical="center"/>
    </xf>
    <xf numFmtId="0" fontId="5" fillId="8" borderId="240" xfId="0" applyFont="1" applyFill="1" applyBorder="1" applyAlignment="1">
      <alignment horizontal="center" vertical="center"/>
    </xf>
    <xf numFmtId="0" fontId="5" fillId="8" borderId="24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24" xfId="0" applyBorder="1" applyAlignment="1">
      <alignment vertical="center"/>
    </xf>
    <xf numFmtId="0" fontId="5" fillId="8" borderId="244" xfId="0" applyFont="1" applyFill="1" applyBorder="1" applyAlignment="1">
      <alignment vertical="center"/>
    </xf>
    <xf numFmtId="0" fontId="5" fillId="8" borderId="246" xfId="0" applyFont="1" applyFill="1" applyBorder="1" applyAlignment="1">
      <alignment horizontal="left" vertical="center"/>
    </xf>
    <xf numFmtId="167" fontId="20" fillId="8" borderId="230" xfId="0" applyNumberFormat="1" applyFont="1" applyFill="1" applyBorder="1" applyAlignment="1">
      <alignment horizontal="center" vertical="center"/>
    </xf>
    <xf numFmtId="167" fontId="20" fillId="8" borderId="238" xfId="0" applyNumberFormat="1" applyFont="1" applyFill="1" applyBorder="1" applyAlignment="1">
      <alignment horizontal="center" vertical="center"/>
    </xf>
    <xf numFmtId="167" fontId="20" fillId="8" borderId="231" xfId="0" applyNumberFormat="1" applyFont="1" applyFill="1" applyBorder="1" applyAlignment="1">
      <alignment horizontal="center" vertical="center"/>
    </xf>
    <xf numFmtId="3" fontId="21" fillId="0" borderId="233" xfId="0" applyNumberFormat="1" applyFont="1" applyBorder="1" applyAlignment="1">
      <alignment horizontal="center" vertical="center"/>
    </xf>
    <xf numFmtId="0" fontId="0" fillId="0" borderId="234" xfId="0" applyBorder="1" applyAlignment="1">
      <alignment vertical="center"/>
    </xf>
    <xf numFmtId="0" fontId="0" fillId="0" borderId="232" xfId="0" applyBorder="1" applyAlignment="1">
      <alignment vertical="center"/>
    </xf>
    <xf numFmtId="0" fontId="5" fillId="8" borderId="247" xfId="0" applyFont="1" applyFill="1" applyBorder="1" applyAlignment="1">
      <alignment vertical="center"/>
    </xf>
    <xf numFmtId="0" fontId="0" fillId="8" borderId="248" xfId="0" applyFill="1" applyBorder="1" applyAlignment="1">
      <alignment horizontal="left" vertical="center"/>
    </xf>
    <xf numFmtId="167" fontId="0" fillId="8" borderId="233" xfId="0" applyNumberFormat="1" applyFill="1" applyBorder="1" applyAlignment="1">
      <alignment horizontal="center" vertical="center"/>
    </xf>
    <xf numFmtId="167" fontId="21" fillId="8" borderId="0" xfId="0" applyNumberFormat="1" applyFont="1" applyFill="1" applyAlignment="1">
      <alignment horizontal="center" vertical="center"/>
    </xf>
    <xf numFmtId="167" fontId="21" fillId="8" borderId="234" xfId="0" applyNumberFormat="1" applyFont="1" applyFill="1" applyBorder="1" applyAlignment="1">
      <alignment horizontal="center" vertical="center"/>
    </xf>
    <xf numFmtId="0" fontId="5" fillId="8" borderId="249" xfId="0" applyFont="1" applyFill="1" applyBorder="1" applyAlignment="1">
      <alignment vertical="center"/>
    </xf>
    <xf numFmtId="0" fontId="0" fillId="8" borderId="251" xfId="0" applyFill="1" applyBorder="1" applyAlignment="1">
      <alignment horizontal="left" vertical="center"/>
    </xf>
    <xf numFmtId="9" fontId="43" fillId="8" borderId="252" xfId="2" applyFont="1" applyFill="1" applyBorder="1" applyAlignment="1">
      <alignment horizontal="center" vertical="center"/>
    </xf>
    <xf numFmtId="9" fontId="43" fillId="8" borderId="237" xfId="2" applyFont="1" applyFill="1" applyBorder="1" applyAlignment="1">
      <alignment horizontal="center" vertical="center"/>
    </xf>
    <xf numFmtId="9" fontId="43" fillId="8" borderId="250" xfId="2" applyFont="1" applyFill="1" applyBorder="1" applyAlignment="1">
      <alignment horizontal="center" vertical="center"/>
    </xf>
    <xf numFmtId="9" fontId="45" fillId="0" borderId="233" xfId="2" applyFont="1" applyBorder="1" applyAlignment="1">
      <alignment horizontal="center" vertical="center"/>
    </xf>
    <xf numFmtId="0" fontId="47" fillId="0" borderId="234" xfId="0" applyFont="1" applyBorder="1" applyAlignment="1">
      <alignment vertical="center"/>
    </xf>
    <xf numFmtId="0" fontId="5" fillId="8" borderId="238" xfId="0" applyFont="1" applyFill="1" applyBorder="1" applyAlignment="1">
      <alignment vertical="center"/>
    </xf>
    <xf numFmtId="0" fontId="0" fillId="8" borderId="0" xfId="0" applyFill="1" applyAlignment="1">
      <alignment vertical="center"/>
    </xf>
    <xf numFmtId="167" fontId="0" fillId="8" borderId="233" xfId="2" applyNumberFormat="1" applyFont="1" applyFill="1" applyBorder="1" applyAlignment="1">
      <alignment horizontal="center" vertical="center"/>
    </xf>
    <xf numFmtId="167" fontId="0" fillId="8" borderId="0" xfId="0" applyNumberFormat="1" applyFill="1" applyAlignment="1">
      <alignment horizontal="center" vertical="center"/>
    </xf>
    <xf numFmtId="167" fontId="0" fillId="8" borderId="234" xfId="0" applyNumberFormat="1" applyFill="1" applyBorder="1" applyAlignment="1">
      <alignment horizontal="center" vertical="center"/>
    </xf>
    <xf numFmtId="0" fontId="0" fillId="8" borderId="237" xfId="0" applyFill="1" applyBorder="1" applyAlignment="1">
      <alignment vertical="center"/>
    </xf>
    <xf numFmtId="0" fontId="5" fillId="8" borderId="0" xfId="0" applyFont="1" applyFill="1" applyAlignment="1">
      <alignment vertical="center"/>
    </xf>
    <xf numFmtId="167" fontId="20" fillId="8" borderId="233" xfId="0" applyNumberFormat="1" applyFont="1" applyFill="1" applyBorder="1" applyAlignment="1">
      <alignment horizontal="center" vertical="center"/>
    </xf>
    <xf numFmtId="167" fontId="20" fillId="8" borderId="0" xfId="0" applyNumberFormat="1" applyFont="1" applyFill="1" applyAlignment="1">
      <alignment horizontal="center" vertical="center"/>
    </xf>
    <xf numFmtId="167" fontId="20" fillId="8" borderId="234" xfId="0" applyNumberFormat="1" applyFont="1" applyFill="1" applyBorder="1" applyAlignment="1">
      <alignment horizontal="center" vertical="center"/>
    </xf>
    <xf numFmtId="0" fontId="5" fillId="8" borderId="230" xfId="0" applyFont="1" applyFill="1" applyBorder="1" applyAlignment="1">
      <alignment vertical="center"/>
    </xf>
    <xf numFmtId="0" fontId="5" fillId="8" borderId="253" xfId="0" applyFont="1" applyFill="1" applyBorder="1" applyAlignment="1">
      <alignment vertical="center"/>
    </xf>
    <xf numFmtId="3" fontId="21" fillId="0" borderId="254" xfId="0" applyNumberFormat="1" applyFont="1" applyBorder="1" applyAlignment="1">
      <alignment horizontal="center" vertical="center"/>
    </xf>
    <xf numFmtId="0" fontId="0" fillId="0" borderId="255" xfId="0" applyBorder="1" applyAlignment="1">
      <alignment vertical="center"/>
    </xf>
    <xf numFmtId="0" fontId="5" fillId="8" borderId="233" xfId="0" applyFont="1" applyFill="1" applyBorder="1" applyAlignment="1">
      <alignment vertical="center"/>
    </xf>
    <xf numFmtId="0" fontId="0" fillId="8" borderId="256" xfId="0" applyFill="1" applyBorder="1" applyAlignment="1">
      <alignment vertical="center"/>
    </xf>
    <xf numFmtId="0" fontId="0" fillId="0" borderId="257" xfId="0" applyBorder="1" applyAlignment="1">
      <alignment vertical="center"/>
    </xf>
    <xf numFmtId="0" fontId="5" fillId="8" borderId="252" xfId="0" applyFont="1" applyFill="1" applyBorder="1" applyAlignment="1">
      <alignment vertical="center"/>
    </xf>
    <xf numFmtId="0" fontId="0" fillId="8" borderId="258" xfId="0" applyFill="1" applyBorder="1" applyAlignment="1">
      <alignment vertical="center"/>
    </xf>
    <xf numFmtId="0" fontId="47" fillId="0" borderId="257" xfId="0" applyFont="1" applyBorder="1" applyAlignment="1">
      <alignment vertical="center"/>
    </xf>
    <xf numFmtId="0" fontId="0" fillId="0" borderId="259" xfId="0" applyBorder="1"/>
    <xf numFmtId="0" fontId="0" fillId="0" borderId="260" xfId="0" applyBorder="1"/>
    <xf numFmtId="0" fontId="5" fillId="0" borderId="260" xfId="0" applyFont="1" applyBorder="1"/>
    <xf numFmtId="0" fontId="0" fillId="0" borderId="260" xfId="0" applyBorder="1" applyAlignment="1">
      <alignment horizontal="center"/>
    </xf>
    <xf numFmtId="0" fontId="21" fillId="0" borderId="260" xfId="0" applyFont="1" applyBorder="1" applyAlignment="1">
      <alignment horizontal="center"/>
    </xf>
    <xf numFmtId="0" fontId="0" fillId="0" borderId="261" xfId="0" applyBorder="1"/>
    <xf numFmtId="167" fontId="21" fillId="0" borderId="230" xfId="0" applyNumberFormat="1" applyFont="1" applyBorder="1" applyAlignment="1">
      <alignment horizontal="center" vertical="center"/>
    </xf>
    <xf numFmtId="0" fontId="21" fillId="0" borderId="231" xfId="0" applyFont="1" applyBorder="1" applyAlignment="1">
      <alignment vertical="center"/>
    </xf>
    <xf numFmtId="3" fontId="21" fillId="0" borderId="252" xfId="0" applyNumberFormat="1" applyFont="1" applyBorder="1" applyAlignment="1">
      <alignment horizontal="center" vertical="center"/>
    </xf>
    <xf numFmtId="0" fontId="21" fillId="0" borderId="250" xfId="0" applyFont="1" applyBorder="1" applyAlignment="1">
      <alignment vertical="center"/>
    </xf>
    <xf numFmtId="0" fontId="51" fillId="0" borderId="0" xfId="1" applyFont="1" applyAlignment="1">
      <alignment horizontal="left"/>
    </xf>
    <xf numFmtId="9" fontId="0" fillId="0" borderId="8" xfId="2" applyFont="1" applyBorder="1" applyAlignment="1">
      <alignment horizontal="center"/>
    </xf>
    <xf numFmtId="9" fontId="0" fillId="0" borderId="9" xfId="2" applyFon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1" fontId="0" fillId="0" borderId="8" xfId="2" applyNumberFormat="1" applyFont="1" applyBorder="1" applyAlignment="1">
      <alignment horizontal="center"/>
    </xf>
    <xf numFmtId="171" fontId="0" fillId="0" borderId="8" xfId="0" applyNumberFormat="1" applyBorder="1" applyAlignment="1">
      <alignment horizontal="center"/>
    </xf>
    <xf numFmtId="171" fontId="0" fillId="0" borderId="9" xfId="0" applyNumberFormat="1" applyBorder="1" applyAlignment="1">
      <alignment horizontal="center"/>
    </xf>
    <xf numFmtId="0" fontId="1" fillId="0" borderId="0" xfId="1" applyFill="1"/>
    <xf numFmtId="10" fontId="52" fillId="0" borderId="0" xfId="2" applyNumberFormat="1" applyFont="1" applyFill="1" applyAlignment="1">
      <alignment vertical="center"/>
    </xf>
    <xf numFmtId="0" fontId="4" fillId="7" borderId="0" xfId="0" applyFont="1" applyFill="1" applyAlignment="1">
      <alignment horizontal="center"/>
    </xf>
    <xf numFmtId="164" fontId="2" fillId="0" borderId="262" xfId="2" applyNumberFormat="1" applyFont="1" applyBorder="1" applyAlignment="1">
      <alignment horizontal="center"/>
    </xf>
    <xf numFmtId="164" fontId="2" fillId="0" borderId="166" xfId="2" applyNumberFormat="1" applyFont="1" applyBorder="1" applyAlignment="1">
      <alignment horizontal="center"/>
    </xf>
    <xf numFmtId="164" fontId="2" fillId="0" borderId="167" xfId="2" applyNumberFormat="1" applyFont="1" applyBorder="1" applyAlignment="1">
      <alignment horizontal="center"/>
    </xf>
    <xf numFmtId="0" fontId="0" fillId="0" borderId="169" xfId="0" applyBorder="1"/>
    <xf numFmtId="167" fontId="0" fillId="0" borderId="263" xfId="0" applyNumberFormat="1" applyBorder="1" applyAlignment="1">
      <alignment horizontal="center"/>
    </xf>
    <xf numFmtId="167" fontId="0" fillId="0" borderId="264" xfId="0" applyNumberFormat="1" applyBorder="1" applyAlignment="1">
      <alignment horizontal="center"/>
    </xf>
    <xf numFmtId="167" fontId="0" fillId="0" borderId="265" xfId="0" applyNumberFormat="1" applyBorder="1" applyAlignment="1">
      <alignment horizontal="center"/>
    </xf>
    <xf numFmtId="0" fontId="0" fillId="0" borderId="184" xfId="0" applyBorder="1"/>
    <xf numFmtId="167" fontId="0" fillId="0" borderId="266" xfId="0" applyNumberFormat="1" applyBorder="1" applyAlignment="1">
      <alignment horizontal="center"/>
    </xf>
    <xf numFmtId="167" fontId="0" fillId="0" borderId="267" xfId="0" applyNumberFormat="1" applyBorder="1" applyAlignment="1">
      <alignment horizontal="center"/>
    </xf>
    <xf numFmtId="167" fontId="0" fillId="0" borderId="268" xfId="0" applyNumberFormat="1" applyBorder="1" applyAlignment="1">
      <alignment horizontal="center"/>
    </xf>
    <xf numFmtId="0" fontId="0" fillId="0" borderId="190" xfId="0" applyBorder="1"/>
    <xf numFmtId="0" fontId="0" fillId="0" borderId="185" xfId="0" applyBorder="1"/>
    <xf numFmtId="0" fontId="0" fillId="0" borderId="191" xfId="0" applyBorder="1"/>
    <xf numFmtId="164" fontId="2" fillId="0" borderId="270" xfId="2" applyNumberFormat="1" applyFont="1" applyBorder="1" applyAlignment="1">
      <alignment horizontal="center"/>
    </xf>
    <xf numFmtId="164" fontId="2" fillId="0" borderId="271" xfId="2" applyNumberFormat="1" applyFont="1" applyBorder="1" applyAlignment="1">
      <alignment horizontal="center"/>
    </xf>
    <xf numFmtId="167" fontId="0" fillId="0" borderId="271" xfId="0" applyNumberFormat="1" applyBorder="1" applyAlignment="1">
      <alignment horizontal="center"/>
    </xf>
    <xf numFmtId="164" fontId="2" fillId="0" borderId="272" xfId="2" applyNumberFormat="1" applyFont="1" applyBorder="1" applyAlignment="1">
      <alignment horizontal="center"/>
    </xf>
    <xf numFmtId="0" fontId="13" fillId="7" borderId="165" xfId="0" applyFont="1" applyFill="1" applyBorder="1" applyAlignment="1">
      <alignment horizontal="left" vertical="center"/>
    </xf>
    <xf numFmtId="168" fontId="37" fillId="0" borderId="165" xfId="0" applyNumberFormat="1" applyFont="1" applyBorder="1" applyAlignment="1">
      <alignment horizontal="center"/>
    </xf>
    <xf numFmtId="168" fontId="13" fillId="0" borderId="0" xfId="0" applyNumberFormat="1" applyFont="1" applyAlignment="1">
      <alignment horizontal="center"/>
    </xf>
    <xf numFmtId="3" fontId="37" fillId="0" borderId="165" xfId="0" applyNumberFormat="1" applyFont="1" applyBorder="1" applyAlignment="1">
      <alignment horizontal="center"/>
    </xf>
    <xf numFmtId="3" fontId="37" fillId="0" borderId="273" xfId="0" applyNumberFormat="1" applyFont="1" applyBorder="1" applyAlignment="1">
      <alignment horizontal="center"/>
    </xf>
    <xf numFmtId="3" fontId="37" fillId="0" borderId="274" xfId="0" applyNumberFormat="1" applyFont="1" applyBorder="1" applyAlignment="1">
      <alignment horizontal="center"/>
    </xf>
    <xf numFmtId="3" fontId="37" fillId="0" borderId="275" xfId="0" applyNumberFormat="1" applyFont="1" applyBorder="1" applyAlignment="1">
      <alignment horizontal="center"/>
    </xf>
    <xf numFmtId="3" fontId="37" fillId="0" borderId="0" xfId="0" applyNumberFormat="1" applyFont="1" applyAlignment="1">
      <alignment horizontal="center"/>
    </xf>
    <xf numFmtId="9" fontId="55" fillId="0" borderId="165" xfId="2" applyFont="1" applyFill="1" applyBorder="1" applyAlignment="1">
      <alignment horizontal="center"/>
    </xf>
    <xf numFmtId="9" fontId="15" fillId="0" borderId="0" xfId="2" applyFont="1" applyFill="1" applyBorder="1" applyAlignment="1">
      <alignment horizontal="center"/>
    </xf>
    <xf numFmtId="9" fontId="37" fillId="0" borderId="165" xfId="2" applyFont="1" applyBorder="1" applyAlignment="1">
      <alignment horizontal="center"/>
    </xf>
    <xf numFmtId="9" fontId="37" fillId="0" borderId="273" xfId="2" applyFont="1" applyBorder="1" applyAlignment="1">
      <alignment horizontal="center"/>
    </xf>
    <xf numFmtId="9" fontId="37" fillId="0" borderId="274" xfId="2" applyFont="1" applyBorder="1" applyAlignment="1">
      <alignment horizontal="center"/>
    </xf>
    <xf numFmtId="9" fontId="37" fillId="0" borderId="275" xfId="2" applyFont="1" applyBorder="1" applyAlignment="1">
      <alignment horizontal="center"/>
    </xf>
    <xf numFmtId="0" fontId="55" fillId="9" borderId="169" xfId="0" applyFont="1" applyFill="1" applyBorder="1" applyAlignment="1">
      <alignment horizontal="left"/>
    </xf>
    <xf numFmtId="0" fontId="55" fillId="0" borderId="0" xfId="0" applyFont="1" applyAlignment="1">
      <alignment horizontal="left"/>
    </xf>
    <xf numFmtId="0" fontId="55" fillId="9" borderId="276" xfId="0" applyFont="1" applyFill="1" applyBorder="1" applyAlignment="1">
      <alignment horizontal="center"/>
    </xf>
    <xf numFmtId="0" fontId="55" fillId="9" borderId="195" xfId="0" applyFont="1" applyFill="1" applyBorder="1" applyAlignment="1">
      <alignment horizontal="center"/>
    </xf>
    <xf numFmtId="0" fontId="55" fillId="9" borderId="196" xfId="0" applyFont="1" applyFill="1" applyBorder="1" applyAlignment="1">
      <alignment horizontal="center"/>
    </xf>
    <xf numFmtId="0" fontId="55" fillId="9" borderId="169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13" fillId="7" borderId="186" xfId="0" applyFont="1" applyFill="1" applyBorder="1" applyAlignment="1">
      <alignment horizontal="left"/>
    </xf>
    <xf numFmtId="168" fontId="13" fillId="7" borderId="185" xfId="0" applyNumberFormat="1" applyFont="1" applyFill="1" applyBorder="1" applyAlignment="1">
      <alignment horizontal="center"/>
    </xf>
    <xf numFmtId="168" fontId="13" fillId="7" borderId="186" xfId="0" applyNumberFormat="1" applyFont="1" applyFill="1" applyBorder="1" applyAlignment="1">
      <alignment horizontal="center"/>
    </xf>
    <xf numFmtId="168" fontId="13" fillId="7" borderId="184" xfId="0" applyNumberFormat="1" applyFont="1" applyFill="1" applyBorder="1" applyAlignment="1">
      <alignment horizontal="center"/>
    </xf>
    <xf numFmtId="0" fontId="13" fillId="7" borderId="193" xfId="0" applyFont="1" applyFill="1" applyBorder="1" applyAlignment="1">
      <alignment horizontal="left"/>
    </xf>
    <xf numFmtId="9" fontId="14" fillId="7" borderId="191" xfId="2" applyFont="1" applyFill="1" applyBorder="1" applyAlignment="1">
      <alignment horizontal="center"/>
    </xf>
    <xf numFmtId="9" fontId="14" fillId="7" borderId="192" xfId="2" applyFont="1" applyFill="1" applyBorder="1" applyAlignment="1">
      <alignment horizontal="center"/>
    </xf>
    <xf numFmtId="9" fontId="14" fillId="7" borderId="193" xfId="2" applyFont="1" applyFill="1" applyBorder="1" applyAlignment="1">
      <alignment horizontal="center"/>
    </xf>
    <xf numFmtId="168" fontId="13" fillId="7" borderId="185" xfId="0" applyNumberFormat="1" applyFont="1" applyFill="1" applyBorder="1" applyAlignment="1">
      <alignment horizontal="center" vertical="center"/>
    </xf>
    <xf numFmtId="168" fontId="13" fillId="7" borderId="0" xfId="0" applyNumberFormat="1" applyFont="1" applyFill="1" applyAlignment="1">
      <alignment horizontal="center" vertical="center"/>
    </xf>
    <xf numFmtId="168" fontId="13" fillId="7" borderId="186" xfId="0" applyNumberFormat="1" applyFont="1" applyFill="1" applyBorder="1" applyAlignment="1">
      <alignment horizontal="center" vertical="center"/>
    </xf>
    <xf numFmtId="168" fontId="13" fillId="7" borderId="184" xfId="0" applyNumberFormat="1" applyFont="1" applyFill="1" applyBorder="1" applyAlignment="1">
      <alignment horizontal="center" vertical="center"/>
    </xf>
    <xf numFmtId="9" fontId="15" fillId="7" borderId="190" xfId="2" applyFont="1" applyFill="1" applyBorder="1" applyAlignment="1">
      <alignment horizontal="center"/>
    </xf>
    <xf numFmtId="0" fontId="13" fillId="7" borderId="279" xfId="0" applyFont="1" applyFill="1" applyBorder="1" applyAlignment="1">
      <alignment horizontal="left"/>
    </xf>
    <xf numFmtId="168" fontId="13" fillId="7" borderId="0" xfId="0" applyNumberFormat="1" applyFont="1" applyFill="1" applyBorder="1" applyAlignment="1">
      <alignment horizontal="center" vertical="center"/>
    </xf>
    <xf numFmtId="168" fontId="13" fillId="7" borderId="0" xfId="0" applyNumberFormat="1" applyFont="1" applyFill="1" applyBorder="1" applyAlignment="1">
      <alignment horizontal="center"/>
    </xf>
    <xf numFmtId="9" fontId="14" fillId="7" borderId="277" xfId="2" applyFont="1" applyFill="1" applyBorder="1" applyAlignment="1">
      <alignment horizontal="center"/>
    </xf>
    <xf numFmtId="9" fontId="14" fillId="7" borderId="278" xfId="2" applyFont="1" applyFill="1" applyBorder="1" applyAlignment="1">
      <alignment horizontal="center"/>
    </xf>
    <xf numFmtId="9" fontId="14" fillId="7" borderId="279" xfId="2" applyFont="1" applyFill="1" applyBorder="1" applyAlignment="1">
      <alignment horizontal="center"/>
    </xf>
    <xf numFmtId="9" fontId="14" fillId="7" borderId="176" xfId="2" applyFont="1" applyFill="1" applyBorder="1" applyAlignment="1">
      <alignment horizontal="center"/>
    </xf>
    <xf numFmtId="168" fontId="13" fillId="7" borderId="280" xfId="0" applyNumberFormat="1" applyFont="1" applyFill="1" applyBorder="1" applyAlignment="1">
      <alignment horizontal="center"/>
    </xf>
    <xf numFmtId="168" fontId="13" fillId="7" borderId="281" xfId="0" applyNumberFormat="1" applyFont="1" applyFill="1" applyBorder="1" applyAlignment="1">
      <alignment horizontal="center"/>
    </xf>
    <xf numFmtId="168" fontId="13" fillId="7" borderId="282" xfId="0" applyNumberFormat="1" applyFont="1" applyFill="1" applyBorder="1" applyAlignment="1">
      <alignment horizontal="center"/>
    </xf>
    <xf numFmtId="168" fontId="13" fillId="7" borderId="179" xfId="0" applyNumberFormat="1" applyFont="1" applyFill="1" applyBorder="1" applyAlignment="1">
      <alignment horizontal="center"/>
    </xf>
    <xf numFmtId="0" fontId="7" fillId="0" borderId="0" xfId="0" applyFont="1" applyBorder="1"/>
    <xf numFmtId="0" fontId="7" fillId="0" borderId="186" xfId="0" applyFont="1" applyBorder="1"/>
    <xf numFmtId="0" fontId="13" fillId="7" borderId="282" xfId="0" applyFont="1" applyFill="1" applyBorder="1" applyAlignment="1">
      <alignment horizontal="left"/>
    </xf>
    <xf numFmtId="0" fontId="1" fillId="0" borderId="283" xfId="1" applyFill="1" applyBorder="1"/>
    <xf numFmtId="9" fontId="0" fillId="0" borderId="284" xfId="0" applyNumberFormat="1" applyBorder="1" applyAlignment="1">
      <alignment horizontal="center"/>
    </xf>
    <xf numFmtId="0" fontId="1" fillId="0" borderId="286" xfId="1" applyFill="1" applyBorder="1"/>
    <xf numFmtId="0" fontId="1" fillId="0" borderId="287" xfId="1" applyFill="1" applyBorder="1"/>
    <xf numFmtId="0" fontId="1" fillId="0" borderId="288" xfId="1" applyFill="1" applyBorder="1"/>
    <xf numFmtId="0" fontId="1" fillId="0" borderId="11" xfId="1" applyFill="1" applyBorder="1"/>
    <xf numFmtId="9" fontId="0" fillId="0" borderId="5" xfId="2" applyNumberFormat="1" applyFont="1" applyBorder="1" applyAlignment="1">
      <alignment horizontal="center"/>
    </xf>
    <xf numFmtId="171" fontId="0" fillId="0" borderId="284" xfId="2" applyNumberFormat="1" applyFont="1" applyBorder="1" applyAlignment="1">
      <alignment horizontal="center"/>
    </xf>
    <xf numFmtId="171" fontId="0" fillId="0" borderId="284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9" fontId="0" fillId="0" borderId="6" xfId="2" applyNumberFormat="1" applyFont="1" applyBorder="1" applyAlignment="1">
      <alignment horizontal="center"/>
    </xf>
    <xf numFmtId="171" fontId="0" fillId="0" borderId="285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9" fontId="0" fillId="0" borderId="289" xfId="0" applyNumberFormat="1" applyBorder="1" applyAlignment="1">
      <alignment horizontal="center"/>
    </xf>
    <xf numFmtId="164" fontId="4" fillId="7" borderId="0" xfId="2" applyNumberFormat="1" applyFont="1" applyFill="1" applyAlignment="1">
      <alignment horizontal="center"/>
    </xf>
    <xf numFmtId="164" fontId="0" fillId="0" borderId="290" xfId="2" applyNumberFormat="1" applyFont="1" applyBorder="1" applyAlignment="1">
      <alignment horizontal="center"/>
    </xf>
    <xf numFmtId="172" fontId="0" fillId="0" borderId="290" xfId="0" applyNumberFormat="1" applyBorder="1" applyAlignment="1">
      <alignment horizontal="center"/>
    </xf>
    <xf numFmtId="9" fontId="0" fillId="0" borderId="290" xfId="2" applyFont="1" applyBorder="1" applyAlignment="1">
      <alignment horizontal="center"/>
    </xf>
    <xf numFmtId="9" fontId="0" fillId="0" borderId="290" xfId="0" applyNumberFormat="1" applyBorder="1" applyAlignment="1">
      <alignment horizontal="center"/>
    </xf>
    <xf numFmtId="2" fontId="0" fillId="0" borderId="290" xfId="0" applyNumberFormat="1" applyBorder="1" applyAlignment="1">
      <alignment horizontal="center"/>
    </xf>
    <xf numFmtId="169" fontId="0" fillId="0" borderId="290" xfId="0" applyNumberFormat="1" applyBorder="1" applyAlignment="1">
      <alignment horizontal="center"/>
    </xf>
    <xf numFmtId="169" fontId="0" fillId="0" borderId="291" xfId="0" applyNumberFormat="1" applyBorder="1" applyAlignment="1">
      <alignment horizontal="center"/>
    </xf>
    <xf numFmtId="169" fontId="0" fillId="0" borderId="0" xfId="0" applyNumberFormat="1" applyAlignment="1">
      <alignment horizontal="center"/>
    </xf>
    <xf numFmtId="0" fontId="0" fillId="0" borderId="0" xfId="0" applyFill="1"/>
    <xf numFmtId="17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56" fillId="10" borderId="0" xfId="0" applyFont="1" applyFill="1" applyBorder="1" applyAlignment="1"/>
    <xf numFmtId="0" fontId="0" fillId="10" borderId="0" xfId="0" applyFill="1" applyBorder="1"/>
    <xf numFmtId="9" fontId="0" fillId="0" borderId="0" xfId="0" applyNumberFormat="1"/>
    <xf numFmtId="0" fontId="0" fillId="0" borderId="0" xfId="0" applyNumberFormat="1"/>
    <xf numFmtId="9" fontId="0" fillId="0" borderId="0" xfId="2" applyFont="1" applyAlignment="1">
      <alignment horizontal="center"/>
    </xf>
    <xf numFmtId="3" fontId="0" fillId="0" borderId="0" xfId="0" applyNumberFormat="1"/>
    <xf numFmtId="2" fontId="0" fillId="0" borderId="0" xfId="0" applyNumberFormat="1" applyAlignment="1">
      <alignment horizontal="center"/>
    </xf>
    <xf numFmtId="164" fontId="0" fillId="0" borderId="0" xfId="2" applyNumberFormat="1" applyFont="1" applyAlignment="1">
      <alignment horizontal="center"/>
    </xf>
    <xf numFmtId="164" fontId="2" fillId="0" borderId="268" xfId="2" applyNumberFormat="1" applyFont="1" applyBorder="1" applyAlignment="1">
      <alignment horizontal="center"/>
    </xf>
    <xf numFmtId="9" fontId="0" fillId="0" borderId="0" xfId="0" applyNumberFormat="1" applyAlignment="1">
      <alignment horizontal="center"/>
    </xf>
    <xf numFmtId="3" fontId="0" fillId="10" borderId="151" xfId="0" applyNumberFormat="1" applyFill="1" applyBorder="1"/>
    <xf numFmtId="173" fontId="59" fillId="10" borderId="0" xfId="0" applyNumberFormat="1" applyFont="1" applyFill="1" applyBorder="1" applyAlignment="1">
      <alignment vertical="center"/>
    </xf>
    <xf numFmtId="173" fontId="0" fillId="0" borderId="0" xfId="0" applyNumberFormat="1" applyAlignment="1">
      <alignment horizontal="center"/>
    </xf>
    <xf numFmtId="173" fontId="59" fillId="10" borderId="157" xfId="0" applyNumberFormat="1" applyFont="1" applyFill="1" applyBorder="1" applyAlignment="1">
      <alignment vertical="center"/>
    </xf>
    <xf numFmtId="3" fontId="0" fillId="10" borderId="158" xfId="0" applyNumberFormat="1" applyFill="1" applyBorder="1"/>
    <xf numFmtId="0" fontId="56" fillId="11" borderId="0" xfId="0" applyFont="1" applyFill="1" applyBorder="1" applyAlignment="1"/>
    <xf numFmtId="174" fontId="59" fillId="10" borderId="0" xfId="0" applyNumberFormat="1" applyFont="1" applyFill="1" applyBorder="1" applyAlignment="1">
      <alignment vertical="center"/>
    </xf>
    <xf numFmtId="1" fontId="0" fillId="0" borderId="0" xfId="0" applyNumberFormat="1"/>
    <xf numFmtId="0" fontId="0" fillId="11" borderId="0" xfId="0" applyFill="1" applyBorder="1"/>
    <xf numFmtId="0" fontId="53" fillId="2" borderId="197" xfId="0" applyFont="1" applyFill="1" applyBorder="1" applyAlignment="1">
      <alignment horizontal="center"/>
    </xf>
    <xf numFmtId="0" fontId="53" fillId="2" borderId="198" xfId="0" applyFont="1" applyFill="1" applyBorder="1" applyAlignment="1">
      <alignment horizontal="center"/>
    </xf>
    <xf numFmtId="0" fontId="53" fillId="2" borderId="199" xfId="0" applyFont="1" applyFill="1" applyBorder="1" applyAlignment="1">
      <alignment horizontal="center"/>
    </xf>
    <xf numFmtId="0" fontId="53" fillId="2" borderId="204" xfId="0" applyFont="1" applyFill="1" applyBorder="1" applyAlignment="1">
      <alignment horizontal="center"/>
    </xf>
    <xf numFmtId="0" fontId="53" fillId="2" borderId="205" xfId="0" applyFont="1" applyFill="1" applyBorder="1" applyAlignment="1">
      <alignment horizontal="center"/>
    </xf>
    <xf numFmtId="0" fontId="53" fillId="2" borderId="206" xfId="0" applyFont="1" applyFill="1" applyBorder="1" applyAlignment="1">
      <alignment horizontal="center"/>
    </xf>
    <xf numFmtId="0" fontId="4" fillId="7" borderId="169" xfId="0" applyFont="1" applyFill="1" applyBorder="1" applyAlignment="1">
      <alignment horizontal="left" vertical="center"/>
    </xf>
    <xf numFmtId="0" fontId="4" fillId="7" borderId="184" xfId="0" applyFont="1" applyFill="1" applyBorder="1" applyAlignment="1">
      <alignment horizontal="left" vertical="center"/>
    </xf>
    <xf numFmtId="0" fontId="4" fillId="7" borderId="269" xfId="0" applyFont="1" applyFill="1" applyBorder="1" applyAlignment="1">
      <alignment horizontal="left" vertical="center"/>
    </xf>
    <xf numFmtId="0" fontId="4" fillId="7" borderId="186" xfId="0" applyFont="1" applyFill="1" applyBorder="1" applyAlignment="1">
      <alignment horizontal="left" vertical="center"/>
    </xf>
    <xf numFmtId="9" fontId="54" fillId="7" borderId="0" xfId="0" applyNumberFormat="1" applyFont="1" applyFill="1" applyAlignment="1">
      <alignment horizontal="center" vertical="center"/>
    </xf>
    <xf numFmtId="0" fontId="54" fillId="7" borderId="0" xfId="0" applyFont="1" applyFill="1" applyAlignment="1">
      <alignment horizontal="center" vertical="center"/>
    </xf>
    <xf numFmtId="0" fontId="13" fillId="7" borderId="280" xfId="0" applyFont="1" applyFill="1" applyBorder="1" applyAlignment="1">
      <alignment horizontal="left" vertical="center"/>
    </xf>
    <xf numFmtId="0" fontId="13" fillId="7" borderId="281" xfId="0" applyFont="1" applyFill="1" applyBorder="1" applyAlignment="1">
      <alignment horizontal="left" vertical="center"/>
    </xf>
    <xf numFmtId="0" fontId="13" fillId="7" borderId="185" xfId="0" applyFont="1" applyFill="1" applyBorder="1" applyAlignment="1">
      <alignment horizontal="left" vertical="center"/>
    </xf>
    <xf numFmtId="0" fontId="13" fillId="7" borderId="0" xfId="0" applyFont="1" applyFill="1" applyBorder="1" applyAlignment="1">
      <alignment horizontal="left" vertical="center"/>
    </xf>
    <xf numFmtId="0" fontId="13" fillId="7" borderId="277" xfId="0" applyFont="1" applyFill="1" applyBorder="1" applyAlignment="1">
      <alignment horizontal="left" vertical="center"/>
    </xf>
    <xf numFmtId="0" fontId="13" fillId="7" borderId="278" xfId="0" applyFont="1" applyFill="1" applyBorder="1" applyAlignment="1">
      <alignment horizontal="left" vertical="center"/>
    </xf>
    <xf numFmtId="0" fontId="13" fillId="7" borderId="0" xfId="0" applyFont="1" applyFill="1" applyAlignment="1">
      <alignment horizontal="left" vertical="center"/>
    </xf>
    <xf numFmtId="0" fontId="13" fillId="7" borderId="191" xfId="0" applyFont="1" applyFill="1" applyBorder="1" applyAlignment="1">
      <alignment horizontal="left" vertical="center"/>
    </xf>
    <xf numFmtId="0" fontId="13" fillId="7" borderId="192" xfId="0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44" fillId="0" borderId="218" xfId="0" applyFont="1" applyBorder="1" applyAlignment="1">
      <alignment horizontal="center"/>
    </xf>
    <xf numFmtId="0" fontId="44" fillId="0" borderId="219" xfId="0" applyFont="1" applyBorder="1" applyAlignment="1">
      <alignment horizontal="center"/>
    </xf>
    <xf numFmtId="0" fontId="44" fillId="0" borderId="220" xfId="0" applyFont="1" applyBorder="1" applyAlignment="1">
      <alignment horizontal="center"/>
    </xf>
    <xf numFmtId="0" fontId="45" fillId="0" borderId="225" xfId="0" applyFont="1" applyBorder="1" applyAlignment="1">
      <alignment horizontal="left" vertical="center"/>
    </xf>
    <xf numFmtId="0" fontId="45" fillId="0" borderId="226" xfId="0" applyFont="1" applyBorder="1" applyAlignment="1">
      <alignment horizontal="left" vertical="center"/>
    </xf>
    <xf numFmtId="9" fontId="46" fillId="0" borderId="230" xfId="2" applyFont="1" applyBorder="1" applyAlignment="1">
      <alignment horizontal="center" vertical="center"/>
    </xf>
    <xf numFmtId="9" fontId="46" fillId="0" borderId="233" xfId="2" applyFont="1" applyBorder="1" applyAlignment="1">
      <alignment horizontal="center" vertical="center"/>
    </xf>
    <xf numFmtId="0" fontId="47" fillId="0" borderId="231" xfId="0" applyFont="1" applyBorder="1" applyAlignment="1">
      <alignment horizontal="center" vertical="center"/>
    </xf>
    <xf numFmtId="0" fontId="47" fillId="0" borderId="234" xfId="0" applyFont="1" applyBorder="1" applyAlignment="1">
      <alignment horizontal="center" vertical="center"/>
    </xf>
    <xf numFmtId="0" fontId="45" fillId="0" borderId="235" xfId="0" applyFont="1" applyBorder="1" applyAlignment="1">
      <alignment horizontal="left" vertical="center"/>
    </xf>
    <xf numFmtId="0" fontId="5" fillId="8" borderId="245" xfId="0" applyFont="1" applyFill="1" applyBorder="1" applyAlignment="1">
      <alignment horizontal="center" vertical="center"/>
    </xf>
    <xf numFmtId="0" fontId="5" fillId="8" borderId="234" xfId="0" applyFont="1" applyFill="1" applyBorder="1" applyAlignment="1">
      <alignment horizontal="center" vertical="center"/>
    </xf>
    <xf numFmtId="0" fontId="5" fillId="8" borderId="250" xfId="0" applyFont="1" applyFill="1" applyBorder="1" applyAlignment="1">
      <alignment horizontal="center" vertical="center"/>
    </xf>
    <xf numFmtId="0" fontId="9" fillId="8" borderId="242" xfId="0" applyFont="1" applyFill="1" applyBorder="1" applyAlignment="1">
      <alignment horizontal="center" vertical="center"/>
    </xf>
    <xf numFmtId="0" fontId="9" fillId="8" borderId="243" xfId="0" applyFont="1" applyFill="1" applyBorder="1" applyAlignment="1">
      <alignment horizontal="center" vertical="center"/>
    </xf>
    <xf numFmtId="0" fontId="9" fillId="8" borderId="230" xfId="0" applyFont="1" applyFill="1" applyBorder="1" applyAlignment="1">
      <alignment horizontal="center" vertical="center"/>
    </xf>
    <xf numFmtId="0" fontId="9" fillId="8" borderId="23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9" fontId="10" fillId="2" borderId="19" xfId="2" applyFont="1" applyFill="1" applyBorder="1" applyAlignment="1">
      <alignment horizontal="center" vertical="center"/>
    </xf>
    <xf numFmtId="9" fontId="10" fillId="2" borderId="0" xfId="2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 vertical="center"/>
    </xf>
    <xf numFmtId="0" fontId="13" fillId="3" borderId="66" xfId="0" applyFont="1" applyFill="1" applyBorder="1" applyAlignment="1">
      <alignment horizontal="center" vertical="center"/>
    </xf>
    <xf numFmtId="9" fontId="18" fillId="3" borderId="41" xfId="0" applyNumberFormat="1" applyFont="1" applyFill="1" applyBorder="1" applyAlignment="1">
      <alignment horizontal="center" vertical="center"/>
    </xf>
    <xf numFmtId="0" fontId="18" fillId="3" borderId="42" xfId="0" applyFont="1" applyFill="1" applyBorder="1" applyAlignment="1">
      <alignment horizontal="center" vertical="center"/>
    </xf>
    <xf numFmtId="0" fontId="18" fillId="3" borderId="44" xfId="0" applyFont="1" applyFill="1" applyBorder="1" applyAlignment="1">
      <alignment horizontal="center" vertical="center"/>
    </xf>
    <xf numFmtId="0" fontId="13" fillId="3" borderId="54" xfId="0" applyFont="1" applyFill="1" applyBorder="1" applyAlignment="1">
      <alignment horizontal="center" vertical="center"/>
    </xf>
    <xf numFmtId="0" fontId="13" fillId="3" borderId="60" xfId="0" applyFont="1" applyFill="1" applyBorder="1" applyAlignment="1">
      <alignment horizontal="center" vertical="center"/>
    </xf>
    <xf numFmtId="0" fontId="4" fillId="4" borderId="71" xfId="0" applyFont="1" applyFill="1" applyBorder="1" applyAlignment="1">
      <alignment horizontal="left" vertical="center"/>
    </xf>
    <xf numFmtId="0" fontId="4" fillId="4" borderId="72" xfId="0" applyFont="1" applyFill="1" applyBorder="1" applyAlignment="1">
      <alignment horizontal="left" vertical="center"/>
    </xf>
    <xf numFmtId="9" fontId="22" fillId="4" borderId="0" xfId="2" applyFont="1" applyFill="1" applyAlignment="1">
      <alignment horizontal="center" vertical="center"/>
    </xf>
    <xf numFmtId="0" fontId="4" fillId="4" borderId="77" xfId="0" applyFont="1" applyFill="1" applyBorder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169" fontId="29" fillId="5" borderId="95" xfId="0" applyNumberFormat="1" applyFont="1" applyFill="1" applyBorder="1" applyAlignment="1">
      <alignment horizontal="center" vertical="center"/>
    </xf>
    <xf numFmtId="169" fontId="29" fillId="5" borderId="0" xfId="0" applyNumberFormat="1" applyFont="1" applyFill="1" applyAlignment="1">
      <alignment horizontal="center" vertical="center"/>
    </xf>
    <xf numFmtId="0" fontId="13" fillId="5" borderId="102" xfId="0" applyFont="1" applyFill="1" applyBorder="1" applyAlignment="1">
      <alignment horizontal="center" vertical="center"/>
    </xf>
    <xf numFmtId="0" fontId="13" fillId="5" borderId="103" xfId="0" applyFont="1" applyFill="1" applyBorder="1" applyAlignment="1">
      <alignment horizontal="center" vertical="center"/>
    </xf>
    <xf numFmtId="0" fontId="13" fillId="5" borderId="95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3" fillId="6" borderId="119" xfId="0" applyFont="1" applyFill="1" applyBorder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left"/>
    </xf>
    <xf numFmtId="2" fontId="31" fillId="6" borderId="0" xfId="0" applyNumberFormat="1" applyFont="1" applyFill="1" applyAlignment="1">
      <alignment horizontal="center" vertical="center"/>
    </xf>
    <xf numFmtId="9" fontId="34" fillId="3" borderId="0" xfId="2" applyFont="1" applyFill="1" applyBorder="1" applyAlignment="1">
      <alignment horizontal="center" vertical="center"/>
    </xf>
    <xf numFmtId="0" fontId="13" fillId="3" borderId="147" xfId="0" applyFont="1" applyFill="1" applyBorder="1" applyAlignment="1">
      <alignment horizontal="center" vertical="center"/>
    </xf>
    <xf numFmtId="0" fontId="13" fillId="3" borderId="142" xfId="0" applyFont="1" applyFill="1" applyBorder="1" applyAlignment="1">
      <alignment horizontal="center" vertical="center"/>
    </xf>
    <xf numFmtId="0" fontId="13" fillId="3" borderId="153" xfId="0" applyFont="1" applyFill="1" applyBorder="1" applyAlignment="1">
      <alignment horizontal="center" vertical="center"/>
    </xf>
    <xf numFmtId="0" fontId="13" fillId="3" borderId="138" xfId="0" applyFont="1" applyFill="1" applyBorder="1" applyAlignment="1">
      <alignment horizontal="center" vertical="center"/>
    </xf>
    <xf numFmtId="0" fontId="34" fillId="7" borderId="0" xfId="2" applyNumberFormat="1" applyFont="1" applyFill="1" applyBorder="1" applyAlignment="1">
      <alignment horizontal="center" vertical="center"/>
    </xf>
    <xf numFmtId="169" fontId="34" fillId="2" borderId="0" xfId="2" applyNumberFormat="1" applyFont="1" applyFill="1" applyBorder="1" applyAlignment="1">
      <alignment horizontal="center" vertical="center"/>
    </xf>
    <xf numFmtId="0" fontId="13" fillId="2" borderId="197" xfId="0" applyFont="1" applyFill="1" applyBorder="1" applyAlignment="1">
      <alignment horizontal="left" vertical="center"/>
    </xf>
    <xf numFmtId="0" fontId="13" fillId="2" borderId="198" xfId="0" applyFont="1" applyFill="1" applyBorder="1" applyAlignment="1">
      <alignment horizontal="left" vertical="center"/>
    </xf>
    <xf numFmtId="0" fontId="13" fillId="2" borderId="201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3" fillId="2" borderId="204" xfId="0" applyFont="1" applyFill="1" applyBorder="1" applyAlignment="1">
      <alignment horizontal="left" vertical="center"/>
    </xf>
    <xf numFmtId="0" fontId="13" fillId="2" borderId="205" xfId="0" applyFont="1" applyFill="1" applyBorder="1" applyAlignment="1">
      <alignment horizontal="left" vertical="center"/>
    </xf>
    <xf numFmtId="9" fontId="0" fillId="0" borderId="0" xfId="2" applyFont="1"/>
    <xf numFmtId="2" fontId="0" fillId="0" borderId="0" xfId="0" applyNumberFormat="1"/>
    <xf numFmtId="171" fontId="0" fillId="0" borderId="0" xfId="0" applyNumberFormat="1"/>
    <xf numFmtId="169" fontId="0" fillId="0" borderId="0" xfId="0" applyNumberFormat="1" applyAlignment="1">
      <alignment horizontal="left"/>
    </xf>
    <xf numFmtId="169" fontId="0" fillId="0" borderId="0" xfId="0" applyNumberFormat="1"/>
    <xf numFmtId="180" fontId="0" fillId="0" borderId="0" xfId="0" applyNumberFormat="1" applyAlignment="1">
      <alignment horizontal="center"/>
    </xf>
    <xf numFmtId="181" fontId="0" fillId="0" borderId="0" xfId="0" applyNumberFormat="1" applyAlignment="1">
      <alignment horizontal="center"/>
    </xf>
    <xf numFmtId="0" fontId="6" fillId="10" borderId="0" xfId="0" applyFont="1" applyFill="1" applyBorder="1"/>
    <xf numFmtId="0" fontId="0" fillId="0" borderId="0" xfId="0" applyFill="1" applyBorder="1"/>
    <xf numFmtId="173" fontId="57" fillId="3" borderId="0" xfId="0" applyNumberFormat="1" applyFont="1" applyFill="1" applyBorder="1" applyAlignment="1">
      <alignment horizontal="center" vertical="center"/>
    </xf>
    <xf numFmtId="174" fontId="57" fillId="3" borderId="0" xfId="0" applyNumberFormat="1" applyFont="1" applyFill="1" applyBorder="1" applyAlignment="1">
      <alignment horizontal="right" vertical="center"/>
    </xf>
    <xf numFmtId="0" fontId="58" fillId="10" borderId="0" xfId="0" applyFont="1" applyFill="1" applyBorder="1" applyAlignment="1">
      <alignment vertical="center"/>
    </xf>
    <xf numFmtId="0" fontId="0" fillId="10" borderId="292" xfId="0" applyFill="1" applyBorder="1"/>
    <xf numFmtId="0" fontId="0" fillId="11" borderId="292" xfId="0" applyFill="1" applyBorder="1"/>
    <xf numFmtId="0" fontId="60" fillId="10" borderId="292" xfId="0" applyFont="1" applyFill="1" applyBorder="1" applyAlignment="1">
      <alignment vertical="center"/>
    </xf>
    <xf numFmtId="0" fontId="0" fillId="10" borderId="293" xfId="0" applyFill="1" applyBorder="1"/>
    <xf numFmtId="0" fontId="0" fillId="10" borderId="294" xfId="0" applyFill="1" applyBorder="1"/>
    <xf numFmtId="0" fontId="0" fillId="10" borderId="295" xfId="0" applyFill="1" applyBorder="1"/>
    <xf numFmtId="0" fontId="0" fillId="10" borderId="296" xfId="0" applyFill="1" applyBorder="1"/>
    <xf numFmtId="0" fontId="0" fillId="10" borderId="297" xfId="0" applyFill="1" applyBorder="1"/>
    <xf numFmtId="0" fontId="60" fillId="10" borderId="294" xfId="0" applyFont="1" applyFill="1" applyBorder="1" applyAlignment="1">
      <alignment vertical="center"/>
    </xf>
    <xf numFmtId="173" fontId="57" fillId="3" borderId="296" xfId="0" applyNumberFormat="1" applyFont="1" applyFill="1" applyBorder="1" applyAlignment="1">
      <alignment horizontal="center" vertical="center"/>
    </xf>
    <xf numFmtId="0" fontId="58" fillId="10" borderId="296" xfId="0" applyFont="1" applyFill="1" applyBorder="1" applyAlignment="1">
      <alignment vertical="center"/>
    </xf>
    <xf numFmtId="0" fontId="0" fillId="10" borderId="298" xfId="0" applyFill="1" applyBorder="1"/>
    <xf numFmtId="0" fontId="0" fillId="10" borderId="299" xfId="0" applyFill="1" applyBorder="1"/>
    <xf numFmtId="4" fontId="0" fillId="0" borderId="0" xfId="0" applyNumberFormat="1" applyAlignment="1">
      <alignment horizontal="center"/>
    </xf>
    <xf numFmtId="0" fontId="58" fillId="10" borderId="300" xfId="0" applyFont="1" applyFill="1" applyBorder="1" applyAlignment="1">
      <alignment vertical="center"/>
    </xf>
    <xf numFmtId="173" fontId="57" fillId="3" borderId="151" xfId="0" applyNumberFormat="1" applyFont="1" applyFill="1" applyBorder="1" applyAlignment="1">
      <alignment horizontal="center" vertical="center"/>
    </xf>
    <xf numFmtId="174" fontId="57" fillId="3" borderId="151" xfId="0" applyNumberFormat="1" applyFont="1" applyFill="1" applyBorder="1" applyAlignment="1">
      <alignment horizontal="right" vertical="center"/>
    </xf>
    <xf numFmtId="0" fontId="58" fillId="10" borderId="157" xfId="0" applyFont="1" applyFill="1" applyBorder="1" applyAlignment="1">
      <alignment vertical="center"/>
    </xf>
    <xf numFmtId="164" fontId="0" fillId="0" borderId="0" xfId="0" applyNumberFormat="1" applyAlignment="1">
      <alignment horizontal="center"/>
    </xf>
    <xf numFmtId="164" fontId="0" fillId="0" borderId="0" xfId="2" applyNumberFormat="1" applyFont="1"/>
    <xf numFmtId="10" fontId="0" fillId="0" borderId="0" xfId="2" applyNumberFormat="1" applyFont="1"/>
  </cellXfs>
  <cellStyles count="3">
    <cellStyle name="Lien hypertexte" xfId="1" builtinId="8"/>
    <cellStyle name="Normal" xfId="0" builtinId="0"/>
    <cellStyle name="Pourcentage" xfId="2" builtinId="5"/>
  </cellStyles>
  <dxfs count="117">
    <dxf>
      <numFmt numFmtId="164" formatCode="0.0%"/>
    </dxf>
    <dxf>
      <font>
        <color theme="9" tint="-0.24994659260841701"/>
      </font>
    </dxf>
    <dxf>
      <font>
        <color rgb="FFF80000"/>
      </font>
    </dxf>
    <dxf>
      <font>
        <color rgb="FF98FCA4"/>
      </font>
    </dxf>
    <dxf>
      <font>
        <color theme="5" tint="0.59996337778862885"/>
      </font>
    </dxf>
    <dxf>
      <font>
        <color rgb="FF98FCA4"/>
      </font>
    </dxf>
    <dxf>
      <font>
        <color theme="5" tint="0.59996337778862885"/>
      </font>
    </dxf>
    <dxf>
      <font>
        <color rgb="FF98FCA4"/>
      </font>
    </dxf>
    <dxf>
      <font>
        <color rgb="FFF80000"/>
      </font>
    </dxf>
    <dxf>
      <font>
        <color rgb="FF98FCA4"/>
      </font>
    </dxf>
    <dxf>
      <font>
        <color theme="5" tint="0.59996337778862885"/>
      </font>
    </dxf>
    <dxf>
      <font>
        <color theme="9" tint="-0.24994659260841701"/>
      </font>
    </dxf>
    <dxf>
      <font>
        <color rgb="FFF80000"/>
      </font>
    </dxf>
    <dxf>
      <font>
        <color rgb="FF98FCA4"/>
      </font>
    </dxf>
    <dxf>
      <font>
        <color rgb="FFF80000"/>
      </font>
    </dxf>
    <dxf>
      <font>
        <color rgb="FF98FCA4"/>
      </font>
    </dxf>
    <dxf>
      <font>
        <color rgb="FFF80000"/>
      </font>
    </dxf>
    <dxf>
      <font>
        <color rgb="FF98FCA4"/>
      </font>
    </dxf>
    <dxf>
      <font>
        <color theme="5" tint="0.59996337778862885"/>
      </font>
    </dxf>
    <dxf>
      <font>
        <b val="0"/>
        <i val="0"/>
        <color rgb="FF00B050"/>
      </font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b val="0"/>
        <i val="0"/>
        <color rgb="FFFF0000"/>
      </font>
    </dxf>
    <dxf>
      <font>
        <color rgb="FFFF99CC"/>
      </font>
    </dxf>
    <dxf>
      <font>
        <color rgb="FFFF99CC"/>
      </font>
    </dxf>
    <dxf>
      <font>
        <color rgb="FFFF99CC"/>
      </font>
    </dxf>
    <dxf>
      <font>
        <color rgb="FFFF99CC"/>
      </font>
    </dxf>
    <dxf>
      <font>
        <color rgb="FFFF99CC"/>
      </font>
    </dxf>
    <dxf>
      <font>
        <b val="0"/>
        <i val="0"/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0000"/>
        </patternFill>
      </fill>
    </dxf>
    <dxf>
      <font>
        <b val="0"/>
        <i val="0"/>
        <color theme="1"/>
      </font>
      <fill>
        <patternFill patternType="solid"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 val="0"/>
        <i val="0"/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 val="0"/>
        <i val="0"/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0000"/>
        </patternFill>
      </fill>
    </dxf>
    <dxf>
      <font>
        <b val="0"/>
        <i val="0"/>
        <color theme="1"/>
      </font>
      <fill>
        <patternFill patternType="solid"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 val="0"/>
        <i val="0"/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99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99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FF9900"/>
      </font>
    </dxf>
    <dxf>
      <font>
        <b/>
        <i val="0"/>
        <color rgb="FF00B050"/>
      </font>
    </dxf>
    <dxf>
      <font>
        <b/>
        <i val="0"/>
        <color rgb="FFFF0000"/>
      </font>
    </dxf>
    <dxf>
      <numFmt numFmtId="13" formatCode="0%"/>
    </dxf>
    <dxf>
      <numFmt numFmtId="181" formatCode="#,##0.0"/>
    </dxf>
    <dxf>
      <alignment horizontal="center"/>
    </dxf>
    <dxf>
      <numFmt numFmtId="181" formatCode="#,##0.0"/>
    </dxf>
    <dxf>
      <alignment horizontal="center"/>
    </dxf>
    <dxf>
      <numFmt numFmtId="4" formatCode="#,##0.00"/>
    </dxf>
    <dxf>
      <numFmt numFmtId="4" formatCode="#,##0.00"/>
    </dxf>
    <dxf>
      <numFmt numFmtId="181" formatCode="#,##0.0"/>
    </dxf>
    <dxf>
      <alignment horizontal="center"/>
    </dxf>
    <dxf>
      <numFmt numFmtId="181" formatCode="#,##0.0"/>
    </dxf>
    <dxf>
      <alignment horizontal="center"/>
    </dxf>
    <dxf>
      <numFmt numFmtId="3" formatCode="#,##0"/>
    </dxf>
    <dxf>
      <numFmt numFmtId="169" formatCode="#,##0&quot;&quot;\ &quot;j&quot;"/>
    </dxf>
    <dxf>
      <numFmt numFmtId="169" formatCode="#,##0&quot;&quot;\ &quot;j&quot;"/>
    </dxf>
    <dxf>
      <numFmt numFmtId="169" formatCode="#,##0&quot;&quot;\ &quot;j&quot;"/>
    </dxf>
    <dxf>
      <numFmt numFmtId="13" formatCode="0%"/>
    </dxf>
    <dxf>
      <alignment horizontal="center"/>
    </dxf>
    <dxf>
      <numFmt numFmtId="3" formatCode="#,##0"/>
    </dxf>
    <dxf>
      <numFmt numFmtId="13" formatCode="0%"/>
    </dxf>
    <dxf>
      <numFmt numFmtId="13" formatCode="0%"/>
    </dxf>
    <dxf>
      <numFmt numFmtId="13" formatCode="0%"/>
    </dxf>
    <dxf>
      <numFmt numFmtId="1" formatCode="0"/>
    </dxf>
    <dxf>
      <numFmt numFmtId="13" formatCode="0%"/>
    </dxf>
    <dxf>
      <fill>
        <patternFill patternType="solid">
          <fgColor rgb="FFFFF5F5"/>
          <bgColor rgb="FFFFF5F5"/>
        </patternFill>
      </fill>
    </dxf>
    <dxf>
      <fill>
        <patternFill patternType="solid">
          <fgColor rgb="FFFFF5F5"/>
          <bgColor rgb="FFFFF5F5"/>
        </patternFill>
      </fill>
    </dxf>
    <dxf>
      <font>
        <b/>
        <color theme="4" tint="-0.249977111117893"/>
      </font>
    </dxf>
    <dxf>
      <font>
        <b/>
        <color theme="4" tint="-0.249977111117893"/>
      </font>
    </dxf>
    <dxf>
      <font>
        <b/>
        <color theme="4" tint="-0.249977111117893"/>
      </font>
      <border>
        <top style="thin">
          <color theme="4"/>
        </top>
      </border>
    </dxf>
    <dxf>
      <font>
        <b/>
        <color theme="4" tint="-0.249977111117893"/>
      </font>
      <border>
        <bottom style="thin">
          <color theme="4"/>
        </bottom>
      </border>
    </dxf>
    <dxf>
      <font>
        <color rgb="FF7030A0"/>
      </font>
      <border>
        <top style="thin">
          <color rgb="FF7030A0"/>
        </top>
        <bottom style="thin">
          <color rgb="FF7030A0"/>
        </bottom>
      </border>
    </dxf>
    <dxf>
      <font>
        <b/>
        <color theme="1"/>
      </font>
      <fill>
        <patternFill>
          <fgColor rgb="FFFFF5F5"/>
        </patternFill>
      </fill>
      <border>
        <left style="thin">
          <color rgb="FF660066"/>
        </left>
        <right style="thin">
          <color rgb="FF660066"/>
        </right>
        <top style="thin">
          <color rgb="FF660066"/>
        </top>
        <bottom style="thin">
          <color rgb="FF660066"/>
        </bottom>
        <vertical/>
        <horizontal/>
      </border>
    </dxf>
    <dxf>
      <font>
        <color theme="1"/>
      </font>
      <fill>
        <patternFill>
          <fgColor rgb="FFFAEFE6"/>
          <bgColor rgb="FFFCF3EB"/>
        </patternFill>
      </fill>
      <border>
        <left style="thin">
          <color rgb="FF660066"/>
        </left>
        <right style="thin">
          <color rgb="FF660066"/>
        </right>
        <top style="thin">
          <color rgb="FF660066"/>
        </top>
        <bottom style="thin">
          <color rgb="FF660066"/>
        </bottom>
        <vertical/>
        <horizontal/>
      </border>
    </dxf>
  </dxfs>
  <tableStyles count="2" defaultTableStyle="TableStyleMedium2" defaultPivotStyle="PivotStyleLight16">
    <tableStyle name="SlicerStyleDark2 2" pivot="0" table="0" count="10" xr9:uid="{3ECFD04D-59A8-49E1-A4F5-00917865A12B}">
      <tableStyleElement type="wholeTable" dxfId="116"/>
      <tableStyleElement type="headerRow" dxfId="115"/>
    </tableStyle>
    <tableStyle name="TableStyleLight2 2" pivot="0" count="7" xr9:uid="{3F633731-F7E6-4D61-BAF3-66C5BC46DA17}">
      <tableStyleElement type="wholeTable" dxfId="114"/>
      <tableStyleElement type="headerRow" dxfId="113"/>
      <tableStyleElement type="totalRow" dxfId="112"/>
      <tableStyleElement type="firstColumn" dxfId="111"/>
      <tableStyleElement type="lastColumn" dxfId="110"/>
      <tableStyleElement type="firstRowStripe" dxfId="109"/>
      <tableStyleElement type="firstColumnStripe" dxfId="108"/>
    </tableStyle>
  </tableStyles>
  <colors>
    <mruColors>
      <color rgb="FF660066"/>
      <color rgb="FFCC99FF"/>
      <color rgb="FFFF66FF"/>
      <color rgb="FFE87DF1"/>
      <color rgb="FFFAE4D6"/>
      <color rgb="FFFFECFE"/>
      <color rgb="FFFFCCFF"/>
      <color rgb="FFFCF3EB"/>
      <color rgb="FFFAEFE6"/>
      <color rgb="FFFFF5F5"/>
    </mruColors>
  </color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660066"/>
          </font>
          <fill>
            <patternFill patternType="solid">
              <fgColor rgb="FFCC99FF"/>
              <bgColor rgb="FFCC99FF"/>
            </patternFill>
          </fill>
          <border>
            <left style="thin">
              <color rgb="FFCC99FF"/>
            </left>
            <right style="thin">
              <color rgb="FFCC99FF"/>
            </right>
            <top style="thin">
              <color rgb="FFCC99FF"/>
            </top>
            <bottom style="thin">
              <color rgb="FFCC99FF"/>
            </bottom>
            <vertical/>
            <horizontal/>
          </border>
        </dxf>
        <dxf>
          <font>
            <color theme="0"/>
          </font>
          <fill>
            <patternFill patternType="solid">
              <fgColor rgb="FF660066"/>
              <bgColor rgb="FF660066"/>
            </patternFill>
          </fill>
          <border>
            <left style="thin">
              <color rgb="FFCC99FF"/>
            </left>
            <right style="thin">
              <color rgb="FFCC99FF"/>
            </right>
            <top style="thin">
              <color rgb="FFCC99FF"/>
            </top>
            <bottom style="thin">
              <color rgb="FFCC99FF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CCFF"/>
              <bgColor rgb="FFFFCCFF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2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microsoft.com/office/2007/relationships/slicerCache" Target="slicerCaches/slicerCach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pivotCacheDefinition" Target="pivotCache/pivotCacheDefinition2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pivotCacheDefinition" Target="pivotCache/pivotCacheDefinition1.xml"/><Relationship Id="rId32" Type="http://schemas.openxmlformats.org/officeDocument/2006/relationships/powerPivotData" Target="model/item.data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microsoft.com/office/2007/relationships/slicerCache" Target="slicerCaches/slicerCache2.xml"/><Relationship Id="rId30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sng" strike="noStrike" kern="1200" spc="0" baseline="0">
                <a:solidFill>
                  <a:srgbClr val="660066"/>
                </a:solidFill>
                <a:latin typeface="+mn-lt"/>
                <a:ea typeface="+mn-ea"/>
                <a:cs typeface="+mn-cs"/>
              </a:defRPr>
            </a:pPr>
            <a:r>
              <a:rPr lang="en-US" u="sng">
                <a:solidFill>
                  <a:srgbClr val="660066"/>
                </a:solidFill>
              </a:rPr>
              <a:t>Tendence 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sng" strike="noStrike" kern="1200" spc="0" baseline="0">
              <a:solidFill>
                <a:srgbClr val="660066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Analyse!$K$5</c:f>
              <c:strCache>
                <c:ptCount val="1"/>
                <c:pt idx="0">
                  <c:v>CA</c:v>
                </c:pt>
              </c:strCache>
            </c:strRef>
          </c:tx>
          <c:spPr>
            <a:ln w="19050" cap="rnd">
              <a:solidFill>
                <a:srgbClr val="660066"/>
              </a:solidFill>
              <a:round/>
              <a:tailEnd type="stealth" w="lg" len="lg"/>
            </a:ln>
            <a:effectLst/>
          </c:spPr>
          <c:marker>
            <c:symbol val="none"/>
          </c:marker>
          <c:dLbls>
            <c:dLbl>
              <c:idx val="4"/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DA0F9550-1E21-4BEB-9B9F-120B5A7D8124}" type="YVALUE">
                      <a:rPr lang="en-US" baseline="0"/>
                      <a:pPr/>
                      <a:t>[VALEUR Y]</a:t>
                    </a:fld>
                    <a:endParaRPr lang="en-US" baseline="0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45150919646906"/>
                      <c:h val="0.126898148148148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D8C3-438F-8BFC-64B0097E344A}"/>
                </c:ext>
              </c:extLst>
            </c:dLbl>
            <c:numFmt formatCode="_-* #,##0\ [$TND]_-;\-* #,##0.00\ [$TND]_-;_-* &quot;-&quot;??\ [$TND]_-;_-@_-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Analyse!$L$4:$P$4</c:f>
              <c:strCache>
                <c:ptCount val="5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Total général</c:v>
                </c:pt>
              </c:strCache>
            </c:strRef>
          </c:xVal>
          <c:yVal>
            <c:numRef>
              <c:f>Analyse!$L$5:$P$5</c:f>
              <c:numCache>
                <c:formatCode>_-* #\ ##0\ [$TND]_-;\-* #\ ##0\ [$TND]_-;_-* "-"\ [$TND]_-;_-@_-</c:formatCode>
                <c:ptCount val="5"/>
                <c:pt idx="0">
                  <c:v>2639910.3059999999</c:v>
                </c:pt>
                <c:pt idx="1">
                  <c:v>5546038.612999999</c:v>
                </c:pt>
                <c:pt idx="2">
                  <c:v>6771803.0269999988</c:v>
                </c:pt>
                <c:pt idx="3">
                  <c:v>8692284.6019999962</c:v>
                </c:pt>
                <c:pt idx="4">
                  <c:v>23650036.547999993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8C3-438F-8BFC-64B0097E3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4051567"/>
        <c:axId val="994052399"/>
      </c:scatterChart>
      <c:valAx>
        <c:axId val="994051567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4052399"/>
        <c:crosses val="autoZero"/>
        <c:crossBetween val="midCat"/>
      </c:valAx>
      <c:valAx>
        <c:axId val="994052399"/>
        <c:scaling>
          <c:orientation val="minMax"/>
        </c:scaling>
        <c:delete val="1"/>
        <c:axPos val="l"/>
        <c:numFmt formatCode="_-* #\ ##0\ [$TND]_-;\-* #\ ##0\ [$TND]_-;_-* &quot;-&quot;\ [$TND]_-;_-@_-" sourceLinked="1"/>
        <c:majorTickMark val="none"/>
        <c:minorTickMark val="none"/>
        <c:tickLblPos val="nextTo"/>
        <c:crossAx val="994051567"/>
        <c:crossesAt val="0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rgbClr val="660066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tx>
            <c:v>Rotation PF</c:v>
          </c:tx>
          <c:spPr>
            <a:solidFill>
              <a:srgbClr val="660066"/>
            </a:solidFill>
          </c:spPr>
          <c:dPt>
            <c:idx val="0"/>
            <c:bubble3D val="0"/>
            <c:spPr>
              <a:solidFill>
                <a:srgbClr val="660066">
                  <a:alpha val="2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7D-44B8-A4CF-3FCB9648798D}"/>
              </c:ext>
            </c:extLst>
          </c:dPt>
          <c:dPt>
            <c:idx val="1"/>
            <c:bubble3D val="0"/>
            <c:spPr>
              <a:solidFill>
                <a:srgbClr val="660066">
                  <a:alpha val="2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7D-44B8-A4CF-3FCB9648798D}"/>
              </c:ext>
            </c:extLst>
          </c:dPt>
          <c:dPt>
            <c:idx val="2"/>
            <c:bubble3D val="0"/>
            <c:spPr>
              <a:solidFill>
                <a:srgbClr val="660066">
                  <a:alpha val="2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7D-44B8-A4CF-3FCB9648798D}"/>
              </c:ext>
            </c:extLst>
          </c:dPt>
          <c:dPt>
            <c:idx val="3"/>
            <c:bubble3D val="0"/>
            <c:spPr>
              <a:solidFill>
                <a:srgbClr val="660066">
                  <a:alpha val="2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7D-44B8-A4CF-3FCB9648798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E7D-44B8-A4CF-3FCB9648798D}"/>
              </c:ext>
            </c:extLst>
          </c:dPt>
          <c:dPt>
            <c:idx val="5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E7D-44B8-A4CF-3FCB9648798D}"/>
              </c:ext>
            </c:extLst>
          </c:dPt>
          <c:dPt>
            <c:idx val="6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E7D-44B8-A4CF-3FCB9648798D}"/>
              </c:ext>
            </c:extLst>
          </c:dPt>
          <c:dPt>
            <c:idx val="7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E7D-44B8-A4CF-3FCB9648798D}"/>
              </c:ext>
            </c:extLst>
          </c:dPt>
          <c:dPt>
            <c:idx val="8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E7D-44B8-A4CF-3FCB9648798D}"/>
              </c:ext>
            </c:extLst>
          </c:dPt>
          <c:dPt>
            <c:idx val="9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E7D-44B8-A4CF-3FCB9648798D}"/>
              </c:ext>
            </c:extLst>
          </c:dPt>
          <c:dPt>
            <c:idx val="10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E7D-44B8-A4CF-3FCB9648798D}"/>
              </c:ext>
            </c:extLst>
          </c:dPt>
          <c:dPt>
            <c:idx val="11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0E7D-44B8-A4CF-3FCB9648798D}"/>
              </c:ext>
            </c:extLst>
          </c:dPt>
          <c:dPt>
            <c:idx val="12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0E7D-44B8-A4CF-3FCB9648798D}"/>
              </c:ext>
            </c:extLst>
          </c:dPt>
          <c:dPt>
            <c:idx val="13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0E7D-44B8-A4CF-3FCB9648798D}"/>
              </c:ext>
            </c:extLst>
          </c:dPt>
          <c:dPt>
            <c:idx val="14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0E7D-44B8-A4CF-3FCB9648798D}"/>
              </c:ext>
            </c:extLst>
          </c:dPt>
          <c:dPt>
            <c:idx val="15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0E7D-44B8-A4CF-3FCB9648798D}"/>
              </c:ext>
            </c:extLst>
          </c:dPt>
          <c:dPt>
            <c:idx val="16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0E7D-44B8-A4CF-3FCB9648798D}"/>
              </c:ext>
            </c:extLst>
          </c:dPt>
          <c:dPt>
            <c:idx val="17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0E7D-44B8-A4CF-3FCB9648798D}"/>
              </c:ext>
            </c:extLst>
          </c:dPt>
          <c:dPt>
            <c:idx val="18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0E7D-44B8-A4CF-3FCB9648798D}"/>
              </c:ext>
            </c:extLst>
          </c:dPt>
          <c:dPt>
            <c:idx val="19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0E7D-44B8-A4CF-3FCB9648798D}"/>
              </c:ext>
            </c:extLst>
          </c:dPt>
          <c:val>
            <c:numLit>
              <c:formatCode>General</c:formatCode>
              <c:ptCount val="2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28-0E7D-44B8-A4CF-3FCB96487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  <c:doughnutChart>
        <c:varyColors val="1"/>
        <c:ser>
          <c:idx val="1"/>
          <c:order val="1"/>
          <c:tx>
            <c:v>Rotation PF</c:v>
          </c:tx>
          <c:spPr>
            <a:noFill/>
            <a:ln>
              <a:noFill/>
            </a:ln>
          </c:spPr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0E7D-44B8-A4CF-3FCB9648798D}"/>
              </c:ext>
            </c:extLst>
          </c:dPt>
          <c:dPt>
            <c:idx val="1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C-0E7D-44B8-A4CF-3FCB9648798D}"/>
              </c:ext>
            </c:extLst>
          </c:dPt>
          <c:val>
            <c:numRef>
              <c:f>Analyse!$C$100:$D$100</c:f>
              <c:numCache>
                <c:formatCode>0.0</c:formatCode>
                <c:ptCount val="2"/>
                <c:pt idx="0" formatCode="0.00">
                  <c:v>-0.21883219695305178</c:v>
                </c:pt>
                <c:pt idx="1">
                  <c:v>1.1181213857411716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0E7D-44B8-A4CF-3FCB96487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rgbClr val="660066"/>
      </a:solidFill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tx>
            <c:v>Taux de Remplissage</c:v>
          </c:tx>
          <c:spPr>
            <a:solidFill>
              <a:srgbClr val="660066"/>
            </a:solidFill>
          </c:spPr>
          <c:dPt>
            <c:idx val="0"/>
            <c:bubble3D val="0"/>
            <c:spPr>
              <a:solidFill>
                <a:srgbClr val="660066">
                  <a:alpha val="2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F18-4261-B90C-4AB83DD1E98D}"/>
              </c:ext>
            </c:extLst>
          </c:dPt>
          <c:dPt>
            <c:idx val="1"/>
            <c:bubble3D val="0"/>
            <c:spPr>
              <a:solidFill>
                <a:srgbClr val="660066">
                  <a:alpha val="2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F18-4261-B90C-4AB83DD1E98D}"/>
              </c:ext>
            </c:extLst>
          </c:dPt>
          <c:dPt>
            <c:idx val="2"/>
            <c:bubble3D val="0"/>
            <c:spPr>
              <a:solidFill>
                <a:srgbClr val="660066">
                  <a:alpha val="2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F18-4261-B90C-4AB83DD1E98D}"/>
              </c:ext>
            </c:extLst>
          </c:dPt>
          <c:dPt>
            <c:idx val="3"/>
            <c:bubble3D val="0"/>
            <c:spPr>
              <a:solidFill>
                <a:srgbClr val="660066">
                  <a:alpha val="2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F18-4261-B90C-4AB83DD1E98D}"/>
              </c:ext>
            </c:extLst>
          </c:dPt>
          <c:dPt>
            <c:idx val="4"/>
            <c:bubble3D val="0"/>
            <c:spPr>
              <a:solidFill>
                <a:srgbClr val="660066">
                  <a:alpha val="2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F18-4261-B90C-4AB83DD1E98D}"/>
              </c:ext>
            </c:extLst>
          </c:dPt>
          <c:dPt>
            <c:idx val="5"/>
            <c:bubble3D val="0"/>
            <c:spPr>
              <a:solidFill>
                <a:srgbClr val="660066">
                  <a:alpha val="2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F18-4261-B90C-4AB83DD1E98D}"/>
              </c:ext>
            </c:extLst>
          </c:dPt>
          <c:dPt>
            <c:idx val="6"/>
            <c:bubble3D val="0"/>
            <c:spPr>
              <a:solidFill>
                <a:srgbClr val="660066">
                  <a:alpha val="2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F18-4261-B90C-4AB83DD1E98D}"/>
              </c:ext>
            </c:extLst>
          </c:dPt>
          <c:dPt>
            <c:idx val="7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F18-4261-B90C-4AB83DD1E98D}"/>
              </c:ext>
            </c:extLst>
          </c:dPt>
          <c:dPt>
            <c:idx val="8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F18-4261-B90C-4AB83DD1E98D}"/>
              </c:ext>
            </c:extLst>
          </c:dPt>
          <c:dPt>
            <c:idx val="9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F18-4261-B90C-4AB83DD1E98D}"/>
              </c:ext>
            </c:extLst>
          </c:dPt>
          <c:dPt>
            <c:idx val="10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F18-4261-B90C-4AB83DD1E98D}"/>
              </c:ext>
            </c:extLst>
          </c:dPt>
          <c:dPt>
            <c:idx val="11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EF18-4261-B90C-4AB83DD1E98D}"/>
              </c:ext>
            </c:extLst>
          </c:dPt>
          <c:dPt>
            <c:idx val="12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EF18-4261-B90C-4AB83DD1E98D}"/>
              </c:ext>
            </c:extLst>
          </c:dPt>
          <c:dPt>
            <c:idx val="13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EF18-4261-B90C-4AB83DD1E98D}"/>
              </c:ext>
            </c:extLst>
          </c:dPt>
          <c:dPt>
            <c:idx val="14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EF18-4261-B90C-4AB83DD1E98D}"/>
              </c:ext>
            </c:extLst>
          </c:dPt>
          <c:dPt>
            <c:idx val="15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EF18-4261-B90C-4AB83DD1E98D}"/>
              </c:ext>
            </c:extLst>
          </c:dPt>
          <c:dPt>
            <c:idx val="16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EF18-4261-B90C-4AB83DD1E98D}"/>
              </c:ext>
            </c:extLst>
          </c:dPt>
          <c:dPt>
            <c:idx val="17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EF18-4261-B90C-4AB83DD1E98D}"/>
              </c:ext>
            </c:extLst>
          </c:dPt>
          <c:dPt>
            <c:idx val="18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EF18-4261-B90C-4AB83DD1E98D}"/>
              </c:ext>
            </c:extLst>
          </c:dPt>
          <c:dPt>
            <c:idx val="19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EF18-4261-B90C-4AB83DD1E98D}"/>
              </c:ext>
            </c:extLst>
          </c:dPt>
          <c:val>
            <c:numLit>
              <c:formatCode>General</c:formatCode>
              <c:ptCount val="2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28-EF18-4261-B90C-4AB83DD1E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  <c:doughnutChart>
        <c:varyColors val="1"/>
        <c:ser>
          <c:idx val="1"/>
          <c:order val="1"/>
          <c:tx>
            <c:v>Taux de Remplissage Magasin</c:v>
          </c:tx>
          <c:spPr>
            <a:noFill/>
          </c:spPr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EF18-4261-B90C-4AB83DD1E98D}"/>
              </c:ext>
            </c:extLst>
          </c:dPt>
          <c:dPt>
            <c:idx val="1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EF18-4261-B90C-4AB83DD1E98D}"/>
              </c:ext>
            </c:extLst>
          </c:dPt>
          <c:val>
            <c:numRef>
              <c:f>Analyse!$C$108:$D$108</c:f>
              <c:numCache>
                <c:formatCode>0%</c:formatCode>
                <c:ptCount val="2"/>
                <c:pt idx="0">
                  <c:v>0.31769578313253022</c:v>
                </c:pt>
                <c:pt idx="1">
                  <c:v>0.5319556798623063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EF18-4261-B90C-4AB83DD1E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rgbClr val="660066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tx>
            <c:v>Retour Client</c:v>
          </c:tx>
          <c:spPr>
            <a:solidFill>
              <a:srgbClr val="660066"/>
            </a:solidFill>
          </c:spPr>
          <c:dPt>
            <c:idx val="0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38D-456A-8AA1-8F9210CAEF1B}"/>
              </c:ext>
            </c:extLst>
          </c:dPt>
          <c:dPt>
            <c:idx val="1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38D-456A-8AA1-8F9210CAEF1B}"/>
              </c:ext>
            </c:extLst>
          </c:dPt>
          <c:dPt>
            <c:idx val="2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38D-456A-8AA1-8F9210CAEF1B}"/>
              </c:ext>
            </c:extLst>
          </c:dPt>
          <c:dPt>
            <c:idx val="3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38D-456A-8AA1-8F9210CAEF1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38D-456A-8AA1-8F9210CAEF1B}"/>
              </c:ext>
            </c:extLst>
          </c:dPt>
          <c:dPt>
            <c:idx val="5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38D-456A-8AA1-8F9210CAEF1B}"/>
              </c:ext>
            </c:extLst>
          </c:dPt>
          <c:dPt>
            <c:idx val="6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38D-456A-8AA1-8F9210CAEF1B}"/>
              </c:ext>
            </c:extLst>
          </c:dPt>
          <c:dPt>
            <c:idx val="7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38D-456A-8AA1-8F9210CAEF1B}"/>
              </c:ext>
            </c:extLst>
          </c:dPt>
          <c:dPt>
            <c:idx val="8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38D-456A-8AA1-8F9210CAEF1B}"/>
              </c:ext>
            </c:extLst>
          </c:dPt>
          <c:dPt>
            <c:idx val="9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38D-456A-8AA1-8F9210CAEF1B}"/>
              </c:ext>
            </c:extLst>
          </c:dPt>
          <c:dPt>
            <c:idx val="10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38D-456A-8AA1-8F9210CAEF1B}"/>
              </c:ext>
            </c:extLst>
          </c:dPt>
          <c:dPt>
            <c:idx val="11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38D-456A-8AA1-8F9210CAEF1B}"/>
              </c:ext>
            </c:extLst>
          </c:dPt>
          <c:dPt>
            <c:idx val="12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38D-456A-8AA1-8F9210CAEF1B}"/>
              </c:ext>
            </c:extLst>
          </c:dPt>
          <c:dPt>
            <c:idx val="13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A38D-456A-8AA1-8F9210CAEF1B}"/>
              </c:ext>
            </c:extLst>
          </c:dPt>
          <c:dPt>
            <c:idx val="14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A38D-456A-8AA1-8F9210CAEF1B}"/>
              </c:ext>
            </c:extLst>
          </c:dPt>
          <c:dPt>
            <c:idx val="15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A38D-456A-8AA1-8F9210CAEF1B}"/>
              </c:ext>
            </c:extLst>
          </c:dPt>
          <c:dPt>
            <c:idx val="16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A38D-456A-8AA1-8F9210CAEF1B}"/>
              </c:ext>
            </c:extLst>
          </c:dPt>
          <c:dPt>
            <c:idx val="17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A38D-456A-8AA1-8F9210CAEF1B}"/>
              </c:ext>
            </c:extLst>
          </c:dPt>
          <c:dPt>
            <c:idx val="18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A38D-456A-8AA1-8F9210CAEF1B}"/>
              </c:ext>
            </c:extLst>
          </c:dPt>
          <c:dPt>
            <c:idx val="19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A38D-456A-8AA1-8F9210CAEF1B}"/>
              </c:ext>
            </c:extLst>
          </c:dPt>
          <c:dPt>
            <c:idx val="20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A38D-456A-8AA1-8F9210CAEF1B}"/>
              </c:ext>
            </c:extLst>
          </c:dPt>
          <c:dPt>
            <c:idx val="21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A38D-456A-8AA1-8F9210CAEF1B}"/>
              </c:ext>
            </c:extLst>
          </c:dPt>
          <c:dPt>
            <c:idx val="22"/>
            <c:bubble3D val="0"/>
            <c:spPr>
              <a:solidFill>
                <a:srgbClr val="660066"/>
              </a:solidFill>
              <a:ln w="63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A38D-456A-8AA1-8F9210CAEF1B}"/>
              </c:ext>
            </c:extLst>
          </c:dPt>
          <c:dPt>
            <c:idx val="23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A38D-456A-8AA1-8F9210CAEF1B}"/>
              </c:ext>
            </c:extLst>
          </c:dPt>
          <c:dPt>
            <c:idx val="24"/>
            <c:bubble3D val="0"/>
            <c:spPr>
              <a:solidFill>
                <a:srgbClr val="660066"/>
              </a:solidFill>
              <a:ln w="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A38D-456A-8AA1-8F9210CAEF1B}"/>
              </c:ext>
            </c:extLst>
          </c:dPt>
          <c:dPt>
            <c:idx val="25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A38D-456A-8AA1-8F9210CAEF1B}"/>
              </c:ext>
            </c:extLst>
          </c:dPt>
          <c:dPt>
            <c:idx val="26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A38D-456A-8AA1-8F9210CAEF1B}"/>
              </c:ext>
            </c:extLst>
          </c:dPt>
          <c:dPt>
            <c:idx val="27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A38D-456A-8AA1-8F9210CAEF1B}"/>
              </c:ext>
            </c:extLst>
          </c:dPt>
          <c:dPt>
            <c:idx val="28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A38D-456A-8AA1-8F9210CAEF1B}"/>
              </c:ext>
            </c:extLst>
          </c:dPt>
          <c:dPt>
            <c:idx val="29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A38D-456A-8AA1-8F9210CAEF1B}"/>
              </c:ext>
            </c:extLst>
          </c:dPt>
          <c:dPt>
            <c:idx val="30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A38D-456A-8AA1-8F9210CAEF1B}"/>
              </c:ext>
            </c:extLst>
          </c:dPt>
          <c:dPt>
            <c:idx val="31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A38D-456A-8AA1-8F9210CAEF1B}"/>
              </c:ext>
            </c:extLst>
          </c:dPt>
          <c:dPt>
            <c:idx val="32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1-A38D-456A-8AA1-8F9210CAEF1B}"/>
              </c:ext>
            </c:extLst>
          </c:dPt>
          <c:dPt>
            <c:idx val="33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3-A38D-456A-8AA1-8F9210CAEF1B}"/>
              </c:ext>
            </c:extLst>
          </c:dPt>
          <c:dPt>
            <c:idx val="34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5-A38D-456A-8AA1-8F9210CAEF1B}"/>
              </c:ext>
            </c:extLst>
          </c:dPt>
          <c:dPt>
            <c:idx val="35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7-A38D-456A-8AA1-8F9210CAEF1B}"/>
              </c:ext>
            </c:extLst>
          </c:dPt>
          <c:dPt>
            <c:idx val="36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9-A38D-456A-8AA1-8F9210CAEF1B}"/>
              </c:ext>
            </c:extLst>
          </c:dPt>
          <c:dPt>
            <c:idx val="37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B-A38D-456A-8AA1-8F9210CAEF1B}"/>
              </c:ext>
            </c:extLst>
          </c:dPt>
          <c:dPt>
            <c:idx val="38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D-A38D-456A-8AA1-8F9210CAEF1B}"/>
              </c:ext>
            </c:extLst>
          </c:dPt>
          <c:dPt>
            <c:idx val="39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F-A38D-456A-8AA1-8F9210CAEF1B}"/>
              </c:ext>
            </c:extLst>
          </c:dPt>
          <c:dPt>
            <c:idx val="40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1-A38D-456A-8AA1-8F9210CAEF1B}"/>
              </c:ext>
            </c:extLst>
          </c:dPt>
          <c:dPt>
            <c:idx val="41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3-A38D-456A-8AA1-8F9210CAEF1B}"/>
              </c:ext>
            </c:extLst>
          </c:dPt>
          <c:dPt>
            <c:idx val="42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5-A38D-456A-8AA1-8F9210CAEF1B}"/>
              </c:ext>
            </c:extLst>
          </c:dPt>
          <c:dPt>
            <c:idx val="43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7-A38D-456A-8AA1-8F9210CAEF1B}"/>
              </c:ext>
            </c:extLst>
          </c:dPt>
          <c:dPt>
            <c:idx val="44"/>
            <c:bubble3D val="0"/>
            <c:spPr>
              <a:solidFill>
                <a:srgbClr val="660066">
                  <a:alpha val="2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9-A38D-456A-8AA1-8F9210CAEF1B}"/>
              </c:ext>
            </c:extLst>
          </c:dPt>
          <c:val>
            <c:numLit>
              <c:formatCode>General</c:formatCode>
              <c:ptCount val="45"/>
              <c:pt idx="0">
                <c:v>0</c:v>
              </c:pt>
              <c:pt idx="1">
                <c:v>2</c:v>
              </c:pt>
              <c:pt idx="2">
                <c:v>2</c:v>
              </c:pt>
              <c:pt idx="3">
                <c:v>0</c:v>
              </c:pt>
              <c:pt idx="4">
                <c:v>2</c:v>
              </c:pt>
              <c:pt idx="5">
                <c:v>0</c:v>
              </c:pt>
              <c:pt idx="6">
                <c:v>2</c:v>
              </c:pt>
              <c:pt idx="7">
                <c:v>0</c:v>
              </c:pt>
              <c:pt idx="8">
                <c:v>2</c:v>
              </c:pt>
              <c:pt idx="9">
                <c:v>0</c:v>
              </c:pt>
              <c:pt idx="10">
                <c:v>2</c:v>
              </c:pt>
              <c:pt idx="11">
                <c:v>2</c:v>
              </c:pt>
              <c:pt idx="12">
                <c:v>0</c:v>
              </c:pt>
              <c:pt idx="13">
                <c:v>2</c:v>
              </c:pt>
              <c:pt idx="14">
                <c:v>0</c:v>
              </c:pt>
              <c:pt idx="15">
                <c:v>2</c:v>
              </c:pt>
              <c:pt idx="16">
                <c:v>0</c:v>
              </c:pt>
              <c:pt idx="17">
                <c:v>2</c:v>
              </c:pt>
              <c:pt idx="18">
                <c:v>0</c:v>
              </c:pt>
              <c:pt idx="19">
                <c:v>2</c:v>
              </c:pt>
              <c:pt idx="20">
                <c:v>2</c:v>
              </c:pt>
              <c:pt idx="21">
                <c:v>0</c:v>
              </c:pt>
              <c:pt idx="22">
                <c:v>2</c:v>
              </c:pt>
              <c:pt idx="23">
                <c:v>0</c:v>
              </c:pt>
              <c:pt idx="24">
                <c:v>2</c:v>
              </c:pt>
              <c:pt idx="25">
                <c:v>0</c:v>
              </c:pt>
              <c:pt idx="26">
                <c:v>2</c:v>
              </c:pt>
              <c:pt idx="27">
                <c:v>0</c:v>
              </c:pt>
              <c:pt idx="28">
                <c:v>2</c:v>
              </c:pt>
              <c:pt idx="29">
                <c:v>2</c:v>
              </c:pt>
              <c:pt idx="30">
                <c:v>0</c:v>
              </c:pt>
              <c:pt idx="31">
                <c:v>2</c:v>
              </c:pt>
              <c:pt idx="32">
                <c:v>0</c:v>
              </c:pt>
              <c:pt idx="33">
                <c:v>2</c:v>
              </c:pt>
              <c:pt idx="34">
                <c:v>0</c:v>
              </c:pt>
              <c:pt idx="35">
                <c:v>2</c:v>
              </c:pt>
              <c:pt idx="36">
                <c:v>0</c:v>
              </c:pt>
              <c:pt idx="37">
                <c:v>2</c:v>
              </c:pt>
              <c:pt idx="38">
                <c:v>2</c:v>
              </c:pt>
              <c:pt idx="39">
                <c:v>0</c:v>
              </c:pt>
              <c:pt idx="40">
                <c:v>2</c:v>
              </c:pt>
              <c:pt idx="41">
                <c:v>0</c:v>
              </c:pt>
              <c:pt idx="42">
                <c:v>2</c:v>
              </c:pt>
              <c:pt idx="43">
                <c:v>0</c:v>
              </c:pt>
              <c:pt idx="4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5A-A38D-456A-8AA1-8F9210CAE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  <c:doughnutChart>
        <c:varyColors val="1"/>
        <c:ser>
          <c:idx val="1"/>
          <c:order val="1"/>
          <c:tx>
            <c:v>Retour Client</c:v>
          </c:tx>
          <c:spPr>
            <a:noFill/>
          </c:spPr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C-A38D-456A-8AA1-8F9210CAEF1B}"/>
              </c:ext>
            </c:extLst>
          </c:dPt>
          <c:dPt>
            <c:idx val="1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E-A38D-456A-8AA1-8F9210CAEF1B}"/>
              </c:ext>
            </c:extLst>
          </c:dPt>
          <c:val>
            <c:numRef>
              <c:f>Analyse!$G$119:$H$119</c:f>
              <c:numCache>
                <c:formatCode>0.0%</c:formatCode>
                <c:ptCount val="2"/>
                <c:pt idx="0" formatCode="0.00%">
                  <c:v>0.99574964111324205</c:v>
                </c:pt>
                <c:pt idx="1">
                  <c:v>4.2503588867579961E-3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F-A38D-456A-8AA1-8F9210CAE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rgbClr val="660066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93650793650796"/>
          <c:y val="0.13305555555555557"/>
          <c:w val="0.7641269841269841"/>
          <c:h val="0.7641269841269841"/>
        </c:manualLayout>
      </c:layout>
      <c:doughnutChart>
        <c:varyColors val="1"/>
        <c:ser>
          <c:idx val="0"/>
          <c:order val="0"/>
          <c:tx>
            <c:v>Couverture de Stock</c:v>
          </c:tx>
          <c:spPr>
            <a:solidFill>
              <a:srgbClr val="660066"/>
            </a:solidFill>
          </c:spPr>
          <c:dPt>
            <c:idx val="0"/>
            <c:bubble3D val="0"/>
            <c:spPr>
              <a:solidFill>
                <a:srgbClr val="660066">
                  <a:alpha val="2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1F7-459A-810B-B06DEDBD6AA1}"/>
              </c:ext>
            </c:extLst>
          </c:dPt>
          <c:dPt>
            <c:idx val="1"/>
            <c:bubble3D val="0"/>
            <c:spPr>
              <a:solidFill>
                <a:srgbClr val="660066">
                  <a:alpha val="2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1F7-459A-810B-B06DEDBD6AA1}"/>
              </c:ext>
            </c:extLst>
          </c:dPt>
          <c:dPt>
            <c:idx val="2"/>
            <c:bubble3D val="0"/>
            <c:spPr>
              <a:solidFill>
                <a:srgbClr val="660066">
                  <a:alpha val="2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1F7-459A-810B-B06DEDBD6AA1}"/>
              </c:ext>
            </c:extLst>
          </c:dPt>
          <c:dPt>
            <c:idx val="3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1F7-459A-810B-B06DEDBD6AA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1F7-459A-810B-B06DEDBD6AA1}"/>
              </c:ext>
            </c:extLst>
          </c:dPt>
          <c:dPt>
            <c:idx val="5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1F7-459A-810B-B06DEDBD6AA1}"/>
              </c:ext>
            </c:extLst>
          </c:dPt>
          <c:dPt>
            <c:idx val="6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1F7-459A-810B-B06DEDBD6AA1}"/>
              </c:ext>
            </c:extLst>
          </c:dPt>
          <c:dPt>
            <c:idx val="7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1F7-459A-810B-B06DEDBD6AA1}"/>
              </c:ext>
            </c:extLst>
          </c:dPt>
          <c:dPt>
            <c:idx val="8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1F7-459A-810B-B06DEDBD6AA1}"/>
              </c:ext>
            </c:extLst>
          </c:dPt>
          <c:dPt>
            <c:idx val="9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1F7-459A-810B-B06DEDBD6AA1}"/>
              </c:ext>
            </c:extLst>
          </c:dPt>
          <c:dPt>
            <c:idx val="10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51F7-459A-810B-B06DEDBD6AA1}"/>
              </c:ext>
            </c:extLst>
          </c:dPt>
          <c:dPt>
            <c:idx val="11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51F7-459A-810B-B06DEDBD6AA1}"/>
              </c:ext>
            </c:extLst>
          </c:dPt>
          <c:dPt>
            <c:idx val="12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51F7-459A-810B-B06DEDBD6AA1}"/>
              </c:ext>
            </c:extLst>
          </c:dPt>
          <c:dPt>
            <c:idx val="13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51F7-459A-810B-B06DEDBD6AA1}"/>
              </c:ext>
            </c:extLst>
          </c:dPt>
          <c:dPt>
            <c:idx val="14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51F7-459A-810B-B06DEDBD6AA1}"/>
              </c:ext>
            </c:extLst>
          </c:dPt>
          <c:dPt>
            <c:idx val="15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51F7-459A-810B-B06DEDBD6AA1}"/>
              </c:ext>
            </c:extLst>
          </c:dPt>
          <c:dPt>
            <c:idx val="16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51F7-459A-810B-B06DEDBD6AA1}"/>
              </c:ext>
            </c:extLst>
          </c:dPt>
          <c:dPt>
            <c:idx val="17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51F7-459A-810B-B06DEDBD6AA1}"/>
              </c:ext>
            </c:extLst>
          </c:dPt>
          <c:dPt>
            <c:idx val="18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51F7-459A-810B-B06DEDBD6AA1}"/>
              </c:ext>
            </c:extLst>
          </c:dPt>
          <c:dPt>
            <c:idx val="19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51F7-459A-810B-B06DEDBD6AA1}"/>
              </c:ext>
            </c:extLst>
          </c:dPt>
          <c:val>
            <c:numLit>
              <c:formatCode>General</c:formatCode>
              <c:ptCount val="2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28-51F7-459A-810B-B06DEDBD6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  <c:doughnutChart>
        <c:varyColors val="1"/>
        <c:ser>
          <c:idx val="1"/>
          <c:order val="1"/>
          <c:tx>
            <c:v>Couverture de Stock</c:v>
          </c:tx>
          <c:spPr>
            <a:noFill/>
          </c:spPr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51F7-459A-810B-B06DEDBD6AA1}"/>
              </c:ext>
            </c:extLst>
          </c:dPt>
          <c:dPt>
            <c:idx val="1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51F7-459A-810B-B06DEDBD6AA1}"/>
              </c:ext>
            </c:extLst>
          </c:dPt>
          <c:val>
            <c:numRef>
              <c:f>Analyse!$C$19:$D$19</c:f>
              <c:numCache>
                <c:formatCode>0%</c:formatCode>
                <c:ptCount val="2"/>
                <c:pt idx="0">
                  <c:v>0.16750976728501721</c:v>
                </c:pt>
                <c:pt idx="1">
                  <c:v>0.83249023271498279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51F7-459A-810B-B06DEDBD6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rgbClr val="660066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447506561679787E-2"/>
          <c:y val="5.6746864975211433E-2"/>
          <c:w val="0.92899693788276461"/>
          <c:h val="0.84974044911052782"/>
        </c:manualLayout>
      </c:layout>
      <c:barChart>
        <c:barDir val="col"/>
        <c:grouping val="clustered"/>
        <c:varyColors val="0"/>
        <c:ser>
          <c:idx val="0"/>
          <c:order val="0"/>
          <c:tx>
            <c:v>Prévision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'Réalisation Vs PIC Prod'!$F$18:$Q$18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'Réalisation Vs PIC Prod'!$F$12:$Q$12</c:f>
              <c:numCache>
                <c:formatCode>#,##0</c:formatCode>
                <c:ptCount val="12"/>
                <c:pt idx="0">
                  <c:v>5223833.4832041059</c:v>
                </c:pt>
                <c:pt idx="1">
                  <c:v>8868101.0503778737</c:v>
                </c:pt>
                <c:pt idx="2">
                  <c:v>24787308.708637681</c:v>
                </c:pt>
                <c:pt idx="3">
                  <c:v>25922908.629641093</c:v>
                </c:pt>
                <c:pt idx="4">
                  <c:v>16013786.65091682</c:v>
                </c:pt>
                <c:pt idx="5">
                  <c:v>26946566.684341334</c:v>
                </c:pt>
                <c:pt idx="6">
                  <c:v>18675344.608031109</c:v>
                </c:pt>
                <c:pt idx="7">
                  <c:v>14348128.628529023</c:v>
                </c:pt>
                <c:pt idx="8">
                  <c:v>16734407.842180256</c:v>
                </c:pt>
                <c:pt idx="9">
                  <c:v>13876576.579989692</c:v>
                </c:pt>
                <c:pt idx="10">
                  <c:v>7320752.3797199745</c:v>
                </c:pt>
                <c:pt idx="11">
                  <c:v>5300341.0883247238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61-43CF-9AF2-E3D9389AD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082958976"/>
        <c:axId val="2082955232"/>
      </c:barChart>
      <c:scatterChart>
        <c:scatterStyle val="smoothMarker"/>
        <c:varyColors val="0"/>
        <c:ser>
          <c:idx val="1"/>
          <c:order val="1"/>
          <c:tx>
            <c:v>Tendence Réalisation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strRef>
              <c:f>'Réalisation Vs PIC Prod'!$F$18:$Q$18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xVal>
          <c:yVal>
            <c:numRef>
              <c:f>'Réalisation Vs PIC Prod'!$F$14:$Q$14</c:f>
              <c:numCache>
                <c:formatCode>_-* #\ ##0\ _€_-;\-* #\ ##0\ _€_-;_-* "-"\ _€_-;_-@_-</c:formatCode>
                <c:ptCount val="12"/>
                <c:pt idx="0">
                  <c:v>4051840</c:v>
                </c:pt>
                <c:pt idx="1">
                  <c:v>5312889</c:v>
                </c:pt>
                <c:pt idx="2">
                  <c:v>8007796</c:v>
                </c:pt>
                <c:pt idx="3">
                  <c:v>12704208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361-43CF-9AF2-E3D9389AD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2958976"/>
        <c:axId val="2082955232"/>
      </c:scatterChart>
      <c:catAx>
        <c:axId val="208295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82955232"/>
        <c:crosses val="autoZero"/>
        <c:auto val="1"/>
        <c:lblAlgn val="ctr"/>
        <c:lblOffset val="100"/>
        <c:noMultiLvlLbl val="0"/>
      </c:catAx>
      <c:valAx>
        <c:axId val="208295523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082958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accent5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Prévision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'Réalisation Vs PIC Liv'!$F$20:$Q$20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'Réalisation Vs PIC Liv'!$F$14:$Q$14</c:f>
              <c:numCache>
                <c:formatCode>#,##0</c:formatCode>
                <c:ptCount val="12"/>
                <c:pt idx="0">
                  <c:v>3579252.1299103517</c:v>
                </c:pt>
                <c:pt idx="1">
                  <c:v>7915236.3218563944</c:v>
                </c:pt>
                <c:pt idx="2">
                  <c:v>24377066.703925237</c:v>
                </c:pt>
                <c:pt idx="3">
                  <c:v>24448850.369298168</c:v>
                </c:pt>
                <c:pt idx="4">
                  <c:v>14999343.973682195</c:v>
                </c:pt>
                <c:pt idx="5">
                  <c:v>25824601.610407446</c:v>
                </c:pt>
                <c:pt idx="6">
                  <c:v>18072369.769069359</c:v>
                </c:pt>
                <c:pt idx="7">
                  <c:v>13294775.610059828</c:v>
                </c:pt>
                <c:pt idx="8">
                  <c:v>16529445.734541466</c:v>
                </c:pt>
                <c:pt idx="9">
                  <c:v>13508987.265412213</c:v>
                </c:pt>
                <c:pt idx="10">
                  <c:v>6684997.2435975708</c:v>
                </c:pt>
                <c:pt idx="11">
                  <c:v>4692209.1447331086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23-442B-B0DE-8D2C6012F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11592000"/>
        <c:axId val="111594496"/>
      </c:barChart>
      <c:scatterChart>
        <c:scatterStyle val="smoothMarker"/>
        <c:varyColors val="0"/>
        <c:ser>
          <c:idx val="1"/>
          <c:order val="1"/>
          <c:tx>
            <c:v>Tendence Réalisation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strRef>
              <c:f>'Réalisation Vs PIC Liv'!$F$20:$Q$20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xVal>
          <c:yVal>
            <c:numRef>
              <c:f>'Réalisation Vs PIC Liv'!$F$16:$Q$16</c:f>
              <c:numCache>
                <c:formatCode>_-* #\ ##0\ _€_-;\-* #\ ##0\ _€_-;_-* "-"\ _€_-;_-@_-</c:formatCode>
                <c:ptCount val="12"/>
                <c:pt idx="0">
                  <c:v>2709224</c:v>
                </c:pt>
                <c:pt idx="1">
                  <c:v>4497133</c:v>
                </c:pt>
                <c:pt idx="2">
                  <c:v>5615390</c:v>
                </c:pt>
                <c:pt idx="3">
                  <c:v>10329275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B23-442B-B0DE-8D2C6012F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592000"/>
        <c:axId val="111594496"/>
      </c:scatterChart>
      <c:catAx>
        <c:axId val="11159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594496"/>
        <c:crosses val="autoZero"/>
        <c:auto val="1"/>
        <c:lblAlgn val="ctr"/>
        <c:lblOffset val="100"/>
        <c:noMultiLvlLbl val="0"/>
      </c:catAx>
      <c:valAx>
        <c:axId val="11159449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11592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accent5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sng" strike="noStrike" kern="1200" spc="0" baseline="0">
                <a:solidFill>
                  <a:srgbClr val="660066"/>
                </a:solidFill>
                <a:latin typeface="+mn-lt"/>
                <a:ea typeface="+mn-ea"/>
                <a:cs typeface="+mn-cs"/>
              </a:defRPr>
            </a:pPr>
            <a:r>
              <a:rPr lang="fr-FR" u="sng">
                <a:solidFill>
                  <a:srgbClr val="660066"/>
                </a:solidFill>
              </a:rPr>
              <a:t>Tendence</a:t>
            </a:r>
            <a:r>
              <a:rPr lang="fr-FR" u="sng" baseline="0">
                <a:solidFill>
                  <a:srgbClr val="660066"/>
                </a:solidFill>
              </a:rPr>
              <a:t> CA 2022 Vs 2021</a:t>
            </a:r>
            <a:endParaRPr lang="fr-FR" u="sng">
              <a:solidFill>
                <a:srgbClr val="660066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sng" strike="noStrike" kern="1200" spc="0" baseline="0">
              <a:solidFill>
                <a:srgbClr val="660066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'[4]Tendence CA'!$B$17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66006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82055967683499E-3"/>
                  <c:y val="-5.6603786522470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91-47F4-AD97-70DB7BF76659}"/>
                </c:ext>
              </c:extLst>
            </c:dLbl>
            <c:dLbl>
              <c:idx val="1"/>
              <c:layout>
                <c:manualLayout>
                  <c:x val="0"/>
                  <c:y val="-5.6603786522470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91-47F4-AD97-70DB7BF7665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660066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'[4]Tendence CA'!$E$23:$H$23</c:f>
              <c:strCache>
                <c:ptCount val="4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</c:strCache>
            </c:strRef>
          </c:cat>
          <c:val>
            <c:numRef>
              <c:f>'[4]Tendence CA'!$E$17:$P$17</c:f>
              <c:numCache>
                <c:formatCode>General</c:formatCode>
                <c:ptCount val="12"/>
                <c:pt idx="0">
                  <c:v>1269262.1970000004</c:v>
                </c:pt>
                <c:pt idx="1">
                  <c:v>3786617.4949999992</c:v>
                </c:pt>
                <c:pt idx="2">
                  <c:v>11399981.828999959</c:v>
                </c:pt>
                <c:pt idx="3">
                  <c:v>13315882.34599996</c:v>
                </c:pt>
                <c:pt idx="4">
                  <c:v>10839908.285999982</c:v>
                </c:pt>
                <c:pt idx="5">
                  <c:v>12229900.964000002</c:v>
                </c:pt>
                <c:pt idx="6">
                  <c:v>12213586.967999987</c:v>
                </c:pt>
                <c:pt idx="7">
                  <c:v>12300170.909000007</c:v>
                </c:pt>
                <c:pt idx="8">
                  <c:v>16573166.747000005</c:v>
                </c:pt>
                <c:pt idx="9">
                  <c:v>8225999.9770000018</c:v>
                </c:pt>
                <c:pt idx="10">
                  <c:v>8040186.6080000019</c:v>
                </c:pt>
                <c:pt idx="11">
                  <c:v>5496266.8250000011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91-47F4-AD97-70DB7BF76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356432"/>
        <c:axId val="84355184"/>
      </c:barChart>
      <c:scatterChart>
        <c:scatterStyle val="smoothMarker"/>
        <c:varyColors val="0"/>
        <c:ser>
          <c:idx val="1"/>
          <c:order val="1"/>
          <c:tx>
            <c:strRef>
              <c:f>'[4]Tendence CA'!$B$19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66CC"/>
              </a:solidFill>
              <a:round/>
              <a:headEnd type="oval" w="sm" len="sm"/>
              <a:tailEnd type="stealth" w="med" len="lg"/>
            </a:ln>
            <a:effectLst/>
          </c:spPr>
          <c:marker>
            <c:symbol val="none"/>
          </c:marker>
          <c:yVal>
            <c:numRef>
              <c:f>'[4]Tendence CA'!$E$19:$H$19</c:f>
              <c:numCache>
                <c:formatCode>General</c:formatCode>
                <c:ptCount val="4"/>
                <c:pt idx="0">
                  <c:v>2639910.3059999999</c:v>
                </c:pt>
                <c:pt idx="1">
                  <c:v>5546038.612999999</c:v>
                </c:pt>
                <c:pt idx="2">
                  <c:v>6771803.0269999988</c:v>
                </c:pt>
                <c:pt idx="3">
                  <c:v>8692284.6019999962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491-47F4-AD97-70DB7BF76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358096"/>
        <c:axId val="84357264"/>
      </c:scatterChart>
      <c:catAx>
        <c:axId val="8435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660066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355184"/>
        <c:crosses val="autoZero"/>
        <c:auto val="1"/>
        <c:lblAlgn val="ctr"/>
        <c:lblOffset val="100"/>
        <c:noMultiLvlLbl val="0"/>
      </c:catAx>
      <c:valAx>
        <c:axId val="843551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4356432"/>
        <c:crosses val="autoZero"/>
        <c:crossBetween val="between"/>
      </c:valAx>
      <c:valAx>
        <c:axId val="84357264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84358096"/>
        <c:crosses val="max"/>
        <c:crossBetween val="midCat"/>
      </c:valAx>
      <c:valAx>
        <c:axId val="84358096"/>
        <c:scaling>
          <c:orientation val="minMax"/>
        </c:scaling>
        <c:delete val="1"/>
        <c:axPos val="b"/>
        <c:majorTickMark val="none"/>
        <c:minorTickMark val="none"/>
        <c:tickLblPos val="nextTo"/>
        <c:crossAx val="843572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660066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baseline="0">
                <a:ln w="0"/>
                <a:solidFill>
                  <a:schemeClr val="accent2">
                    <a:lumMod val="75000"/>
                  </a:schemeClr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 b="0" cap="none" spc="0">
                <a:ln w="0"/>
                <a:solidFill>
                  <a:schemeClr val="accent2">
                    <a:lumMod val="75000"/>
                  </a:schemeClr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Taux de Couverture Moyenne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8EA-4C05-B7EA-6E596770B8A6}"/>
              </c:ext>
            </c:extLst>
          </c:dPt>
          <c:dPt>
            <c:idx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8EA-4C05-B7EA-6E596770B8A6}"/>
              </c:ext>
            </c:extLst>
          </c:dPt>
          <c:dLbls>
            <c:dLbl>
              <c:idx val="0"/>
              <c:layout>
                <c:manualLayout>
                  <c:x val="-8.4613960445319727E-2"/>
                  <c:y val="-0.17294934857134381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overflow" horzOverflow="overflow" wrap="square" lIns="0" tIns="0" rIns="0" bIns="0" anchor="ctr" anchorCtr="1">
                  <a:spAutoFit/>
                </a:bodyPr>
                <a:lstStyle/>
                <a:p>
                  <a:pPr>
                    <a:defRPr sz="2000" b="1" i="0" u="none" strike="noStrike" kern="1200" baseline="0">
                      <a:solidFill>
                        <a:schemeClr val="accent2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D8EA-4C05-B7EA-6E596770B8A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EA-4C05-B7EA-6E596770B8A6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overflow" horzOverflow="overflow" wrap="square" lIns="0" tIns="0" rIns="0" bIns="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'[5]Suivi Couverture de Stock Fer'!$T$13:$T$15</c:f>
              <c:numCache>
                <c:formatCode>General</c:formatCode>
                <c:ptCount val="3"/>
                <c:pt idx="0">
                  <c:v>0.83962364530282385</c:v>
                </c:pt>
              </c:numCache>
            </c:numRef>
          </c:cat>
          <c:val>
            <c:numRef>
              <c:f>('[5]Suivi Couverture de Stock Fer'!$E$15,'[5]Suivi Couverture de Stock Fer'!$E$17)</c:f>
              <c:numCache>
                <c:formatCode>General</c:formatCode>
                <c:ptCount val="2"/>
                <c:pt idx="0">
                  <c:v>0.83962364530282385</c:v>
                </c:pt>
                <c:pt idx="1">
                  <c:v>0.16037635469717615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EA-4C05-B7EA-6E596770B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9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4">
          <a:lumMod val="50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Secteur 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'[5]Suivi Couverture de Stock Fer'!$G$17:$R$17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'[5]Suivi Couverture de Stock Fer'!$G$20:$R$20</c:f>
              <c:numCache>
                <c:formatCode>General</c:formatCode>
                <c:ptCount val="12"/>
                <c:pt idx="0">
                  <c:v>0.87251423460425315</c:v>
                </c:pt>
                <c:pt idx="1">
                  <c:v>0.86885405998875653</c:v>
                </c:pt>
                <c:pt idx="2">
                  <c:v>0.82809245656123676</c:v>
                </c:pt>
                <c:pt idx="3">
                  <c:v>0.80663783163505653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80-4C8F-B76C-A2026A57035F}"/>
            </c:ext>
          </c:extLst>
        </c:ser>
        <c:ser>
          <c:idx val="1"/>
          <c:order val="1"/>
          <c:tx>
            <c:v>Secteur 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'[5]Suivi Couverture de Stock Fer'!$G$17:$R$17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'[5]Suivi Couverture de Stock Fer'!$G$50:$R$50</c:f>
              <c:numCache>
                <c:formatCode>General</c:formatCode>
                <c:ptCount val="12"/>
                <c:pt idx="0">
                  <c:v>0.93213776054674991</c:v>
                </c:pt>
                <c:pt idx="1">
                  <c:v>0.86851129481236955</c:v>
                </c:pt>
                <c:pt idx="2">
                  <c:v>0.76539656187491389</c:v>
                </c:pt>
                <c:pt idx="3">
                  <c:v>0.7177776616965259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80-4C8F-B76C-A2026A570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17097520"/>
        <c:axId val="1"/>
      </c:barChart>
      <c:catAx>
        <c:axId val="211709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70975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2">
          <a:lumMod val="50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sng" strike="noStrike" kern="1200" spc="0" baseline="0">
                <a:solidFill>
                  <a:schemeClr val="accent5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u="sng">
                <a:solidFill>
                  <a:schemeClr val="accent5">
                    <a:lumMod val="50000"/>
                  </a:schemeClr>
                </a:solidFill>
              </a:rPr>
              <a:t>Durée Moyenne de Stockage MP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sng" strike="noStrike" kern="1200" spc="0" baseline="0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Alimentaire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21-4967-8715-55D2E7708D8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21-4967-8715-55D2E7708D8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21-4967-8715-55D2E7708D8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21-4967-8715-55D2E7708D8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21-4967-8715-55D2E7708D8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21-4967-8715-55D2E7708D8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F21-4967-8715-55D2E7708D8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F21-4967-8715-55D2E7708D8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>
                        <a:lumMod val="20000"/>
                        <a:lumOff val="8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'[6]Durée Moy.de Stockage Fer Nu'!$E$20:$P$20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'[6]Durée Moy.de Stockage Fer Nu'!$E$22:$P$22</c:f>
              <c:numCache>
                <c:formatCode>General</c:formatCode>
                <c:ptCount val="12"/>
                <c:pt idx="0">
                  <c:v>49.139291686971525</c:v>
                </c:pt>
                <c:pt idx="1">
                  <c:v>28.489869211085701</c:v>
                </c:pt>
                <c:pt idx="2">
                  <c:v>32.25892543524224</c:v>
                </c:pt>
                <c:pt idx="3">
                  <c:v>32.289792672477802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F21-4967-8715-55D2E7708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8957071"/>
        <c:axId val="288970799"/>
      </c:barChart>
      <c:scatterChart>
        <c:scatterStyle val="smoothMarker"/>
        <c:varyColors val="0"/>
        <c:ser>
          <c:idx val="1"/>
          <c:order val="1"/>
          <c:tx>
            <c:v>Industriel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'[6]Durée Moy.de Stockage Fer Nu'!$E$20:$P$20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xVal>
          <c:yVal>
            <c:numRef>
              <c:f>'[6]Durée Moy.de Stockage Fer Nu'!$E$53:$P$53</c:f>
              <c:numCache>
                <c:formatCode>General</c:formatCode>
                <c:ptCount val="12"/>
                <c:pt idx="0">
                  <c:v>60.900106389826796</c:v>
                </c:pt>
                <c:pt idx="1">
                  <c:v>28.694546361788721</c:v>
                </c:pt>
                <c:pt idx="2">
                  <c:v>32.992700322434246</c:v>
                </c:pt>
                <c:pt idx="3">
                  <c:v>31.142086869266347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FF21-4967-8715-55D2E7708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1737007"/>
        <c:axId val="1581734095"/>
      </c:scatterChart>
      <c:catAx>
        <c:axId val="288957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8970799"/>
        <c:crosses val="autoZero"/>
        <c:auto val="1"/>
        <c:lblAlgn val="ctr"/>
        <c:lblOffset val="100"/>
        <c:noMultiLvlLbl val="0"/>
      </c:catAx>
      <c:valAx>
        <c:axId val="2889707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8957071"/>
        <c:crosses val="autoZero"/>
        <c:crossBetween val="between"/>
      </c:valAx>
      <c:valAx>
        <c:axId val="1581734095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81737007"/>
        <c:crosses val="max"/>
        <c:crossBetween val="midCat"/>
      </c:valAx>
      <c:valAx>
        <c:axId val="1581737007"/>
        <c:scaling>
          <c:orientation val="minMax"/>
        </c:scaling>
        <c:delete val="1"/>
        <c:axPos val="t"/>
        <c:majorTickMark val="out"/>
        <c:minorTickMark val="none"/>
        <c:tickLblPos val="nextTo"/>
        <c:crossAx val="1581734095"/>
        <c:crosses val="max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accent5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sng" strike="noStrike" kern="1200" spc="0" baseline="0">
                <a:solidFill>
                  <a:srgbClr val="660066"/>
                </a:solidFill>
                <a:latin typeface="+mn-lt"/>
                <a:ea typeface="+mn-ea"/>
                <a:cs typeface="+mn-cs"/>
              </a:defRPr>
            </a:pPr>
            <a:r>
              <a:rPr lang="en-US" u="sng">
                <a:solidFill>
                  <a:srgbClr val="660066"/>
                </a:solidFill>
              </a:rPr>
              <a:t>Evolution</a:t>
            </a:r>
            <a:r>
              <a:rPr lang="en-US" u="sng" baseline="0">
                <a:solidFill>
                  <a:srgbClr val="660066"/>
                </a:solidFill>
              </a:rPr>
              <a:t> CA Par Secteur</a:t>
            </a:r>
            <a:endParaRPr lang="en-US" u="sng">
              <a:solidFill>
                <a:srgbClr val="660066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doughnutChart>
        <c:varyColors val="1"/>
        <c:ser>
          <c:idx val="0"/>
          <c:order val="0"/>
          <c:tx>
            <c:strRef>
              <c:f>Analyse!$I$4</c:f>
              <c:strCache>
                <c:ptCount val="1"/>
                <c:pt idx="0">
                  <c:v>CA</c:v>
                </c:pt>
              </c:strCache>
            </c:strRef>
          </c:tx>
          <c:explosion val="6"/>
          <c:dPt>
            <c:idx val="0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BF-462C-871B-CBA4DD957C13}"/>
              </c:ext>
            </c:extLst>
          </c:dPt>
          <c:dPt>
            <c:idx val="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BF-462C-871B-CBA4DD957C13}"/>
              </c:ext>
            </c:extLst>
          </c:dPt>
          <c:dPt>
            <c:idx val="2"/>
            <c:bubble3D val="0"/>
            <c:spPr>
              <a:solidFill>
                <a:srgbClr val="CC9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BF-462C-871B-CBA4DD957C1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BF-462C-871B-CBA4DD957C13}"/>
              </c:ext>
            </c:extLst>
          </c:dPt>
          <c:dPt>
            <c:idx val="4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ABF-462C-871B-CBA4DD957C1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ABF-462C-871B-CBA4DD957C13}"/>
              </c:ext>
            </c:extLst>
          </c:dPt>
          <c:dLbls>
            <c:dLbl>
              <c:idx val="0"/>
              <c:layout>
                <c:manualLayout>
                  <c:x val="0.17848610057059336"/>
                  <c:y val="-0.115740740740740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BF-462C-871B-CBA4DD957C13}"/>
                </c:ext>
              </c:extLst>
            </c:dLbl>
            <c:dLbl>
              <c:idx val="1"/>
              <c:layout>
                <c:manualLayout>
                  <c:x val="-0.17423643150938881"/>
                  <c:y val="8.79629629629629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BF-462C-871B-CBA4DD957C13}"/>
                </c:ext>
              </c:extLst>
            </c:dLbl>
            <c:dLbl>
              <c:idx val="2"/>
              <c:layout>
                <c:manualLayout>
                  <c:x val="-0.17423643150938875"/>
                  <c:y val="-0.1018518518518518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BF-462C-871B-CBA4DD957C13}"/>
                </c:ext>
              </c:extLst>
            </c:dLbl>
            <c:dLbl>
              <c:idx val="3"/>
              <c:layout>
                <c:manualLayout>
                  <c:x val="-0.12324040277493351"/>
                  <c:y val="-0.1342592592592592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BF-462C-871B-CBA4DD957C13}"/>
                </c:ext>
              </c:extLst>
            </c:dLbl>
            <c:dLbl>
              <c:idx val="4"/>
              <c:layout>
                <c:manualLayout>
                  <c:x val="-2.9747683428432228E-2"/>
                  <c:y val="-0.138888888888888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ABF-462C-871B-CBA4DD957C13}"/>
                </c:ext>
              </c:extLst>
            </c:dLbl>
            <c:dLbl>
              <c:idx val="5"/>
              <c:layout>
                <c:manualLayout>
                  <c:x val="9.774238840770573E-2"/>
                  <c:y val="-0.1296296296296296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ABF-462C-871B-CBA4DD957C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96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Analyse!$H$5:$H$10</c:f>
              <c:strCache>
                <c:ptCount val="6"/>
                <c:pt idx="0">
                  <c:v>Alimentaire</c:v>
                </c:pt>
                <c:pt idx="1">
                  <c:v>Industriel</c:v>
                </c:pt>
                <c:pt idx="2">
                  <c:v>Thon</c:v>
                </c:pt>
                <c:pt idx="3">
                  <c:v>Chamia</c:v>
                </c:pt>
                <c:pt idx="4">
                  <c:v>Passager</c:v>
                </c:pt>
                <c:pt idx="5">
                  <c:v>Huile</c:v>
                </c:pt>
              </c:strCache>
            </c:strRef>
          </c:cat>
          <c:val>
            <c:numRef>
              <c:f>Analyse!$I$5:$I$10</c:f>
              <c:numCache>
                <c:formatCode>_-* #\ ##0\ [$TND]_-;\-* #\ ##0\ [$TND]_-;_-* "-"\ [$TND]_-;_-@_-</c:formatCode>
                <c:ptCount val="6"/>
                <c:pt idx="0">
                  <c:v>10615804.764999993</c:v>
                </c:pt>
                <c:pt idx="1">
                  <c:v>7590329.6030000001</c:v>
                </c:pt>
                <c:pt idx="2">
                  <c:v>3786230.5419999994</c:v>
                </c:pt>
                <c:pt idx="3">
                  <c:v>1469127.21</c:v>
                </c:pt>
                <c:pt idx="4">
                  <c:v>126454.12</c:v>
                </c:pt>
                <c:pt idx="5">
                  <c:v>62090.308000000005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ABF-462C-871B-CBA4DD957C1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rgbClr val="660066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sng" strike="noStrike" kern="1200" spc="0" baseline="0">
                <a:solidFill>
                  <a:schemeClr val="accent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u="sng">
                <a:solidFill>
                  <a:schemeClr val="accent2">
                    <a:lumMod val="50000"/>
                  </a:schemeClr>
                </a:solidFill>
              </a:rPr>
              <a:t>Rotation des Stock MP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sng" strike="noStrike" kern="1200" spc="0" baseline="0">
              <a:solidFill>
                <a:schemeClr val="accent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Alimentaire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09-4568-8CE9-767FBD4BBD0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09-4568-8CE9-767FBD4BBD0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09-4568-8CE9-767FBD4BBD0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09-4568-8CE9-767FBD4BBD0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09-4568-8CE9-767FBD4BBD0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09-4568-8CE9-767FBD4BBD0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09-4568-8CE9-767FBD4BBD0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09-4568-8CE9-767FBD4BBD0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b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>
                        <a:lumMod val="40000"/>
                        <a:lumOff val="6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'[6]Suivi Rotation de Stock Fer Nu'!$G$22:$R$22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'[6]Suivi Rotation de Stock Fer Nu'!$G$25:$R$25</c:f>
              <c:numCache>
                <c:formatCode>General</c:formatCode>
                <c:ptCount val="12"/>
                <c:pt idx="0">
                  <c:v>0.63085972417911629</c:v>
                </c:pt>
                <c:pt idx="1">
                  <c:v>0.98280549456172694</c:v>
                </c:pt>
                <c:pt idx="2">
                  <c:v>0.96097435304317702</c:v>
                </c:pt>
                <c:pt idx="3">
                  <c:v>0.92908617606487442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309-4568-8CE9-767FBD4BB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625423"/>
        <c:axId val="483625839"/>
      </c:barChart>
      <c:scatterChart>
        <c:scatterStyle val="smoothMarker"/>
        <c:varyColors val="0"/>
        <c:ser>
          <c:idx val="1"/>
          <c:order val="1"/>
          <c:tx>
            <c:v>Industriel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'[6]Suivi Rotation de Stock Fer Nu'!$G$22:$R$22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xVal>
          <c:yVal>
            <c:numRef>
              <c:f>'[6]Suivi Rotation de Stock Fer Nu'!$G$55:$R$55</c:f>
              <c:numCache>
                <c:formatCode>General</c:formatCode>
                <c:ptCount val="12"/>
                <c:pt idx="0">
                  <c:v>0.50903030943109273</c:v>
                </c:pt>
                <c:pt idx="1">
                  <c:v>0.97579517888062461</c:v>
                </c:pt>
                <c:pt idx="2">
                  <c:v>0.93960178151652363</c:v>
                </c:pt>
                <c:pt idx="3">
                  <c:v>0.96332657878514061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B309-4568-8CE9-767FBD4BB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223519"/>
        <c:axId val="432222687"/>
      </c:scatterChart>
      <c:catAx>
        <c:axId val="483625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3625839"/>
        <c:crosses val="autoZero"/>
        <c:auto val="1"/>
        <c:lblAlgn val="ctr"/>
        <c:lblOffset val="100"/>
        <c:noMultiLvlLbl val="0"/>
      </c:catAx>
      <c:valAx>
        <c:axId val="4836258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83625423"/>
        <c:crosses val="autoZero"/>
        <c:crossBetween val="between"/>
      </c:valAx>
      <c:valAx>
        <c:axId val="432222687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432223519"/>
        <c:crosses val="max"/>
        <c:crossBetween val="midCat"/>
      </c:valAx>
      <c:valAx>
        <c:axId val="432223519"/>
        <c:scaling>
          <c:orientation val="minMax"/>
        </c:scaling>
        <c:delete val="1"/>
        <c:axPos val="t"/>
        <c:majorTickMark val="out"/>
        <c:minorTickMark val="none"/>
        <c:tickLblPos val="nextTo"/>
        <c:crossAx val="432222687"/>
        <c:crosses val="max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accent2">
          <a:lumMod val="50000"/>
        </a:schemeClr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v>Dépot PF2</c:v>
          </c:tx>
          <c:spPr>
            <a:solidFill>
              <a:schemeClr val="accent2"/>
            </a:solidFill>
          </c:spPr>
          <c:explosion val="18"/>
          <c:dPt>
            <c:idx val="7"/>
            <c:bubble3D val="0"/>
            <c:explosion val="21"/>
            <c:extLst>
              <c:ext xmlns:c16="http://schemas.microsoft.com/office/drawing/2014/chart" uri="{C3380CC4-5D6E-409C-BE32-E72D297353CC}">
                <c16:uniqueId val="{00000013-B54E-4560-A99D-C44B32BDDF94}"/>
              </c:ext>
            </c:extLst>
          </c:dPt>
          <c:dPt>
            <c:idx val="17"/>
            <c:bubble3D val="0"/>
            <c:spPr>
              <a:solidFill>
                <a:schemeClr val="accent2">
                  <a:alpha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B54E-4560-A99D-C44B32BDDF94}"/>
              </c:ext>
            </c:extLst>
          </c:dPt>
          <c:dPt>
            <c:idx val="18"/>
            <c:bubble3D val="0"/>
            <c:spPr>
              <a:solidFill>
                <a:schemeClr val="accent2">
                  <a:alpha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B54E-4560-A99D-C44B32BDDF94}"/>
              </c:ext>
            </c:extLst>
          </c:dPt>
          <c:dPt>
            <c:idx val="19"/>
            <c:bubble3D val="0"/>
            <c:spPr>
              <a:solidFill>
                <a:schemeClr val="accent2">
                  <a:alpha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B54E-4560-A99D-C44B32BDDF94}"/>
              </c:ext>
            </c:extLst>
          </c:dPt>
          <c:dPt>
            <c:idx val="20"/>
            <c:bubble3D val="0"/>
            <c:spPr>
              <a:solidFill>
                <a:schemeClr val="accent2">
                  <a:alpha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B54E-4560-A99D-C44B32BDDF94}"/>
              </c:ext>
            </c:extLst>
          </c:dPt>
          <c:dPt>
            <c:idx val="21"/>
            <c:bubble3D val="0"/>
            <c:spPr>
              <a:solidFill>
                <a:schemeClr val="accent2">
                  <a:alpha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B54E-4560-A99D-C44B32BDDF94}"/>
              </c:ext>
            </c:extLst>
          </c:dPt>
          <c:dPt>
            <c:idx val="22"/>
            <c:bubble3D val="0"/>
            <c:spPr>
              <a:solidFill>
                <a:schemeClr val="accent2">
                  <a:alpha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B54E-4560-A99D-C44B32BDDF94}"/>
              </c:ext>
            </c:extLst>
          </c:dPt>
          <c:dPt>
            <c:idx val="23"/>
            <c:bubble3D val="0"/>
            <c:spPr>
              <a:solidFill>
                <a:schemeClr val="accent2">
                  <a:alpha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B54E-4560-A99D-C44B32BDDF94}"/>
              </c:ext>
            </c:extLst>
          </c:dPt>
          <c:dPt>
            <c:idx val="24"/>
            <c:bubble3D val="0"/>
            <c:spPr>
              <a:solidFill>
                <a:schemeClr val="accent2">
                  <a:alpha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B54E-4560-A99D-C44B32BDDF94}"/>
              </c:ext>
            </c:extLst>
          </c:dPt>
          <c:val>
            <c:numLit>
              <c:formatCode>General</c:formatCode>
              <c:ptCount val="25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  <c:pt idx="21">
                <c:v>1</c:v>
              </c:pt>
              <c:pt idx="22">
                <c:v>1</c:v>
              </c:pt>
              <c:pt idx="23">
                <c:v>1</c:v>
              </c:pt>
              <c:pt idx="2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54E-4560-A99D-C44B32BDD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7"/>
      </c:doughnutChart>
      <c:doughnutChart>
        <c:varyColors val="1"/>
        <c:ser>
          <c:idx val="1"/>
          <c:order val="1"/>
          <c:tx>
            <c:v>Dépôt PF1</c:v>
          </c:tx>
          <c:spPr>
            <a:solidFill>
              <a:schemeClr val="accent2"/>
            </a:solidFill>
          </c:spPr>
          <c:dPt>
            <c:idx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9-B54E-4560-A99D-C44B32BDDF94}"/>
              </c:ext>
            </c:extLst>
          </c:dPt>
          <c:dPt>
            <c:idx val="1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8-B54E-4560-A99D-C44B32BDDF94}"/>
              </c:ext>
            </c:extLst>
          </c:dPt>
          <c:dLbls>
            <c:dLbl>
              <c:idx val="0"/>
              <c:layout>
                <c:manualLayout>
                  <c:x val="-0.25588055555555556"/>
                  <c:y val="-6.28278496349715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4E-4560-A99D-C44B32BDDF9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'Taux de Remplissage Magasin PF'!$S$16:$T$16</c:f>
              <c:numCache>
                <c:formatCode>0%</c:formatCode>
                <c:ptCount val="2"/>
                <c:pt idx="0">
                  <c:v>0.68230421686746989</c:v>
                </c:pt>
                <c:pt idx="1">
                  <c:v>0.31769578313253011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54E-4560-A99D-C44B32BDD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4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rgbClr val="660066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v>Dépot PF2</c:v>
          </c:tx>
          <c:spPr>
            <a:solidFill>
              <a:srgbClr val="7030A0"/>
            </a:solidFill>
          </c:spPr>
          <c:explosion val="21"/>
          <c:val>
            <c:numLit>
              <c:formatCode>General</c:formatCode>
              <c:ptCount val="25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  <c:pt idx="21">
                <c:v>1</c:v>
              </c:pt>
              <c:pt idx="22">
                <c:v>1</c:v>
              </c:pt>
              <c:pt idx="23">
                <c:v>1</c:v>
              </c:pt>
              <c:pt idx="2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2E0-4BD5-969F-9D362FF1F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doughnutChart>
        <c:varyColors val="1"/>
        <c:ser>
          <c:idx val="1"/>
          <c:order val="1"/>
          <c:tx>
            <c:v>Dépot PF2</c:v>
          </c:tx>
          <c:dPt>
            <c:idx val="0"/>
            <c:bubble3D val="0"/>
            <c:explosion val="2"/>
            <c:spPr>
              <a:noFill/>
            </c:spPr>
            <c:extLst>
              <c:ext xmlns:c16="http://schemas.microsoft.com/office/drawing/2014/chart" uri="{C3380CC4-5D6E-409C-BE32-E72D297353CC}">
                <c16:uniqueId val="{00000002-D2E0-4BD5-969F-9D362FF1F697}"/>
              </c:ext>
            </c:extLst>
          </c:dPt>
          <c:dPt>
            <c:idx val="1"/>
            <c:bubble3D val="0"/>
            <c:spPr>
              <a:solidFill>
                <a:schemeClr val="bg1">
                  <a:lumMod val="95000"/>
                  <a:alpha val="7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D2E0-4BD5-969F-9D362FF1F697}"/>
              </c:ext>
            </c:extLst>
          </c:dPt>
          <c:dLbls>
            <c:dLbl>
              <c:idx val="0"/>
              <c:layout>
                <c:manualLayout>
                  <c:x val="-0.35941704035874439"/>
                  <c:y val="2.946257120452454E-2"/>
                </c:manualLayout>
              </c:layout>
              <c:tx>
                <c:rich>
                  <a:bodyPr vertOverflow="clip" horzOverflow="clip" wrap="square" lIns="38100" tIns="19050" rIns="38100" bIns="19050" anchor="ctr">
                    <a:noAutofit/>
                  </a:bodyPr>
                  <a:lstStyle/>
                  <a:p>
                    <a:pPr>
                      <a:defRPr sz="1000" b="1">
                        <a:solidFill>
                          <a:srgbClr val="660066"/>
                        </a:solidFill>
                      </a:defRPr>
                    </a:pPr>
                    <a:fld id="{6437C8E2-100A-4C33-8254-5D1B5E4E2605}" type="PERCENTAGE">
                      <a:rPr lang="en-US" sz="1200" b="1"/>
                      <a:pPr>
                        <a:defRPr sz="1000" b="1">
                          <a:solidFill>
                            <a:srgbClr val="660066"/>
                          </a:solidFill>
                        </a:defRPr>
                      </a:pPr>
                      <a:t>[POURCENTAGE]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823868933978597"/>
                      <c:h val="0.1273318563962735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D2E0-4BD5-969F-9D362FF1F6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'Taux de Remplissage Magasin PF'!$S$45:$T$45</c:f>
              <c:numCache>
                <c:formatCode>0%</c:formatCode>
                <c:ptCount val="2"/>
                <c:pt idx="0">
                  <c:v>0.38160714285714287</c:v>
                </c:pt>
                <c:pt idx="1">
                  <c:v>0.61839285714285719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2E0-4BD5-969F-9D362FF1F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7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rgbClr val="660066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sng" strike="noStrike" kern="1200" spc="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u="sng">
                <a:solidFill>
                  <a:schemeClr val="accent1">
                    <a:lumMod val="50000"/>
                  </a:schemeClr>
                </a:solidFill>
              </a:rPr>
              <a:t>Rotation de Stocks PF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sng" strike="noStrike" kern="1200" spc="0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Industrile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2F-4B19-9CB9-D1A4EA631F0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2F-4B19-9CB9-D1A4EA631F0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2F-4B19-9CB9-D1A4EA631F0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2F-4B19-9CB9-D1A4EA631F0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2F-4B19-9CB9-D1A4EA631F0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2F-4B19-9CB9-D1A4EA631F08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A2F-4B19-9CB9-D1A4EA631F08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A2F-4B19-9CB9-D1A4EA631F08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'[7]Taux de Rotation des Stocks PF'!$H$19:$S$19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'[7]Taux de Rotation des Stocks PF'!$H$76:$S$76</c:f>
              <c:numCache>
                <c:formatCode>General</c:formatCode>
                <c:ptCount val="12"/>
                <c:pt idx="0">
                  <c:v>1.0313065976714102</c:v>
                </c:pt>
                <c:pt idx="1">
                  <c:v>1.0505002382086708</c:v>
                </c:pt>
                <c:pt idx="2">
                  <c:v>0.99841017488076311</c:v>
                </c:pt>
                <c:pt idx="3">
                  <c:v>0.98942528735632185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2F-4B19-9CB9-D1A4EA631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851200"/>
        <c:axId val="967847456"/>
      </c:barChart>
      <c:scatterChart>
        <c:scatterStyle val="smoothMarker"/>
        <c:varyColors val="0"/>
        <c:ser>
          <c:idx val="0"/>
          <c:order val="0"/>
          <c:tx>
            <c:v>Alimentaire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'[7]Taux de Rotation des Stocks PF'!$H$19:$S$19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xVal>
          <c:yVal>
            <c:numRef>
              <c:f>'[7]Taux de Rotation des Stocks PF'!$H$22:$S$22</c:f>
              <c:numCache>
                <c:formatCode>General</c:formatCode>
                <c:ptCount val="12"/>
                <c:pt idx="0">
                  <c:v>1.118125</c:v>
                </c:pt>
                <c:pt idx="1">
                  <c:v>1.1404203472433749</c:v>
                </c:pt>
                <c:pt idx="2">
                  <c:v>1.2486687965921193</c:v>
                </c:pt>
                <c:pt idx="3">
                  <c:v>1.3681146439767129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4A2F-4B19-9CB9-D1A4EA631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069871"/>
        <c:axId val="474084847"/>
      </c:scatterChart>
      <c:catAx>
        <c:axId val="96785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67847456"/>
        <c:crosses val="autoZero"/>
        <c:auto val="1"/>
        <c:lblAlgn val="ctr"/>
        <c:lblOffset val="100"/>
        <c:noMultiLvlLbl val="0"/>
      </c:catAx>
      <c:valAx>
        <c:axId val="9678474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67851200"/>
        <c:crosses val="autoZero"/>
        <c:crossBetween val="between"/>
      </c:valAx>
      <c:valAx>
        <c:axId val="474084847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4069871"/>
        <c:crosses val="max"/>
        <c:crossBetween val="midCat"/>
      </c:valAx>
      <c:valAx>
        <c:axId val="474069871"/>
        <c:scaling>
          <c:orientation val="minMax"/>
        </c:scaling>
        <c:delete val="0"/>
        <c:axPos val="t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4084847"/>
        <c:crosses val="max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accent1">
          <a:lumMod val="75000"/>
        </a:schemeClr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kumimoji="0" lang="fr-FR" sz="1400" b="0" i="0" u="sng" strike="noStrike" kern="1200" cap="none" spc="0" normalizeH="0" baseline="0" noProof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</a:rPr>
              <a:t>Durée Moyenne de Stockage PF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Alimentaire</c:v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>
                        <a:lumMod val="20000"/>
                        <a:lumOff val="8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'[7]Durée Moyenne de Stockage PF'!$F$21:$Q$21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'[7]Durée Moyenne de Stockage PF'!$F$23:$Q$23</c:f>
              <c:numCache>
                <c:formatCode>General</c:formatCode>
                <c:ptCount val="12"/>
                <c:pt idx="0">
                  <c:v>27.724986025712688</c:v>
                </c:pt>
                <c:pt idx="1">
                  <c:v>24.552350427350429</c:v>
                </c:pt>
                <c:pt idx="2">
                  <c:v>24.826439232409381</c:v>
                </c:pt>
                <c:pt idx="3">
                  <c:v>21.927986906710313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62-496F-AAA7-391785D6E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329928367"/>
        <c:axId val="1329930031"/>
      </c:barChart>
      <c:scatterChart>
        <c:scatterStyle val="smoothMarker"/>
        <c:varyColors val="0"/>
        <c:ser>
          <c:idx val="1"/>
          <c:order val="1"/>
          <c:tx>
            <c:v>Industriel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'[7]Durée Moyenne de Stockage PF'!$F$21:$Q$21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xVal>
          <c:yVal>
            <c:numRef>
              <c:f>'[7]Durée Moyenne de Stockage PF'!$F$78:$Q$78</c:f>
              <c:numCache>
                <c:formatCode>General</c:formatCode>
                <c:ptCount val="12"/>
                <c:pt idx="0">
                  <c:v>30.058956347215251</c:v>
                </c:pt>
                <c:pt idx="1">
                  <c:v>26.653968253968255</c:v>
                </c:pt>
                <c:pt idx="2">
                  <c:v>31.04936305732484</c:v>
                </c:pt>
                <c:pt idx="3">
                  <c:v>30.320631970260223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562-496F-AAA7-391785D6E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0959807"/>
        <c:axId val="1300960223"/>
      </c:scatterChart>
      <c:catAx>
        <c:axId val="1329928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9930031"/>
        <c:crosses val="autoZero"/>
        <c:auto val="1"/>
        <c:lblAlgn val="ctr"/>
        <c:lblOffset val="100"/>
        <c:noMultiLvlLbl val="0"/>
      </c:catAx>
      <c:valAx>
        <c:axId val="132993003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329928367"/>
        <c:crosses val="autoZero"/>
        <c:crossBetween val="between"/>
      </c:valAx>
      <c:valAx>
        <c:axId val="1300960223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00959807"/>
        <c:crosses val="max"/>
        <c:crossBetween val="midCat"/>
      </c:valAx>
      <c:valAx>
        <c:axId val="1300959807"/>
        <c:scaling>
          <c:orientation val="minMax"/>
        </c:scaling>
        <c:delete val="1"/>
        <c:axPos val="t"/>
        <c:majorTickMark val="out"/>
        <c:minorTickMark val="none"/>
        <c:tickLblPos val="nextTo"/>
        <c:crossAx val="1300960223"/>
        <c:crosses val="max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6">
          <a:lumMod val="50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[TBD CCE.2022.xlsx]Analyse!PIC Vs Prod</c:name>
    <c:fmtId val="30"/>
  </c:pivotSource>
  <c:chart>
    <c:autoTitleDeleted val="1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rgbClr val="CC99FF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ln w="28575" cap="rnd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rgbClr val="00B05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radarChart>
        <c:radarStyle val="marker"/>
        <c:varyColors val="0"/>
        <c:ser>
          <c:idx val="0"/>
          <c:order val="0"/>
          <c:tx>
            <c:strRef>
              <c:f>Analyse!$B$55:$B$56</c:f>
              <c:strCache>
                <c:ptCount val="1"/>
                <c:pt idx="0">
                  <c:v>Janvier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Analyse!$A$57:$A$62</c:f>
              <c:strCache>
                <c:ptCount val="5"/>
                <c:pt idx="0">
                  <c:v>Alimentaire</c:v>
                </c:pt>
                <c:pt idx="1">
                  <c:v>Chamia</c:v>
                </c:pt>
                <c:pt idx="2">
                  <c:v>Huile</c:v>
                </c:pt>
                <c:pt idx="3">
                  <c:v>Industriel</c:v>
                </c:pt>
                <c:pt idx="4">
                  <c:v>Thon</c:v>
                </c:pt>
              </c:strCache>
            </c:strRef>
          </c:cat>
          <c:val>
            <c:numRef>
              <c:f>Analyse!$B$57:$B$62</c:f>
              <c:numCache>
                <c:formatCode>0%</c:formatCode>
                <c:ptCount val="5"/>
                <c:pt idx="0">
                  <c:v>0.37600267557817052</c:v>
                </c:pt>
                <c:pt idx="1">
                  <c:v>1</c:v>
                </c:pt>
                <c:pt idx="2">
                  <c:v>1</c:v>
                </c:pt>
                <c:pt idx="3">
                  <c:v>0.40693104169206823</c:v>
                </c:pt>
                <c:pt idx="4">
                  <c:v>0.78972382322442924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B-4253-90DA-7BD238435552}"/>
            </c:ext>
          </c:extLst>
        </c:ser>
        <c:ser>
          <c:idx val="1"/>
          <c:order val="1"/>
          <c:tx>
            <c:strRef>
              <c:f>Analyse!$C$55:$C$56</c:f>
              <c:strCache>
                <c:ptCount val="1"/>
                <c:pt idx="0">
                  <c:v>Février</c:v>
                </c:pt>
              </c:strCache>
            </c:strRef>
          </c:tx>
          <c:spPr>
            <a:ln w="28575" cap="rnd">
              <a:solidFill>
                <a:srgbClr val="CC99FF"/>
              </a:solidFill>
              <a:round/>
            </a:ln>
            <a:effectLst/>
          </c:spPr>
          <c:marker>
            <c:symbol val="none"/>
          </c:marker>
          <c:cat>
            <c:strRef>
              <c:f>Analyse!$A$57:$A$62</c:f>
              <c:strCache>
                <c:ptCount val="5"/>
                <c:pt idx="0">
                  <c:v>Alimentaire</c:v>
                </c:pt>
                <c:pt idx="1">
                  <c:v>Chamia</c:v>
                </c:pt>
                <c:pt idx="2">
                  <c:v>Huile</c:v>
                </c:pt>
                <c:pt idx="3">
                  <c:v>Industriel</c:v>
                </c:pt>
                <c:pt idx="4">
                  <c:v>Thon</c:v>
                </c:pt>
              </c:strCache>
            </c:strRef>
          </c:cat>
          <c:val>
            <c:numRef>
              <c:f>Analyse!$C$57:$C$62</c:f>
              <c:numCache>
                <c:formatCode>0%</c:formatCode>
                <c:ptCount val="5"/>
                <c:pt idx="0">
                  <c:v>0.11794437996776497</c:v>
                </c:pt>
                <c:pt idx="1">
                  <c:v>1</c:v>
                </c:pt>
                <c:pt idx="2">
                  <c:v>0.94964150325741015</c:v>
                </c:pt>
                <c:pt idx="3">
                  <c:v>0.5750090096858046</c:v>
                </c:pt>
                <c:pt idx="4">
                  <c:v>0.91184385910576471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E-F0D5-456E-BB51-7EE3A5F98EE1}"/>
            </c:ext>
          </c:extLst>
        </c:ser>
        <c:ser>
          <c:idx val="2"/>
          <c:order val="2"/>
          <c:tx>
            <c:strRef>
              <c:f>Analyse!$D$55:$D$56</c:f>
              <c:strCache>
                <c:ptCount val="1"/>
                <c:pt idx="0">
                  <c:v>Mars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Analyse!$A$57:$A$62</c:f>
              <c:strCache>
                <c:ptCount val="5"/>
                <c:pt idx="0">
                  <c:v>Alimentaire</c:v>
                </c:pt>
                <c:pt idx="1">
                  <c:v>Chamia</c:v>
                </c:pt>
                <c:pt idx="2">
                  <c:v>Huile</c:v>
                </c:pt>
                <c:pt idx="3">
                  <c:v>Industriel</c:v>
                </c:pt>
                <c:pt idx="4">
                  <c:v>Thon</c:v>
                </c:pt>
              </c:strCache>
            </c:strRef>
          </c:cat>
          <c:val>
            <c:numRef>
              <c:f>Analyse!$D$57:$D$62</c:f>
              <c:numCache>
                <c:formatCode>0%</c:formatCode>
                <c:ptCount val="5"/>
                <c:pt idx="0">
                  <c:v>0.28183796995369825</c:v>
                </c:pt>
                <c:pt idx="1">
                  <c:v>8.9462288036555482E-2</c:v>
                </c:pt>
                <c:pt idx="2">
                  <c:v>0.92061521800466295</c:v>
                </c:pt>
                <c:pt idx="3">
                  <c:v>1</c:v>
                </c:pt>
                <c:pt idx="4">
                  <c:v>0.36008397199999381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F-F0D5-456E-BB51-7EE3A5F98EE1}"/>
            </c:ext>
          </c:extLst>
        </c:ser>
        <c:ser>
          <c:idx val="3"/>
          <c:order val="3"/>
          <c:tx>
            <c:strRef>
              <c:f>Analyse!$E$55:$E$56</c:f>
              <c:strCache>
                <c:ptCount val="1"/>
                <c:pt idx="0">
                  <c:v>Avril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Analyse!$A$57:$A$62</c:f>
              <c:strCache>
                <c:ptCount val="5"/>
                <c:pt idx="0">
                  <c:v>Alimentaire</c:v>
                </c:pt>
                <c:pt idx="1">
                  <c:v>Chamia</c:v>
                </c:pt>
                <c:pt idx="2">
                  <c:v>Huile</c:v>
                </c:pt>
                <c:pt idx="3">
                  <c:v>Industriel</c:v>
                </c:pt>
                <c:pt idx="4">
                  <c:v>Thon</c:v>
                </c:pt>
              </c:strCache>
            </c:strRef>
          </c:cat>
          <c:val>
            <c:numRef>
              <c:f>Analyse!$E$57:$E$62</c:f>
              <c:numCache>
                <c:formatCode>0%</c:formatCode>
                <c:ptCount val="5"/>
                <c:pt idx="0">
                  <c:v>0.48663250257994023</c:v>
                </c:pt>
                <c:pt idx="1">
                  <c:v>0.83019080482493401</c:v>
                </c:pt>
                <c:pt idx="2">
                  <c:v>1</c:v>
                </c:pt>
                <c:pt idx="3">
                  <c:v>0.36723417271239239</c:v>
                </c:pt>
                <c:pt idx="4">
                  <c:v>0.51250282358197452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0-F0D5-456E-BB51-7EE3A5F98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153999"/>
        <c:axId val="113153583"/>
      </c:radarChart>
      <c:catAx>
        <c:axId val="113153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660066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153583"/>
        <c:crosses val="autoZero"/>
        <c:auto val="1"/>
        <c:lblAlgn val="ctr"/>
        <c:lblOffset val="100"/>
        <c:noMultiLvlLbl val="0"/>
      </c:catAx>
      <c:valAx>
        <c:axId val="113153583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113153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rgbClr val="660066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[TBD CCE.2022.xlsx]Analyse!PIC Vs Liv</c:name>
    <c:fmtId val="10"/>
  </c:pivotSource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7.0853653504634656E-2"/>
              <c:y val="1.228015901654343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11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37594610855762917"/>
                  <c:h val="0.22732861199634147"/>
                </c:manualLayout>
              </c15:layout>
            </c:ext>
          </c:extLst>
        </c:dLbl>
      </c:pivotFmt>
      <c:pivotFmt>
        <c:idx val="30"/>
        <c:spPr>
          <a:solidFill>
            <a:srgbClr val="660066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2.5618547681539809E-2"/>
              <c:y val="4.1815398075240595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4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3.418033683289589E-2"/>
              <c:y val="1.152814231554389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2">
              <a:lumMod val="75000"/>
            </a:schemeClr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8.7227431447480852E-2"/>
              <c:y val="-4.2361509322171864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11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8676018088359329"/>
                  <c:h val="0.25454547232190738"/>
                </c:manualLayout>
              </c15:layout>
            </c:ext>
          </c:extLst>
        </c:dLbl>
      </c:pivotFmt>
      <c:pivotFmt>
        <c:idx val="33"/>
        <c:spPr>
          <a:solidFill>
            <a:srgbClr val="CC99FF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6.9957458442694659E-2"/>
              <c:y val="3.34751385243511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9.8437516147886484E-2"/>
              <c:y val="-5.4951017848208175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11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40651048335145723"/>
                  <c:h val="0.2429224792388362"/>
                </c:manualLayout>
              </c15:layout>
            </c:ext>
          </c:extLst>
        </c:dLbl>
      </c:pivotFmt>
      <c:pivotFmt>
        <c:idx val="3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6895316911961431"/>
                  <c:h val="0.27673984542761099"/>
                </c:manualLayout>
              </c15:layout>
            </c:ext>
          </c:extLst>
        </c:dLbl>
      </c:pivotFmt>
      <c:pivotFmt>
        <c:idx val="4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6530733518821115"/>
                  <c:h val="0.27673984542761099"/>
                </c:manualLayout>
              </c15:layout>
            </c:ext>
          </c:extLst>
        </c:dLbl>
      </c:pivotFmt>
      <c:pivotFmt>
        <c:idx val="4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Analyse!$B$43:$B$44</c:f>
              <c:strCache>
                <c:ptCount val="1"/>
                <c:pt idx="0">
                  <c:v>Janvier</c:v>
                </c:pt>
              </c:strCache>
            </c:strRef>
          </c:tx>
          <c:explosion val="13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AD-471D-8CC4-7A788FDC21D0}"/>
              </c:ext>
            </c:extLst>
          </c:dPt>
          <c:dPt>
            <c:idx val="1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AD-471D-8CC4-7A788FDC21D0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AD-471D-8CC4-7A788FDC21D0}"/>
              </c:ext>
            </c:extLst>
          </c:dPt>
          <c:dPt>
            <c:idx val="3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AD-471D-8CC4-7A788FDC21D0}"/>
              </c:ext>
            </c:extLst>
          </c:dPt>
          <c:dPt>
            <c:idx val="4"/>
            <c:bubble3D val="0"/>
            <c:spPr>
              <a:solidFill>
                <a:srgbClr val="CC9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7AD-471D-8CC4-7A788FDC21D0}"/>
              </c:ext>
            </c:extLst>
          </c:dPt>
          <c:dLbls>
            <c:dLbl>
              <c:idx val="0"/>
              <c:layout>
                <c:manualLayout>
                  <c:x val="7.0853653504634656E-2"/>
                  <c:y val="1.228015901654343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7594610855762917"/>
                      <c:h val="0.227328611996341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7AD-471D-8CC4-7A788FDC21D0}"/>
                </c:ext>
              </c:extLst>
            </c:dLbl>
            <c:dLbl>
              <c:idx val="1"/>
              <c:layout>
                <c:manualLayout>
                  <c:x val="2.5618547681539809E-2"/>
                  <c:y val="4.18153980752405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AD-471D-8CC4-7A788FDC21D0}"/>
                </c:ext>
              </c:extLst>
            </c:dLbl>
            <c:dLbl>
              <c:idx val="2"/>
              <c:layout>
                <c:manualLayout>
                  <c:x val="3.418033683289589E-2"/>
                  <c:y val="1.1528142315543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AD-471D-8CC4-7A788FDC21D0}"/>
                </c:ext>
              </c:extLst>
            </c:dLbl>
            <c:dLbl>
              <c:idx val="3"/>
              <c:layout>
                <c:manualLayout>
                  <c:x val="-8.7227431447480852E-2"/>
                  <c:y val="-4.236150932217186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76018088359329"/>
                      <c:h val="0.254545472321907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57AD-471D-8CC4-7A788FDC21D0}"/>
                </c:ext>
              </c:extLst>
            </c:dLbl>
            <c:dLbl>
              <c:idx val="4"/>
              <c:layout>
                <c:manualLayout>
                  <c:x val="-6.9957458442694659E-2"/>
                  <c:y val="3.3475138524351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AD-471D-8CC4-7A788FDC21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Analyse!$A$45:$A$50</c:f>
              <c:strCache>
                <c:ptCount val="5"/>
                <c:pt idx="0">
                  <c:v>Alimentaire</c:v>
                </c:pt>
                <c:pt idx="1">
                  <c:v>Chamia</c:v>
                </c:pt>
                <c:pt idx="2">
                  <c:v>Huile</c:v>
                </c:pt>
                <c:pt idx="3">
                  <c:v>Industriel</c:v>
                </c:pt>
                <c:pt idx="4">
                  <c:v>Thon</c:v>
                </c:pt>
              </c:strCache>
            </c:strRef>
          </c:cat>
          <c:val>
            <c:numRef>
              <c:f>Analyse!$B$45:$B$50</c:f>
              <c:numCache>
                <c:formatCode>0%</c:formatCode>
                <c:ptCount val="5"/>
                <c:pt idx="0">
                  <c:v>0.41318159241947794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0.67547542677355288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7AD-471D-8CC4-7A788FDC21D0}"/>
            </c:ext>
          </c:extLst>
        </c:ser>
        <c:ser>
          <c:idx val="1"/>
          <c:order val="1"/>
          <c:tx>
            <c:strRef>
              <c:f>Analyse!$C$43:$C$44</c:f>
              <c:strCache>
                <c:ptCount val="1"/>
                <c:pt idx="0">
                  <c:v>Février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9.8437516147886484E-2"/>
                  <c:y val="-5.49510178482081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651048335145723"/>
                      <c:h val="0.242922479238836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Analyse!$A$45:$A$50</c:f>
              <c:strCache>
                <c:ptCount val="5"/>
                <c:pt idx="0">
                  <c:v>Alimentaire</c:v>
                </c:pt>
                <c:pt idx="1">
                  <c:v>Chamia</c:v>
                </c:pt>
                <c:pt idx="2">
                  <c:v>Huile</c:v>
                </c:pt>
                <c:pt idx="3">
                  <c:v>Industriel</c:v>
                </c:pt>
                <c:pt idx="4">
                  <c:v>Thon</c:v>
                </c:pt>
              </c:strCache>
            </c:strRef>
          </c:cat>
          <c:val>
            <c:numRef>
              <c:f>Analyse!$C$45:$C$50</c:f>
              <c:numCache>
                <c:formatCode>0%</c:formatCode>
                <c:ptCount val="5"/>
                <c:pt idx="0">
                  <c:v>0.1743085517503454</c:v>
                </c:pt>
                <c:pt idx="1">
                  <c:v>1</c:v>
                </c:pt>
                <c:pt idx="2">
                  <c:v>0.68244568782749759</c:v>
                </c:pt>
                <c:pt idx="3">
                  <c:v>0.68244568782749759</c:v>
                </c:pt>
                <c:pt idx="4">
                  <c:v>0.80399191924413327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6-0993-40AA-A371-3AC4E9C51DE9}"/>
            </c:ext>
          </c:extLst>
        </c:ser>
        <c:ser>
          <c:idx val="2"/>
          <c:order val="2"/>
          <c:tx>
            <c:strRef>
              <c:f>Analyse!$D$43:$D$44</c:f>
              <c:strCache>
                <c:ptCount val="1"/>
                <c:pt idx="0">
                  <c:v>Mars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95316911961431"/>
                      <c:h val="0.27673984542761099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Analyse!$A$45:$A$50</c:f>
              <c:strCache>
                <c:ptCount val="5"/>
                <c:pt idx="0">
                  <c:v>Alimentaire</c:v>
                </c:pt>
                <c:pt idx="1">
                  <c:v>Chamia</c:v>
                </c:pt>
                <c:pt idx="2">
                  <c:v>Huile</c:v>
                </c:pt>
                <c:pt idx="3">
                  <c:v>Industriel</c:v>
                </c:pt>
                <c:pt idx="4">
                  <c:v>Thon</c:v>
                </c:pt>
              </c:strCache>
            </c:strRef>
          </c:cat>
          <c:val>
            <c:numRef>
              <c:f>Analyse!$D$45:$D$50</c:f>
              <c:numCache>
                <c:formatCode>0%</c:formatCode>
                <c:ptCount val="5"/>
                <c:pt idx="0">
                  <c:v>0.18386030535905762</c:v>
                </c:pt>
                <c:pt idx="1">
                  <c:v>0.48556828169782612</c:v>
                </c:pt>
                <c:pt idx="2">
                  <c:v>0.40340148340301929</c:v>
                </c:pt>
                <c:pt idx="3">
                  <c:v>0.40340148340301929</c:v>
                </c:pt>
                <c:pt idx="4">
                  <c:v>0.5230638051554698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7-0993-40AA-A371-3AC4E9C51DE9}"/>
            </c:ext>
          </c:extLst>
        </c:ser>
        <c:ser>
          <c:idx val="3"/>
          <c:order val="3"/>
          <c:tx>
            <c:strRef>
              <c:f>Analyse!$E$43:$E$44</c:f>
              <c:strCache>
                <c:ptCount val="1"/>
                <c:pt idx="0">
                  <c:v>Avril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30733518821115"/>
                      <c:h val="0.27673984542761099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Analyse!$A$45:$A$50</c:f>
              <c:strCache>
                <c:ptCount val="5"/>
                <c:pt idx="0">
                  <c:v>Alimentaire</c:v>
                </c:pt>
                <c:pt idx="1">
                  <c:v>Chamia</c:v>
                </c:pt>
                <c:pt idx="2">
                  <c:v>Huile</c:v>
                </c:pt>
                <c:pt idx="3">
                  <c:v>Industriel</c:v>
                </c:pt>
                <c:pt idx="4">
                  <c:v>Thon</c:v>
                </c:pt>
              </c:strCache>
            </c:strRef>
          </c:cat>
          <c:val>
            <c:numRef>
              <c:f>Analyse!$E$45:$E$50</c:f>
              <c:numCache>
                <c:formatCode>0%</c:formatCode>
                <c:ptCount val="5"/>
                <c:pt idx="0">
                  <c:v>0.43071902610845325</c:v>
                </c:pt>
                <c:pt idx="1">
                  <c:v>0.78373476827633048</c:v>
                </c:pt>
                <c:pt idx="2">
                  <c:v>1</c:v>
                </c:pt>
                <c:pt idx="3">
                  <c:v>1</c:v>
                </c:pt>
                <c:pt idx="4">
                  <c:v>0.21078173306563269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8-0993-40AA-A371-3AC4E9C51DE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rgbClr val="660066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[TBD CCE.2022.xlsx]Analyse!PIC Vs Prod</c:name>
    <c:fmtId val="34"/>
  </c:pivotSource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rgbClr val="CC99FF"/>
          </a:solidFill>
          <a:ln w="19050">
            <a:solidFill>
              <a:schemeClr val="lt1"/>
            </a:solidFill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30875707863856616"/>
                  <c:h val="0.20001979158442912"/>
                </c:manualLayout>
              </c15:layout>
            </c:ext>
          </c:extLst>
        </c:dLbl>
      </c:pivotFmt>
      <c:pivotFmt>
        <c:idx val="3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2005302325261938"/>
                  <c:h val="0.20001979158442912"/>
                </c:manualLayout>
              </c15:layout>
            </c:ext>
          </c:extLst>
        </c:dLbl>
      </c:pivotFmt>
      <c:pivotFmt>
        <c:idx val="33"/>
        <c:spPr>
          <a:solidFill>
            <a:srgbClr val="660066"/>
          </a:solidFill>
          <a:ln w="19050">
            <a:solidFill>
              <a:schemeClr val="lt1"/>
            </a:solidFill>
          </a:ln>
          <a:effectLst/>
        </c:spPr>
      </c:pivotFmt>
      <c:pivotFmt>
        <c:idx val="3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6520288108356288"/>
                  <c:h val="0.20001979158442912"/>
                </c:manualLayout>
              </c15:layout>
            </c:ext>
          </c:extLst>
        </c:dLbl>
      </c:pivotFmt>
      <c:pivotFmt>
        <c:idx val="3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8.7465564738292076E-2"/>
              <c:y val="-2.320326793985250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32715765610651976"/>
                  <c:h val="0.20001979158442912"/>
                </c:manualLayout>
              </c15:layout>
            </c:ext>
          </c:extLst>
        </c:dLbl>
      </c:pivotFmt>
      <c:pivotFmt>
        <c:idx val="4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10933195592286502"/>
              <c:y val="6.006600347880754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6884727961432503"/>
                  <c:h val="0.20001979158442912"/>
                </c:manualLayout>
              </c15:layout>
            </c:ext>
          </c:extLst>
        </c:dLbl>
      </c:pivotFmt>
      <c:pivotFmt>
        <c:idx val="4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Analyse!$B$55:$B$56</c:f>
              <c:strCache>
                <c:ptCount val="1"/>
                <c:pt idx="0">
                  <c:v>Janvier</c:v>
                </c:pt>
              </c:strCache>
            </c:strRef>
          </c:tx>
          <c:dPt>
            <c:idx val="0"/>
            <c:bubble3D val="0"/>
            <c:spPr>
              <a:solidFill>
                <a:srgbClr val="CC9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30-4FD0-99AA-688E3A496A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330-4FD0-99AA-688E3A496A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330-4FD0-99AA-688E3A496A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330-4FD0-99AA-688E3A496A9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330-4FD0-99AA-688E3A496A90}"/>
              </c:ext>
            </c:extLst>
          </c:dPt>
          <c:dLbls>
            <c:dLbl>
              <c:idx val="0"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875707863856616"/>
                      <c:h val="0.200019791584429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30-4FD0-99AA-688E3A496A90}"/>
                </c:ext>
              </c:extLst>
            </c:dLbl>
            <c:dLbl>
              <c:idx val="3"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005302325261938"/>
                      <c:h val="0.200019791584429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330-4FD0-99AA-688E3A496A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Analyse!$A$57:$A$62</c:f>
              <c:strCache>
                <c:ptCount val="5"/>
                <c:pt idx="0">
                  <c:v>Alimentaire</c:v>
                </c:pt>
                <c:pt idx="1">
                  <c:v>Chamia</c:v>
                </c:pt>
                <c:pt idx="2">
                  <c:v>Huile</c:v>
                </c:pt>
                <c:pt idx="3">
                  <c:v>Industriel</c:v>
                </c:pt>
                <c:pt idx="4">
                  <c:v>Thon</c:v>
                </c:pt>
              </c:strCache>
            </c:strRef>
          </c:cat>
          <c:val>
            <c:numRef>
              <c:f>Analyse!$B$57:$B$62</c:f>
              <c:numCache>
                <c:formatCode>0%</c:formatCode>
                <c:ptCount val="5"/>
                <c:pt idx="0">
                  <c:v>0.37600267557817052</c:v>
                </c:pt>
                <c:pt idx="1">
                  <c:v>1</c:v>
                </c:pt>
                <c:pt idx="2">
                  <c:v>1</c:v>
                </c:pt>
                <c:pt idx="3">
                  <c:v>0.40693104169206823</c:v>
                </c:pt>
                <c:pt idx="4">
                  <c:v>0.78972382322442924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330-4FD0-99AA-688E3A496A90}"/>
            </c:ext>
          </c:extLst>
        </c:ser>
        <c:ser>
          <c:idx val="1"/>
          <c:order val="1"/>
          <c:tx>
            <c:strRef>
              <c:f>Analyse!$C$55:$C$56</c:f>
              <c:strCache>
                <c:ptCount val="1"/>
                <c:pt idx="0">
                  <c:v>Février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20288108356288"/>
                      <c:h val="0.2000197915844291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Analyse!$A$57:$A$62</c:f>
              <c:strCache>
                <c:ptCount val="5"/>
                <c:pt idx="0">
                  <c:v>Alimentaire</c:v>
                </c:pt>
                <c:pt idx="1">
                  <c:v>Chamia</c:v>
                </c:pt>
                <c:pt idx="2">
                  <c:v>Huile</c:v>
                </c:pt>
                <c:pt idx="3">
                  <c:v>Industriel</c:v>
                </c:pt>
                <c:pt idx="4">
                  <c:v>Thon</c:v>
                </c:pt>
              </c:strCache>
            </c:strRef>
          </c:cat>
          <c:val>
            <c:numRef>
              <c:f>Analyse!$C$57:$C$62</c:f>
              <c:numCache>
                <c:formatCode>0%</c:formatCode>
                <c:ptCount val="5"/>
                <c:pt idx="0">
                  <c:v>0.11794437996776497</c:v>
                </c:pt>
                <c:pt idx="1">
                  <c:v>1</c:v>
                </c:pt>
                <c:pt idx="2">
                  <c:v>0.94964150325741015</c:v>
                </c:pt>
                <c:pt idx="3">
                  <c:v>0.5750090096858046</c:v>
                </c:pt>
                <c:pt idx="4">
                  <c:v>0.91184385910576471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6-F6BB-4F27-8196-39DD14E7A1DE}"/>
            </c:ext>
          </c:extLst>
        </c:ser>
        <c:ser>
          <c:idx val="2"/>
          <c:order val="2"/>
          <c:tx>
            <c:strRef>
              <c:f>Analyse!$D$55:$D$56</c:f>
              <c:strCache>
                <c:ptCount val="1"/>
                <c:pt idx="0">
                  <c:v>Mars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8.7465564738292076E-2"/>
                  <c:y val="-2.32032679398525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715765610651976"/>
                      <c:h val="0.2000197915844291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0933195592286502"/>
                  <c:y val="6.00660034788075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Analyse!$A$57:$A$62</c:f>
              <c:strCache>
                <c:ptCount val="5"/>
                <c:pt idx="0">
                  <c:v>Alimentaire</c:v>
                </c:pt>
                <c:pt idx="1">
                  <c:v>Chamia</c:v>
                </c:pt>
                <c:pt idx="2">
                  <c:v>Huile</c:v>
                </c:pt>
                <c:pt idx="3">
                  <c:v>Industriel</c:v>
                </c:pt>
                <c:pt idx="4">
                  <c:v>Thon</c:v>
                </c:pt>
              </c:strCache>
            </c:strRef>
          </c:cat>
          <c:val>
            <c:numRef>
              <c:f>Analyse!$D$57:$D$62</c:f>
              <c:numCache>
                <c:formatCode>0%</c:formatCode>
                <c:ptCount val="5"/>
                <c:pt idx="0">
                  <c:v>0.28183796995369825</c:v>
                </c:pt>
                <c:pt idx="1">
                  <c:v>8.9462288036555482E-2</c:v>
                </c:pt>
                <c:pt idx="2">
                  <c:v>0.92061521800466295</c:v>
                </c:pt>
                <c:pt idx="3">
                  <c:v>1</c:v>
                </c:pt>
                <c:pt idx="4">
                  <c:v>0.36008397199999381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7-F6BB-4F27-8196-39DD14E7A1DE}"/>
            </c:ext>
          </c:extLst>
        </c:ser>
        <c:ser>
          <c:idx val="3"/>
          <c:order val="3"/>
          <c:tx>
            <c:strRef>
              <c:f>Analyse!$E$55:$E$56</c:f>
              <c:strCache>
                <c:ptCount val="1"/>
                <c:pt idx="0">
                  <c:v>Avril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84727961432503"/>
                      <c:h val="0.2000197915844291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Analyse!$A$57:$A$62</c:f>
              <c:strCache>
                <c:ptCount val="5"/>
                <c:pt idx="0">
                  <c:v>Alimentaire</c:v>
                </c:pt>
                <c:pt idx="1">
                  <c:v>Chamia</c:v>
                </c:pt>
                <c:pt idx="2">
                  <c:v>Huile</c:v>
                </c:pt>
                <c:pt idx="3">
                  <c:v>Industriel</c:v>
                </c:pt>
                <c:pt idx="4">
                  <c:v>Thon</c:v>
                </c:pt>
              </c:strCache>
            </c:strRef>
          </c:cat>
          <c:val>
            <c:numRef>
              <c:f>Analyse!$E$57:$E$62</c:f>
              <c:numCache>
                <c:formatCode>0%</c:formatCode>
                <c:ptCount val="5"/>
                <c:pt idx="0">
                  <c:v>0.48663250257994023</c:v>
                </c:pt>
                <c:pt idx="1">
                  <c:v>0.83019080482493401</c:v>
                </c:pt>
                <c:pt idx="2">
                  <c:v>1</c:v>
                </c:pt>
                <c:pt idx="3">
                  <c:v>0.36723417271239239</c:v>
                </c:pt>
                <c:pt idx="4">
                  <c:v>0.51250282358197452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8-F6BB-4F27-8196-39DD14E7A1D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rgbClr val="660066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[TBD CCE.2022.xlsx]Analyse!Taux de Déchet</c:name>
    <c:fmtId val="2"/>
  </c:pivotSource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circle"/>
          <c:size val="5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circle"/>
          <c:size val="5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circle"/>
          <c:size val="5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circle"/>
          <c:size val="5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4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0.15"/>
              <c:y val="6.481481481481481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5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4.1666666666666664E-2"/>
              <c:y val="-6.944444444444440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0.15"/>
              <c:y val="6.481481481481481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4.1666666666666664E-2"/>
              <c:y val="-6.944444444444440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rgbClr val="660066"/>
          </a:solidFill>
          <a:ln w="19050">
            <a:solidFill>
              <a:schemeClr val="lt1"/>
            </a:solidFill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4341176470588236"/>
                  <c:h val="0.18340296004666085"/>
                </c:manualLayout>
              </c15:layout>
            </c:ext>
          </c:extLst>
        </c:dLbl>
      </c:pivotFmt>
      <c:pivotFmt>
        <c:idx val="3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0.15"/>
              <c:y val="6.481481481481481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rgbClr val="CC99FF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1.6176470588235299E-2"/>
              <c:y val="-6.944444444444440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4301960784313725"/>
                  <c:h val="0.12689814814814815"/>
                </c:manualLayout>
              </c15:layout>
            </c:ext>
          </c:extLst>
        </c:dLbl>
      </c:pivotFmt>
      <c:pivotFmt>
        <c:idx val="3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11234567355178023"/>
              <c:y val="-4.6296296296296294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4.3209874442992353E-2"/>
              <c:y val="1.8518518518518517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Analyse!$B$67:$B$68</c:f>
              <c:strCache>
                <c:ptCount val="1"/>
                <c:pt idx="0">
                  <c:v>Janvier</c:v>
                </c:pt>
              </c:strCache>
            </c:strRef>
          </c:tx>
          <c:dPt>
            <c:idx val="0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C8-4005-8327-EC04C4D36DD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C8-4005-8327-EC04C4D36DD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C8-4005-8327-EC04C4D36DD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C8-4005-8327-EC04C4D36DD3}"/>
              </c:ext>
            </c:extLst>
          </c:dPt>
          <c:dPt>
            <c:idx val="4"/>
            <c:bubble3D val="0"/>
            <c:spPr>
              <a:solidFill>
                <a:srgbClr val="CC9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3C8-4005-8327-EC04C4D36DD3}"/>
              </c:ext>
            </c:extLst>
          </c:dPt>
          <c:dLbls>
            <c:dLbl>
              <c:idx val="0"/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41176470588236"/>
                      <c:h val="0.18340296004666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3C8-4005-8327-EC04C4D36DD3}"/>
                </c:ext>
              </c:extLst>
            </c:dLbl>
            <c:dLbl>
              <c:idx val="3"/>
              <c:layout>
                <c:manualLayout>
                  <c:x val="-0.15"/>
                  <c:y val="6.481481481481481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C8-4005-8327-EC04C4D36DD3}"/>
                </c:ext>
              </c:extLst>
            </c:dLbl>
            <c:dLbl>
              <c:idx val="4"/>
              <c:layout>
                <c:manualLayout>
                  <c:x val="-1.6176470588235299E-2"/>
                  <c:y val="-6.944444444444440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01960784313725"/>
                      <c:h val="0.1268981481481481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F3C8-4005-8327-EC04C4D36D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Analyse!$A$69:$A$74</c:f>
              <c:strCache>
                <c:ptCount val="5"/>
                <c:pt idx="0">
                  <c:v>Fond &amp; Accessoires</c:v>
                </c:pt>
                <c:pt idx="1">
                  <c:v>Galon</c:v>
                </c:pt>
                <c:pt idx="2">
                  <c:v>Géneral Ligne</c:v>
                </c:pt>
                <c:pt idx="3">
                  <c:v>Haute Cadence</c:v>
                </c:pt>
                <c:pt idx="4">
                  <c:v>Impremerie</c:v>
                </c:pt>
              </c:strCache>
            </c:strRef>
          </c:cat>
          <c:val>
            <c:numRef>
              <c:f>Analyse!$B$69:$B$74</c:f>
              <c:numCache>
                <c:formatCode>0%</c:formatCode>
                <c:ptCount val="5"/>
                <c:pt idx="0">
                  <c:v>4.7263893698938346E-2</c:v>
                </c:pt>
                <c:pt idx="1">
                  <c:v>4.8195273415699028E-2</c:v>
                </c:pt>
                <c:pt idx="2">
                  <c:v>3.7046571654618998E-2</c:v>
                </c:pt>
                <c:pt idx="3">
                  <c:v>4.5404588260298277E-3</c:v>
                </c:pt>
                <c:pt idx="4">
                  <c:v>2.0057550783051596E-2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3C8-4005-8327-EC04C4D36DD3}"/>
            </c:ext>
          </c:extLst>
        </c:ser>
        <c:ser>
          <c:idx val="1"/>
          <c:order val="1"/>
          <c:tx>
            <c:strRef>
              <c:f>Analyse!$C$67:$C$68</c:f>
              <c:strCache>
                <c:ptCount val="1"/>
                <c:pt idx="0">
                  <c:v>Février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Analyse!$A$69:$A$74</c:f>
              <c:strCache>
                <c:ptCount val="5"/>
                <c:pt idx="0">
                  <c:v>Fond &amp; Accessoires</c:v>
                </c:pt>
                <c:pt idx="1">
                  <c:v>Galon</c:v>
                </c:pt>
                <c:pt idx="2">
                  <c:v>Géneral Ligne</c:v>
                </c:pt>
                <c:pt idx="3">
                  <c:v>Haute Cadence</c:v>
                </c:pt>
                <c:pt idx="4">
                  <c:v>Impremerie</c:v>
                </c:pt>
              </c:strCache>
            </c:strRef>
          </c:cat>
          <c:val>
            <c:numRef>
              <c:f>Analyse!$C$69:$C$74</c:f>
              <c:numCache>
                <c:formatCode>0%</c:formatCode>
                <c:ptCount val="5"/>
                <c:pt idx="0">
                  <c:v>3.5636457261683581E-2</c:v>
                </c:pt>
                <c:pt idx="1">
                  <c:v>1.6626313367778262E-4</c:v>
                </c:pt>
                <c:pt idx="2">
                  <c:v>8.8330894375903218E-2</c:v>
                </c:pt>
                <c:pt idx="3">
                  <c:v>8.2933505959798988E-3</c:v>
                </c:pt>
                <c:pt idx="4">
                  <c:v>2.4467479668969394E-2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6-593F-40F2-ADB2-9F17B3532F44}"/>
            </c:ext>
          </c:extLst>
        </c:ser>
        <c:ser>
          <c:idx val="2"/>
          <c:order val="2"/>
          <c:tx>
            <c:strRef>
              <c:f>Analyse!$D$67:$D$68</c:f>
              <c:strCache>
                <c:ptCount val="1"/>
                <c:pt idx="0">
                  <c:v>Mars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Analyse!$A$69:$A$74</c:f>
              <c:strCache>
                <c:ptCount val="5"/>
                <c:pt idx="0">
                  <c:v>Fond &amp; Accessoires</c:v>
                </c:pt>
                <c:pt idx="1">
                  <c:v>Galon</c:v>
                </c:pt>
                <c:pt idx="2">
                  <c:v>Géneral Ligne</c:v>
                </c:pt>
                <c:pt idx="3">
                  <c:v>Haute Cadence</c:v>
                </c:pt>
                <c:pt idx="4">
                  <c:v>Impremerie</c:v>
                </c:pt>
              </c:strCache>
            </c:strRef>
          </c:cat>
          <c:val>
            <c:numRef>
              <c:f>Analyse!$D$69:$D$74</c:f>
              <c:numCache>
                <c:formatCode>0%</c:formatCode>
                <c:ptCount val="5"/>
                <c:pt idx="0">
                  <c:v>2.9838229955779328E-2</c:v>
                </c:pt>
                <c:pt idx="1">
                  <c:v>2.196424346207057E-4</c:v>
                </c:pt>
                <c:pt idx="2">
                  <c:v>2.9765803661432423E-2</c:v>
                </c:pt>
                <c:pt idx="3">
                  <c:v>2.8695879285214796E-3</c:v>
                </c:pt>
                <c:pt idx="4">
                  <c:v>2.1535258672101699E-2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7-593F-40F2-ADB2-9F17B3532F44}"/>
            </c:ext>
          </c:extLst>
        </c:ser>
        <c:ser>
          <c:idx val="3"/>
          <c:order val="3"/>
          <c:tx>
            <c:strRef>
              <c:f>Analyse!$E$67:$E$68</c:f>
              <c:strCache>
                <c:ptCount val="1"/>
                <c:pt idx="0">
                  <c:v>Avril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0.11234567355178023"/>
                  <c:y val="-4.629629629629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3209874442992353E-2"/>
                  <c:y val="1.85185185185185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Analyse!$A$69:$A$74</c:f>
              <c:strCache>
                <c:ptCount val="5"/>
                <c:pt idx="0">
                  <c:v>Fond &amp; Accessoires</c:v>
                </c:pt>
                <c:pt idx="1">
                  <c:v>Galon</c:v>
                </c:pt>
                <c:pt idx="2">
                  <c:v>Géneral Ligne</c:v>
                </c:pt>
                <c:pt idx="3">
                  <c:v>Haute Cadence</c:v>
                </c:pt>
                <c:pt idx="4">
                  <c:v>Impremerie</c:v>
                </c:pt>
              </c:strCache>
            </c:strRef>
          </c:cat>
          <c:val>
            <c:numRef>
              <c:f>Analyse!$E$69:$E$74</c:f>
              <c:numCache>
                <c:formatCode>0%</c:formatCode>
                <c:ptCount val="5"/>
                <c:pt idx="0">
                  <c:v>0.14637514817393255</c:v>
                </c:pt>
                <c:pt idx="1">
                  <c:v>2.9089281718506278E-3</c:v>
                </c:pt>
                <c:pt idx="2">
                  <c:v>2.3294732909973852E-2</c:v>
                </c:pt>
                <c:pt idx="3">
                  <c:v>3.1538340468663748E-3</c:v>
                </c:pt>
                <c:pt idx="4">
                  <c:v>0.16194634337054428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8-593F-40F2-ADB2-9F17B3532F4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rgbClr val="660066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Series val="1"/>
        <c14:dropZonesVisible val="1"/>
      </c14:pivotOptions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Analyse!$H$27</c:f>
              <c:strCache>
                <c:ptCount val="1"/>
                <c:pt idx="0">
                  <c:v>Alimentaire</c:v>
                </c:pt>
              </c:strCache>
            </c:strRef>
          </c:tx>
          <c:spPr>
            <a:solidFill>
              <a:srgbClr val="6600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E87DF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Analyse!$I$26:$L$26</c:f>
              <c:strCache>
                <c:ptCount val="4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</c:strCache>
            </c:strRef>
          </c:cat>
          <c:val>
            <c:numRef>
              <c:f>Analyse!$I$27:$L$27</c:f>
              <c:numCache>
                <c:formatCode>#\ ##0"j"</c:formatCode>
                <c:ptCount val="4"/>
                <c:pt idx="0">
                  <c:v>49.139291686971525</c:v>
                </c:pt>
                <c:pt idx="1">
                  <c:v>28.489869211085701</c:v>
                </c:pt>
                <c:pt idx="2">
                  <c:v>32.25892543524224</c:v>
                </c:pt>
                <c:pt idx="3">
                  <c:v>32.289792672477802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E-4E54-B84E-3583FB08768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720905775"/>
        <c:axId val="1720887887"/>
      </c:barChart>
      <c:scatterChart>
        <c:scatterStyle val="smoothMarker"/>
        <c:varyColors val="0"/>
        <c:ser>
          <c:idx val="1"/>
          <c:order val="1"/>
          <c:tx>
            <c:strRef>
              <c:f>Analyse!$H$28</c:f>
              <c:strCache>
                <c:ptCount val="1"/>
                <c:pt idx="0">
                  <c:v>Industriel</c:v>
                </c:pt>
              </c:strCache>
            </c:strRef>
          </c:tx>
          <c:spPr>
            <a:ln w="28575" cap="rnd" cmpd="sng">
              <a:solidFill>
                <a:srgbClr val="CC99FF"/>
              </a:solidFill>
              <a:round/>
              <a:tailEnd type="stealth" w="lg" len="lg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Analyse!$I$26:$L$26</c:f>
              <c:strCache>
                <c:ptCount val="4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</c:strCache>
            </c:strRef>
          </c:xVal>
          <c:yVal>
            <c:numRef>
              <c:f>Analyse!$I$28:$L$28</c:f>
              <c:numCache>
                <c:formatCode>#\ ##0"j"</c:formatCode>
                <c:ptCount val="4"/>
                <c:pt idx="0">
                  <c:v>60.900106389826796</c:v>
                </c:pt>
                <c:pt idx="1">
                  <c:v>28.694546361788721</c:v>
                </c:pt>
                <c:pt idx="2">
                  <c:v>32.992700322434246</c:v>
                </c:pt>
                <c:pt idx="3">
                  <c:v>31.142086869266347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C8E-4E54-B84E-3583FB08768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720905775"/>
        <c:axId val="1720887887"/>
      </c:scatterChart>
      <c:catAx>
        <c:axId val="172090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660066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20887887"/>
        <c:crosses val="autoZero"/>
        <c:auto val="1"/>
        <c:lblAlgn val="ctr"/>
        <c:lblOffset val="100"/>
        <c:noMultiLvlLbl val="0"/>
      </c:catAx>
      <c:valAx>
        <c:axId val="1720887887"/>
        <c:scaling>
          <c:orientation val="minMax"/>
        </c:scaling>
        <c:delete val="1"/>
        <c:axPos val="l"/>
        <c:numFmt formatCode="#\ ##0&quot;j&quot;" sourceLinked="1"/>
        <c:majorTickMark val="none"/>
        <c:minorTickMark val="none"/>
        <c:tickLblPos val="nextTo"/>
        <c:crossAx val="172090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rgbClr val="660066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Analyse!$H$36</c:f>
              <c:strCache>
                <c:ptCount val="1"/>
                <c:pt idx="0">
                  <c:v>Alimentaire</c:v>
                </c:pt>
              </c:strCache>
            </c:strRef>
          </c:tx>
          <c:spPr>
            <a:solidFill>
              <a:srgbClr val="6600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E87DF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Analyse!$I$35:$L$35</c:f>
              <c:strCache>
                <c:ptCount val="4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</c:strCache>
            </c:strRef>
          </c:cat>
          <c:val>
            <c:numRef>
              <c:f>Analyse!$I$36:$L$36</c:f>
              <c:numCache>
                <c:formatCode>#\ ##0"j"</c:formatCode>
                <c:ptCount val="4"/>
                <c:pt idx="0">
                  <c:v>27.724986025712688</c:v>
                </c:pt>
                <c:pt idx="1">
                  <c:v>24.552350427350429</c:v>
                </c:pt>
                <c:pt idx="2">
                  <c:v>24.826439232409381</c:v>
                </c:pt>
                <c:pt idx="3">
                  <c:v>21.927986906710313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D-4664-A2D9-295F4F8DC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720931151"/>
        <c:axId val="1720928239"/>
      </c:barChart>
      <c:lineChart>
        <c:grouping val="standard"/>
        <c:varyColors val="0"/>
        <c:ser>
          <c:idx val="1"/>
          <c:order val="1"/>
          <c:tx>
            <c:strRef>
              <c:f>Analyse!$H$37</c:f>
              <c:strCache>
                <c:ptCount val="1"/>
                <c:pt idx="0">
                  <c:v>Industriel</c:v>
                </c:pt>
              </c:strCache>
            </c:strRef>
          </c:tx>
          <c:spPr>
            <a:ln w="31750" cap="rnd">
              <a:solidFill>
                <a:srgbClr val="CC99FF"/>
              </a:solidFill>
              <a:round/>
              <a:tailEnd type="arrow"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2.1996993362231355E-2"/>
                  <c:y val="5.84195181271843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4D-4664-A2D9-295F4F8DC4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Analyse!$I$35:$L$35</c:f>
              <c:strCache>
                <c:ptCount val="4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</c:strCache>
            </c:strRef>
          </c:cat>
          <c:val>
            <c:numRef>
              <c:f>Analyse!$I$37:$L$37</c:f>
              <c:numCache>
                <c:formatCode>#\ ##0"j"</c:formatCode>
                <c:ptCount val="4"/>
                <c:pt idx="0">
                  <c:v>30.058956347215251</c:v>
                </c:pt>
                <c:pt idx="1">
                  <c:v>26.653968253968255</c:v>
                </c:pt>
                <c:pt idx="2">
                  <c:v>31.04936305732484</c:v>
                </c:pt>
                <c:pt idx="3">
                  <c:v>30.320631970260223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44D-4664-A2D9-295F4F8DC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0931151"/>
        <c:axId val="1720928239"/>
      </c:lineChart>
      <c:catAx>
        <c:axId val="17209311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660066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20928239"/>
        <c:crosses val="autoZero"/>
        <c:auto val="1"/>
        <c:lblAlgn val="ctr"/>
        <c:lblOffset val="100"/>
        <c:noMultiLvlLbl val="0"/>
      </c:catAx>
      <c:valAx>
        <c:axId val="1720928239"/>
        <c:scaling>
          <c:orientation val="minMax"/>
        </c:scaling>
        <c:delete val="1"/>
        <c:axPos val="l"/>
        <c:numFmt formatCode="#\ ##0&quot;j&quot;" sourceLinked="1"/>
        <c:majorTickMark val="none"/>
        <c:minorTickMark val="none"/>
        <c:tickLblPos val="nextTo"/>
        <c:crossAx val="17209311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rgbClr val="660066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07683721169663"/>
          <c:y val="3.3528203911550557E-2"/>
          <c:w val="0.76358268176536503"/>
          <c:h val="0.9005297332401917"/>
        </c:manualLayout>
      </c:layout>
      <c:doughnutChart>
        <c:varyColors val="1"/>
        <c:ser>
          <c:idx val="0"/>
          <c:order val="0"/>
          <c:tx>
            <c:v>Rotation MP</c:v>
          </c:tx>
          <c:spPr>
            <a:solidFill>
              <a:srgbClr val="660066"/>
            </a:solidFill>
          </c:spPr>
          <c:dPt>
            <c:idx val="0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F5-4B68-A683-AD48AE903014}"/>
              </c:ext>
            </c:extLst>
          </c:dPt>
          <c:dPt>
            <c:idx val="1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F5-4B68-A683-AD48AE903014}"/>
              </c:ext>
            </c:extLst>
          </c:dPt>
          <c:dPt>
            <c:idx val="2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F5-4B68-A683-AD48AE903014}"/>
              </c:ext>
            </c:extLst>
          </c:dPt>
          <c:dPt>
            <c:idx val="3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6F5-4B68-A683-AD48AE90301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6F5-4B68-A683-AD48AE903014}"/>
              </c:ext>
            </c:extLst>
          </c:dPt>
          <c:dPt>
            <c:idx val="5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6F5-4B68-A683-AD48AE903014}"/>
              </c:ext>
            </c:extLst>
          </c:dPt>
          <c:dPt>
            <c:idx val="6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6F5-4B68-A683-AD48AE903014}"/>
              </c:ext>
            </c:extLst>
          </c:dPt>
          <c:dPt>
            <c:idx val="7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6F5-4B68-A683-AD48AE903014}"/>
              </c:ext>
            </c:extLst>
          </c:dPt>
          <c:dPt>
            <c:idx val="8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6F5-4B68-A683-AD48AE903014}"/>
              </c:ext>
            </c:extLst>
          </c:dPt>
          <c:dPt>
            <c:idx val="9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6F5-4B68-A683-AD48AE903014}"/>
              </c:ext>
            </c:extLst>
          </c:dPt>
          <c:dPt>
            <c:idx val="10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B6F5-4B68-A683-AD48AE903014}"/>
              </c:ext>
            </c:extLst>
          </c:dPt>
          <c:dPt>
            <c:idx val="11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B6F5-4B68-A683-AD48AE903014}"/>
              </c:ext>
            </c:extLst>
          </c:dPt>
          <c:dPt>
            <c:idx val="12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B6F5-4B68-A683-AD48AE903014}"/>
              </c:ext>
            </c:extLst>
          </c:dPt>
          <c:dPt>
            <c:idx val="13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B6F5-4B68-A683-AD48AE903014}"/>
              </c:ext>
            </c:extLst>
          </c:dPt>
          <c:dPt>
            <c:idx val="14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B6F5-4B68-A683-AD48AE903014}"/>
              </c:ext>
            </c:extLst>
          </c:dPt>
          <c:dPt>
            <c:idx val="15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B6F5-4B68-A683-AD48AE903014}"/>
              </c:ext>
            </c:extLst>
          </c:dPt>
          <c:dPt>
            <c:idx val="16"/>
            <c:bubble3D val="0"/>
            <c:spPr>
              <a:solidFill>
                <a:srgbClr val="66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B6F5-4B68-A683-AD48AE903014}"/>
              </c:ext>
            </c:extLst>
          </c:dPt>
          <c:dPt>
            <c:idx val="17"/>
            <c:bubble3D val="0"/>
            <c:spPr>
              <a:solidFill>
                <a:srgbClr val="660066">
                  <a:alpha val="2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B6F5-4B68-A683-AD48AE903014}"/>
              </c:ext>
            </c:extLst>
          </c:dPt>
          <c:dPt>
            <c:idx val="18"/>
            <c:bubble3D val="0"/>
            <c:spPr>
              <a:solidFill>
                <a:srgbClr val="660066">
                  <a:alpha val="2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B6F5-4B68-A683-AD48AE903014}"/>
              </c:ext>
            </c:extLst>
          </c:dPt>
          <c:dPt>
            <c:idx val="19"/>
            <c:bubble3D val="0"/>
            <c:spPr>
              <a:solidFill>
                <a:srgbClr val="660066">
                  <a:alpha val="2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B6F5-4B68-A683-AD48AE903014}"/>
              </c:ext>
            </c:extLst>
          </c:dPt>
          <c:val>
            <c:numLit>
              <c:formatCode>General</c:formatCode>
              <c:ptCount val="2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28-B6F5-4B68-A683-AD48AE903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  <c:doughnutChart>
        <c:varyColors val="1"/>
        <c:ser>
          <c:idx val="1"/>
          <c:order val="1"/>
          <c:tx>
            <c:v>Rotation MP</c:v>
          </c:tx>
          <c:spPr>
            <a:noFill/>
          </c:spPr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B6F5-4B68-A683-AD48AE903014}"/>
              </c:ext>
            </c:extLst>
          </c:dPt>
          <c:dPt>
            <c:idx val="1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B6F5-4B68-A683-AD48AE903014}"/>
              </c:ext>
            </c:extLst>
          </c:dPt>
          <c:val>
            <c:numRef>
              <c:f>Analyse!$B$91:$C$91</c:f>
              <c:numCache>
                <c:formatCode>0.0</c:formatCode>
                <c:ptCount val="2"/>
                <c:pt idx="0" formatCode="#,##0.00">
                  <c:v>0.87593143696222364</c:v>
                </c:pt>
                <c:pt idx="1">
                  <c:v>0.12406856303777636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B6F5-4B68-A683-AD48AE903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rgbClr val="660066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_xlchart.v1.2</cx:f>
      </cx:numDim>
    </cx:data>
  </cx:chartData>
  <cx:chart>
    <cx:plotArea>
      <cx:plotAreaRegion>
        <cx:plotSurface>
          <cx:spPr>
            <a:noFill/>
            <a:ln>
              <a:noFill/>
            </a:ln>
          </cx:spPr>
        </cx:plotSurface>
        <cx:series layoutId="waterfall" uniqueId="{46D26B21-2B3F-4578-9D8B-DF02F4FB6F42}" formatIdx="0">
          <cx:tx>
            <cx:txData>
              <cx:f>_xlchart.v1.1</cx:f>
              <cx:v>CA</cx:v>
            </cx:txData>
          </cx:tx>
          <cx:spPr>
            <a:solidFill>
              <a:srgbClr val="660066"/>
            </a:solidFill>
          </cx:spPr>
          <cx:dataLabels pos="outEnd">
            <cx:numFmt formatCode="_-* # ##0 [$TND]_-;-* # ##0 [$TND]_-;_-* &quot;-&quot; [$TND]_-;_-@_-" sourceLinked="0"/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900" b="1">
                    <a:solidFill>
                      <a:srgbClr val="FF0000"/>
                    </a:solidFill>
                  </a:defRPr>
                </a:pPr>
                <a:endParaRPr lang="fr-FR" sz="900" b="1" i="0" u="none" strike="noStrike" baseline="0">
                  <a:solidFill>
                    <a:srgbClr val="FF0000"/>
                  </a:solidFill>
                  <a:latin typeface="Calibri" panose="020F0502020204030204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00">
                <a:solidFill>
                  <a:srgbClr val="660066"/>
                </a:solidFill>
              </a:defRPr>
            </a:pPr>
            <a:endParaRPr lang="fr-FR" sz="1000" b="0" i="0" u="none" strike="noStrike" baseline="0">
              <a:solidFill>
                <a:srgbClr val="660066"/>
              </a:solidFill>
              <a:latin typeface="Calibri" panose="020F0502020204030204"/>
            </a:endParaRPr>
          </a:p>
        </cx:txPr>
      </cx:axis>
      <cx:axis id="1" hidden="1">
        <cx:valScaling/>
        <cx:tickLabels/>
      </cx:axis>
    </cx:plotArea>
  </cx:chart>
  <cx:spPr>
    <a:noFill/>
    <a:ln>
      <a:solidFill>
        <a:srgbClr val="660066"/>
      </a:solidFill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_xlchart.v2.3</cx:f>
      </cx:strDim>
      <cx:numDim type="val">
        <cx:f>_xlchart.v2.5</cx:f>
      </cx:numDim>
    </cx:data>
  </cx:chartData>
  <cx:chart>
    <cx:plotArea>
      <cx:plotAreaRegion>
        <cx:series layoutId="funnel" uniqueId="{C390FC81-CDE0-4F98-BC9C-88238C7D6DE4}" formatIdx="0">
          <cx:tx>
            <cx:txData>
              <cx:f>_xlchart.v2.4</cx:f>
              <cx:v>Total</cx:v>
            </cx:txData>
          </cx:tx>
          <cx:spPr>
            <a:solidFill>
              <a:srgbClr val="660066"/>
            </a:solidFill>
          </cx:spPr>
          <cx:dataLabels>
            <cx:numFmt formatCode="# ##0" sourceLinked="0"/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100" b="1">
                    <a:solidFill>
                      <a:schemeClr val="bg1"/>
                    </a:solidFill>
                  </a:defRPr>
                </a:pPr>
                <a:endParaRPr lang="fr-FR" sz="11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  <cx:separator>, </cx:separator>
          </cx:dataLabels>
          <cx:dataId val="0"/>
        </cx:series>
      </cx:plotAreaRegion>
      <cx:axis id="0">
        <cx:catScaling gapWidth="0.11999999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00" b="1">
                <a:solidFill>
                  <a:srgbClr val="660066"/>
                </a:solidFill>
              </a:defRPr>
            </a:pPr>
            <a:endParaRPr lang="fr-FR" sz="1000" b="1" i="0" u="none" strike="noStrike" baseline="0">
              <a:solidFill>
                <a:srgbClr val="660066"/>
              </a:solidFill>
              <a:latin typeface="Calibri" panose="020F0502020204030204"/>
            </a:endParaRPr>
          </a:p>
        </cx:txPr>
      </cx:axis>
    </cx:plotArea>
  </cx:chart>
  <cx:spPr>
    <a:noFill/>
    <a:ln>
      <a:solidFill>
        <a:srgbClr val="660066"/>
      </a:solidFill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13" Type="http://schemas.openxmlformats.org/officeDocument/2006/relationships/chart" Target="../charts/chart8.xml"/><Relationship Id="rId18" Type="http://schemas.openxmlformats.org/officeDocument/2006/relationships/image" Target="../media/image4.png"/><Relationship Id="rId3" Type="http://schemas.openxmlformats.org/officeDocument/2006/relationships/chart" Target="../charts/chart1.xml"/><Relationship Id="rId21" Type="http://schemas.openxmlformats.org/officeDocument/2006/relationships/chart" Target="../charts/chart13.xml"/><Relationship Id="rId7" Type="http://schemas.microsoft.com/office/2014/relationships/chartEx" Target="../charts/chartEx2.xml"/><Relationship Id="rId12" Type="http://schemas.openxmlformats.org/officeDocument/2006/relationships/chart" Target="../charts/chart7.xml"/><Relationship Id="rId17" Type="http://schemas.openxmlformats.org/officeDocument/2006/relationships/image" Target="../media/image3.png"/><Relationship Id="rId2" Type="http://schemas.microsoft.com/office/2014/relationships/chartEx" Target="../charts/chartEx1.xml"/><Relationship Id="rId16" Type="http://schemas.openxmlformats.org/officeDocument/2006/relationships/chart" Target="../charts/chart11.xml"/><Relationship Id="rId20" Type="http://schemas.openxmlformats.org/officeDocument/2006/relationships/chart" Target="../charts/chart12.xml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11" Type="http://schemas.openxmlformats.org/officeDocument/2006/relationships/chart" Target="../charts/chart6.xml"/><Relationship Id="rId5" Type="http://schemas.openxmlformats.org/officeDocument/2006/relationships/image" Target="../media/image2.png"/><Relationship Id="rId15" Type="http://schemas.openxmlformats.org/officeDocument/2006/relationships/chart" Target="../charts/chart10.xml"/><Relationship Id="rId10" Type="http://schemas.openxmlformats.org/officeDocument/2006/relationships/chart" Target="../charts/chart5.xml"/><Relationship Id="rId19" Type="http://schemas.openxmlformats.org/officeDocument/2006/relationships/image" Target="../media/image5.png"/><Relationship Id="rId4" Type="http://schemas.openxmlformats.org/officeDocument/2006/relationships/chart" Target="../charts/chart2.xml"/><Relationship Id="rId9" Type="http://schemas.openxmlformats.org/officeDocument/2006/relationships/chart" Target="../charts/chart4.xml"/><Relationship Id="rId14" Type="http://schemas.openxmlformats.org/officeDocument/2006/relationships/chart" Target="../charts/chart9.xml"/><Relationship Id="rId22" Type="http://schemas.openxmlformats.org/officeDocument/2006/relationships/image" Target="../media/image6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21420</xdr:colOff>
      <xdr:row>6</xdr:row>
      <xdr:rowOff>59530</xdr:rowOff>
    </xdr:from>
    <xdr:to>
      <xdr:col>1</xdr:col>
      <xdr:colOff>381420</xdr:colOff>
      <xdr:row>6</xdr:row>
      <xdr:rowOff>419530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C1F48778-1697-4198-9A65-6FA3CA6B8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764" y="488155"/>
          <a:ext cx="360000" cy="360000"/>
        </a:xfrm>
        <a:prstGeom prst="rect">
          <a:avLst/>
        </a:prstGeom>
      </xdr:spPr>
    </xdr:pic>
    <xdr:clientData/>
  </xdr:twoCellAnchor>
  <xdr:twoCellAnchor>
    <xdr:from>
      <xdr:col>4</xdr:col>
      <xdr:colOff>83346</xdr:colOff>
      <xdr:row>6</xdr:row>
      <xdr:rowOff>0</xdr:rowOff>
    </xdr:from>
    <xdr:to>
      <xdr:col>11</xdr:col>
      <xdr:colOff>178596</xdr:colOff>
      <xdr:row>12</xdr:row>
      <xdr:rowOff>321468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6" name="Graphique 15">
              <a:extLst>
                <a:ext uri="{FF2B5EF4-FFF2-40B4-BE49-F238E27FC236}">
                  <a16:creationId xmlns:a16="http://schemas.microsoft.com/office/drawing/2014/main" id="{9CD1C3D6-BA71-43EF-B0D9-A6DA51E632B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617246" y="1200150"/>
              <a:ext cx="4676775" cy="198834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xdr:twoCellAnchor>
    <xdr:from>
      <xdr:col>4</xdr:col>
      <xdr:colOff>83344</xdr:colOff>
      <xdr:row>13</xdr:row>
      <xdr:rowOff>59531</xdr:rowOff>
    </xdr:from>
    <xdr:to>
      <xdr:col>11</xdr:col>
      <xdr:colOff>166688</xdr:colOff>
      <xdr:row>27</xdr:row>
      <xdr:rowOff>135731</xdr:rowOff>
    </xdr:to>
    <xdr:graphicFrame macro="">
      <xdr:nvGraphicFramePr>
        <xdr:cNvPr id="19" name="Graphique 18">
          <a:extLst>
            <a:ext uri="{FF2B5EF4-FFF2-40B4-BE49-F238E27FC236}">
              <a16:creationId xmlns:a16="http://schemas.microsoft.com/office/drawing/2014/main" id="{48EDC2EC-6861-45C7-A127-19815A2C26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11906</xdr:colOff>
      <xdr:row>13</xdr:row>
      <xdr:rowOff>59531</xdr:rowOff>
    </xdr:from>
    <xdr:to>
      <xdr:col>4</xdr:col>
      <xdr:colOff>0</xdr:colOff>
      <xdr:row>27</xdr:row>
      <xdr:rowOff>135731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2912819D-70B5-463A-9D0D-F2CB3DBB1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13</xdr:col>
      <xdr:colOff>59530</xdr:colOff>
      <xdr:row>6</xdr:row>
      <xdr:rowOff>59530</xdr:rowOff>
    </xdr:from>
    <xdr:to>
      <xdr:col>13</xdr:col>
      <xdr:colOff>419530</xdr:colOff>
      <xdr:row>6</xdr:row>
      <xdr:rowOff>419530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9691733-F4C6-43B6-BAEC-3EAD96948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17000"/>
                  </a14:imgEffect>
                  <a14:imgEffect>
                    <a14:brightnessContrast bright="46000" contrast="5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3624" y="488155"/>
          <a:ext cx="360000" cy="360000"/>
        </a:xfrm>
        <a:prstGeom prst="rect">
          <a:avLst/>
        </a:prstGeom>
      </xdr:spPr>
    </xdr:pic>
    <xdr:clientData/>
  </xdr:twoCellAnchor>
  <xdr:twoCellAnchor editAs="oneCell">
    <xdr:from>
      <xdr:col>6</xdr:col>
      <xdr:colOff>122464</xdr:colOff>
      <xdr:row>1</xdr:row>
      <xdr:rowOff>27213</xdr:rowOff>
    </xdr:from>
    <xdr:to>
      <xdr:col>11</xdr:col>
      <xdr:colOff>204106</xdr:colOff>
      <xdr:row>4</xdr:row>
      <xdr:rowOff>200695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15" name="Mois">
              <a:extLst>
                <a:ext uri="{FF2B5EF4-FFF2-40B4-BE49-F238E27FC236}">
                  <a16:creationId xmlns:a16="http://schemas.microsoft.com/office/drawing/2014/main" id="{CC7A7019-5F28-47E9-B4C8-ECCDD0FFAD70}"/>
                </a:ext>
              </a:extLst>
            </xdr:cNvPr>
            <xdr:cNvGraphicFramePr>
              <a:graphicFrameLocks noMove="1" noResize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ois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659828" y="945077"/>
              <a:ext cx="3787733" cy="74498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>
    <xdr:from>
      <xdr:col>16</xdr:col>
      <xdr:colOff>68035</xdr:colOff>
      <xdr:row>6</xdr:row>
      <xdr:rowOff>-1</xdr:rowOff>
    </xdr:from>
    <xdr:to>
      <xdr:col>20</xdr:col>
      <xdr:colOff>748393</xdr:colOff>
      <xdr:row>13</xdr:row>
      <xdr:rowOff>13607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4" name="Graphique 23">
              <a:extLst>
                <a:ext uri="{FF2B5EF4-FFF2-40B4-BE49-F238E27FC236}">
                  <a16:creationId xmlns:a16="http://schemas.microsoft.com/office/drawing/2014/main" id="{F4A9F625-B259-4079-B849-23FD988C29F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7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328071" y="1115785"/>
              <a:ext cx="3728358" cy="198664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xdr:twoCellAnchor>
    <xdr:from>
      <xdr:col>16</xdr:col>
      <xdr:colOff>68036</xdr:colOff>
      <xdr:row>13</xdr:row>
      <xdr:rowOff>68036</xdr:rowOff>
    </xdr:from>
    <xdr:to>
      <xdr:col>20</xdr:col>
      <xdr:colOff>734785</xdr:colOff>
      <xdr:row>27</xdr:row>
      <xdr:rowOff>144236</xdr:rowOff>
    </xdr:to>
    <xdr:graphicFrame macro="">
      <xdr:nvGraphicFramePr>
        <xdr:cNvPr id="27" name="Graphique 26">
          <a:extLst>
            <a:ext uri="{FF2B5EF4-FFF2-40B4-BE49-F238E27FC236}">
              <a16:creationId xmlns:a16="http://schemas.microsoft.com/office/drawing/2014/main" id="{F749A113-0B87-41C1-849C-88BCABAA1A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40823</xdr:colOff>
      <xdr:row>6</xdr:row>
      <xdr:rowOff>0</xdr:rowOff>
    </xdr:from>
    <xdr:to>
      <xdr:col>25</xdr:col>
      <xdr:colOff>40821</xdr:colOff>
      <xdr:row>13</xdr:row>
      <xdr:rowOff>13607</xdr:rowOff>
    </xdr:to>
    <xdr:graphicFrame macro="">
      <xdr:nvGraphicFramePr>
        <xdr:cNvPr id="28" name="Graphique 27">
          <a:extLst>
            <a:ext uri="{FF2B5EF4-FFF2-40B4-BE49-F238E27FC236}">
              <a16:creationId xmlns:a16="http://schemas.microsoft.com/office/drawing/2014/main" id="{F37E79BF-A449-4639-9091-84DA3B3E21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22</xdr:col>
      <xdr:colOff>748397</xdr:colOff>
      <xdr:row>6</xdr:row>
      <xdr:rowOff>0</xdr:rowOff>
    </xdr:from>
    <xdr:to>
      <xdr:col>25</xdr:col>
      <xdr:colOff>0</xdr:colOff>
      <xdr:row>6</xdr:row>
      <xdr:rowOff>312964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F8BED7B0-D726-42B1-92FB-A4F2E150C63B}"/>
            </a:ext>
          </a:extLst>
        </xdr:cNvPr>
        <xdr:cNvSpPr txBox="1"/>
      </xdr:nvSpPr>
      <xdr:spPr>
        <a:xfrm>
          <a:off x="17580433" y="1115786"/>
          <a:ext cx="1592036" cy="3129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 u="sng">
              <a:solidFill>
                <a:srgbClr val="660066"/>
              </a:solidFill>
            </a:rPr>
            <a:t>Avancement</a:t>
          </a:r>
          <a:r>
            <a:rPr lang="fr-FR" sz="1100" b="1" u="sng" baseline="0">
              <a:solidFill>
                <a:srgbClr val="660066"/>
              </a:solidFill>
            </a:rPr>
            <a:t> Prév Liv</a:t>
          </a:r>
          <a:endParaRPr lang="fr-FR" sz="1100" b="1" u="sng">
            <a:solidFill>
              <a:srgbClr val="660066"/>
            </a:solidFill>
          </a:endParaRPr>
        </a:p>
      </xdr:txBody>
    </xdr:sp>
    <xdr:clientData/>
  </xdr:twoCellAnchor>
  <xdr:twoCellAnchor>
    <xdr:from>
      <xdr:col>22</xdr:col>
      <xdr:colOff>707573</xdr:colOff>
      <xdr:row>13</xdr:row>
      <xdr:rowOff>95250</xdr:rowOff>
    </xdr:from>
    <xdr:to>
      <xdr:col>24</xdr:col>
      <xdr:colOff>734788</xdr:colOff>
      <xdr:row>15</xdr:row>
      <xdr:rowOff>40821</xdr:rowOff>
    </xdr:to>
    <xdr:sp macro="" textlink="">
      <xdr:nvSpPr>
        <xdr:cNvPr id="29" name="ZoneTexte 28">
          <a:extLst>
            <a:ext uri="{FF2B5EF4-FFF2-40B4-BE49-F238E27FC236}">
              <a16:creationId xmlns:a16="http://schemas.microsoft.com/office/drawing/2014/main" id="{0B8FA561-59F5-4F78-9667-312BC9550124}"/>
            </a:ext>
          </a:extLst>
        </xdr:cNvPr>
        <xdr:cNvSpPr txBox="1"/>
      </xdr:nvSpPr>
      <xdr:spPr>
        <a:xfrm>
          <a:off x="17539609" y="3184071"/>
          <a:ext cx="1551215" cy="3265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 u="sng">
              <a:solidFill>
                <a:srgbClr val="660066"/>
              </a:solidFill>
            </a:rPr>
            <a:t>Avancement</a:t>
          </a:r>
          <a:r>
            <a:rPr lang="fr-FR" sz="1100" b="1" u="sng" baseline="0">
              <a:solidFill>
                <a:srgbClr val="660066"/>
              </a:solidFill>
            </a:rPr>
            <a:t> Prév Prod</a:t>
          </a:r>
          <a:endParaRPr lang="fr-FR" sz="1100" b="1" u="sng">
            <a:solidFill>
              <a:srgbClr val="660066"/>
            </a:solidFill>
          </a:endParaRPr>
        </a:p>
      </xdr:txBody>
    </xdr:sp>
    <xdr:clientData/>
  </xdr:twoCellAnchor>
  <xdr:twoCellAnchor>
    <xdr:from>
      <xdr:col>21</xdr:col>
      <xdr:colOff>40821</xdr:colOff>
      <xdr:row>13</xdr:row>
      <xdr:rowOff>81643</xdr:rowOff>
    </xdr:from>
    <xdr:to>
      <xdr:col>25</xdr:col>
      <xdr:colOff>40820</xdr:colOff>
      <xdr:row>27</xdr:row>
      <xdr:rowOff>142875</xdr:rowOff>
    </xdr:to>
    <xdr:graphicFrame macro="">
      <xdr:nvGraphicFramePr>
        <xdr:cNvPr id="30" name="Graphique 29">
          <a:extLst>
            <a:ext uri="{FF2B5EF4-FFF2-40B4-BE49-F238E27FC236}">
              <a16:creationId xmlns:a16="http://schemas.microsoft.com/office/drawing/2014/main" id="{77DA6192-83EA-4AF2-8A57-137CA7D625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13</xdr:col>
      <xdr:colOff>27214</xdr:colOff>
      <xdr:row>13</xdr:row>
      <xdr:rowOff>68036</xdr:rowOff>
    </xdr:from>
    <xdr:to>
      <xdr:col>16</xdr:col>
      <xdr:colOff>-1</xdr:colOff>
      <xdr:row>27</xdr:row>
      <xdr:rowOff>144236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43B6BC3E-0F66-45A4-B3F7-D711DB68C5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6</xdr:col>
      <xdr:colOff>132894</xdr:colOff>
      <xdr:row>27</xdr:row>
      <xdr:rowOff>195036</xdr:rowOff>
    </xdr:from>
    <xdr:to>
      <xdr:col>11</xdr:col>
      <xdr:colOff>163285</xdr:colOff>
      <xdr:row>30</xdr:row>
      <xdr:rowOff>195038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18" name="Secteur">
              <a:extLst>
                <a:ext uri="{FF2B5EF4-FFF2-40B4-BE49-F238E27FC236}">
                  <a16:creationId xmlns:a16="http://schemas.microsoft.com/office/drawing/2014/main" id="{758E60FB-0939-4B0C-BFDB-32A508F58BE3}"/>
                </a:ext>
              </a:extLst>
            </xdr:cNvPr>
            <xdr:cNvGraphicFramePr>
              <a:graphicFrameLocks noMove="1" noResize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cteur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670258" y="6654718"/>
              <a:ext cx="3736482" cy="62345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>
    <xdr:from>
      <xdr:col>13</xdr:col>
      <xdr:colOff>707572</xdr:colOff>
      <xdr:row>35</xdr:row>
      <xdr:rowOff>169712</xdr:rowOff>
    </xdr:from>
    <xdr:to>
      <xdr:col>14</xdr:col>
      <xdr:colOff>612321</xdr:colOff>
      <xdr:row>38</xdr:row>
      <xdr:rowOff>159129</xdr:rowOff>
    </xdr:to>
    <xdr:sp macro="" textlink="Analyse!$D$19">
      <xdr:nvSpPr>
        <xdr:cNvPr id="20" name="ZoneTexte 19">
          <a:extLst>
            <a:ext uri="{FF2B5EF4-FFF2-40B4-BE49-F238E27FC236}">
              <a16:creationId xmlns:a16="http://schemas.microsoft.com/office/drawing/2014/main" id="{22D6CC08-F63E-4E7B-9353-47198075C1E9}"/>
            </a:ext>
          </a:extLst>
        </xdr:cNvPr>
        <xdr:cNvSpPr txBox="1"/>
      </xdr:nvSpPr>
      <xdr:spPr>
        <a:xfrm>
          <a:off x="9280072" y="8333998"/>
          <a:ext cx="1061356" cy="560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AC3E2047-5389-4DED-B46D-6DFD5907B113}" type="TxLink">
            <a:rPr lang="en-US" sz="2800" b="1" i="0" u="none" strike="noStrike">
              <a:solidFill>
                <a:srgbClr val="FF0000"/>
              </a:solidFill>
              <a:latin typeface="Calibri"/>
              <a:cs typeface="Calibri"/>
            </a:rPr>
            <a:t>83%</a:t>
          </a:fld>
          <a:endParaRPr lang="fr-FR" sz="6000" b="1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410483</xdr:colOff>
      <xdr:row>31</xdr:row>
      <xdr:rowOff>22678</xdr:rowOff>
    </xdr:from>
    <xdr:to>
      <xdr:col>15</xdr:col>
      <xdr:colOff>120197</xdr:colOff>
      <xdr:row>34</xdr:row>
      <xdr:rowOff>18142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83F5EEC2-6CD6-43DF-816D-799F27443B27}"/>
            </a:ext>
          </a:extLst>
        </xdr:cNvPr>
        <xdr:cNvSpPr txBox="1"/>
      </xdr:nvSpPr>
      <xdr:spPr>
        <a:xfrm>
          <a:off x="10139590" y="7411357"/>
          <a:ext cx="1056821" cy="5805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0" u="sng">
              <a:solidFill>
                <a:srgbClr val="660066"/>
              </a:solidFill>
            </a:rPr>
            <a:t>Couverture Stocks </a:t>
          </a:r>
        </a:p>
      </xdr:txBody>
    </xdr:sp>
    <xdr:clientData/>
  </xdr:twoCellAnchor>
  <xdr:twoCellAnchor>
    <xdr:from>
      <xdr:col>3</xdr:col>
      <xdr:colOff>176893</xdr:colOff>
      <xdr:row>31</xdr:row>
      <xdr:rowOff>81644</xdr:rowOff>
    </xdr:from>
    <xdr:to>
      <xdr:col>7</xdr:col>
      <xdr:colOff>581250</xdr:colOff>
      <xdr:row>44</xdr:row>
      <xdr:rowOff>111537</xdr:rowOff>
    </xdr:to>
    <xdr:graphicFrame macro="">
      <xdr:nvGraphicFramePr>
        <xdr:cNvPr id="25" name="Graphique 24">
          <a:extLst>
            <a:ext uri="{FF2B5EF4-FFF2-40B4-BE49-F238E27FC236}">
              <a16:creationId xmlns:a16="http://schemas.microsoft.com/office/drawing/2014/main" id="{3A20572A-A899-4DB8-A0FB-C7A1B9F775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381000</xdr:colOff>
      <xdr:row>1</xdr:row>
      <xdr:rowOff>54428</xdr:rowOff>
    </xdr:from>
    <xdr:to>
      <xdr:col>22</xdr:col>
      <xdr:colOff>721178</xdr:colOff>
      <xdr:row>4</xdr:row>
      <xdr:rowOff>204107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2" name="Mois 1">
              <a:extLst>
                <a:ext uri="{FF2B5EF4-FFF2-40B4-BE49-F238E27FC236}">
                  <a16:creationId xmlns:a16="http://schemas.microsoft.com/office/drawing/2014/main" id="{07F92E14-8A23-4820-B1E2-8E26C411EF24}"/>
                </a:ext>
              </a:extLst>
            </xdr:cNvPr>
            <xdr:cNvGraphicFramePr>
              <a:graphicFrameLocks noMove="1" noResize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ois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971318" y="972292"/>
              <a:ext cx="4150178" cy="7211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>
    <xdr:from>
      <xdr:col>5</xdr:col>
      <xdr:colOff>653143</xdr:colOff>
      <xdr:row>31</xdr:row>
      <xdr:rowOff>22678</xdr:rowOff>
    </xdr:from>
    <xdr:to>
      <xdr:col>8</xdr:col>
      <xdr:colOff>13619</xdr:colOff>
      <xdr:row>33</xdr:row>
      <xdr:rowOff>145142</xdr:rowOff>
    </xdr:to>
    <xdr:sp macro="" textlink="">
      <xdr:nvSpPr>
        <xdr:cNvPr id="34" name="ZoneTexte 33">
          <a:extLst>
            <a:ext uri="{FF2B5EF4-FFF2-40B4-BE49-F238E27FC236}">
              <a16:creationId xmlns:a16="http://schemas.microsoft.com/office/drawing/2014/main" id="{30322EC8-C5A7-48A6-8346-B07FF51FD2A2}"/>
            </a:ext>
          </a:extLst>
        </xdr:cNvPr>
        <xdr:cNvSpPr txBox="1"/>
      </xdr:nvSpPr>
      <xdr:spPr>
        <a:xfrm>
          <a:off x="4449536" y="7411357"/>
          <a:ext cx="1524012" cy="5170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0" u="sng">
              <a:solidFill>
                <a:srgbClr val="660066"/>
              </a:solidFill>
            </a:rPr>
            <a:t>Durée</a:t>
          </a:r>
          <a:r>
            <a:rPr lang="fr-FR" sz="1200" b="0" u="sng" baseline="0">
              <a:solidFill>
                <a:srgbClr val="660066"/>
              </a:solidFill>
            </a:rPr>
            <a:t> Moyenne de Stockage MP</a:t>
          </a:r>
          <a:endParaRPr lang="fr-FR" sz="1200" b="0" u="sng">
            <a:solidFill>
              <a:srgbClr val="660066"/>
            </a:solidFill>
          </a:endParaRPr>
        </a:p>
      </xdr:txBody>
    </xdr:sp>
    <xdr:clientData/>
  </xdr:twoCellAnchor>
  <xdr:twoCellAnchor>
    <xdr:from>
      <xdr:col>1</xdr:col>
      <xdr:colOff>88446</xdr:colOff>
      <xdr:row>31</xdr:row>
      <xdr:rowOff>81646</xdr:rowOff>
    </xdr:from>
    <xdr:to>
      <xdr:col>3</xdr:col>
      <xdr:colOff>125410</xdr:colOff>
      <xdr:row>44</xdr:row>
      <xdr:rowOff>111539</xdr:rowOff>
    </xdr:to>
    <xdr:graphicFrame macro="">
      <xdr:nvGraphicFramePr>
        <xdr:cNvPr id="35" name="Graphique 34">
          <a:extLst>
            <a:ext uri="{FF2B5EF4-FFF2-40B4-BE49-F238E27FC236}">
              <a16:creationId xmlns:a16="http://schemas.microsoft.com/office/drawing/2014/main" id="{20F22F22-1896-4B46-9E41-385D44E4A5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793754</xdr:colOff>
      <xdr:row>31</xdr:row>
      <xdr:rowOff>20409</xdr:rowOff>
    </xdr:from>
    <xdr:to>
      <xdr:col>3</xdr:col>
      <xdr:colOff>15879</xdr:colOff>
      <xdr:row>33</xdr:row>
      <xdr:rowOff>133802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2159CEA0-4EB3-4A1B-93BE-4C21435B436F}"/>
            </a:ext>
          </a:extLst>
        </xdr:cNvPr>
        <xdr:cNvSpPr txBox="1"/>
      </xdr:nvSpPr>
      <xdr:spPr>
        <a:xfrm>
          <a:off x="1161147" y="6606266"/>
          <a:ext cx="1957161" cy="5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0" u="sng">
              <a:solidFill>
                <a:srgbClr val="660066"/>
              </a:solidFill>
            </a:rPr>
            <a:t>Durée</a:t>
          </a:r>
          <a:r>
            <a:rPr lang="fr-FR" sz="1200" b="0" u="sng" baseline="0">
              <a:solidFill>
                <a:srgbClr val="660066"/>
              </a:solidFill>
            </a:rPr>
            <a:t> Moyenne de Stockage PF</a:t>
          </a:r>
          <a:endParaRPr lang="fr-FR" sz="1200" b="0" u="sng">
            <a:solidFill>
              <a:srgbClr val="660066"/>
            </a:solidFill>
          </a:endParaRPr>
        </a:p>
      </xdr:txBody>
    </xdr:sp>
    <xdr:clientData/>
  </xdr:twoCellAnchor>
  <xdr:twoCellAnchor>
    <xdr:from>
      <xdr:col>13</xdr:col>
      <xdr:colOff>68045</xdr:colOff>
      <xdr:row>1</xdr:row>
      <xdr:rowOff>54428</xdr:rowOff>
    </xdr:from>
    <xdr:to>
      <xdr:col>17</xdr:col>
      <xdr:colOff>326581</xdr:colOff>
      <xdr:row>4</xdr:row>
      <xdr:rowOff>190500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859D514-F561-43FD-8A84-4D0C329DE8B4}"/>
            </a:ext>
          </a:extLst>
        </xdr:cNvPr>
        <xdr:cNvSpPr txBox="1"/>
      </xdr:nvSpPr>
      <xdr:spPr>
        <a:xfrm>
          <a:off x="8640545" y="966107"/>
          <a:ext cx="4286250" cy="707572"/>
        </a:xfrm>
        <a:prstGeom prst="rect">
          <a:avLst/>
        </a:prstGeom>
        <a:solidFill>
          <a:srgbClr val="660066"/>
        </a:solidFill>
        <a:ln w="9525" cmpd="sng">
          <a:solidFill>
            <a:srgbClr val="66006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FR" sz="1800" b="1" u="sng">
              <a:solidFill>
                <a:schemeClr val="bg1"/>
              </a:solidFill>
            </a:rPr>
            <a:t>Production</a:t>
          </a:r>
        </a:p>
      </xdr:txBody>
    </xdr:sp>
    <xdr:clientData/>
  </xdr:twoCellAnchor>
  <xdr:twoCellAnchor>
    <xdr:from>
      <xdr:col>1</xdr:col>
      <xdr:colOff>54436</xdr:colOff>
      <xdr:row>1</xdr:row>
      <xdr:rowOff>13607</xdr:rowOff>
    </xdr:from>
    <xdr:to>
      <xdr:col>6</xdr:col>
      <xdr:colOff>68035</xdr:colOff>
      <xdr:row>4</xdr:row>
      <xdr:rowOff>190500</xdr:rowOff>
    </xdr:to>
    <xdr:sp macro="" textlink="">
      <xdr:nvSpPr>
        <xdr:cNvPr id="38" name="ZoneTexte 37">
          <a:extLst>
            <a:ext uri="{FF2B5EF4-FFF2-40B4-BE49-F238E27FC236}">
              <a16:creationId xmlns:a16="http://schemas.microsoft.com/office/drawing/2014/main" id="{28A67375-2AFC-4FC7-9C0B-06C7F09C9C54}"/>
            </a:ext>
          </a:extLst>
        </xdr:cNvPr>
        <xdr:cNvSpPr txBox="1"/>
      </xdr:nvSpPr>
      <xdr:spPr>
        <a:xfrm>
          <a:off x="190507" y="925286"/>
          <a:ext cx="4395099" cy="748393"/>
        </a:xfrm>
        <a:prstGeom prst="rect">
          <a:avLst/>
        </a:prstGeom>
        <a:solidFill>
          <a:srgbClr val="660066"/>
        </a:solidFill>
        <a:ln w="9525" cmpd="sng">
          <a:solidFill>
            <a:srgbClr val="66006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FR" sz="1800" b="1" u="sng">
              <a:solidFill>
                <a:schemeClr val="bg1"/>
              </a:solidFill>
            </a:rPr>
            <a:t>Commerciale</a:t>
          </a:r>
        </a:p>
      </xdr:txBody>
    </xdr:sp>
    <xdr:clientData/>
  </xdr:twoCellAnchor>
  <xdr:twoCellAnchor>
    <xdr:from>
      <xdr:col>1</xdr:col>
      <xdr:colOff>54427</xdr:colOff>
      <xdr:row>27</xdr:row>
      <xdr:rowOff>190500</xdr:rowOff>
    </xdr:from>
    <xdr:to>
      <xdr:col>6</xdr:col>
      <xdr:colOff>81642</xdr:colOff>
      <xdr:row>30</xdr:row>
      <xdr:rowOff>176892</xdr:rowOff>
    </xdr:to>
    <xdr:sp macro="" textlink="">
      <xdr:nvSpPr>
        <xdr:cNvPr id="39" name="ZoneTexte 38">
          <a:extLst>
            <a:ext uri="{FF2B5EF4-FFF2-40B4-BE49-F238E27FC236}">
              <a16:creationId xmlns:a16="http://schemas.microsoft.com/office/drawing/2014/main" id="{67B40A24-0FFF-4CE0-89A3-7EDFE07671D2}"/>
            </a:ext>
          </a:extLst>
        </xdr:cNvPr>
        <xdr:cNvSpPr txBox="1"/>
      </xdr:nvSpPr>
      <xdr:spPr>
        <a:xfrm>
          <a:off x="190498" y="6653893"/>
          <a:ext cx="4408715" cy="612320"/>
        </a:xfrm>
        <a:prstGeom prst="rect">
          <a:avLst/>
        </a:prstGeom>
        <a:solidFill>
          <a:srgbClr val="660066"/>
        </a:solidFill>
        <a:ln w="9525" cmpd="sng">
          <a:solidFill>
            <a:srgbClr val="66006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FR" sz="1800" b="1" u="sng">
              <a:solidFill>
                <a:schemeClr val="bg1"/>
              </a:solidFill>
            </a:rPr>
            <a:t>Stock</a:t>
          </a:r>
        </a:p>
      </xdr:txBody>
    </xdr:sp>
    <xdr:clientData/>
  </xdr:twoCellAnchor>
  <xdr:twoCellAnchor>
    <xdr:from>
      <xdr:col>14</xdr:col>
      <xdr:colOff>1306284</xdr:colOff>
      <xdr:row>31</xdr:row>
      <xdr:rowOff>81642</xdr:rowOff>
    </xdr:from>
    <xdr:to>
      <xdr:col>18</xdr:col>
      <xdr:colOff>190909</xdr:colOff>
      <xdr:row>44</xdr:row>
      <xdr:rowOff>109267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64DF2CBB-AB14-4145-ADF6-7422E4C610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698498</xdr:colOff>
      <xdr:row>35</xdr:row>
      <xdr:rowOff>69170</xdr:rowOff>
    </xdr:from>
    <xdr:to>
      <xdr:col>17</xdr:col>
      <xdr:colOff>263069</xdr:colOff>
      <xdr:row>39</xdr:row>
      <xdr:rowOff>96387</xdr:rowOff>
    </xdr:to>
    <xdr:sp macro="" textlink="Analyse!D91">
      <xdr:nvSpPr>
        <xdr:cNvPr id="4" name="ZoneTexte 3">
          <a:extLst>
            <a:ext uri="{FF2B5EF4-FFF2-40B4-BE49-F238E27FC236}">
              <a16:creationId xmlns:a16="http://schemas.microsoft.com/office/drawing/2014/main" id="{56C123F0-40E2-4062-816C-8E46BFEB34AA}"/>
            </a:ext>
          </a:extLst>
        </xdr:cNvPr>
        <xdr:cNvSpPr txBox="1"/>
      </xdr:nvSpPr>
      <xdr:spPr>
        <a:xfrm>
          <a:off x="11774712" y="8233456"/>
          <a:ext cx="1088571" cy="7892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1511E76A-7D78-4E93-8E9F-1E2B696478DC}" type="TxLink">
            <a:rPr lang="en-US" sz="2800" b="1" i="0" u="none" strike="noStrike">
              <a:solidFill>
                <a:srgbClr val="FF0000"/>
              </a:solidFill>
              <a:latin typeface="Calibri"/>
              <a:cs typeface="Calibri"/>
            </a:rPr>
            <a:pPr algn="ctr"/>
            <a:t>0,86</a:t>
          </a:fld>
          <a:endParaRPr lang="fr-FR" sz="2800" b="1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11336</xdr:colOff>
      <xdr:row>31</xdr:row>
      <xdr:rowOff>22678</xdr:rowOff>
    </xdr:from>
    <xdr:to>
      <xdr:col>18</xdr:col>
      <xdr:colOff>555625</xdr:colOff>
      <xdr:row>33</xdr:row>
      <xdr:rowOff>131535</xdr:rowOff>
    </xdr:to>
    <xdr:sp macro="" textlink="">
      <xdr:nvSpPr>
        <xdr:cNvPr id="41" name="ZoneTexte 40">
          <a:extLst>
            <a:ext uri="{FF2B5EF4-FFF2-40B4-BE49-F238E27FC236}">
              <a16:creationId xmlns:a16="http://schemas.microsoft.com/office/drawing/2014/main" id="{AFBF6558-BDBE-4B10-A16B-FC84F21E5177}"/>
            </a:ext>
          </a:extLst>
        </xdr:cNvPr>
        <xdr:cNvSpPr txBox="1"/>
      </xdr:nvSpPr>
      <xdr:spPr>
        <a:xfrm>
          <a:off x="12611550" y="7411357"/>
          <a:ext cx="1306289" cy="5034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0" u="sng">
              <a:solidFill>
                <a:srgbClr val="660066"/>
              </a:solidFill>
            </a:rPr>
            <a:t>Rotation</a:t>
          </a:r>
          <a:r>
            <a:rPr lang="fr-FR" sz="1200" b="0" u="sng" baseline="0">
              <a:solidFill>
                <a:srgbClr val="660066"/>
              </a:solidFill>
            </a:rPr>
            <a:t> MP</a:t>
          </a:r>
          <a:endParaRPr lang="fr-FR" sz="1200" b="0" u="sng">
            <a:solidFill>
              <a:srgbClr val="660066"/>
            </a:solidFill>
          </a:endParaRPr>
        </a:p>
      </xdr:txBody>
    </xdr:sp>
    <xdr:clientData/>
  </xdr:twoCellAnchor>
  <xdr:twoCellAnchor>
    <xdr:from>
      <xdr:col>18</xdr:col>
      <xdr:colOff>247197</xdr:colOff>
      <xdr:row>31</xdr:row>
      <xdr:rowOff>81642</xdr:rowOff>
    </xdr:from>
    <xdr:to>
      <xdr:col>21</xdr:col>
      <xdr:colOff>481197</xdr:colOff>
      <xdr:row>44</xdr:row>
      <xdr:rowOff>109267</xdr:rowOff>
    </xdr:to>
    <xdr:graphicFrame macro="">
      <xdr:nvGraphicFramePr>
        <xdr:cNvPr id="43" name="Graphique 42">
          <a:extLst>
            <a:ext uri="{FF2B5EF4-FFF2-40B4-BE49-F238E27FC236}">
              <a16:creationId xmlns:a16="http://schemas.microsoft.com/office/drawing/2014/main" id="{B0667D0C-24C0-4F68-ADDD-95653CADF0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19</xdr:col>
      <xdr:colOff>122464</xdr:colOff>
      <xdr:row>35</xdr:row>
      <xdr:rowOff>89580</xdr:rowOff>
    </xdr:from>
    <xdr:to>
      <xdr:col>20</xdr:col>
      <xdr:colOff>557893</xdr:colOff>
      <xdr:row>39</xdr:row>
      <xdr:rowOff>75976</xdr:rowOff>
    </xdr:to>
    <xdr:sp macro="" textlink="Analyse!D100">
      <xdr:nvSpPr>
        <xdr:cNvPr id="44" name="ZoneTexte 43">
          <a:extLst>
            <a:ext uri="{FF2B5EF4-FFF2-40B4-BE49-F238E27FC236}">
              <a16:creationId xmlns:a16="http://schemas.microsoft.com/office/drawing/2014/main" id="{E701E9F4-F49A-43BE-A269-59F650DD75FE}"/>
            </a:ext>
          </a:extLst>
        </xdr:cNvPr>
        <xdr:cNvSpPr txBox="1"/>
      </xdr:nvSpPr>
      <xdr:spPr>
        <a:xfrm>
          <a:off x="14246678" y="8253866"/>
          <a:ext cx="1197429" cy="7483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C2918261-4D0B-4590-AE08-3FC553A9CEB5}" type="TxLink">
            <a:rPr lang="en-US" sz="2800" b="1" i="0" u="none" strike="noStrike">
              <a:solidFill>
                <a:srgbClr val="FF0000"/>
              </a:solidFill>
              <a:latin typeface="Calibri"/>
              <a:cs typeface="Calibri"/>
            </a:rPr>
            <a:t>1,1</a:t>
          </a:fld>
          <a:endParaRPr lang="fr-FR" sz="6000" b="1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363307</xdr:colOff>
      <xdr:row>31</xdr:row>
      <xdr:rowOff>22678</xdr:rowOff>
    </xdr:from>
    <xdr:to>
      <xdr:col>21</xdr:col>
      <xdr:colOff>666750</xdr:colOff>
      <xdr:row>33</xdr:row>
      <xdr:rowOff>131535</xdr:rowOff>
    </xdr:to>
    <xdr:sp macro="" textlink="">
      <xdr:nvSpPr>
        <xdr:cNvPr id="45" name="ZoneTexte 44">
          <a:extLst>
            <a:ext uri="{FF2B5EF4-FFF2-40B4-BE49-F238E27FC236}">
              <a16:creationId xmlns:a16="http://schemas.microsoft.com/office/drawing/2014/main" id="{DA1A886E-9DEA-4BCD-9F68-63BE712BEBC6}"/>
            </a:ext>
          </a:extLst>
        </xdr:cNvPr>
        <xdr:cNvSpPr txBox="1"/>
      </xdr:nvSpPr>
      <xdr:spPr>
        <a:xfrm>
          <a:off x="15249521" y="7411357"/>
          <a:ext cx="1065443" cy="5034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0" u="sng">
              <a:solidFill>
                <a:srgbClr val="660066"/>
              </a:solidFill>
            </a:rPr>
            <a:t>Rotation</a:t>
          </a:r>
          <a:r>
            <a:rPr lang="fr-FR" sz="1200" b="0" u="sng" baseline="0">
              <a:solidFill>
                <a:srgbClr val="660066"/>
              </a:solidFill>
            </a:rPr>
            <a:t> PF</a:t>
          </a:r>
          <a:endParaRPr lang="fr-FR" sz="1200" b="0" u="sng">
            <a:solidFill>
              <a:srgbClr val="660066"/>
            </a:solidFill>
          </a:endParaRPr>
        </a:p>
      </xdr:txBody>
    </xdr:sp>
    <xdr:clientData/>
  </xdr:twoCellAnchor>
  <xdr:twoCellAnchor editAs="oneCell">
    <xdr:from>
      <xdr:col>13</xdr:col>
      <xdr:colOff>4537</xdr:colOff>
      <xdr:row>27</xdr:row>
      <xdr:rowOff>195038</xdr:rowOff>
    </xdr:from>
    <xdr:to>
      <xdr:col>25</xdr:col>
      <xdr:colOff>27215</xdr:colOff>
      <xdr:row>30</xdr:row>
      <xdr:rowOff>202965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46" name="Mois 2">
              <a:extLst>
                <a:ext uri="{FF2B5EF4-FFF2-40B4-BE49-F238E27FC236}">
                  <a16:creationId xmlns:a16="http://schemas.microsoft.com/office/drawing/2014/main" id="{5B4C3E6B-7D2A-461C-B356-2DA0EB0EFC52}"/>
                </a:ext>
              </a:extLst>
            </xdr:cNvPr>
            <xdr:cNvGraphicFramePr>
              <a:graphicFrameLocks noMove="1" noResize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ois 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559719" y="6654720"/>
              <a:ext cx="10153814" cy="63138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>
    <xdr:from>
      <xdr:col>21</xdr:col>
      <xdr:colOff>555625</xdr:colOff>
      <xdr:row>31</xdr:row>
      <xdr:rowOff>79375</xdr:rowOff>
    </xdr:from>
    <xdr:to>
      <xdr:col>25</xdr:col>
      <xdr:colOff>27625</xdr:colOff>
      <xdr:row>44</xdr:row>
      <xdr:rowOff>107000</xdr:rowOff>
    </xdr:to>
    <xdr:graphicFrame macro="">
      <xdr:nvGraphicFramePr>
        <xdr:cNvPr id="47" name="Graphique 46">
          <a:extLst>
            <a:ext uri="{FF2B5EF4-FFF2-40B4-BE49-F238E27FC236}">
              <a16:creationId xmlns:a16="http://schemas.microsoft.com/office/drawing/2014/main" id="{4D8734A4-4FE5-4ECE-838B-F24B2C67C8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22</xdr:col>
      <xdr:colOff>748393</xdr:colOff>
      <xdr:row>35</xdr:row>
      <xdr:rowOff>142875</xdr:rowOff>
    </xdr:from>
    <xdr:to>
      <xdr:col>24</xdr:col>
      <xdr:colOff>208643</xdr:colOff>
      <xdr:row>39</xdr:row>
      <xdr:rowOff>22681</xdr:rowOff>
    </xdr:to>
    <xdr:sp macro="" textlink="Analyse!D108">
      <xdr:nvSpPr>
        <xdr:cNvPr id="7" name="ZoneTexte 6">
          <a:extLst>
            <a:ext uri="{FF2B5EF4-FFF2-40B4-BE49-F238E27FC236}">
              <a16:creationId xmlns:a16="http://schemas.microsoft.com/office/drawing/2014/main" id="{8E836148-66C2-4526-907A-4697BEED366D}"/>
            </a:ext>
          </a:extLst>
        </xdr:cNvPr>
        <xdr:cNvSpPr txBox="1"/>
      </xdr:nvSpPr>
      <xdr:spPr>
        <a:xfrm>
          <a:off x="17158607" y="8307161"/>
          <a:ext cx="984250" cy="6418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94773D9-E8DE-406F-B36B-F6FBE6F681DE}" type="TxLink">
            <a:rPr lang="en-US" sz="2800" b="1" i="0" u="none" strike="noStrike">
              <a:solidFill>
                <a:srgbClr val="FF0000"/>
              </a:solidFill>
              <a:latin typeface="Calibri"/>
              <a:cs typeface="Calibri"/>
            </a:rPr>
            <a:t>53%</a:t>
          </a:fld>
          <a:endParaRPr lang="fr-FR" sz="2800" b="1">
            <a:solidFill>
              <a:srgbClr val="FF0000"/>
            </a:solidFill>
          </a:endParaRPr>
        </a:p>
      </xdr:txBody>
    </xdr:sp>
    <xdr:clientData/>
  </xdr:twoCellAnchor>
  <xdr:twoCellAnchor>
    <xdr:from>
      <xdr:col>22</xdr:col>
      <xdr:colOff>451303</xdr:colOff>
      <xdr:row>31</xdr:row>
      <xdr:rowOff>22678</xdr:rowOff>
    </xdr:from>
    <xdr:to>
      <xdr:col>26</xdr:col>
      <xdr:colOff>151496</xdr:colOff>
      <xdr:row>34</xdr:row>
      <xdr:rowOff>117928</xdr:rowOff>
    </xdr:to>
    <xdr:sp macro="" textlink="">
      <xdr:nvSpPr>
        <xdr:cNvPr id="48" name="ZoneTexte 47">
          <a:extLst>
            <a:ext uri="{FF2B5EF4-FFF2-40B4-BE49-F238E27FC236}">
              <a16:creationId xmlns:a16="http://schemas.microsoft.com/office/drawing/2014/main" id="{2247A483-E566-4BF9-BBF3-2F0F0A71325B}"/>
            </a:ext>
          </a:extLst>
        </xdr:cNvPr>
        <xdr:cNvSpPr txBox="1"/>
      </xdr:nvSpPr>
      <xdr:spPr>
        <a:xfrm>
          <a:off x="16861517" y="7411357"/>
          <a:ext cx="2108658" cy="6803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0" u="sng">
              <a:solidFill>
                <a:srgbClr val="660066"/>
              </a:solidFill>
            </a:rPr>
            <a:t>Taux</a:t>
          </a:r>
          <a:r>
            <a:rPr lang="fr-FR" sz="1200" b="0" u="sng" baseline="0">
              <a:solidFill>
                <a:srgbClr val="660066"/>
              </a:solidFill>
            </a:rPr>
            <a:t> de Remplissage Dépot </a:t>
          </a:r>
          <a:endParaRPr lang="fr-FR" sz="1200" b="0" u="sng">
            <a:solidFill>
              <a:srgbClr val="660066"/>
            </a:solidFill>
          </a:endParaRPr>
        </a:p>
      </xdr:txBody>
    </xdr:sp>
    <xdr:clientData/>
  </xdr:twoCellAnchor>
  <xdr:twoCellAnchor>
    <xdr:from>
      <xdr:col>1</xdr:col>
      <xdr:colOff>68036</xdr:colOff>
      <xdr:row>0</xdr:row>
      <xdr:rowOff>108855</xdr:rowOff>
    </xdr:from>
    <xdr:to>
      <xdr:col>25</xdr:col>
      <xdr:colOff>54429</xdr:colOff>
      <xdr:row>0</xdr:row>
      <xdr:rowOff>828855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11758D1C-AFD6-4507-AA22-F66337B78A21}"/>
            </a:ext>
          </a:extLst>
        </xdr:cNvPr>
        <xdr:cNvSpPr txBox="1"/>
      </xdr:nvSpPr>
      <xdr:spPr>
        <a:xfrm>
          <a:off x="204107" y="108855"/>
          <a:ext cx="18546536" cy="720000"/>
        </a:xfrm>
        <a:prstGeom prst="rect">
          <a:avLst/>
        </a:prstGeom>
        <a:solidFill>
          <a:srgbClr val="660066"/>
        </a:solidFill>
        <a:ln w="9525" cmpd="sng">
          <a:solidFill>
            <a:srgbClr val="66006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4000">
              <a:solidFill>
                <a:schemeClr val="bg1"/>
              </a:solidFill>
            </a:rPr>
            <a:t>Tableau de Bord</a:t>
          </a:r>
          <a:r>
            <a:rPr lang="fr-FR" sz="4000" baseline="0">
              <a:solidFill>
                <a:schemeClr val="bg1"/>
              </a:solidFill>
            </a:rPr>
            <a:t> Supply Chain                                             </a:t>
          </a:r>
          <a:endParaRPr lang="fr-FR" sz="40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5</xdr:col>
      <xdr:colOff>204428</xdr:colOff>
      <xdr:row>1</xdr:row>
      <xdr:rowOff>81964</xdr:rowOff>
    </xdr:from>
    <xdr:to>
      <xdr:col>6</xdr:col>
      <xdr:colOff>23250</xdr:colOff>
      <xdr:row>4</xdr:row>
      <xdr:rowOff>50464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6FE58E7C-75E2-42BC-8F24-101E73550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821" y="993643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5</xdr:col>
      <xdr:colOff>191464</xdr:colOff>
      <xdr:row>27</xdr:row>
      <xdr:rowOff>218678</xdr:rowOff>
    </xdr:from>
    <xdr:to>
      <xdr:col>6</xdr:col>
      <xdr:colOff>10286</xdr:colOff>
      <xdr:row>30</xdr:row>
      <xdr:rowOff>132750</xdr:rowOff>
    </xdr:to>
    <xdr:pic>
      <xdr:nvPicPr>
        <xdr:cNvPr id="51" name="Image 50">
          <a:extLst>
            <a:ext uri="{FF2B5EF4-FFF2-40B4-BE49-F238E27FC236}">
              <a16:creationId xmlns:a16="http://schemas.microsoft.com/office/drawing/2014/main" id="{B4C124CF-C0B2-47F0-A93A-853F3F202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7857" y="6682071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16</xdr:col>
      <xdr:colOff>503465</xdr:colOff>
      <xdr:row>1</xdr:row>
      <xdr:rowOff>136071</xdr:rowOff>
    </xdr:from>
    <xdr:to>
      <xdr:col>17</xdr:col>
      <xdr:colOff>281465</xdr:colOff>
      <xdr:row>4</xdr:row>
      <xdr:rowOff>104571</xdr:rowOff>
    </xdr:to>
    <xdr:pic>
      <xdr:nvPicPr>
        <xdr:cNvPr id="53" name="Image 52">
          <a:extLst>
            <a:ext uri="{FF2B5EF4-FFF2-40B4-BE49-F238E27FC236}">
              <a16:creationId xmlns:a16="http://schemas.microsoft.com/office/drawing/2014/main" id="{638EFB2A-8D8D-4138-AF69-7922770A8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1679" y="1047750"/>
          <a:ext cx="540000" cy="540000"/>
        </a:xfrm>
        <a:prstGeom prst="rect">
          <a:avLst/>
        </a:prstGeom>
      </xdr:spPr>
    </xdr:pic>
    <xdr:clientData/>
  </xdr:twoCellAnchor>
  <xdr:twoCellAnchor>
    <xdr:from>
      <xdr:col>7</xdr:col>
      <xdr:colOff>639536</xdr:colOff>
      <xdr:row>31</xdr:row>
      <xdr:rowOff>81642</xdr:rowOff>
    </xdr:from>
    <xdr:to>
      <xdr:col>11</xdr:col>
      <xdr:colOff>152357</xdr:colOff>
      <xdr:row>44</xdr:row>
      <xdr:rowOff>111535</xdr:rowOff>
    </xdr:to>
    <xdr:graphicFrame macro="">
      <xdr:nvGraphicFramePr>
        <xdr:cNvPr id="54" name="Graphique 53">
          <a:extLst>
            <a:ext uri="{FF2B5EF4-FFF2-40B4-BE49-F238E27FC236}">
              <a16:creationId xmlns:a16="http://schemas.microsoft.com/office/drawing/2014/main" id="{F07A63B0-6A05-40DC-85E7-F18AF17007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669018</xdr:colOff>
      <xdr:row>31</xdr:row>
      <xdr:rowOff>22678</xdr:rowOff>
    </xdr:from>
    <xdr:to>
      <xdr:col>11</xdr:col>
      <xdr:colOff>231322</xdr:colOff>
      <xdr:row>33</xdr:row>
      <xdr:rowOff>0</xdr:rowOff>
    </xdr:to>
    <xdr:sp macro="" textlink="">
      <xdr:nvSpPr>
        <xdr:cNvPr id="55" name="ZoneTexte 54">
          <a:extLst>
            <a:ext uri="{FF2B5EF4-FFF2-40B4-BE49-F238E27FC236}">
              <a16:creationId xmlns:a16="http://schemas.microsoft.com/office/drawing/2014/main" id="{9A1FD9C3-C61A-4BFB-BC13-0DE8D29EBD23}"/>
            </a:ext>
          </a:extLst>
        </xdr:cNvPr>
        <xdr:cNvSpPr txBox="1"/>
      </xdr:nvSpPr>
      <xdr:spPr>
        <a:xfrm>
          <a:off x="7390947" y="7411357"/>
          <a:ext cx="1086304" cy="3719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0" u="sng">
              <a:solidFill>
                <a:srgbClr val="660066"/>
              </a:solidFill>
            </a:rPr>
            <a:t>Retours</a:t>
          </a:r>
          <a:r>
            <a:rPr lang="fr-FR" sz="1200" b="0" u="sng" baseline="0">
              <a:solidFill>
                <a:srgbClr val="660066"/>
              </a:solidFill>
            </a:rPr>
            <a:t> Client</a:t>
          </a:r>
          <a:endParaRPr lang="fr-FR" sz="1200" b="0" u="sng">
            <a:solidFill>
              <a:srgbClr val="660066"/>
            </a:solidFill>
          </a:endParaRPr>
        </a:p>
      </xdr:txBody>
    </xdr:sp>
    <xdr:clientData/>
  </xdr:twoCellAnchor>
  <xdr:twoCellAnchor>
    <xdr:from>
      <xdr:col>8</xdr:col>
      <xdr:colOff>721177</xdr:colOff>
      <xdr:row>36</xdr:row>
      <xdr:rowOff>1135</xdr:rowOff>
    </xdr:from>
    <xdr:to>
      <xdr:col>10</xdr:col>
      <xdr:colOff>176892</xdr:colOff>
      <xdr:row>38</xdr:row>
      <xdr:rowOff>164421</xdr:rowOff>
    </xdr:to>
    <xdr:sp macro="" textlink="Analyse!H119">
      <xdr:nvSpPr>
        <xdr:cNvPr id="56" name="ZoneTexte 55">
          <a:extLst>
            <a:ext uri="{FF2B5EF4-FFF2-40B4-BE49-F238E27FC236}">
              <a16:creationId xmlns:a16="http://schemas.microsoft.com/office/drawing/2014/main" id="{F09C8A21-4B94-4456-9E90-21290B302829}"/>
            </a:ext>
          </a:extLst>
        </xdr:cNvPr>
        <xdr:cNvSpPr txBox="1"/>
      </xdr:nvSpPr>
      <xdr:spPr>
        <a:xfrm>
          <a:off x="6681106" y="8355921"/>
          <a:ext cx="979715" cy="5442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4677178-C504-47FD-A65A-A283B927FC1E}" type="TxLink">
            <a:rPr lang="en-US" sz="2800" b="1" i="0" u="none" strike="noStrike">
              <a:solidFill>
                <a:srgbClr val="FF0000"/>
              </a:solidFill>
              <a:latin typeface="Calibri"/>
              <a:cs typeface="Calibri"/>
            </a:rPr>
            <a:t>0,4%</a:t>
          </a:fld>
          <a:endParaRPr lang="fr-FR" sz="2800" b="1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217714</xdr:colOff>
      <xdr:row>31</xdr:row>
      <xdr:rowOff>81643</xdr:rowOff>
    </xdr:from>
    <xdr:to>
      <xdr:col>14</xdr:col>
      <xdr:colOff>1254536</xdr:colOff>
      <xdr:row>44</xdr:row>
      <xdr:rowOff>111536</xdr:rowOff>
    </xdr:to>
    <xdr:graphicFrame macro="">
      <xdr:nvGraphicFramePr>
        <xdr:cNvPr id="57" name="Graphique 56">
          <a:extLst>
            <a:ext uri="{FF2B5EF4-FFF2-40B4-BE49-F238E27FC236}">
              <a16:creationId xmlns:a16="http://schemas.microsoft.com/office/drawing/2014/main" id="{D8AEC58C-753D-4F2A-A259-3D4DABB378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 editAs="oneCell">
    <xdr:from>
      <xdr:col>1</xdr:col>
      <xdr:colOff>68040</xdr:colOff>
      <xdr:row>0</xdr:row>
      <xdr:rowOff>40818</xdr:rowOff>
    </xdr:from>
    <xdr:to>
      <xdr:col>2</xdr:col>
      <xdr:colOff>734682</xdr:colOff>
      <xdr:row>1</xdr:row>
      <xdr:rowOff>28409</xdr:rowOff>
    </xdr:to>
    <xdr:pic>
      <xdr:nvPicPr>
        <xdr:cNvPr id="63" name="Image 62">
          <a:extLst>
            <a:ext uri="{FF2B5EF4-FFF2-40B4-BE49-F238E27FC236}">
              <a16:creationId xmlns:a16="http://schemas.microsoft.com/office/drawing/2014/main" id="{339F7CAF-57EF-4887-84F3-C22ACB643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111" y="40818"/>
          <a:ext cx="1728000" cy="8992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10583</xdr:colOff>
      <xdr:row>0</xdr:row>
      <xdr:rowOff>63500</xdr:rowOff>
    </xdr:from>
    <xdr:to>
      <xdr:col>17</xdr:col>
      <xdr:colOff>0</xdr:colOff>
      <xdr:row>14</xdr:row>
      <xdr:rowOff>52912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8C1C390-7423-480B-B8CA-AB16338C96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5952</xdr:colOff>
      <xdr:row>0</xdr:row>
      <xdr:rowOff>71437</xdr:rowOff>
    </xdr:from>
    <xdr:to>
      <xdr:col>18</xdr:col>
      <xdr:colOff>0</xdr:colOff>
      <xdr:row>8</xdr:row>
      <xdr:rowOff>130970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C2FFC4D-8AD3-4E00-9B56-0A6E42A699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1262061</xdr:colOff>
      <xdr:row>0</xdr:row>
      <xdr:rowOff>86915</xdr:rowOff>
    </xdr:from>
    <xdr:to>
      <xdr:col>18</xdr:col>
      <xdr:colOff>11905</xdr:colOff>
      <xdr:row>10</xdr:row>
      <xdr:rowOff>83344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D3C7C36-3646-4B52-B02D-0A165A5C41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63500</xdr:rowOff>
    </xdr:from>
    <xdr:to>
      <xdr:col>16</xdr:col>
      <xdr:colOff>0</xdr:colOff>
      <xdr:row>15</xdr:row>
      <xdr:rowOff>122766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F011497-24E6-4552-97B7-1D5AD3D030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47625</xdr:rowOff>
    </xdr:from>
    <xdr:to>
      <xdr:col>6</xdr:col>
      <xdr:colOff>762000</xdr:colOff>
      <xdr:row>11</xdr:row>
      <xdr:rowOff>104775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1A71BA4-D1D8-4379-898C-0B4E56B625E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809625</xdr:colOff>
      <xdr:row>0</xdr:row>
      <xdr:rowOff>57150</xdr:rowOff>
    </xdr:from>
    <xdr:to>
      <xdr:col>18</xdr:col>
      <xdr:colOff>9525</xdr:colOff>
      <xdr:row>11</xdr:row>
      <xdr:rowOff>95250</xdr:rowOff>
    </xdr:to>
    <xdr:graphicFrame macro="">
      <xdr:nvGraphicFramePr>
        <xdr:cNvPr id="3" name="Graphique 1">
          <a:extLst>
            <a:ext uri="{FF2B5EF4-FFF2-40B4-BE49-F238E27FC236}">
              <a16:creationId xmlns:a16="http://schemas.microsoft.com/office/drawing/2014/main" id="{A5902E7D-1548-4945-9B3B-EDC8DE1A9F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21167</xdr:colOff>
      <xdr:row>0</xdr:row>
      <xdr:rowOff>116417</xdr:rowOff>
    </xdr:from>
    <xdr:to>
      <xdr:col>15</xdr:col>
      <xdr:colOff>772584</xdr:colOff>
      <xdr:row>13</xdr:row>
      <xdr:rowOff>137583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BD96B95-95C2-4393-B820-0A310B1EF7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10584</xdr:colOff>
      <xdr:row>0</xdr:row>
      <xdr:rowOff>120650</xdr:rowOff>
    </xdr:from>
    <xdr:to>
      <xdr:col>17</xdr:col>
      <xdr:colOff>772585</xdr:colOff>
      <xdr:row>16</xdr:row>
      <xdr:rowOff>105833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3B22BD3-DFB7-4403-9881-BB5A4C4994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437031</xdr:colOff>
      <xdr:row>4</xdr:row>
      <xdr:rowOff>50913</xdr:rowOff>
    </xdr:from>
    <xdr:to>
      <xdr:col>0</xdr:col>
      <xdr:colOff>2237031</xdr:colOff>
      <xdr:row>44</xdr:row>
      <xdr:rowOff>145676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3B123E75-6778-4686-9FFD-1E55441CF80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649941</xdr:colOff>
      <xdr:row>2</xdr:row>
      <xdr:rowOff>100853</xdr:rowOff>
    </xdr:from>
    <xdr:to>
      <xdr:col>0</xdr:col>
      <xdr:colOff>2057524</xdr:colOff>
      <xdr:row>4</xdr:row>
      <xdr:rowOff>16186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28E50C99-6FA0-44AC-9239-6593D477E4FB}"/>
            </a:ext>
          </a:extLst>
        </xdr:cNvPr>
        <xdr:cNvSpPr txBox="1"/>
      </xdr:nvSpPr>
      <xdr:spPr>
        <a:xfrm>
          <a:off x="649941" y="291353"/>
          <a:ext cx="1407583" cy="262715"/>
        </a:xfrm>
        <a:prstGeom prst="rect">
          <a:avLst/>
        </a:prstGeom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 b="1" u="none">
              <a:solidFill>
                <a:srgbClr val="660066"/>
              </a:solidFill>
            </a:rPr>
            <a:t>Dépot</a:t>
          </a:r>
          <a:r>
            <a:rPr lang="fr-FR" sz="1100" b="1" u="none" baseline="0">
              <a:solidFill>
                <a:srgbClr val="660066"/>
              </a:solidFill>
            </a:rPr>
            <a:t> PF1</a:t>
          </a:r>
          <a:endParaRPr lang="fr-FR" sz="1100" b="1" u="none">
            <a:solidFill>
              <a:srgbClr val="660066"/>
            </a:solidFill>
          </a:endParaRPr>
        </a:p>
      </xdr:txBody>
    </xdr:sp>
    <xdr:clientData/>
  </xdr:twoCellAnchor>
  <xdr:twoCellAnchor>
    <xdr:from>
      <xdr:col>0</xdr:col>
      <xdr:colOff>2297206</xdr:colOff>
      <xdr:row>5</xdr:row>
      <xdr:rowOff>0</xdr:rowOff>
    </xdr:from>
    <xdr:to>
      <xdr:col>0</xdr:col>
      <xdr:colOff>4099046</xdr:colOff>
      <xdr:row>44</xdr:row>
      <xdr:rowOff>145676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ABB89122-B348-4FC0-95D5-FC7B4506871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2543740</xdr:colOff>
      <xdr:row>2</xdr:row>
      <xdr:rowOff>89646</xdr:rowOff>
    </xdr:from>
    <xdr:to>
      <xdr:col>0</xdr:col>
      <xdr:colOff>3861050</xdr:colOff>
      <xdr:row>4</xdr:row>
      <xdr:rowOff>14319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ABEACC00-1F54-4EB6-B6BB-78546FF6EF67}"/>
            </a:ext>
          </a:extLst>
        </xdr:cNvPr>
        <xdr:cNvSpPr txBox="1"/>
      </xdr:nvSpPr>
      <xdr:spPr>
        <a:xfrm>
          <a:off x="2543740" y="280146"/>
          <a:ext cx="1317310" cy="272055"/>
        </a:xfrm>
        <a:prstGeom prst="rect">
          <a:avLst/>
        </a:prstGeom>
        <a:solidFill>
          <a:schemeClr val="lt1"/>
        </a:solidFill>
        <a:ln w="9525" cmpd="sng">
          <a:solidFill>
            <a:srgbClr val="66006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 b="1" u="none">
              <a:solidFill>
                <a:srgbClr val="660066"/>
              </a:solidFill>
            </a:rPr>
            <a:t>Dépot PF2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62440</xdr:rowOff>
    </xdr:from>
    <xdr:to>
      <xdr:col>20</xdr:col>
      <xdr:colOff>761999</xdr:colOff>
      <xdr:row>12</xdr:row>
      <xdr:rowOff>42333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18AB90F-8676-4C35-879C-3A10E7C9707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&#233;es%20de%20travail\Boite%20&#224;%20Outil%20Chaker%20Aissa\Soci&#233;t&#233;%20Chimicouleurs%20Emballages\Supply%20Chain\TBD\Suivi%20PIC%20Vs%20PDP\2022\Suivi%20PIC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&#233;es%20de%20travail\Boite%20&#224;%20Outil%20Chaker%20Aissa\Soci&#233;t&#233;%20Chimicouleurs%20Emballages\Supply%20Chain\TBD\Suivi%20tendence%20Production\Tendence%20Product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&#233;es%20de%20travail\Boite%20&#224;%20Outil%20Chaker%20Aissa\Soci&#233;t&#233;%20Chimicouleurs%20Emballages\Supply%20Chain\TBD\Suivi%20Consommation%20Fer\2022\Conso.2022%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&#233;es%20de%20travail\Boite%20&#224;%20Outil%20Chaker%20Aissa\Soci&#233;t&#233;%20Chimicouleurs%20Emballages\Supply%20Chain\TBD\Suivi%20CA\Suivi%20C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&#233;es%20de%20travail\Boite%20&#224;%20Outil%20Chaker%20Aissa\Soci&#233;t&#233;%20Chimicouleurs%20Emballages\Supply%20Chain\TBD\Suivi%20Couverture%20de%20Stock%20MP\Couverture%20de%20Stock%20Moyenn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&#233;es%20de%20travail\Boite%20&#224;%20Outil%20Chaker%20Aissa\Soci&#233;t&#233;%20Chimicouleurs%20Emballages\Supply%20Chain\TBD\Suivi%20Rotation%20de%20Stock%20Fer\Suivi%20Rotation%20des%20Stock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&#233;es%20de%20travail\Boite%20&#224;%20Outil%20Chaker%20Aissa\Soci&#233;t&#233;%20Chimicouleurs%20Emballages\Supply%20Chain\TBD\Suivi%20Remplissage%20Magasin%20PF\2022\Taux%20de%20Remplissage%20D&#233;pot%20P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C 2022"/>
      <sheetName val="Suivi Prod.2022"/>
      <sheetName val="Suivi Liv.2022"/>
      <sheetName val="Stock Fer Prévisonnel 2022"/>
    </sheetNames>
    <sheetDataSet>
      <sheetData sheetId="0"/>
      <sheetData sheetId="1">
        <row r="8">
          <cell r="F8">
            <v>0.7756449383441586</v>
          </cell>
          <cell r="G8">
            <v>0.59910108937849949</v>
          </cell>
          <cell r="H8">
            <v>0.32306032470598584</v>
          </cell>
          <cell r="I8">
            <v>0.49007648723004782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11">
          <cell r="F11">
            <v>507985.74692666112</v>
          </cell>
          <cell r="G11">
            <v>3256407.8093841388</v>
          </cell>
          <cell r="H11">
            <v>20624023.799756039</v>
          </cell>
          <cell r="I11">
            <v>21208994.354635298</v>
          </cell>
          <cell r="J11">
            <v>14289638.281341184</v>
          </cell>
          <cell r="K11">
            <v>22013644.230739068</v>
          </cell>
          <cell r="L11">
            <v>16645857.193568034</v>
          </cell>
          <cell r="M11">
            <v>12975977.902131693</v>
          </cell>
          <cell r="N11">
            <v>14182898.415348502</v>
          </cell>
          <cell r="O11">
            <v>10269675.732009031</v>
          </cell>
          <cell r="P11">
            <v>5307682.8595377766</v>
          </cell>
          <cell r="Q11">
            <v>2642941.7926015663</v>
          </cell>
        </row>
        <row r="12">
          <cell r="F12">
            <v>191004</v>
          </cell>
          <cell r="G12">
            <v>384075</v>
          </cell>
          <cell r="H12">
            <v>5812633</v>
          </cell>
          <cell r="I12">
            <v>10320986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32">
          <cell r="F32">
            <v>129167.74218200092</v>
          </cell>
          <cell r="G32">
            <v>157633.53250390157</v>
          </cell>
          <cell r="H32">
            <v>565780.2981667273</v>
          </cell>
          <cell r="I32">
            <v>465698.96673515678</v>
          </cell>
          <cell r="J32">
            <v>0</v>
          </cell>
          <cell r="K32">
            <v>100965.61413365873</v>
          </cell>
          <cell r="L32">
            <v>0</v>
          </cell>
          <cell r="M32">
            <v>0</v>
          </cell>
          <cell r="N32">
            <v>300660.17505266686</v>
          </cell>
          <cell r="O32">
            <v>204253.89008023366</v>
          </cell>
          <cell r="P32">
            <v>139091.99015873973</v>
          </cell>
          <cell r="Q32">
            <v>89581.082795673356</v>
          </cell>
        </row>
        <row r="33">
          <cell r="F33">
            <v>771645</v>
          </cell>
          <cell r="G33">
            <v>363715</v>
          </cell>
          <cell r="H33">
            <v>50616</v>
          </cell>
          <cell r="I33">
            <v>386619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53">
          <cell r="F53">
            <v>46110.941643080732</v>
          </cell>
          <cell r="G53">
            <v>352815.24538548075</v>
          </cell>
          <cell r="H53">
            <v>465714.65647641337</v>
          </cell>
          <cell r="I53">
            <v>32405.278937861021</v>
          </cell>
          <cell r="J53">
            <v>38250.03104997932</v>
          </cell>
          <cell r="K53">
            <v>222781.21912825276</v>
          </cell>
          <cell r="L53">
            <v>200551.17904370028</v>
          </cell>
          <cell r="M53">
            <v>8445.5419141452967</v>
          </cell>
          <cell r="N53">
            <v>303017.77005843451</v>
          </cell>
          <cell r="O53">
            <v>175362.85764171605</v>
          </cell>
          <cell r="P53">
            <v>6499.6328575866828</v>
          </cell>
          <cell r="Q53">
            <v>24268.053942023245</v>
          </cell>
        </row>
        <row r="54">
          <cell r="F54">
            <v>125224</v>
          </cell>
          <cell r="G54">
            <v>335048</v>
          </cell>
          <cell r="H54">
            <v>428744</v>
          </cell>
          <cell r="I54">
            <v>45178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77">
          <cell r="F77">
            <v>1624452.136291486</v>
          </cell>
          <cell r="G77">
            <v>1251317.7843824713</v>
          </cell>
          <cell r="H77">
            <v>868279.04184495157</v>
          </cell>
          <cell r="I77">
            <v>1440018.493088769</v>
          </cell>
          <cell r="J77">
            <v>1043883.5905236241</v>
          </cell>
          <cell r="K77">
            <v>1292409.0638707783</v>
          </cell>
          <cell r="L77">
            <v>804026.52262042125</v>
          </cell>
          <cell r="M77">
            <v>1057464.0190118048</v>
          </cell>
          <cell r="N77">
            <v>504863.07745118433</v>
          </cell>
          <cell r="O77">
            <v>495841.37615305517</v>
          </cell>
          <cell r="P77">
            <v>611735.62364518468</v>
          </cell>
          <cell r="Q77">
            <v>587539.81037959165</v>
          </cell>
        </row>
        <row r="78">
          <cell r="F78">
            <v>661040</v>
          </cell>
          <cell r="G78">
            <v>719519</v>
          </cell>
          <cell r="H78">
            <v>900749</v>
          </cell>
          <cell r="I78">
            <v>528824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143">
          <cell r="F143">
            <v>2916116.9161608769</v>
          </cell>
          <cell r="G143">
            <v>3849926.6787218815</v>
          </cell>
          <cell r="H143">
            <v>2263510.9123935513</v>
          </cell>
          <cell r="I143">
            <v>2775791.5362440064</v>
          </cell>
          <cell r="J143">
            <v>642014.74800203252</v>
          </cell>
          <cell r="K143">
            <v>3316766.5564695764</v>
          </cell>
          <cell r="L143">
            <v>1024909.7127989543</v>
          </cell>
          <cell r="M143">
            <v>306241.16547138122</v>
          </cell>
          <cell r="N143">
            <v>1442968.4042694685</v>
          </cell>
          <cell r="O143">
            <v>2731442.7241056557</v>
          </cell>
          <cell r="P143">
            <v>1255742.2735206878</v>
          </cell>
          <cell r="Q143">
            <v>1956010.3486058684</v>
          </cell>
        </row>
        <row r="144">
          <cell r="F144">
            <v>2302927</v>
          </cell>
          <cell r="G144">
            <v>3510532</v>
          </cell>
          <cell r="H144">
            <v>815054</v>
          </cell>
          <cell r="I144">
            <v>1422601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</sheetData>
      <sheetData sheetId="2">
        <row r="8">
          <cell r="F8">
            <v>0.61986854234365441</v>
          </cell>
          <cell r="G8">
            <v>0.56619365286686363</v>
          </cell>
          <cell r="H8">
            <v>0.25319727282038401</v>
          </cell>
          <cell r="I8">
            <v>0.41979807011889464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11">
          <cell r="F11">
            <v>508064.74405296851</v>
          </cell>
          <cell r="G11">
            <v>3256914.2150472547</v>
          </cell>
          <cell r="H11">
            <v>20627231.052366827</v>
          </cell>
          <cell r="I11">
            <v>21212292.576319713</v>
          </cell>
          <cell r="J11">
            <v>14291860.470382962</v>
          </cell>
          <cell r="K11">
            <v>22017067.583941989</v>
          </cell>
          <cell r="L11">
            <v>16648445.799431823</v>
          </cell>
          <cell r="M11">
            <v>12977995.803168284</v>
          </cell>
          <cell r="N11">
            <v>14185104.005218497</v>
          </cell>
          <cell r="O11">
            <v>10271272.774595061</v>
          </cell>
          <cell r="P11">
            <v>5308508.2600451559</v>
          </cell>
          <cell r="Q11">
            <v>2643352.79784704</v>
          </cell>
        </row>
        <row r="12">
          <cell r="F12">
            <v>209923</v>
          </cell>
          <cell r="G12">
            <v>567708</v>
          </cell>
          <cell r="H12">
            <v>3792529</v>
          </cell>
          <cell r="I12">
            <v>9136538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32">
          <cell r="F32">
            <v>127156.36560456174</v>
          </cell>
          <cell r="G32">
            <v>155178.89181930551</v>
          </cell>
          <cell r="H32">
            <v>556970.07031505776</v>
          </cell>
          <cell r="I32">
            <v>458447.18716538686</v>
          </cell>
          <cell r="J32">
            <v>0</v>
          </cell>
          <cell r="K32">
            <v>99393.395962429437</v>
          </cell>
          <cell r="L32">
            <v>0</v>
          </cell>
          <cell r="M32">
            <v>0</v>
          </cell>
          <cell r="N32">
            <v>295978.34951593488</v>
          </cell>
          <cell r="O32">
            <v>201073.28567066402</v>
          </cell>
          <cell r="P32">
            <v>136926.07499765797</v>
          </cell>
          <cell r="Q32">
            <v>88186.142474869586</v>
          </cell>
        </row>
        <row r="33">
          <cell r="F33">
            <v>280708</v>
          </cell>
          <cell r="G33">
            <v>399473</v>
          </cell>
          <cell r="H33">
            <v>270447</v>
          </cell>
          <cell r="I33">
            <v>359301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53">
          <cell r="F53">
            <v>48676.537467807895</v>
          </cell>
          <cell r="G53">
            <v>372445.75580679439</v>
          </cell>
          <cell r="H53">
            <v>491626.84858514735</v>
          </cell>
          <cell r="I53">
            <v>34208.296733195304</v>
          </cell>
          <cell r="J53">
            <v>40378.248702030607</v>
          </cell>
          <cell r="K53">
            <v>235176.68417963365</v>
          </cell>
          <cell r="L53">
            <v>211709.77284517456</v>
          </cell>
          <cell r="M53">
            <v>8915.448758386483</v>
          </cell>
          <cell r="N53">
            <v>319877.5672774468</v>
          </cell>
          <cell r="O53">
            <v>185119.98250939531</v>
          </cell>
          <cell r="P53">
            <v>6861.2700379929975</v>
          </cell>
          <cell r="Q53">
            <v>25618.319532993904</v>
          </cell>
        </row>
        <row r="54">
          <cell r="F54">
            <v>147866</v>
          </cell>
          <cell r="G54">
            <v>254174</v>
          </cell>
          <cell r="H54">
            <v>198323</v>
          </cell>
          <cell r="I54">
            <v>131141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143">
          <cell r="F143">
            <v>2846677.9453172055</v>
          </cell>
          <cell r="G143">
            <v>3758251.7033762448</v>
          </cell>
          <cell r="H143">
            <v>2209611.8840730572</v>
          </cell>
          <cell r="I143">
            <v>2709694.0123466747</v>
          </cell>
          <cell r="J143">
            <v>626727.00589517225</v>
          </cell>
          <cell r="K143">
            <v>3237787.2621437619</v>
          </cell>
          <cell r="L143">
            <v>1000504.4239471834</v>
          </cell>
          <cell r="M143">
            <v>298948.90937477211</v>
          </cell>
          <cell r="N143">
            <v>1408608.245252141</v>
          </cell>
          <cell r="O143">
            <v>2666401.2401276971</v>
          </cell>
          <cell r="P143">
            <v>1225840.3684787713</v>
          </cell>
          <cell r="Q143">
            <v>1909433.565345211</v>
          </cell>
        </row>
        <row r="144">
          <cell r="F144">
            <v>1922861</v>
          </cell>
          <cell r="G144">
            <v>3021604</v>
          </cell>
          <cell r="H144">
            <v>1155768</v>
          </cell>
          <cell r="I144">
            <v>571154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 Vs 2022"/>
      <sheetName val="Analyse"/>
      <sheetName val="Source Dec Prod"/>
      <sheetName val="Source CC"/>
    </sheetNames>
    <sheetDataSet>
      <sheetData sheetId="0">
        <row r="11">
          <cell r="E11">
            <v>3390870</v>
          </cell>
          <cell r="F11">
            <v>6850548</v>
          </cell>
          <cell r="G11">
            <v>23902696</v>
          </cell>
          <cell r="H11">
            <v>24330512</v>
          </cell>
          <cell r="I11">
            <v>19769240</v>
          </cell>
          <cell r="J11">
            <v>22091597</v>
          </cell>
          <cell r="K11">
            <v>20701623</v>
          </cell>
          <cell r="L11">
            <v>17643449</v>
          </cell>
          <cell r="M11">
            <v>13532817</v>
          </cell>
          <cell r="N11">
            <v>15403059</v>
          </cell>
          <cell r="O11">
            <v>10273875</v>
          </cell>
          <cell r="P11">
            <v>5896465</v>
          </cell>
        </row>
        <row r="12">
          <cell r="E12">
            <v>3298574</v>
          </cell>
          <cell r="F12">
            <v>4430393</v>
          </cell>
          <cell r="G12">
            <v>6764961</v>
          </cell>
          <cell r="H12">
            <v>12161102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89">
          <cell r="E89">
            <v>1224627</v>
          </cell>
          <cell r="F89">
            <v>1284311</v>
          </cell>
          <cell r="G89">
            <v>1343122</v>
          </cell>
          <cell r="H89">
            <v>1372524</v>
          </cell>
          <cell r="I89">
            <v>1120026</v>
          </cell>
          <cell r="J89">
            <v>1522430</v>
          </cell>
          <cell r="K89">
            <v>879666</v>
          </cell>
          <cell r="L89">
            <v>1140186</v>
          </cell>
          <cell r="M89">
            <v>801089</v>
          </cell>
          <cell r="N89">
            <v>706559</v>
          </cell>
          <cell r="O89">
            <v>541488</v>
          </cell>
          <cell r="P89">
            <v>704924</v>
          </cell>
        </row>
        <row r="90">
          <cell r="E90">
            <v>752163</v>
          </cell>
          <cell r="F90">
            <v>1172160</v>
          </cell>
          <cell r="G90">
            <v>1421970</v>
          </cell>
          <cell r="H90">
            <v>602580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ivi Détaillé Taux de Déchet"/>
      <sheetName val="Source"/>
      <sheetName val="Analyse TDC"/>
    </sheetNames>
    <sheetDataSet>
      <sheetData sheetId="0">
        <row r="12">
          <cell r="F12">
            <v>248368</v>
          </cell>
          <cell r="G12">
            <v>66452</v>
          </cell>
          <cell r="H12">
            <v>207331</v>
          </cell>
          <cell r="I12">
            <v>25386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F13">
            <v>237158.94484126984</v>
          </cell>
          <cell r="G13">
            <v>64165.373412698405</v>
          </cell>
          <cell r="H13">
            <v>201323.85259081193</v>
          </cell>
          <cell r="I13">
            <v>22144.583333333336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72">
          <cell r="F172">
            <v>61085</v>
          </cell>
          <cell r="G172">
            <v>60481</v>
          </cell>
          <cell r="H172">
            <v>39990</v>
          </cell>
          <cell r="I172">
            <v>17121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3">
          <cell r="F173">
            <v>58902.851298701295</v>
          </cell>
          <cell r="G173">
            <v>55572.253174603175</v>
          </cell>
          <cell r="H173">
            <v>38834.07261904762</v>
          </cell>
          <cell r="I173">
            <v>16731.25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</row>
        <row r="252">
          <cell r="F252">
            <v>39512</v>
          </cell>
          <cell r="G252">
            <v>30821</v>
          </cell>
          <cell r="H252">
            <v>18599</v>
          </cell>
          <cell r="I252">
            <v>43301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</row>
        <row r="253">
          <cell r="F253">
            <v>39333.408279220777</v>
          </cell>
          <cell r="G253">
            <v>30567.493063186808</v>
          </cell>
          <cell r="H253">
            <v>18545.78125</v>
          </cell>
          <cell r="I253">
            <v>43164.865178571425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</row>
        <row r="320">
          <cell r="F320">
            <v>8075.5555555555547</v>
          </cell>
          <cell r="G320">
            <v>6928.6388888888887</v>
          </cell>
          <cell r="H320">
            <v>9229.6868131868141</v>
          </cell>
          <cell r="I320">
            <v>1494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F321">
            <v>7704.2472527472528</v>
          </cell>
          <cell r="G321">
            <v>6927.4871031746025</v>
          </cell>
          <cell r="H321">
            <v>9227.6600274725279</v>
          </cell>
          <cell r="I321">
            <v>1489.6666666666665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</row>
        <row r="364">
          <cell r="F364">
            <v>813908</v>
          </cell>
          <cell r="G364">
            <v>714647</v>
          </cell>
          <cell r="H364">
            <v>841031</v>
          </cell>
          <cell r="I364">
            <v>1224473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</row>
        <row r="365">
          <cell r="F365">
            <v>797904</v>
          </cell>
          <cell r="G365">
            <v>697579</v>
          </cell>
          <cell r="H365">
            <v>823301</v>
          </cell>
          <cell r="I365">
            <v>1053812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e"/>
      <sheetName val="Source"/>
      <sheetName val="Tendence CA"/>
    </sheetNames>
    <sheetDataSet>
      <sheetData sheetId="0"/>
      <sheetData sheetId="1"/>
      <sheetData sheetId="2">
        <row r="17">
          <cell r="B17">
            <v>2021</v>
          </cell>
          <cell r="E17">
            <v>1269262.1970000004</v>
          </cell>
          <cell r="F17">
            <v>3786617.4949999992</v>
          </cell>
          <cell r="G17">
            <v>11399981.828999959</v>
          </cell>
          <cell r="H17">
            <v>13315882.34599996</v>
          </cell>
          <cell r="I17">
            <v>10839908.285999982</v>
          </cell>
          <cell r="J17">
            <v>12229900.964000002</v>
          </cell>
          <cell r="K17">
            <v>12213586.967999987</v>
          </cell>
          <cell r="L17">
            <v>12300170.909000007</v>
          </cell>
          <cell r="M17">
            <v>16573166.747000005</v>
          </cell>
          <cell r="N17">
            <v>8225999.9770000018</v>
          </cell>
          <cell r="O17">
            <v>8040186.6080000019</v>
          </cell>
          <cell r="P17">
            <v>5496266.8250000011</v>
          </cell>
        </row>
        <row r="19">
          <cell r="B19">
            <v>2022</v>
          </cell>
          <cell r="E19">
            <v>2639910.3059999999</v>
          </cell>
          <cell r="F19">
            <v>5546038.612999999</v>
          </cell>
          <cell r="G19">
            <v>6771803.0269999988</v>
          </cell>
          <cell r="H19">
            <v>8692284.6019999962</v>
          </cell>
        </row>
        <row r="23">
          <cell r="E23" t="str">
            <v>Janvier</v>
          </cell>
          <cell r="F23" t="str">
            <v>Février</v>
          </cell>
          <cell r="G23" t="str">
            <v>Mars</v>
          </cell>
          <cell r="H23" t="str">
            <v>Avril</v>
          </cell>
        </row>
        <row r="24">
          <cell r="E24">
            <v>0</v>
          </cell>
          <cell r="F24">
            <v>81109.921000000002</v>
          </cell>
          <cell r="G24">
            <v>7789535.5359999603</v>
          </cell>
          <cell r="H24">
            <v>9321772.8719999604</v>
          </cell>
          <cell r="I24">
            <v>7771023.0709999809</v>
          </cell>
          <cell r="J24">
            <v>9049454.6320000011</v>
          </cell>
          <cell r="K24">
            <v>9601350.0179999862</v>
          </cell>
          <cell r="L24">
            <v>9300750.0670000073</v>
          </cell>
          <cell r="M24">
            <v>12914398.215000004</v>
          </cell>
          <cell r="N24">
            <v>3812432.79</v>
          </cell>
          <cell r="O24">
            <v>5110570.6920000007</v>
          </cell>
          <cell r="P24">
            <v>1856724.4829999986</v>
          </cell>
        </row>
        <row r="25">
          <cell r="E25">
            <v>847669.34800000011</v>
          </cell>
          <cell r="F25">
            <v>783631.62799999991</v>
          </cell>
          <cell r="G25">
            <v>2891647.8139999979</v>
          </cell>
          <cell r="H25">
            <v>6092855.9749999959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7">
          <cell r="E27">
            <v>0</v>
          </cell>
          <cell r="F27">
            <v>111803.13000000002</v>
          </cell>
          <cell r="G27">
            <v>268372.58</v>
          </cell>
          <cell r="H27">
            <v>337475.96699999995</v>
          </cell>
          <cell r="I27">
            <v>128463.40000000001</v>
          </cell>
          <cell r="J27">
            <v>81183.579999999987</v>
          </cell>
          <cell r="K27">
            <v>8775.6</v>
          </cell>
          <cell r="L27">
            <v>27223.395000000004</v>
          </cell>
          <cell r="M27">
            <v>277767.62</v>
          </cell>
          <cell r="N27">
            <v>202783.74000000005</v>
          </cell>
          <cell r="O27">
            <v>69601.37</v>
          </cell>
          <cell r="P27">
            <v>327818.81</v>
          </cell>
        </row>
        <row r="28">
          <cell r="E28">
            <v>41268.627</v>
          </cell>
          <cell r="F28">
            <v>672140.12800000003</v>
          </cell>
          <cell r="G28">
            <v>337187.87699999998</v>
          </cell>
          <cell r="H28">
            <v>418530.57799999998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30">
          <cell r="E30">
            <v>0</v>
          </cell>
          <cell r="F30">
            <v>15313</v>
          </cell>
          <cell r="G30">
            <v>75952.990000000005</v>
          </cell>
          <cell r="H30">
            <v>33078.006000000001</v>
          </cell>
          <cell r="I30">
            <v>0</v>
          </cell>
          <cell r="J30">
            <v>21869.974999999999</v>
          </cell>
          <cell r="K30">
            <v>11393.817999999999</v>
          </cell>
          <cell r="L30">
            <v>0</v>
          </cell>
          <cell r="M30">
            <v>45259.885000000002</v>
          </cell>
          <cell r="N30">
            <v>48237.698000000004</v>
          </cell>
          <cell r="O30">
            <v>42496.460000000006</v>
          </cell>
          <cell r="P30">
            <v>991.19</v>
          </cell>
        </row>
        <row r="31">
          <cell r="E31">
            <v>1525.64</v>
          </cell>
          <cell r="F31">
            <v>44679.460000000006</v>
          </cell>
          <cell r="G31">
            <v>7673.518</v>
          </cell>
          <cell r="H31">
            <v>8211.6899999999987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3">
          <cell r="E33">
            <v>1269262.1970000004</v>
          </cell>
          <cell r="F33">
            <v>2013782.3039999984</v>
          </cell>
          <cell r="G33">
            <v>1938641.7559999975</v>
          </cell>
          <cell r="H33">
            <v>2036648.9170000008</v>
          </cell>
          <cell r="I33">
            <v>1964591.6940000008</v>
          </cell>
          <cell r="J33">
            <v>2435378.1450000023</v>
          </cell>
          <cell r="K33">
            <v>1726075.1080000005</v>
          </cell>
          <cell r="L33">
            <v>2072201.3080000004</v>
          </cell>
          <cell r="M33">
            <v>2288216.5730000017</v>
          </cell>
          <cell r="N33">
            <v>2606367.3210000023</v>
          </cell>
          <cell r="O33">
            <v>2154515.6890000007</v>
          </cell>
          <cell r="P33">
            <v>2051417.1400000008</v>
          </cell>
        </row>
        <row r="34">
          <cell r="E34">
            <v>1109775.953</v>
          </cell>
          <cell r="F34">
            <v>2040602.8209999993</v>
          </cell>
          <cell r="G34">
            <v>2485211.7800000012</v>
          </cell>
          <cell r="H34">
            <v>1954739.0489999999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6">
          <cell r="E36">
            <v>0</v>
          </cell>
          <cell r="F36">
            <v>36146.923999999999</v>
          </cell>
          <cell r="G36">
            <v>27689.018999999997</v>
          </cell>
          <cell r="H36">
            <v>53156.746999999988</v>
          </cell>
          <cell r="I36">
            <v>10834.660000000002</v>
          </cell>
          <cell r="J36">
            <v>6512.9740000000002</v>
          </cell>
          <cell r="K36">
            <v>22030.488000000001</v>
          </cell>
          <cell r="L36">
            <v>38808.18499999999</v>
          </cell>
          <cell r="M36">
            <v>47606.784999999989</v>
          </cell>
          <cell r="N36">
            <v>20726.412000000004</v>
          </cell>
          <cell r="O36">
            <v>15269.848</v>
          </cell>
          <cell r="P36">
            <v>2630.7</v>
          </cell>
        </row>
        <row r="37">
          <cell r="E37">
            <v>9585.8080000000009</v>
          </cell>
          <cell r="F37">
            <v>10358.508</v>
          </cell>
          <cell r="G37">
            <v>98023.623999999996</v>
          </cell>
          <cell r="H37">
            <v>8486.18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9">
          <cell r="E39">
            <v>0</v>
          </cell>
          <cell r="F39">
            <v>1528462.2160000005</v>
          </cell>
          <cell r="G39">
            <v>1299789.9480000003</v>
          </cell>
          <cell r="H39">
            <v>1533749.8370000001</v>
          </cell>
          <cell r="I39">
            <v>964995.46100000001</v>
          </cell>
          <cell r="J39">
            <v>635501.65800000017</v>
          </cell>
          <cell r="K39">
            <v>843961.93599999999</v>
          </cell>
          <cell r="L39">
            <v>861187.95400000014</v>
          </cell>
          <cell r="M39">
            <v>999917.66899999988</v>
          </cell>
          <cell r="N39">
            <v>1535452.0160000001</v>
          </cell>
          <cell r="O39">
            <v>647732.54900000023</v>
          </cell>
          <cell r="P39">
            <v>1256684.5020000008</v>
          </cell>
        </row>
        <row r="40">
          <cell r="E40">
            <v>630084.93000000005</v>
          </cell>
          <cell r="F40">
            <v>1994626.0679999997</v>
          </cell>
          <cell r="G40">
            <v>952058.41399999999</v>
          </cell>
          <cell r="H40">
            <v>209461.13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e"/>
      <sheetName val="Suivi Couverture de Stock Fer"/>
      <sheetName val="Source Conso.Moy."/>
      <sheetName val="Source Stock Fer"/>
    </sheetNames>
    <sheetDataSet>
      <sheetData sheetId="0"/>
      <sheetData sheetId="1">
        <row r="13">
          <cell r="T13">
            <v>0.83962364530282385</v>
          </cell>
        </row>
        <row r="15">
          <cell r="E15">
            <v>0.83962364530282385</v>
          </cell>
        </row>
        <row r="17">
          <cell r="E17">
            <v>0.16037635469717615</v>
          </cell>
          <cell r="G17" t="str">
            <v>Janvier</v>
          </cell>
          <cell r="H17" t="str">
            <v>Février</v>
          </cell>
          <cell r="I17" t="str">
            <v>Mars</v>
          </cell>
          <cell r="J17" t="str">
            <v>Avril</v>
          </cell>
          <cell r="K17" t="str">
            <v>Mai</v>
          </cell>
          <cell r="L17" t="str">
            <v>Juin</v>
          </cell>
          <cell r="M17" t="str">
            <v>Juillet</v>
          </cell>
          <cell r="N17" t="str">
            <v>Août</v>
          </cell>
          <cell r="O17" t="str">
            <v>Septembre</v>
          </cell>
          <cell r="P17" t="str">
            <v>Octobre</v>
          </cell>
          <cell r="Q17" t="str">
            <v>Novembre</v>
          </cell>
          <cell r="R17" t="str">
            <v>Décembre</v>
          </cell>
        </row>
        <row r="20">
          <cell r="G20">
            <v>0.87251423460425315</v>
          </cell>
          <cell r="H20">
            <v>0.86885405998875653</v>
          </cell>
          <cell r="I20">
            <v>0.82809245656123676</v>
          </cell>
          <cell r="J20">
            <v>0.80663783163505653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G21">
            <v>2060.5951397417034</v>
          </cell>
          <cell r="H21">
            <v>2024.2608796115999</v>
          </cell>
          <cell r="I21">
            <v>1878.3727301432514</v>
          </cell>
          <cell r="J21">
            <v>1905.0412936037756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3">
          <cell r="G23">
            <v>1407.6375422259998</v>
          </cell>
          <cell r="H23">
            <v>1412.2768443095999</v>
          </cell>
          <cell r="I23">
            <v>1365.2569464004</v>
          </cell>
          <cell r="J23">
            <v>1249.3721830164002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5">
          <cell r="G25">
            <v>254.73086784684003</v>
          </cell>
          <cell r="H25">
            <v>254.53940637510004</v>
          </cell>
          <cell r="I25">
            <v>233.30805321978002</v>
          </cell>
          <cell r="J25">
            <v>205.59604683618002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7">
          <cell r="G27">
            <v>292.68412264478008</v>
          </cell>
          <cell r="H27">
            <v>235.26781264348</v>
          </cell>
          <cell r="I27">
            <v>211.09769414081995</v>
          </cell>
          <cell r="J27">
            <v>211.72967001509997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9">
          <cell r="G29">
            <v>188.34962018208</v>
          </cell>
          <cell r="H29">
            <v>179.38234539338399</v>
          </cell>
          <cell r="I29">
            <v>177.760962136968</v>
          </cell>
          <cell r="J29">
            <v>166.786184166168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1">
          <cell r="G31">
            <v>621.99554975958404</v>
          </cell>
          <cell r="H31">
            <v>736.39885245420794</v>
          </cell>
          <cell r="I31">
            <v>736.39885245420794</v>
          </cell>
          <cell r="J31">
            <v>736.39885245420794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3">
          <cell r="G33">
            <v>54.455173175088007</v>
          </cell>
          <cell r="H33">
            <v>42.084105892415998</v>
          </cell>
          <cell r="I33">
            <v>31.658174974943993</v>
          </cell>
          <cell r="J33">
            <v>30.171226286879989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5">
          <cell r="G35">
            <v>56.184781260972009</v>
          </cell>
          <cell r="H35">
            <v>53.634083033076003</v>
          </cell>
          <cell r="I35">
            <v>42.094454502828</v>
          </cell>
          <cell r="J35">
            <v>34.856897867063999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7">
          <cell r="G37">
            <v>98.608939030655989</v>
          </cell>
          <cell r="H37">
            <v>84.483529630272002</v>
          </cell>
          <cell r="I37">
            <v>84.336172494911992</v>
          </cell>
          <cell r="J37">
            <v>81.549894660479993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9">
          <cell r="G39">
            <v>668.85665235288889</v>
          </cell>
          <cell r="H39">
            <v>668.85665235288889</v>
          </cell>
          <cell r="I39">
            <v>668.85665235288889</v>
          </cell>
          <cell r="J39">
            <v>668.12109347283285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1">
          <cell r="G41">
            <v>52.228623092625007</v>
          </cell>
          <cell r="H41">
            <v>52.228623092625007</v>
          </cell>
          <cell r="I41">
            <v>50.89288854667501</v>
          </cell>
          <cell r="J41">
            <v>48.473841731175007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3">
          <cell r="G43">
            <v>60.040811452050008</v>
          </cell>
          <cell r="H43">
            <v>53.231004959000011</v>
          </cell>
          <cell r="I43">
            <v>52.818489421500011</v>
          </cell>
          <cell r="J43">
            <v>52.818489421500011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5">
          <cell r="G45">
            <v>17.874420519167998</v>
          </cell>
          <cell r="H45">
            <v>13.031282670335999</v>
          </cell>
          <cell r="I45">
            <v>3.2344891211520004</v>
          </cell>
          <cell r="J45">
            <v>1.1690332738560001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7">
          <cell r="G47">
            <v>22.008661849349998</v>
          </cell>
          <cell r="H47">
            <v>22.008661849349998</v>
          </cell>
          <cell r="I47">
            <v>22.008661849349998</v>
          </cell>
          <cell r="J47">
            <v>22.008661849349998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50">
          <cell r="G50">
            <v>0.93213776054674991</v>
          </cell>
          <cell r="H50">
            <v>0.86851129481236955</v>
          </cell>
          <cell r="I50">
            <v>0.76539656187491389</v>
          </cell>
          <cell r="J50">
            <v>0.7177776616965259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G51">
            <v>665.78639820605986</v>
          </cell>
          <cell r="H51">
            <v>658.40580222569986</v>
          </cell>
          <cell r="I51">
            <v>623.55226725341981</v>
          </cell>
          <cell r="J51">
            <v>590.27256762785976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3">
          <cell r="G53">
            <v>171.89126700519606</v>
          </cell>
          <cell r="H53">
            <v>154.50133205158198</v>
          </cell>
          <cell r="I53">
            <v>129.79922752472402</v>
          </cell>
          <cell r="J53">
            <v>109.45543902670796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5">
          <cell r="G55">
            <v>192.14544986027198</v>
          </cell>
          <cell r="H55">
            <v>185.73906704319998</v>
          </cell>
          <cell r="I55">
            <v>180.50438506312</v>
          </cell>
          <cell r="J55">
            <v>178.43040225443201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7">
          <cell r="G57">
            <v>45.409225274423996</v>
          </cell>
          <cell r="H57">
            <v>38.99800262714399</v>
          </cell>
          <cell r="I57">
            <v>27.050797278252002</v>
          </cell>
          <cell r="J57">
            <v>23.881204059371996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9">
          <cell r="G59">
            <v>42.859694510460002</v>
          </cell>
          <cell r="H59">
            <v>26.859736273320003</v>
          </cell>
          <cell r="I59">
            <v>17.356139709804001</v>
          </cell>
          <cell r="J59">
            <v>14.465935708416001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1">
          <cell r="G61">
            <v>107.42082054228</v>
          </cell>
          <cell r="H61">
            <v>99.011214207359998</v>
          </cell>
          <cell r="I61">
            <v>59.410620474659993</v>
          </cell>
          <cell r="J61">
            <v>57.912219630719996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3">
          <cell r="G63">
            <v>155.17152994141003</v>
          </cell>
          <cell r="H63">
            <v>117.90833783961398</v>
          </cell>
          <cell r="I63">
            <v>95.815030375042014</v>
          </cell>
          <cell r="J63">
            <v>94.15905716707401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5">
          <cell r="G65">
            <v>24.147042991200003</v>
          </cell>
          <cell r="H65">
            <v>15.065548430400002</v>
          </cell>
          <cell r="I65">
            <v>9.2883441960000006</v>
          </cell>
          <cell r="J65">
            <v>3.7736798832000003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</row>
        <row r="67">
          <cell r="G67">
            <v>1.3058507404800002</v>
          </cell>
          <cell r="H67">
            <v>1.2091210560000003</v>
          </cell>
          <cell r="I67">
            <v>4.0199718873600006</v>
          </cell>
          <cell r="J67">
            <v>2.7695984659200001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</row>
        <row r="69">
          <cell r="G69">
            <v>22.730292097920003</v>
          </cell>
          <cell r="H69">
            <v>29.614021199136001</v>
          </cell>
          <cell r="I69">
            <v>21.234135849696003</v>
          </cell>
          <cell r="J69">
            <v>21.234135849696003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</row>
        <row r="71">
          <cell r="G71">
            <v>12.218690018304001</v>
          </cell>
          <cell r="H71">
            <v>12.16158429024</v>
          </cell>
          <cell r="I71">
            <v>8.2783947818880002</v>
          </cell>
          <cell r="J71">
            <v>6.5903881760639997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3">
          <cell r="G73">
            <v>10.650944950272001</v>
          </cell>
          <cell r="H73">
            <v>16.102268143104002</v>
          </cell>
          <cell r="I73">
            <v>16.102268143104002</v>
          </cell>
          <cell r="J73">
            <v>14.125087130880001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5">
          <cell r="G75">
            <v>16.540419222132002</v>
          </cell>
          <cell r="H75">
            <v>15.183423634132001</v>
          </cell>
          <cell r="I75">
            <v>15.183423634132001</v>
          </cell>
          <cell r="J75">
            <v>15.183423634132001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7">
          <cell r="G77">
            <v>6.6982907624040005</v>
          </cell>
          <cell r="H77">
            <v>3.5365913584560005</v>
          </cell>
          <cell r="I77">
            <v>3.5365913584560005</v>
          </cell>
          <cell r="J77">
            <v>3.5282972886659998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"/>
      <sheetName val="Analyse"/>
      <sheetName val="Suivi Rotation de Stock Fer Nu"/>
      <sheetName val="Durée Moy.de Stockage Fer Nu"/>
      <sheetName val="Stock départ"/>
    </sheetNames>
    <sheetDataSet>
      <sheetData sheetId="0"/>
      <sheetData sheetId="1"/>
      <sheetData sheetId="2">
        <row r="18">
          <cell r="E18">
            <v>0.50341810781618856</v>
          </cell>
          <cell r="G18">
            <v>0.60427085527854862</v>
          </cell>
          <cell r="H18">
            <v>0.98152386854801821</v>
          </cell>
          <cell r="I18">
            <v>0.95715412349227624</v>
          </cell>
          <cell r="J18">
            <v>0.93525690359216707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22">
          <cell r="G22" t="str">
            <v>Janvier</v>
          </cell>
          <cell r="H22" t="str">
            <v>Février</v>
          </cell>
          <cell r="I22" t="str">
            <v>Mars</v>
          </cell>
          <cell r="J22" t="str">
            <v>Avril</v>
          </cell>
          <cell r="K22" t="str">
            <v>Mai</v>
          </cell>
          <cell r="L22" t="str">
            <v>Juin</v>
          </cell>
          <cell r="M22" t="str">
            <v>Juillet</v>
          </cell>
          <cell r="N22" t="str">
            <v>Août</v>
          </cell>
          <cell r="O22" t="str">
            <v>Septembre</v>
          </cell>
          <cell r="P22" t="str">
            <v>Octobre</v>
          </cell>
          <cell r="Q22" t="str">
            <v>Novembre</v>
          </cell>
          <cell r="R22" t="str">
            <v>Décembre</v>
          </cell>
        </row>
        <row r="25">
          <cell r="G25">
            <v>0.63085972417911629</v>
          </cell>
          <cell r="H25">
            <v>0.98280549456172694</v>
          </cell>
          <cell r="I25">
            <v>0.96097435304317702</v>
          </cell>
          <cell r="J25">
            <v>0.92908617606487442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T25">
            <v>0.52639925071513083</v>
          </cell>
        </row>
        <row r="26">
          <cell r="E26">
            <v>3158.7387224343483</v>
          </cell>
          <cell r="G26">
            <v>1541.7741200174639</v>
          </cell>
          <cell r="H26">
            <v>1523.4305864260321</v>
          </cell>
          <cell r="I26">
            <v>1365.36937706142</v>
          </cell>
          <cell r="J26">
            <v>914.071977507312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0.65600251363775297</v>
          </cell>
          <cell r="H27">
            <v>0.99401556002022595</v>
          </cell>
          <cell r="I27">
            <v>0.94528482021517479</v>
          </cell>
          <cell r="J27">
            <v>0.80201403354836776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T27">
            <v>0.44886543709011828</v>
          </cell>
        </row>
        <row r="28">
          <cell r="E28">
            <v>2446.6796002487999</v>
          </cell>
          <cell r="G28">
            <v>1189.1014007667998</v>
          </cell>
          <cell r="H28">
            <v>1024.7978463003999</v>
          </cell>
          <cell r="I28">
            <v>980.0013547591999</v>
          </cell>
          <cell r="J28">
            <v>980.0013547591999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G29">
            <v>0.65411057510594972</v>
          </cell>
          <cell r="H29">
            <v>0.9257854418243936</v>
          </cell>
          <cell r="I29">
            <v>0.9776553724096041</v>
          </cell>
          <cell r="J29">
            <v>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T29">
            <v>0.57198284148803225</v>
          </cell>
        </row>
        <row r="30">
          <cell r="E30">
            <v>1206.1770000000001</v>
          </cell>
          <cell r="G30">
            <v>574.99</v>
          </cell>
          <cell r="H30">
            <v>698.01900000000001</v>
          </cell>
          <cell r="I30">
            <v>698.01900000000001</v>
          </cell>
          <cell r="J30">
            <v>698.01900000000001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G31">
            <v>0.64563289124489731</v>
          </cell>
          <cell r="H31">
            <v>1.0966442499620976</v>
          </cell>
          <cell r="I31">
            <v>1</v>
          </cell>
          <cell r="J31">
            <v>1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T31">
            <v>0.73313776523004981</v>
          </cell>
        </row>
        <row r="32">
          <cell r="E32">
            <v>2006.5699570586669</v>
          </cell>
          <cell r="G32">
            <v>668.85665235288889</v>
          </cell>
          <cell r="H32">
            <v>668.85665235288889</v>
          </cell>
          <cell r="I32">
            <v>668.85665235288889</v>
          </cell>
          <cell r="J32">
            <v>621.37692956238891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G33">
            <v>0.5</v>
          </cell>
          <cell r="H33">
            <v>1</v>
          </cell>
          <cell r="I33">
            <v>1</v>
          </cell>
          <cell r="J33">
            <v>0.96320067664025688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T33">
            <v>0.47289915388003811</v>
          </cell>
        </row>
        <row r="34">
          <cell r="E34">
            <v>131.92082159197997</v>
          </cell>
          <cell r="G34">
            <v>164.85575905516001</v>
          </cell>
          <cell r="H34">
            <v>164.85575905516001</v>
          </cell>
          <cell r="I34">
            <v>164.85575905516001</v>
          </cell>
          <cell r="J34">
            <v>107.77555607313998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G35">
            <v>1.1109755270829096</v>
          </cell>
          <cell r="H35">
            <v>1</v>
          </cell>
          <cell r="I35">
            <v>1</v>
          </cell>
          <cell r="J35">
            <v>0.79063225750439503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T35">
            <v>0.89926729075324885</v>
          </cell>
        </row>
        <row r="36">
          <cell r="E36">
            <v>495.49140005904002</v>
          </cell>
          <cell r="G36">
            <v>247.74570002952001</v>
          </cell>
          <cell r="H36">
            <v>241.28319480804001</v>
          </cell>
          <cell r="I36">
            <v>118.57726163052001</v>
          </cell>
          <cell r="J36">
            <v>118.57726163052001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G37">
            <v>0.66666666666666663</v>
          </cell>
          <cell r="H37">
            <v>0.98678502376914423</v>
          </cell>
          <cell r="I37">
            <v>0.65901801383817804</v>
          </cell>
          <cell r="J37">
            <v>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T37">
            <v>0.38620196413952901</v>
          </cell>
        </row>
        <row r="38">
          <cell r="E38">
            <v>285.50444297759998</v>
          </cell>
          <cell r="G38">
            <v>142.75222148879999</v>
          </cell>
          <cell r="H38">
            <v>142.75222148879999</v>
          </cell>
          <cell r="I38">
            <v>142.75222148879999</v>
          </cell>
          <cell r="J38">
            <v>135.54251333279998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G39">
            <v>0.66666666666666663</v>
          </cell>
          <cell r="H39">
            <v>1</v>
          </cell>
          <cell r="I39">
            <v>1</v>
          </cell>
          <cell r="J39">
            <v>0.97409326424870479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T39">
            <v>0.64383561643835607</v>
          </cell>
        </row>
        <row r="40">
          <cell r="E40">
            <v>202.44414446207998</v>
          </cell>
          <cell r="G40">
            <v>90.661477530239992</v>
          </cell>
          <cell r="H40">
            <v>50.049851025023997</v>
          </cell>
          <cell r="I40">
            <v>49.902493889663994</v>
          </cell>
          <cell r="J40">
            <v>49.902493889663994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G41">
            <v>0.61862667057689891</v>
          </cell>
          <cell r="H41">
            <v>0.71138339093098746</v>
          </cell>
          <cell r="I41">
            <v>0.99852572607990564</v>
          </cell>
          <cell r="J41">
            <v>1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T41">
            <v>0.39550749885643655</v>
          </cell>
        </row>
        <row r="42">
          <cell r="E42">
            <v>106.22110084410001</v>
          </cell>
          <cell r="G42">
            <v>53.110550422050004</v>
          </cell>
          <cell r="H42">
            <v>20.790783090000001</v>
          </cell>
          <cell r="I42">
            <v>20.790783090000001</v>
          </cell>
          <cell r="J42">
            <v>20.790783090000001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G43">
            <v>0.66666666666666674</v>
          </cell>
          <cell r="H43">
            <v>0.56266327282470363</v>
          </cell>
          <cell r="I43">
            <v>1</v>
          </cell>
          <cell r="J43">
            <v>1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T43">
            <v>0.32738327227375474</v>
          </cell>
        </row>
        <row r="44">
          <cell r="E44">
            <v>94.956352170750009</v>
          </cell>
          <cell r="G44">
            <v>47.478176085375004</v>
          </cell>
          <cell r="H44">
            <v>47.478176085375004</v>
          </cell>
          <cell r="I44">
            <v>47.478176085375004</v>
          </cell>
          <cell r="J44">
            <v>47.478176085375004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G45">
            <v>0.66666666666666663</v>
          </cell>
          <cell r="H45">
            <v>1</v>
          </cell>
          <cell r="I45">
            <v>1</v>
          </cell>
          <cell r="J45">
            <v>1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T45">
            <v>0.66666666666666663</v>
          </cell>
        </row>
        <row r="46">
          <cell r="E46">
            <v>109.12862869271999</v>
          </cell>
          <cell r="G46">
            <v>49.111849782996003</v>
          </cell>
          <cell r="H46">
            <v>46.116861972636002</v>
          </cell>
          <cell r="I46">
            <v>22.910665031436</v>
          </cell>
          <cell r="J46">
            <v>16.982175915432002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G47">
            <v>0.62072423258670628</v>
          </cell>
          <cell r="H47">
            <v>0.96854952928434557</v>
          </cell>
          <cell r="I47">
            <v>0.66381242457330036</v>
          </cell>
          <cell r="J47">
            <v>0.85138964848605381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T47">
            <v>0.26932150608662836</v>
          </cell>
        </row>
        <row r="48">
          <cell r="E48">
            <v>156.86444154023999</v>
          </cell>
          <cell r="G48">
            <v>20.575220218559998</v>
          </cell>
          <cell r="H48">
            <v>3.8902727303999997E-2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G49">
            <v>0.23191230207064556</v>
          </cell>
          <cell r="H49">
            <v>3.7743761794925565E-3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T49">
            <v>4.9588142924047497E-4</v>
          </cell>
        </row>
        <row r="50">
          <cell r="E50">
            <v>33.728296859099999</v>
          </cell>
          <cell r="G50">
            <v>16.864148429549999</v>
          </cell>
          <cell r="H50">
            <v>16.864148429549999</v>
          </cell>
          <cell r="I50">
            <v>16.864148429549999</v>
          </cell>
          <cell r="J50">
            <v>16.864148429549999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G51">
            <v>0.66666666666666663</v>
          </cell>
          <cell r="H51">
            <v>1</v>
          </cell>
          <cell r="I51">
            <v>1</v>
          </cell>
          <cell r="J51">
            <v>1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T51">
            <v>0.66666666666666663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T53">
            <v>0</v>
          </cell>
        </row>
        <row r="55">
          <cell r="G55">
            <v>0.50903030943109273</v>
          </cell>
          <cell r="H55">
            <v>0.97579517888062461</v>
          </cell>
          <cell r="I55">
            <v>0.93960178151652363</v>
          </cell>
          <cell r="J55">
            <v>0.96332657878514061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T55">
            <v>0.42249674307723817</v>
          </cell>
        </row>
        <row r="56">
          <cell r="E56">
            <v>1754.1756912090596</v>
          </cell>
          <cell r="G56">
            <v>474.83563629707987</v>
          </cell>
          <cell r="H56">
            <v>508.26666624443988</v>
          </cell>
          <cell r="I56">
            <v>505.9275318417599</v>
          </cell>
          <cell r="J56">
            <v>501.90430714361986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  <row r="57">
          <cell r="G57">
            <v>0.42605044706375278</v>
          </cell>
          <cell r="H57">
            <v>1.0340056470836596</v>
          </cell>
          <cell r="I57">
            <v>0.9976936030524588</v>
          </cell>
          <cell r="J57">
            <v>0.9960080396922264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T57">
            <v>0.44493484939372274</v>
          </cell>
        </row>
        <row r="58">
          <cell r="E58">
            <v>376.31961079622397</v>
          </cell>
          <cell r="G58">
            <v>163.820305398112</v>
          </cell>
          <cell r="H58">
            <v>163.820305398112</v>
          </cell>
          <cell r="I58">
            <v>159.480672668512</v>
          </cell>
          <cell r="J58">
            <v>141.38259600577601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G59">
            <v>0.60658470328333003</v>
          </cell>
          <cell r="H59">
            <v>1</v>
          </cell>
          <cell r="I59">
            <v>0.98657711227614753</v>
          </cell>
          <cell r="J59">
            <v>0.93984617416914118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T59">
            <v>0.54619274999478262</v>
          </cell>
        </row>
        <row r="60">
          <cell r="E60">
            <v>513.53573099938205</v>
          </cell>
          <cell r="G60">
            <v>139.43921896047601</v>
          </cell>
          <cell r="H60">
            <v>126.50919944947199</v>
          </cell>
          <cell r="I60">
            <v>84.535194582054004</v>
          </cell>
          <cell r="J60">
            <v>62.123559192053996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G61">
            <v>0.42708902989019132</v>
          </cell>
          <cell r="H61">
            <v>0.95138147619636182</v>
          </cell>
          <cell r="I61">
            <v>0.80111291247495597</v>
          </cell>
          <cell r="J61">
            <v>0.84718515047168852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T61">
            <v>0.21583447101633588</v>
          </cell>
        </row>
        <row r="62">
          <cell r="E62">
            <v>0</v>
          </cell>
          <cell r="G62">
            <v>113.64805144252</v>
          </cell>
          <cell r="H62">
            <v>79.306427253777997</v>
          </cell>
          <cell r="I62">
            <v>56.787999999999997</v>
          </cell>
          <cell r="J62">
            <v>56.835090263684002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G63">
            <v>2</v>
          </cell>
          <cell r="H63">
            <v>0.82202214521905848</v>
          </cell>
          <cell r="I63">
            <v>0.83453821212100443</v>
          </cell>
          <cell r="J63">
            <v>1.0004144427296839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T63">
            <v>2</v>
          </cell>
        </row>
        <row r="64">
          <cell r="E64">
            <v>203.05202565311998</v>
          </cell>
          <cell r="G64">
            <v>101.52601282655999</v>
          </cell>
          <cell r="H64">
            <v>94.399253168219985</v>
          </cell>
          <cell r="I64">
            <v>53.300258591579997</v>
          </cell>
          <cell r="J64">
            <v>53.300258591579997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G65">
            <v>0.66666666666666663</v>
          </cell>
          <cell r="H65">
            <v>0.96362511173760568</v>
          </cell>
          <cell r="I65">
            <v>0.72173913043478266</v>
          </cell>
          <cell r="J65">
            <v>1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T65">
            <v>0.41583603398440921</v>
          </cell>
        </row>
        <row r="66">
          <cell r="E66">
            <v>49.41683973072</v>
          </cell>
          <cell r="G66">
            <v>24.708419865359996</v>
          </cell>
          <cell r="H66">
            <v>9.1065774868199991</v>
          </cell>
          <cell r="I66">
            <v>9.1065774868199991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G67">
            <v>0.66666666666666652</v>
          </cell>
          <cell r="H67">
            <v>0.53861175217468493</v>
          </cell>
          <cell r="I67">
            <v>1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T67">
            <v>0.31121140629808181</v>
          </cell>
        </row>
        <row r="68">
          <cell r="E68">
            <v>73.890090388800004</v>
          </cell>
          <cell r="G68">
            <v>6.7281287273280004</v>
          </cell>
          <cell r="H68">
            <v>3.400779936528</v>
          </cell>
          <cell r="I68">
            <v>3.400779936528</v>
          </cell>
          <cell r="J68">
            <v>1.333234239624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</row>
        <row r="69">
          <cell r="G69">
            <v>0.1669133553455539</v>
          </cell>
          <cell r="H69">
            <v>0.67149977344811962</v>
          </cell>
          <cell r="I69">
            <v>1</v>
          </cell>
          <cell r="J69">
            <v>0.56325739214735826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T69">
            <v>3.5447362801622889E-2</v>
          </cell>
        </row>
        <row r="70">
          <cell r="E70">
            <v>110.00803207680003</v>
          </cell>
          <cell r="G70">
            <v>22.565750169600005</v>
          </cell>
          <cell r="H70">
            <v>22.565750169600005</v>
          </cell>
          <cell r="I70">
            <v>20.193995802816005</v>
          </cell>
          <cell r="J70">
            <v>20.193995802816005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</row>
        <row r="71">
          <cell r="G71">
            <v>0.34042553191489355</v>
          </cell>
          <cell r="H71">
            <v>1</v>
          </cell>
          <cell r="I71">
            <v>0.94453301082953101</v>
          </cell>
          <cell r="J71">
            <v>1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T71">
            <v>0.31019479698868047</v>
          </cell>
        </row>
        <row r="72">
          <cell r="E72">
            <v>25.077278466239999</v>
          </cell>
          <cell r="G72">
            <v>12.53863923312</v>
          </cell>
          <cell r="H72">
            <v>12.53863923312</v>
          </cell>
          <cell r="I72">
            <v>12.53863923312</v>
          </cell>
          <cell r="J72">
            <v>12.53863923312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G73">
            <v>0.66666666666666674</v>
          </cell>
          <cell r="H73">
            <v>1</v>
          </cell>
          <cell r="I73">
            <v>1</v>
          </cell>
          <cell r="J73">
            <v>1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T73">
            <v>0.66666666666666674</v>
          </cell>
        </row>
        <row r="74">
          <cell r="E74">
            <v>0</v>
          </cell>
          <cell r="G74">
            <v>0</v>
          </cell>
          <cell r="H74">
            <v>5.6450670608640001</v>
          </cell>
          <cell r="I74">
            <v>5.6450670608640001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G75">
            <v>0</v>
          </cell>
          <cell r="H75">
            <v>2</v>
          </cell>
          <cell r="I75">
            <v>1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T75">
            <v>0</v>
          </cell>
        </row>
        <row r="76">
          <cell r="E76">
            <v>44.950016880000007</v>
          </cell>
          <cell r="G76">
            <v>14.983338960000001</v>
          </cell>
          <cell r="H76">
            <v>0.40839543360000002</v>
          </cell>
          <cell r="I76">
            <v>0.39778776000000005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G77">
            <v>0.5</v>
          </cell>
          <cell r="H77">
            <v>5.3066850447966912E-2</v>
          </cell>
          <cell r="I77">
            <v>0.98684210526315785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T77">
            <v>1.7543859649122806E-2</v>
          </cell>
        </row>
        <row r="78">
          <cell r="E78">
            <v>5.7754216840320005</v>
          </cell>
          <cell r="G78">
            <v>2.8910984699519999</v>
          </cell>
          <cell r="H78">
            <v>2.8910984699519999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G79">
            <v>0.66718784900603079</v>
          </cell>
          <cell r="H79">
            <v>1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T79">
            <v>0.66718784900603079</v>
          </cell>
        </row>
        <row r="80">
          <cell r="E80">
            <v>16.049025043649998</v>
          </cell>
          <cell r="G80">
            <v>5.3496750145499998</v>
          </cell>
          <cell r="H80">
            <v>2.9858651244000001</v>
          </cell>
          <cell r="I80">
            <v>2.9858651244000001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G81">
            <v>0.5</v>
          </cell>
          <cell r="H81">
            <v>0.71641791044776126</v>
          </cell>
          <cell r="I81">
            <v>1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T81">
            <v>0.31372549019607848</v>
          </cell>
        </row>
        <row r="82">
          <cell r="E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T83">
            <v>0</v>
          </cell>
        </row>
      </sheetData>
      <sheetData sheetId="3">
        <row r="20">
          <cell r="E20" t="str">
            <v>Janvier</v>
          </cell>
          <cell r="F20" t="str">
            <v>Février</v>
          </cell>
          <cell r="G20" t="str">
            <v>Mars</v>
          </cell>
          <cell r="H20" t="str">
            <v>Avril</v>
          </cell>
          <cell r="I20" t="str">
            <v>Mai</v>
          </cell>
          <cell r="J20" t="str">
            <v>Juin</v>
          </cell>
          <cell r="K20" t="str">
            <v>Juillet</v>
          </cell>
          <cell r="L20" t="str">
            <v>Août</v>
          </cell>
          <cell r="M20" t="str">
            <v>Septembre</v>
          </cell>
          <cell r="N20" t="str">
            <v>Octobre</v>
          </cell>
          <cell r="O20" t="str">
            <v>Novembre</v>
          </cell>
          <cell r="P20" t="str">
            <v>Décembre</v>
          </cell>
        </row>
        <row r="22">
          <cell r="E22">
            <v>49.139291686971525</v>
          </cell>
          <cell r="F22">
            <v>28.489869211085701</v>
          </cell>
          <cell r="G22">
            <v>32.25892543524224</v>
          </cell>
          <cell r="H22">
            <v>32.289792672477802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53">
          <cell r="E53">
            <v>60.900106389826796</v>
          </cell>
          <cell r="F53">
            <v>28.694546361788721</v>
          </cell>
          <cell r="G53">
            <v>32.992700322434246</v>
          </cell>
          <cell r="H53">
            <v>31.142086869266347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</sheetData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e"/>
      <sheetName val="Source"/>
      <sheetName val="Taux de Remplissage Magasin PF"/>
      <sheetName val="Taux de Rotation des Stocks PF"/>
      <sheetName val="Durée Moyenne de Stockage PF"/>
      <sheetName val="Stock de Départ"/>
      <sheetName val="BD1"/>
      <sheetName val="BD2"/>
    </sheetNames>
    <sheetDataSet>
      <sheetData sheetId="0">
        <row r="5">
          <cell r="L5" t="str">
            <v>BT1/2</v>
          </cell>
        </row>
        <row r="6">
          <cell r="L6" t="str">
            <v>BT1/5EMB</v>
          </cell>
        </row>
        <row r="7">
          <cell r="L7" t="str">
            <v>BT1/6</v>
          </cell>
        </row>
        <row r="8">
          <cell r="L8" t="str">
            <v>BT1/6PC</v>
          </cell>
        </row>
        <row r="9">
          <cell r="L9" t="str">
            <v>BT185GCHAMIA</v>
          </cell>
        </row>
        <row r="10">
          <cell r="L10" t="str">
            <v>BT1-9KGTHON</v>
          </cell>
        </row>
        <row r="11">
          <cell r="L11" t="str">
            <v>BT1KGTHON</v>
          </cell>
        </row>
        <row r="12">
          <cell r="L12" t="str">
            <v>BT1LRD</v>
          </cell>
        </row>
        <row r="13">
          <cell r="L13" t="str">
            <v>BT2K5HARISSA</v>
          </cell>
        </row>
        <row r="14">
          <cell r="L14" t="str">
            <v>BT2K5THON</v>
          </cell>
        </row>
        <row r="15">
          <cell r="L15" t="str">
            <v>BT2KGCHAMIA</v>
          </cell>
        </row>
        <row r="16">
          <cell r="L16" t="str">
            <v>BT2LRECT</v>
          </cell>
        </row>
        <row r="17">
          <cell r="L17" t="str">
            <v>BT3/1</v>
          </cell>
        </row>
        <row r="18">
          <cell r="L18" t="str">
            <v>BT3LRECT</v>
          </cell>
        </row>
        <row r="19">
          <cell r="L19" t="str">
            <v>BT4/4</v>
          </cell>
        </row>
        <row r="20">
          <cell r="L20" t="str">
            <v>BT400GCHAM</v>
          </cell>
        </row>
        <row r="21">
          <cell r="L21" t="str">
            <v>BT400GTHON</v>
          </cell>
        </row>
        <row r="22">
          <cell r="L22" t="str">
            <v>BT4LRECT</v>
          </cell>
        </row>
        <row r="23">
          <cell r="L23" t="str">
            <v>BT5/1</v>
          </cell>
        </row>
        <row r="24">
          <cell r="L24" t="str">
            <v>BT500GCHAMIA</v>
          </cell>
        </row>
        <row r="25">
          <cell r="L25" t="str">
            <v>BT5KGCHAMIA</v>
          </cell>
        </row>
        <row r="26">
          <cell r="L26" t="str">
            <v>BT5LRECT</v>
          </cell>
        </row>
        <row r="27">
          <cell r="L27" t="str">
            <v>BT620GTHON</v>
          </cell>
        </row>
        <row r="28">
          <cell r="L28" t="str">
            <v>BT700GTHON</v>
          </cell>
        </row>
        <row r="29">
          <cell r="L29" t="str">
            <v>BT800GCHAM</v>
          </cell>
        </row>
        <row r="30">
          <cell r="L30" t="str">
            <v>BT850GTHON</v>
          </cell>
        </row>
        <row r="31">
          <cell r="L31" t="str">
            <v>BD18L</v>
          </cell>
        </row>
        <row r="32">
          <cell r="L32" t="str">
            <v>BD20L</v>
          </cell>
        </row>
        <row r="33">
          <cell r="L33" t="str">
            <v>BT1/10PRE</v>
          </cell>
        </row>
        <row r="34">
          <cell r="L34" t="str">
            <v>BT1/2LRD</v>
          </cell>
        </row>
        <row r="35">
          <cell r="L35" t="str">
            <v>BT1/2PRE</v>
          </cell>
        </row>
        <row r="36">
          <cell r="L36" t="str">
            <v>BT1/4LRD</v>
          </cell>
        </row>
        <row r="37">
          <cell r="L37" t="str">
            <v>BT1/4PRE</v>
          </cell>
        </row>
        <row r="38">
          <cell r="L38" t="str">
            <v>BT1K5MASTIC</v>
          </cell>
        </row>
        <row r="39">
          <cell r="L39" t="str">
            <v>BT1KGD108</v>
          </cell>
        </row>
        <row r="40">
          <cell r="L40" t="str">
            <v>BT1KGLAQ</v>
          </cell>
        </row>
        <row r="41">
          <cell r="L41" t="str">
            <v>BT1KGMASTIC</v>
          </cell>
        </row>
        <row r="42">
          <cell r="L42" t="str">
            <v>BT1KGPRE</v>
          </cell>
        </row>
        <row r="43">
          <cell r="L43" t="str">
            <v>BT1LRD</v>
          </cell>
        </row>
        <row r="44">
          <cell r="L44" t="str">
            <v>BT2LRECT</v>
          </cell>
        </row>
        <row r="45">
          <cell r="L45" t="str">
            <v>BT3K6</v>
          </cell>
        </row>
        <row r="46">
          <cell r="L46" t="str">
            <v>BT3KG</v>
          </cell>
        </row>
        <row r="47">
          <cell r="L47" t="str">
            <v>BT3LRECT</v>
          </cell>
        </row>
        <row r="48">
          <cell r="L48" t="str">
            <v>BT5LRECT</v>
          </cell>
        </row>
        <row r="49">
          <cell r="L49" t="str">
            <v>SC10L</v>
          </cell>
        </row>
        <row r="50">
          <cell r="L50" t="str">
            <v>SC18L</v>
          </cell>
        </row>
        <row r="51">
          <cell r="L51" t="str">
            <v>SC20L</v>
          </cell>
        </row>
        <row r="52">
          <cell r="L52" t="str">
            <v>SC22L</v>
          </cell>
        </row>
        <row r="53">
          <cell r="L53" t="str">
            <v>SC23L</v>
          </cell>
        </row>
        <row r="54">
          <cell r="L54" t="str">
            <v>SC4L</v>
          </cell>
        </row>
        <row r="55">
          <cell r="L55" t="str">
            <v>SC5L</v>
          </cell>
        </row>
      </sheetData>
      <sheetData sheetId="1"/>
      <sheetData sheetId="2">
        <row r="15">
          <cell r="F15">
            <v>150</v>
          </cell>
          <cell r="G15">
            <v>184</v>
          </cell>
          <cell r="H15">
            <v>441</v>
          </cell>
          <cell r="I15">
            <v>680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F16">
            <v>67</v>
          </cell>
          <cell r="G16">
            <v>126</v>
          </cell>
          <cell r="H16">
            <v>123</v>
          </cell>
          <cell r="I16">
            <v>206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F17">
            <v>74</v>
          </cell>
          <cell r="G17">
            <v>74</v>
          </cell>
          <cell r="H17">
            <v>120</v>
          </cell>
          <cell r="I17">
            <v>98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F18">
            <v>108</v>
          </cell>
          <cell r="G18">
            <v>137</v>
          </cell>
          <cell r="H18">
            <v>138</v>
          </cell>
          <cell r="I18">
            <v>138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F19">
            <v>26</v>
          </cell>
          <cell r="G19">
            <v>38</v>
          </cell>
          <cell r="H19">
            <v>35</v>
          </cell>
          <cell r="I19">
            <v>35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F20">
            <v>13</v>
          </cell>
          <cell r="G20">
            <v>7</v>
          </cell>
          <cell r="H20">
            <v>8</v>
          </cell>
          <cell r="I20">
            <v>35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F21">
            <v>36</v>
          </cell>
          <cell r="G21">
            <v>60</v>
          </cell>
          <cell r="H21">
            <v>10</v>
          </cell>
          <cell r="I21">
            <v>10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F22">
            <v>2</v>
          </cell>
          <cell r="G22">
            <v>0</v>
          </cell>
          <cell r="H22">
            <v>11</v>
          </cell>
          <cell r="I22">
            <v>1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F23">
            <v>394</v>
          </cell>
          <cell r="G23">
            <v>229</v>
          </cell>
          <cell r="H23">
            <v>228</v>
          </cell>
          <cell r="I23">
            <v>230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F24">
            <v>64</v>
          </cell>
          <cell r="G24">
            <v>264</v>
          </cell>
          <cell r="H24">
            <v>218</v>
          </cell>
          <cell r="I24">
            <v>197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F25">
            <v>55</v>
          </cell>
          <cell r="G25">
            <v>55</v>
          </cell>
          <cell r="H25">
            <v>59</v>
          </cell>
          <cell r="I25">
            <v>54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F26">
            <v>3</v>
          </cell>
          <cell r="G26">
            <v>0</v>
          </cell>
          <cell r="H26">
            <v>1</v>
          </cell>
          <cell r="I26">
            <v>4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F27">
            <v>2</v>
          </cell>
          <cell r="G27">
            <v>2</v>
          </cell>
          <cell r="H27">
            <v>2</v>
          </cell>
          <cell r="I27">
            <v>2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F28">
            <v>15</v>
          </cell>
          <cell r="G28">
            <v>4</v>
          </cell>
          <cell r="H28">
            <v>3</v>
          </cell>
          <cell r="I28">
            <v>3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F29">
            <v>174</v>
          </cell>
          <cell r="G29">
            <v>173</v>
          </cell>
          <cell r="H29">
            <v>303</v>
          </cell>
          <cell r="I29">
            <v>632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F30">
            <v>183</v>
          </cell>
          <cell r="G30">
            <v>174</v>
          </cell>
          <cell r="H30">
            <v>274</v>
          </cell>
          <cell r="I30">
            <v>292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F31">
            <v>149</v>
          </cell>
          <cell r="G31">
            <v>123</v>
          </cell>
          <cell r="H31">
            <v>57</v>
          </cell>
          <cell r="I31">
            <v>128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F32">
            <v>10</v>
          </cell>
          <cell r="G32">
            <v>3</v>
          </cell>
          <cell r="H32">
            <v>3</v>
          </cell>
          <cell r="I32">
            <v>9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F33">
            <v>58</v>
          </cell>
          <cell r="G33">
            <v>53</v>
          </cell>
          <cell r="H33">
            <v>43</v>
          </cell>
          <cell r="I33">
            <v>43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F34">
            <v>8</v>
          </cell>
          <cell r="G34">
            <v>8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F35">
            <v>2</v>
          </cell>
          <cell r="G35">
            <v>2</v>
          </cell>
          <cell r="H35">
            <v>33</v>
          </cell>
          <cell r="I35">
            <v>63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F36">
            <v>18</v>
          </cell>
          <cell r="G36">
            <v>19</v>
          </cell>
          <cell r="H36">
            <v>41</v>
          </cell>
          <cell r="I36">
            <v>25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F37">
            <v>15</v>
          </cell>
          <cell r="G37">
            <v>37</v>
          </cell>
          <cell r="H37">
            <v>16</v>
          </cell>
          <cell r="I37">
            <v>16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F38">
            <v>42</v>
          </cell>
          <cell r="G38">
            <v>47</v>
          </cell>
          <cell r="H38">
            <v>47</v>
          </cell>
          <cell r="I38">
            <v>47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F39">
            <v>104</v>
          </cell>
          <cell r="G39">
            <v>36</v>
          </cell>
          <cell r="H39">
            <v>114</v>
          </cell>
          <cell r="I39">
            <v>90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F40">
            <v>17</v>
          </cell>
          <cell r="G40">
            <v>17</v>
          </cell>
          <cell r="H40">
            <v>17</v>
          </cell>
          <cell r="I40">
            <v>17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4">
          <cell r="F44">
            <v>47</v>
          </cell>
          <cell r="G44">
            <v>47</v>
          </cell>
          <cell r="H44">
            <v>47</v>
          </cell>
          <cell r="I44">
            <v>47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F45">
            <v>36</v>
          </cell>
          <cell r="G45">
            <v>36</v>
          </cell>
          <cell r="H45">
            <v>35</v>
          </cell>
          <cell r="I45">
            <v>34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F46">
            <v>39</v>
          </cell>
          <cell r="G46">
            <v>39</v>
          </cell>
          <cell r="H46">
            <v>59</v>
          </cell>
          <cell r="I46">
            <v>58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F47">
            <v>77</v>
          </cell>
          <cell r="G47">
            <v>96</v>
          </cell>
          <cell r="H47">
            <v>177</v>
          </cell>
          <cell r="I47">
            <v>159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F48">
            <v>90</v>
          </cell>
          <cell r="G48">
            <v>76</v>
          </cell>
          <cell r="H48">
            <v>122</v>
          </cell>
          <cell r="I48">
            <v>113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F49">
            <v>0</v>
          </cell>
          <cell r="G49">
            <v>16</v>
          </cell>
          <cell r="H49">
            <v>16</v>
          </cell>
          <cell r="I49">
            <v>16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F50">
            <v>34</v>
          </cell>
          <cell r="G50">
            <v>50</v>
          </cell>
          <cell r="H50">
            <v>40</v>
          </cell>
          <cell r="I50">
            <v>42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F51">
            <v>3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F52">
            <v>32</v>
          </cell>
          <cell r="G52">
            <v>83</v>
          </cell>
          <cell r="H52">
            <v>66</v>
          </cell>
          <cell r="I52">
            <v>46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F53">
            <v>205</v>
          </cell>
          <cell r="G53">
            <v>134</v>
          </cell>
          <cell r="H53">
            <v>112</v>
          </cell>
          <cell r="I53">
            <v>204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F54">
            <v>81</v>
          </cell>
          <cell r="G54">
            <v>76</v>
          </cell>
          <cell r="H54">
            <v>73</v>
          </cell>
          <cell r="I54">
            <v>62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F55">
            <v>115</v>
          </cell>
          <cell r="G55">
            <v>201</v>
          </cell>
          <cell r="H55">
            <v>204</v>
          </cell>
          <cell r="I55">
            <v>159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F56">
            <v>69</v>
          </cell>
          <cell r="G56">
            <v>66</v>
          </cell>
          <cell r="H56">
            <v>66</v>
          </cell>
          <cell r="I56">
            <v>64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2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F58">
            <v>71</v>
          </cell>
          <cell r="G58">
            <v>84</v>
          </cell>
          <cell r="H58">
            <v>83</v>
          </cell>
          <cell r="I58">
            <v>79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F59">
            <v>13</v>
          </cell>
          <cell r="G59">
            <v>13</v>
          </cell>
          <cell r="H59">
            <v>11</v>
          </cell>
          <cell r="I59">
            <v>11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F60">
            <v>8</v>
          </cell>
          <cell r="G60">
            <v>7</v>
          </cell>
          <cell r="H60">
            <v>1</v>
          </cell>
          <cell r="I60">
            <v>1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F61">
            <v>64</v>
          </cell>
          <cell r="G61">
            <v>63</v>
          </cell>
          <cell r="H61">
            <v>61</v>
          </cell>
          <cell r="I61">
            <v>60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</row>
        <row r="62">
          <cell r="F62">
            <v>38</v>
          </cell>
          <cell r="G62">
            <v>34</v>
          </cell>
          <cell r="H62">
            <v>31</v>
          </cell>
          <cell r="I62">
            <v>30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F63">
            <v>193</v>
          </cell>
          <cell r="G63">
            <v>209</v>
          </cell>
          <cell r="H63">
            <v>209</v>
          </cell>
          <cell r="I63">
            <v>199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</row>
        <row r="64">
          <cell r="F64">
            <v>573</v>
          </cell>
          <cell r="G64">
            <v>610</v>
          </cell>
          <cell r="H64">
            <v>582</v>
          </cell>
          <cell r="I64">
            <v>595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F65">
            <v>24</v>
          </cell>
          <cell r="G65">
            <v>19</v>
          </cell>
          <cell r="H65">
            <v>18</v>
          </cell>
          <cell r="I65">
            <v>14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F66">
            <v>8</v>
          </cell>
          <cell r="G66">
            <v>8</v>
          </cell>
          <cell r="H66">
            <v>8</v>
          </cell>
          <cell r="I66">
            <v>22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F67">
            <v>8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F68">
            <v>165</v>
          </cell>
          <cell r="G68">
            <v>238</v>
          </cell>
          <cell r="H68">
            <v>177</v>
          </cell>
          <cell r="I68">
            <v>135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</sheetData>
      <sheetData sheetId="3">
        <row r="15">
          <cell r="F15">
            <v>1.2266195524146055</v>
          </cell>
          <cell r="H15">
            <v>1.070629865534324</v>
          </cell>
          <cell r="I15">
            <v>1.9994749331423083</v>
          </cell>
          <cell r="J15">
            <v>1.9991201429420751</v>
          </cell>
          <cell r="K15">
            <v>1.9992324359836378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</row>
        <row r="19">
          <cell r="H19" t="str">
            <v>Janvier</v>
          </cell>
          <cell r="I19" t="str">
            <v>Février</v>
          </cell>
          <cell r="J19" t="str">
            <v>Mars</v>
          </cell>
          <cell r="K19" t="str">
            <v>Avril</v>
          </cell>
          <cell r="L19" t="str">
            <v>Mai</v>
          </cell>
          <cell r="M19" t="str">
            <v>Juin</v>
          </cell>
          <cell r="N19" t="str">
            <v>Juillet</v>
          </cell>
          <cell r="O19" t="str">
            <v>Août</v>
          </cell>
          <cell r="P19" t="str">
            <v>Septembre</v>
          </cell>
          <cell r="Q19" t="str">
            <v>Octobre</v>
          </cell>
          <cell r="R19" t="str">
            <v>Novembre</v>
          </cell>
          <cell r="S19" t="str">
            <v>Décembre</v>
          </cell>
        </row>
        <row r="22">
          <cell r="H22">
            <v>1.118125</v>
          </cell>
          <cell r="I22">
            <v>1.1404203472433749</v>
          </cell>
          <cell r="J22">
            <v>1.2486687965921193</v>
          </cell>
          <cell r="K22">
            <v>1.3681146439767129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1.3681146439767129</v>
          </cell>
        </row>
        <row r="23">
          <cell r="H23">
            <v>150</v>
          </cell>
          <cell r="I23">
            <v>184</v>
          </cell>
          <cell r="J23">
            <v>441</v>
          </cell>
          <cell r="K23">
            <v>680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</row>
        <row r="24">
          <cell r="H24">
            <v>0.93457943925233644</v>
          </cell>
          <cell r="I24">
            <v>1.1017964071856288</v>
          </cell>
          <cell r="J24">
            <v>1.4923857868020305</v>
          </cell>
          <cell r="K24">
            <v>1.6385542168674698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U24">
            <v>1.5981198589894241</v>
          </cell>
        </row>
        <row r="25">
          <cell r="H25">
            <v>67</v>
          </cell>
          <cell r="I25">
            <v>126</v>
          </cell>
          <cell r="J25">
            <v>123</v>
          </cell>
          <cell r="K25">
            <v>206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</row>
        <row r="26">
          <cell r="H26">
            <v>1.4408602150537635</v>
          </cell>
          <cell r="I26">
            <v>1.3056994818652849</v>
          </cell>
          <cell r="J26">
            <v>1.2947368421052632</v>
          </cell>
          <cell r="K26">
            <v>1.5091575091575091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U26">
            <v>1.7758620689655173</v>
          </cell>
        </row>
        <row r="27">
          <cell r="H27">
            <v>74</v>
          </cell>
          <cell r="I27">
            <v>74</v>
          </cell>
          <cell r="J27">
            <v>120</v>
          </cell>
          <cell r="K27">
            <v>98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H28">
            <v>0.92500000000000004</v>
          </cell>
          <cell r="I28">
            <v>1</v>
          </cell>
          <cell r="J28">
            <v>1.2371134020618557</v>
          </cell>
          <cell r="K28">
            <v>1.1395348837209303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U28">
            <v>1.0652173913043479</v>
          </cell>
        </row>
        <row r="29">
          <cell r="H29">
            <v>108</v>
          </cell>
          <cell r="I29">
            <v>137</v>
          </cell>
          <cell r="J29">
            <v>138</v>
          </cell>
          <cell r="K29">
            <v>138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</row>
        <row r="30">
          <cell r="H30">
            <v>0.96</v>
          </cell>
          <cell r="I30">
            <v>1.1183673469387756</v>
          </cell>
          <cell r="J30">
            <v>1.1219512195121952</v>
          </cell>
          <cell r="K30">
            <v>1.1219512195121952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U30">
            <v>1.0823529411764705</v>
          </cell>
        </row>
        <row r="31">
          <cell r="H31">
            <v>26</v>
          </cell>
          <cell r="I31">
            <v>38</v>
          </cell>
          <cell r="J31">
            <v>35</v>
          </cell>
          <cell r="K31">
            <v>35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</row>
        <row r="32">
          <cell r="H32">
            <v>0.91228070175438591</v>
          </cell>
          <cell r="I32">
            <v>1.1875</v>
          </cell>
          <cell r="J32">
            <v>1.1475409836065573</v>
          </cell>
          <cell r="K32">
            <v>1.1475409836065573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U32">
            <v>1.0606060606060606</v>
          </cell>
        </row>
        <row r="33">
          <cell r="H33">
            <v>13</v>
          </cell>
          <cell r="I33">
            <v>7</v>
          </cell>
          <cell r="J33">
            <v>8</v>
          </cell>
          <cell r="K33">
            <v>35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</row>
        <row r="34">
          <cell r="H34">
            <v>1.368421052631579</v>
          </cell>
          <cell r="I34">
            <v>0.7</v>
          </cell>
          <cell r="J34">
            <v>0.76190476190476186</v>
          </cell>
          <cell r="K34">
            <v>1.4583333333333333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U34">
            <v>1.7073170731707317</v>
          </cell>
        </row>
        <row r="35">
          <cell r="H35">
            <v>36</v>
          </cell>
          <cell r="I35">
            <v>60</v>
          </cell>
          <cell r="J35">
            <v>10</v>
          </cell>
          <cell r="K35">
            <v>10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6">
          <cell r="H36">
            <v>1.6</v>
          </cell>
          <cell r="I36">
            <v>1.25</v>
          </cell>
          <cell r="J36">
            <v>0.43478260869565216</v>
          </cell>
          <cell r="K36">
            <v>0.43478260869565216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U36">
            <v>1.0526315789473684</v>
          </cell>
        </row>
        <row r="37">
          <cell r="H37">
            <v>2</v>
          </cell>
          <cell r="I37">
            <v>0</v>
          </cell>
          <cell r="J37">
            <v>11</v>
          </cell>
          <cell r="K37">
            <v>1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</row>
        <row r="38">
          <cell r="H38">
            <v>1</v>
          </cell>
          <cell r="I38">
            <v>0</v>
          </cell>
          <cell r="J38">
            <v>1.6923076923076923</v>
          </cell>
          <cell r="K38">
            <v>0.66666666666666663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U38">
            <v>1</v>
          </cell>
        </row>
        <row r="39">
          <cell r="H39">
            <v>394</v>
          </cell>
          <cell r="I39">
            <v>229</v>
          </cell>
          <cell r="J39">
            <v>228</v>
          </cell>
          <cell r="K39">
            <v>230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</row>
        <row r="40">
          <cell r="H40">
            <v>1.012853470437018</v>
          </cell>
          <cell r="I40">
            <v>0.7351524879614767</v>
          </cell>
          <cell r="J40">
            <v>0.73311897106109325</v>
          </cell>
          <cell r="K40">
            <v>0.73717948717948723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U40">
            <v>0.749185667752443</v>
          </cell>
        </row>
        <row r="41">
          <cell r="H41">
            <v>64</v>
          </cell>
          <cell r="I41">
            <v>264</v>
          </cell>
          <cell r="J41">
            <v>218</v>
          </cell>
          <cell r="K41">
            <v>197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H42">
            <v>1.0491803278688525</v>
          </cell>
          <cell r="I42">
            <v>1.6097560975609757</v>
          </cell>
          <cell r="J42">
            <v>1.5460992907801419</v>
          </cell>
          <cell r="K42">
            <v>1.5095785440613028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1.5450980392156863</v>
          </cell>
        </row>
        <row r="43">
          <cell r="H43">
            <v>55</v>
          </cell>
          <cell r="I43">
            <v>55</v>
          </cell>
          <cell r="J43">
            <v>59</v>
          </cell>
          <cell r="K43">
            <v>54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H44">
            <v>1.1702127659574468</v>
          </cell>
          <cell r="I44">
            <v>1</v>
          </cell>
          <cell r="J44">
            <v>1.0350877192982457</v>
          </cell>
          <cell r="K44">
            <v>0.99082568807339455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1.1612903225806452</v>
          </cell>
        </row>
        <row r="45">
          <cell r="H45">
            <v>3</v>
          </cell>
          <cell r="I45">
            <v>0</v>
          </cell>
          <cell r="J45">
            <v>1</v>
          </cell>
          <cell r="K45">
            <v>4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46">
          <cell r="H46">
            <v>1</v>
          </cell>
          <cell r="I46">
            <v>0</v>
          </cell>
          <cell r="J46">
            <v>0.5</v>
          </cell>
          <cell r="K46">
            <v>1.1428571428571428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U46">
            <v>1</v>
          </cell>
        </row>
        <row r="47">
          <cell r="H47">
            <v>2</v>
          </cell>
          <cell r="I47">
            <v>2</v>
          </cell>
          <cell r="J47">
            <v>2</v>
          </cell>
          <cell r="K47">
            <v>2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H48">
            <v>0.8</v>
          </cell>
          <cell r="I48">
            <v>1</v>
          </cell>
          <cell r="J48">
            <v>1</v>
          </cell>
          <cell r="K48">
            <v>1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U48">
            <v>0.8</v>
          </cell>
        </row>
        <row r="49">
          <cell r="H49">
            <v>15</v>
          </cell>
          <cell r="I49">
            <v>4</v>
          </cell>
          <cell r="J49">
            <v>3</v>
          </cell>
          <cell r="K49">
            <v>3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H50">
            <v>1.0344827586206897</v>
          </cell>
          <cell r="I50">
            <v>0.42105263157894735</v>
          </cell>
          <cell r="J50">
            <v>0.33333333333333331</v>
          </cell>
          <cell r="K50">
            <v>0.33333333333333331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U50">
            <v>0.35294117647058826</v>
          </cell>
        </row>
        <row r="51">
          <cell r="H51">
            <v>174</v>
          </cell>
          <cell r="I51">
            <v>173</v>
          </cell>
          <cell r="J51">
            <v>303</v>
          </cell>
          <cell r="K51">
            <v>632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</row>
        <row r="52">
          <cell r="H52">
            <v>1.1599999999999999</v>
          </cell>
          <cell r="I52">
            <v>0.99711815561959649</v>
          </cell>
          <cell r="J52">
            <v>1.270440251572327</v>
          </cell>
          <cell r="K52">
            <v>1.5682382133995036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U52">
            <v>1.6675461741424802</v>
          </cell>
        </row>
        <row r="53">
          <cell r="H53">
            <v>183</v>
          </cell>
          <cell r="I53">
            <v>174</v>
          </cell>
          <cell r="J53">
            <v>274</v>
          </cell>
          <cell r="K53">
            <v>292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</row>
        <row r="54">
          <cell r="H54">
            <v>1.4409448818897639</v>
          </cell>
          <cell r="I54">
            <v>0.97478991596638653</v>
          </cell>
          <cell r="J54">
            <v>1.1991247264770242</v>
          </cell>
          <cell r="K54">
            <v>1.2294736842105263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U54">
            <v>1.6088154269972452</v>
          </cell>
        </row>
        <row r="55">
          <cell r="H55">
            <v>149</v>
          </cell>
          <cell r="I55">
            <v>123</v>
          </cell>
          <cell r="J55">
            <v>57</v>
          </cell>
          <cell r="K55">
            <v>128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</row>
        <row r="56">
          <cell r="H56">
            <v>1.2789699570815452</v>
          </cell>
          <cell r="I56">
            <v>0.90441176470588236</v>
          </cell>
          <cell r="J56">
            <v>0.55339805825242716</v>
          </cell>
          <cell r="K56">
            <v>0.92418772563176899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U56">
            <v>1.2075471698113207</v>
          </cell>
        </row>
        <row r="57">
          <cell r="H57">
            <v>10</v>
          </cell>
          <cell r="I57">
            <v>3</v>
          </cell>
          <cell r="J57">
            <v>3</v>
          </cell>
          <cell r="K57">
            <v>9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</row>
        <row r="58">
          <cell r="H58">
            <v>0.95238095238095233</v>
          </cell>
          <cell r="I58">
            <v>0.46153846153846156</v>
          </cell>
          <cell r="J58">
            <v>0.46153846153846156</v>
          </cell>
          <cell r="K58">
            <v>0.94736842105263153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U58">
            <v>0.9</v>
          </cell>
        </row>
        <row r="59">
          <cell r="H59">
            <v>58</v>
          </cell>
          <cell r="I59">
            <v>53</v>
          </cell>
          <cell r="J59">
            <v>43</v>
          </cell>
          <cell r="K59">
            <v>43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</row>
        <row r="60">
          <cell r="H60">
            <v>0.97478991596638653</v>
          </cell>
          <cell r="I60">
            <v>0.95495495495495497</v>
          </cell>
          <cell r="J60">
            <v>0.85148514851485146</v>
          </cell>
          <cell r="K60">
            <v>0.85148514851485146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U60">
            <v>0.82692307692307687</v>
          </cell>
        </row>
        <row r="61">
          <cell r="H61">
            <v>8</v>
          </cell>
          <cell r="I61">
            <v>8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H62">
            <v>2</v>
          </cell>
          <cell r="I62">
            <v>1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U62">
            <v>2</v>
          </cell>
        </row>
        <row r="63">
          <cell r="H63">
            <v>2</v>
          </cell>
          <cell r="I63">
            <v>2</v>
          </cell>
          <cell r="J63">
            <v>33</v>
          </cell>
          <cell r="K63">
            <v>63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H64">
            <v>2</v>
          </cell>
          <cell r="I64">
            <v>1</v>
          </cell>
          <cell r="J64">
            <v>1.8857142857142857</v>
          </cell>
          <cell r="K64">
            <v>1.9384615384615385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U64">
            <v>2</v>
          </cell>
        </row>
        <row r="65">
          <cell r="H65">
            <v>18</v>
          </cell>
          <cell r="I65">
            <v>19</v>
          </cell>
          <cell r="J65">
            <v>41</v>
          </cell>
          <cell r="K65">
            <v>25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H66">
            <v>1.3846153846153846</v>
          </cell>
          <cell r="I66">
            <v>1.027027027027027</v>
          </cell>
          <cell r="J66">
            <v>1.3898305084745763</v>
          </cell>
          <cell r="K66">
            <v>1.1627906976744187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U66">
            <v>1.5151515151515151</v>
          </cell>
        </row>
        <row r="67">
          <cell r="H67">
            <v>15</v>
          </cell>
          <cell r="I67">
            <v>37</v>
          </cell>
          <cell r="J67">
            <v>16</v>
          </cell>
          <cell r="K67">
            <v>16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H68">
            <v>0.88235294117647056</v>
          </cell>
          <cell r="I68">
            <v>1.4230769230769231</v>
          </cell>
          <cell r="J68">
            <v>1.032258064516129</v>
          </cell>
          <cell r="K68">
            <v>1.032258064516129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U68">
            <v>0.91428571428571426</v>
          </cell>
        </row>
        <row r="69">
          <cell r="H69">
            <v>42</v>
          </cell>
          <cell r="I69">
            <v>47</v>
          </cell>
          <cell r="J69">
            <v>47</v>
          </cell>
          <cell r="K69">
            <v>47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H70">
            <v>0.93333333333333335</v>
          </cell>
          <cell r="I70">
            <v>1.0561797752808988</v>
          </cell>
          <cell r="J70">
            <v>1.0561797752808988</v>
          </cell>
          <cell r="K70">
            <v>1.0561797752808988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U70">
            <v>0.98947368421052628</v>
          </cell>
        </row>
        <row r="71">
          <cell r="H71">
            <v>104</v>
          </cell>
          <cell r="I71">
            <v>36</v>
          </cell>
          <cell r="J71">
            <v>114</v>
          </cell>
          <cell r="K71">
            <v>90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</row>
        <row r="72">
          <cell r="H72">
            <v>1.7627118644067796</v>
          </cell>
          <cell r="I72">
            <v>0.51428571428571423</v>
          </cell>
          <cell r="J72">
            <v>1.0458715596330275</v>
          </cell>
          <cell r="K72">
            <v>0.92783505154639179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U72">
            <v>1.7307692307692308</v>
          </cell>
        </row>
        <row r="73">
          <cell r="H73">
            <v>17</v>
          </cell>
          <cell r="I73">
            <v>17</v>
          </cell>
          <cell r="J73">
            <v>17</v>
          </cell>
          <cell r="K73">
            <v>17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</row>
        <row r="74">
          <cell r="H74">
            <v>0.91891891891891897</v>
          </cell>
          <cell r="I74">
            <v>1</v>
          </cell>
          <cell r="J74">
            <v>1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U74">
            <v>0.91891891891891897</v>
          </cell>
        </row>
        <row r="76">
          <cell r="H76">
            <v>1.0313065976714102</v>
          </cell>
          <cell r="I76">
            <v>1.0505002382086708</v>
          </cell>
          <cell r="J76">
            <v>0.99841017488076311</v>
          </cell>
          <cell r="K76">
            <v>0.98942528735632185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U76">
            <v>1.0695825049701788</v>
          </cell>
        </row>
        <row r="77">
          <cell r="H77">
            <v>47</v>
          </cell>
          <cell r="I77">
            <v>47</v>
          </cell>
          <cell r="J77">
            <v>47</v>
          </cell>
          <cell r="K77">
            <v>47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</row>
        <row r="78">
          <cell r="H78">
            <v>1.0217391304347827</v>
          </cell>
          <cell r="I78">
            <v>1</v>
          </cell>
          <cell r="J78">
            <v>1</v>
          </cell>
          <cell r="K78">
            <v>1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U78">
            <v>1.0217391304347827</v>
          </cell>
        </row>
        <row r="79">
          <cell r="H79">
            <v>36</v>
          </cell>
          <cell r="I79">
            <v>36</v>
          </cell>
          <cell r="J79">
            <v>35</v>
          </cell>
          <cell r="K79">
            <v>34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</row>
        <row r="80">
          <cell r="H80">
            <v>1.0285714285714285</v>
          </cell>
          <cell r="I80">
            <v>1</v>
          </cell>
          <cell r="J80">
            <v>0.9859154929577465</v>
          </cell>
          <cell r="K80">
            <v>0.97142857142857142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U80">
            <v>1</v>
          </cell>
        </row>
        <row r="81">
          <cell r="H81">
            <v>39</v>
          </cell>
          <cell r="I81">
            <v>39</v>
          </cell>
          <cell r="J81">
            <v>59</v>
          </cell>
          <cell r="K81">
            <v>58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</row>
        <row r="82">
          <cell r="H82">
            <v>0.90697674418604646</v>
          </cell>
          <cell r="I82">
            <v>1</v>
          </cell>
          <cell r="J82">
            <v>1.2040816326530612</v>
          </cell>
          <cell r="K82">
            <v>1.1958762886597938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U82">
            <v>1.1047619047619048</v>
          </cell>
        </row>
        <row r="83">
          <cell r="H83">
            <v>77</v>
          </cell>
          <cell r="I83">
            <v>96</v>
          </cell>
          <cell r="J83">
            <v>177</v>
          </cell>
          <cell r="K83">
            <v>159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</row>
        <row r="84">
          <cell r="H84">
            <v>0.92215568862275454</v>
          </cell>
          <cell r="I84">
            <v>1.1098265895953756</v>
          </cell>
          <cell r="J84">
            <v>1.3937007874015748</v>
          </cell>
          <cell r="K84">
            <v>1.347457627118644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U84">
            <v>1.2771084337349397</v>
          </cell>
        </row>
        <row r="85">
          <cell r="H85">
            <v>90</v>
          </cell>
          <cell r="I85">
            <v>76</v>
          </cell>
          <cell r="J85">
            <v>122</v>
          </cell>
          <cell r="K85">
            <v>113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</row>
        <row r="86">
          <cell r="H86">
            <v>1.0344827586206897</v>
          </cell>
          <cell r="I86">
            <v>0.91566265060240959</v>
          </cell>
          <cell r="J86">
            <v>1.1509433962264151</v>
          </cell>
          <cell r="K86">
            <v>1.1133004926108374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U86">
            <v>1.1472081218274113</v>
          </cell>
        </row>
        <row r="87">
          <cell r="H87">
            <v>0</v>
          </cell>
          <cell r="I87">
            <v>16</v>
          </cell>
          <cell r="J87">
            <v>16</v>
          </cell>
          <cell r="K87">
            <v>16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8">
          <cell r="H88">
            <v>0</v>
          </cell>
          <cell r="I88">
            <v>2</v>
          </cell>
          <cell r="J88">
            <v>2</v>
          </cell>
          <cell r="K88">
            <v>2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U88">
            <v>2</v>
          </cell>
        </row>
        <row r="89">
          <cell r="H89">
            <v>34</v>
          </cell>
          <cell r="I89">
            <v>50</v>
          </cell>
          <cell r="J89">
            <v>40</v>
          </cell>
          <cell r="K89">
            <v>42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H90">
            <v>1.2363636363636363</v>
          </cell>
          <cell r="I90">
            <v>1.1904761904761905</v>
          </cell>
          <cell r="J90">
            <v>1.0810810810810811</v>
          </cell>
          <cell r="K90">
            <v>1.1052631578947369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U90">
            <v>1.3333333333333333</v>
          </cell>
        </row>
        <row r="91">
          <cell r="H91">
            <v>3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</row>
        <row r="92">
          <cell r="H92">
            <v>1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U92">
            <v>1</v>
          </cell>
        </row>
        <row r="93">
          <cell r="H93">
            <v>32</v>
          </cell>
          <cell r="I93">
            <v>83</v>
          </cell>
          <cell r="J93">
            <v>66</v>
          </cell>
          <cell r="K93">
            <v>46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</row>
        <row r="94">
          <cell r="H94">
            <v>1.103448275862069</v>
          </cell>
          <cell r="I94">
            <v>1.4434782608695653</v>
          </cell>
          <cell r="J94">
            <v>1.346938775510204</v>
          </cell>
          <cell r="K94">
            <v>1.1794871794871795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U94">
            <v>1.2777777777777777</v>
          </cell>
        </row>
        <row r="95">
          <cell r="H95">
            <v>205</v>
          </cell>
          <cell r="I95">
            <v>134</v>
          </cell>
          <cell r="J95">
            <v>112</v>
          </cell>
          <cell r="K95">
            <v>204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H96">
            <v>1.1388888888888888</v>
          </cell>
          <cell r="I96">
            <v>0.79056047197640122</v>
          </cell>
          <cell r="J96">
            <v>0.70662460567823349</v>
          </cell>
          <cell r="K96">
            <v>0.99755501222493892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U96">
            <v>1.1364902506963788</v>
          </cell>
        </row>
        <row r="97">
          <cell r="H97">
            <v>81</v>
          </cell>
          <cell r="I97">
            <v>76</v>
          </cell>
          <cell r="J97">
            <v>73</v>
          </cell>
          <cell r="K97">
            <v>62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</row>
        <row r="98">
          <cell r="H98">
            <v>0.98780487804878048</v>
          </cell>
          <cell r="I98">
            <v>0.96815286624203822</v>
          </cell>
          <cell r="J98">
            <v>0.94805194805194803</v>
          </cell>
          <cell r="K98">
            <v>0.86713286713286708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U98">
            <v>0.85517241379310349</v>
          </cell>
        </row>
        <row r="99">
          <cell r="H99">
            <v>115</v>
          </cell>
          <cell r="I99">
            <v>201</v>
          </cell>
          <cell r="J99">
            <v>204</v>
          </cell>
          <cell r="K99">
            <v>159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</row>
        <row r="100">
          <cell r="H100">
            <v>0.89494163424124518</v>
          </cell>
          <cell r="I100">
            <v>1.2721518987341771</v>
          </cell>
          <cell r="J100">
            <v>1.2789968652037618</v>
          </cell>
          <cell r="K100">
            <v>1.1605839416058394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U100">
            <v>1.0564784053156147</v>
          </cell>
        </row>
        <row r="101">
          <cell r="H101">
            <v>69</v>
          </cell>
          <cell r="I101">
            <v>66</v>
          </cell>
          <cell r="J101">
            <v>66</v>
          </cell>
          <cell r="K101">
            <v>64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</row>
        <row r="102">
          <cell r="H102">
            <v>0.8571428571428571</v>
          </cell>
          <cell r="I102">
            <v>0.97777777777777775</v>
          </cell>
          <cell r="J102">
            <v>0.97777777777777775</v>
          </cell>
          <cell r="K102">
            <v>0.96240601503759393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U102">
            <v>0.82051282051282048</v>
          </cell>
        </row>
        <row r="103">
          <cell r="H103">
            <v>0</v>
          </cell>
          <cell r="I103">
            <v>0</v>
          </cell>
          <cell r="J103">
            <v>0</v>
          </cell>
          <cell r="K103">
            <v>2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</row>
        <row r="104">
          <cell r="H104">
            <v>0</v>
          </cell>
          <cell r="I104">
            <v>0</v>
          </cell>
          <cell r="J104">
            <v>0</v>
          </cell>
          <cell r="K104">
            <v>2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U104">
            <v>2</v>
          </cell>
        </row>
        <row r="105">
          <cell r="H105">
            <v>71</v>
          </cell>
          <cell r="I105">
            <v>84</v>
          </cell>
          <cell r="J105">
            <v>83</v>
          </cell>
          <cell r="K105">
            <v>79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</row>
        <row r="106">
          <cell r="H106">
            <v>1.0215827338129497</v>
          </cell>
          <cell r="I106">
            <v>1.0838709677419356</v>
          </cell>
          <cell r="J106">
            <v>1.0779220779220779</v>
          </cell>
          <cell r="K106">
            <v>1.0533333333333332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U106">
            <v>1.0748299319727892</v>
          </cell>
        </row>
        <row r="107">
          <cell r="H107">
            <v>13</v>
          </cell>
          <cell r="I107">
            <v>13</v>
          </cell>
          <cell r="J107">
            <v>11</v>
          </cell>
          <cell r="K107">
            <v>11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</row>
        <row r="108">
          <cell r="H108">
            <v>0.89655172413793105</v>
          </cell>
          <cell r="I108">
            <v>1</v>
          </cell>
          <cell r="J108">
            <v>0.91666666666666663</v>
          </cell>
          <cell r="K108">
            <v>0.91666666666666663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U108">
            <v>0.81481481481481477</v>
          </cell>
        </row>
        <row r="109">
          <cell r="H109">
            <v>8</v>
          </cell>
          <cell r="I109">
            <v>7</v>
          </cell>
          <cell r="J109">
            <v>1</v>
          </cell>
          <cell r="K109">
            <v>1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</row>
        <row r="110">
          <cell r="H110">
            <v>1.2307692307692308</v>
          </cell>
          <cell r="I110">
            <v>0.93333333333333335</v>
          </cell>
          <cell r="J110">
            <v>0.22222222222222221</v>
          </cell>
          <cell r="K110">
            <v>0.22222222222222221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U110">
            <v>0.33333333333333331</v>
          </cell>
        </row>
        <row r="111">
          <cell r="H111">
            <v>64</v>
          </cell>
          <cell r="I111">
            <v>63</v>
          </cell>
          <cell r="J111">
            <v>61</v>
          </cell>
          <cell r="K111">
            <v>60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</row>
        <row r="112">
          <cell r="H112">
            <v>1.0578512396694215</v>
          </cell>
          <cell r="I112">
            <v>0.99212598425196852</v>
          </cell>
          <cell r="J112">
            <v>0.97599999999999998</v>
          </cell>
          <cell r="K112">
            <v>0.967741935483871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U112">
            <v>1.0256410256410255</v>
          </cell>
        </row>
        <row r="113">
          <cell r="H113">
            <v>38</v>
          </cell>
          <cell r="I113">
            <v>34</v>
          </cell>
          <cell r="J113">
            <v>31</v>
          </cell>
          <cell r="K113">
            <v>30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</row>
        <row r="114">
          <cell r="H114">
            <v>0.84444444444444444</v>
          </cell>
          <cell r="I114">
            <v>0.94444444444444442</v>
          </cell>
          <cell r="J114">
            <v>0.89855072463768115</v>
          </cell>
          <cell r="K114">
            <v>0.88235294117647056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U114">
            <v>0.73170731707317072</v>
          </cell>
        </row>
        <row r="115">
          <cell r="H115">
            <v>193</v>
          </cell>
          <cell r="I115">
            <v>209</v>
          </cell>
          <cell r="J115">
            <v>209</v>
          </cell>
          <cell r="K115">
            <v>199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</row>
        <row r="116">
          <cell r="H116">
            <v>1.1768292682926829</v>
          </cell>
          <cell r="I116">
            <v>1.0398009950248757</v>
          </cell>
          <cell r="J116">
            <v>1.0398009950248757</v>
          </cell>
          <cell r="K116">
            <v>1.0153061224489797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U116">
            <v>1.1916167664670658</v>
          </cell>
        </row>
        <row r="117">
          <cell r="H117">
            <v>573</v>
          </cell>
          <cell r="I117">
            <v>610</v>
          </cell>
          <cell r="J117">
            <v>582</v>
          </cell>
          <cell r="K117">
            <v>595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</row>
        <row r="118">
          <cell r="H118">
            <v>1.0640668523676879</v>
          </cell>
          <cell r="I118">
            <v>1.0312764158918004</v>
          </cell>
          <cell r="J118">
            <v>1.0077922077922077</v>
          </cell>
          <cell r="K118">
            <v>1.0188356164383561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U118">
            <v>1.0828025477707006</v>
          </cell>
        </row>
        <row r="119">
          <cell r="H119">
            <v>24</v>
          </cell>
          <cell r="I119">
            <v>19</v>
          </cell>
          <cell r="J119">
            <v>18</v>
          </cell>
          <cell r="K119">
            <v>14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</row>
        <row r="120">
          <cell r="H120">
            <v>1.0909090909090908</v>
          </cell>
          <cell r="I120">
            <v>0.88372093023255816</v>
          </cell>
          <cell r="J120">
            <v>0.8571428571428571</v>
          </cell>
          <cell r="K120">
            <v>0.73684210526315785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U120">
            <v>0.82352941176470584</v>
          </cell>
        </row>
        <row r="121">
          <cell r="H121">
            <v>8</v>
          </cell>
          <cell r="I121">
            <v>8</v>
          </cell>
          <cell r="J121">
            <v>8</v>
          </cell>
          <cell r="K121">
            <v>22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</row>
        <row r="122">
          <cell r="H122">
            <v>0.94117647058823528</v>
          </cell>
          <cell r="I122">
            <v>1</v>
          </cell>
          <cell r="J122">
            <v>1</v>
          </cell>
          <cell r="K122">
            <v>1.4666666666666666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U122">
            <v>1.4193548387096775</v>
          </cell>
        </row>
        <row r="123">
          <cell r="H123">
            <v>8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</row>
        <row r="124">
          <cell r="H124">
            <v>2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U124">
            <v>2</v>
          </cell>
        </row>
        <row r="125">
          <cell r="H125">
            <v>165</v>
          </cell>
          <cell r="I125">
            <v>238</v>
          </cell>
          <cell r="J125">
            <v>177</v>
          </cell>
          <cell r="K125">
            <v>135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</row>
        <row r="126">
          <cell r="H126">
            <v>0.94555873925501432</v>
          </cell>
          <cell r="I126">
            <v>1.1811414392059554</v>
          </cell>
          <cell r="J126">
            <v>1.0350877192982457</v>
          </cell>
          <cell r="K126">
            <v>0.9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U126">
            <v>0.84639498432601878</v>
          </cell>
        </row>
      </sheetData>
      <sheetData sheetId="4">
        <row r="21">
          <cell r="F21" t="str">
            <v>Janvier</v>
          </cell>
          <cell r="G21" t="str">
            <v>Février</v>
          </cell>
          <cell r="H21" t="str">
            <v>Mars</v>
          </cell>
          <cell r="I21" t="str">
            <v>Avril</v>
          </cell>
          <cell r="J21" t="str">
            <v>Mai</v>
          </cell>
          <cell r="K21" t="str">
            <v>Juin</v>
          </cell>
          <cell r="L21" t="str">
            <v>Juillet</v>
          </cell>
          <cell r="M21" t="str">
            <v>Août</v>
          </cell>
          <cell r="N21" t="str">
            <v>Septembre</v>
          </cell>
          <cell r="O21" t="str">
            <v>Octobre</v>
          </cell>
          <cell r="P21" t="str">
            <v>Novembre</v>
          </cell>
          <cell r="Q21" t="str">
            <v>Décembre</v>
          </cell>
        </row>
        <row r="23">
          <cell r="F23">
            <v>27.724986025712688</v>
          </cell>
          <cell r="G23">
            <v>24.552350427350429</v>
          </cell>
          <cell r="H23">
            <v>24.826439232409381</v>
          </cell>
          <cell r="I23">
            <v>21.927986906710313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78">
          <cell r="F78">
            <v>30.058956347215251</v>
          </cell>
          <cell r="G78">
            <v>26.653968253968255</v>
          </cell>
          <cell r="H78">
            <v>31.04936305732484</v>
          </cell>
          <cell r="I78">
            <v>30.320631970260223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</sheetData>
      <sheetData sheetId="5"/>
      <sheetData sheetId="6"/>
      <sheetData sheetId="7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aker" refreshedDate="44719.614837037036" createdVersion="7" refreshedVersion="7" minRefreshableVersion="3" recordCount="1" xr:uid="{B241CFD9-7A7A-41A0-8E4A-3A5A2A915770}">
  <cacheSource type="worksheet">
    <worksheetSource ref="B5:H6" sheet="Récapitulatif"/>
  </cacheSource>
  <cacheFields count="7">
    <cacheField name="KPI" numFmtId="0">
      <sharedItems count="1">
        <s v="Avancement CA 22 Vs 21"/>
      </sharedItems>
    </cacheField>
    <cacheField name="Service" numFmtId="0">
      <sharedItems/>
    </cacheField>
    <cacheField name="Objectif" numFmtId="9">
      <sharedItems containsNonDate="0" containsString="0" containsBlank="1"/>
    </cacheField>
    <cacheField name="Janvier" numFmtId="9">
      <sharedItems containsSemiMixedTypes="0" containsString="0" containsNumber="1" minValue="1.0798778315777722" maxValue="1.0798778315777722"/>
    </cacheField>
    <cacheField name="Février" numFmtId="9">
      <sharedItems containsSemiMixedTypes="0" containsString="0" containsNumber="1" minValue="0.46464189222259961" maxValue="0.46464189222259961"/>
    </cacheField>
    <cacheField name="Mars" numFmtId="9">
      <sharedItems containsSemiMixedTypes="0" containsString="0" containsNumber="1" minValue="-0.40598124377939976" maxValue="-0.40598124377939976"/>
    </cacheField>
    <cacheField name="Avril" numFmtId="9">
      <sharedItems containsSemiMixedTypes="0" containsString="0" containsNumber="1" minValue="-0.34722428629664748" maxValue="-0.3472242862966474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aker" refreshedDate="44719.618109953706" createdVersion="7" refreshedVersion="7" minRefreshableVersion="3" recordCount="160" xr:uid="{F41603F9-B74F-4E08-B99C-134D6202154A}">
  <cacheSource type="worksheet">
    <worksheetSource ref="A1:E161" sheet="Source"/>
  </cacheSource>
  <cacheFields count="5">
    <cacheField name="KPI" numFmtId="0">
      <sharedItems count="12">
        <s v="CA Réalisé"/>
        <s v="Durée Moy.de Stockage Fer Nu"/>
        <s v="Durée Moyenne de Stockage PF"/>
        <s v="PIC Vs Réalisation Liv."/>
        <s v="PIC Vs Réalisation Prod."/>
        <s v="Rotation des Stocks Fer Nu"/>
        <s v="Rotation des Stocks PF"/>
        <s v="Taux de Couverture de Stock Fer"/>
        <s v="Taux de Déchet"/>
        <s v="Taux de Remplissage Magasin PF"/>
        <s v="Taux de Retour Client"/>
        <s v="Tendence Production"/>
      </sharedItems>
    </cacheField>
    <cacheField name="Service" numFmtId="0">
      <sharedItems/>
    </cacheField>
    <cacheField name="Secteur" numFmtId="0">
      <sharedItems count="11">
        <s v="Alimentaire"/>
        <s v="Chamia"/>
        <s v="Huile"/>
        <s v="Industriel"/>
        <s v="Passager"/>
        <s v="Thon"/>
        <s v="Fond &amp; Accessoires"/>
        <s v="Géneral Ligne"/>
        <s v="Haute Cadence"/>
        <s v="Galon"/>
        <s v="Impremerie"/>
      </sharedItems>
    </cacheField>
    <cacheField name="Mois" numFmtId="0">
      <sharedItems count="4">
        <s v="Janvier"/>
        <s v="Février"/>
        <s v="Mars"/>
        <s v="Avril"/>
      </sharedItems>
    </cacheField>
    <cacheField name="Valeur" numFmtId="0">
      <sharedItems containsSemiMixedTypes="0" containsString="0" containsNumber="1" minValue="0" maxValue="10320986"/>
    </cacheField>
  </cacheFields>
  <extLst>
    <ext xmlns:x14="http://schemas.microsoft.com/office/spreadsheetml/2009/9/main" uri="{725AE2AE-9491-48be-B2B4-4EB974FC3084}">
      <x14:pivotCacheDefinition pivotCacheId="156271728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x v="0"/>
    <s v="Commercial"/>
    <m/>
    <n v="1.0798778315777722"/>
    <n v="0.46464189222259961"/>
    <n v="-0.40598124377939976"/>
    <n v="-0.3472242862966474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0">
  <r>
    <x v="0"/>
    <s v="Commercial"/>
    <x v="0"/>
    <x v="0"/>
    <n v="847669.34800000011"/>
  </r>
  <r>
    <x v="0"/>
    <s v="Commercial"/>
    <x v="1"/>
    <x v="0"/>
    <n v="41268.627"/>
  </r>
  <r>
    <x v="0"/>
    <s v="Commercial"/>
    <x v="2"/>
    <x v="0"/>
    <n v="1525.64"/>
  </r>
  <r>
    <x v="0"/>
    <s v="Commercial"/>
    <x v="3"/>
    <x v="0"/>
    <n v="1109775.953"/>
  </r>
  <r>
    <x v="0"/>
    <s v="Commercial"/>
    <x v="4"/>
    <x v="0"/>
    <n v="9585.8080000000009"/>
  </r>
  <r>
    <x v="0"/>
    <s v="Commercial"/>
    <x v="5"/>
    <x v="0"/>
    <n v="630084.93000000005"/>
  </r>
  <r>
    <x v="1"/>
    <s v="Stock"/>
    <x v="0"/>
    <x v="0"/>
    <n v="49.139291686971525"/>
  </r>
  <r>
    <x v="1"/>
    <s v="Stock"/>
    <x v="3"/>
    <x v="0"/>
    <n v="60.900106389826796"/>
  </r>
  <r>
    <x v="2"/>
    <s v="Stock"/>
    <x v="0"/>
    <x v="0"/>
    <n v="27.724986025712688"/>
  </r>
  <r>
    <x v="2"/>
    <s v="Stock"/>
    <x v="3"/>
    <x v="0"/>
    <n v="30.058956347215251"/>
  </r>
  <r>
    <x v="3"/>
    <s v="Production"/>
    <x v="0"/>
    <x v="0"/>
    <n v="0.41318159241947794"/>
  </r>
  <r>
    <x v="3"/>
    <s v="Production"/>
    <x v="1"/>
    <x v="0"/>
    <n v="1"/>
  </r>
  <r>
    <x v="3"/>
    <s v="Production"/>
    <x v="2"/>
    <x v="0"/>
    <n v="1"/>
  </r>
  <r>
    <x v="3"/>
    <s v="Production"/>
    <x v="3"/>
    <x v="0"/>
    <n v="1"/>
  </r>
  <r>
    <x v="3"/>
    <s v="Production"/>
    <x v="5"/>
    <x v="0"/>
    <n v="0.67547542677355288"/>
  </r>
  <r>
    <x v="4"/>
    <s v="Production"/>
    <x v="0"/>
    <x v="0"/>
    <n v="0.37600267557817052"/>
  </r>
  <r>
    <x v="4"/>
    <s v="Production"/>
    <x v="1"/>
    <x v="0"/>
    <n v="1"/>
  </r>
  <r>
    <x v="4"/>
    <s v="Production"/>
    <x v="2"/>
    <x v="0"/>
    <n v="1"/>
  </r>
  <r>
    <x v="4"/>
    <s v="Production"/>
    <x v="3"/>
    <x v="0"/>
    <n v="0.40693104169206823"/>
  </r>
  <r>
    <x v="4"/>
    <s v="Production"/>
    <x v="5"/>
    <x v="0"/>
    <n v="0.78972382322442924"/>
  </r>
  <r>
    <x v="5"/>
    <s v="Stock"/>
    <x v="0"/>
    <x v="0"/>
    <n v="0.63085972417911629"/>
  </r>
  <r>
    <x v="5"/>
    <s v="Stock"/>
    <x v="3"/>
    <x v="0"/>
    <n v="0.50903030943109273"/>
  </r>
  <r>
    <x v="6"/>
    <s v="Stock"/>
    <x v="0"/>
    <x v="0"/>
    <n v="1.118125"/>
  </r>
  <r>
    <x v="6"/>
    <s v="Stock"/>
    <x v="3"/>
    <x v="0"/>
    <n v="1.0313065976714102"/>
  </r>
  <r>
    <x v="7"/>
    <s v="Stock"/>
    <x v="0"/>
    <x v="0"/>
    <n v="0.87251423460425315"/>
  </r>
  <r>
    <x v="7"/>
    <s v="Stock"/>
    <x v="3"/>
    <x v="0"/>
    <n v="0.93213776054674991"/>
  </r>
  <r>
    <x v="8"/>
    <s v="Production"/>
    <x v="6"/>
    <x v="0"/>
    <n v="4.7263893698938346E-2"/>
  </r>
  <r>
    <x v="8"/>
    <s v="Production"/>
    <x v="7"/>
    <x v="0"/>
    <n v="3.7046571654618998E-2"/>
  </r>
  <r>
    <x v="8"/>
    <s v="Production"/>
    <x v="8"/>
    <x v="0"/>
    <n v="4.5404588260298277E-3"/>
  </r>
  <r>
    <x v="8"/>
    <s v="Production"/>
    <x v="9"/>
    <x v="0"/>
    <n v="4.8195273415699028E-2"/>
  </r>
  <r>
    <x v="8"/>
    <s v="Production"/>
    <x v="10"/>
    <x v="0"/>
    <n v="2.0057550783051596E-2"/>
  </r>
  <r>
    <x v="9"/>
    <s v="Logistique"/>
    <x v="0"/>
    <x v="0"/>
    <n v="0.53885542168674694"/>
  </r>
  <r>
    <x v="9"/>
    <s v="Logistique"/>
    <x v="3"/>
    <x v="0"/>
    <n v="0.35589285714285712"/>
  </r>
  <r>
    <x v="10"/>
    <s v="Logistique"/>
    <x v="0"/>
    <x v="0"/>
    <n v="0"/>
  </r>
  <r>
    <x v="10"/>
    <s v="Logistique"/>
    <x v="3"/>
    <x v="0"/>
    <n v="1.8404907975460124E-2"/>
  </r>
  <r>
    <x v="0"/>
    <s v="Commercial"/>
    <x v="0"/>
    <x v="1"/>
    <n v="783631.62799999991"/>
  </r>
  <r>
    <x v="0"/>
    <s v="Commercial"/>
    <x v="1"/>
    <x v="1"/>
    <n v="672140.12800000003"/>
  </r>
  <r>
    <x v="0"/>
    <s v="Commercial"/>
    <x v="2"/>
    <x v="1"/>
    <n v="44679.460000000006"/>
  </r>
  <r>
    <x v="0"/>
    <s v="Commercial"/>
    <x v="3"/>
    <x v="1"/>
    <n v="2040602.8209999993"/>
  </r>
  <r>
    <x v="0"/>
    <s v="Commercial"/>
    <x v="4"/>
    <x v="1"/>
    <n v="10358.508"/>
  </r>
  <r>
    <x v="0"/>
    <s v="Commercial"/>
    <x v="5"/>
    <x v="1"/>
    <n v="1994626.0679999997"/>
  </r>
  <r>
    <x v="1"/>
    <s v="Stock"/>
    <x v="0"/>
    <x v="1"/>
    <n v="28.489869211085701"/>
  </r>
  <r>
    <x v="1"/>
    <s v="Stock"/>
    <x v="3"/>
    <x v="1"/>
    <n v="28.694546361788721"/>
  </r>
  <r>
    <x v="2"/>
    <s v="Stock"/>
    <x v="0"/>
    <x v="1"/>
    <n v="24.552350427350429"/>
  </r>
  <r>
    <x v="2"/>
    <s v="Stock"/>
    <x v="3"/>
    <x v="1"/>
    <n v="26.653968253968255"/>
  </r>
  <r>
    <x v="3"/>
    <s v="Production"/>
    <x v="0"/>
    <x v="1"/>
    <n v="0.1743085517503454"/>
  </r>
  <r>
    <x v="3"/>
    <s v="Production"/>
    <x v="1"/>
    <x v="1"/>
    <n v="1"/>
  </r>
  <r>
    <x v="3"/>
    <s v="Production"/>
    <x v="2"/>
    <x v="1"/>
    <n v="0.68244568782749759"/>
  </r>
  <r>
    <x v="3"/>
    <s v="Production"/>
    <x v="3"/>
    <x v="1"/>
    <n v="0.68244568782749759"/>
  </r>
  <r>
    <x v="3"/>
    <s v="Production"/>
    <x v="5"/>
    <x v="1"/>
    <n v="0.80399191924413327"/>
  </r>
  <r>
    <x v="4"/>
    <s v="Production"/>
    <x v="0"/>
    <x v="1"/>
    <n v="0.11794437996776497"/>
  </r>
  <r>
    <x v="4"/>
    <s v="Production"/>
    <x v="1"/>
    <x v="1"/>
    <n v="1"/>
  </r>
  <r>
    <x v="4"/>
    <s v="Production"/>
    <x v="2"/>
    <x v="1"/>
    <n v="0.94964150325741015"/>
  </r>
  <r>
    <x v="4"/>
    <s v="Production"/>
    <x v="3"/>
    <x v="1"/>
    <n v="0.5750090096858046"/>
  </r>
  <r>
    <x v="4"/>
    <s v="Production"/>
    <x v="5"/>
    <x v="1"/>
    <n v="0.91184385910576471"/>
  </r>
  <r>
    <x v="5"/>
    <s v="Stock"/>
    <x v="0"/>
    <x v="1"/>
    <n v="0.98280549456172694"/>
  </r>
  <r>
    <x v="5"/>
    <s v="Stock"/>
    <x v="3"/>
    <x v="1"/>
    <n v="0.97579517888062461"/>
  </r>
  <r>
    <x v="6"/>
    <s v="Stock"/>
    <x v="0"/>
    <x v="1"/>
    <n v="1.1404203472433749"/>
  </r>
  <r>
    <x v="6"/>
    <s v="Stock"/>
    <x v="3"/>
    <x v="1"/>
    <n v="1.0505002382086708"/>
  </r>
  <r>
    <x v="7"/>
    <s v="Stock"/>
    <x v="0"/>
    <x v="1"/>
    <n v="0.86885405998875653"/>
  </r>
  <r>
    <x v="7"/>
    <s v="Stock"/>
    <x v="3"/>
    <x v="1"/>
    <n v="0.86851129481236955"/>
  </r>
  <r>
    <x v="8"/>
    <s v="Production"/>
    <x v="6"/>
    <x v="1"/>
    <n v="3.5636457261683581E-2"/>
  </r>
  <r>
    <x v="8"/>
    <s v="Production"/>
    <x v="7"/>
    <x v="1"/>
    <n v="8.8330894375903218E-2"/>
  </r>
  <r>
    <x v="8"/>
    <s v="Production"/>
    <x v="8"/>
    <x v="1"/>
    <n v="8.2933505959798988E-3"/>
  </r>
  <r>
    <x v="8"/>
    <s v="Production"/>
    <x v="9"/>
    <x v="1"/>
    <n v="1.6626313367778262E-4"/>
  </r>
  <r>
    <x v="8"/>
    <s v="Production"/>
    <x v="10"/>
    <x v="1"/>
    <n v="2.4467479668969394E-2"/>
  </r>
  <r>
    <x v="9"/>
    <s v="Logistique"/>
    <x v="0"/>
    <x v="1"/>
    <n v="0.56385542168674696"/>
  </r>
  <r>
    <x v="9"/>
    <s v="Logistique"/>
    <x v="3"/>
    <x v="1"/>
    <n v="0.39374999999999999"/>
  </r>
  <r>
    <x v="10"/>
    <s v="Logistique"/>
    <x v="0"/>
    <x v="1"/>
    <n v="0"/>
  </r>
  <r>
    <x v="10"/>
    <s v="Logistique"/>
    <x v="3"/>
    <x v="1"/>
    <n v="1.11731843575419E-2"/>
  </r>
  <r>
    <x v="0"/>
    <s v="Commercial"/>
    <x v="0"/>
    <x v="2"/>
    <n v="2891647.8139999979"/>
  </r>
  <r>
    <x v="0"/>
    <s v="Commercial"/>
    <x v="1"/>
    <x v="2"/>
    <n v="337187.87699999998"/>
  </r>
  <r>
    <x v="0"/>
    <s v="Commercial"/>
    <x v="2"/>
    <x v="2"/>
    <n v="7673.518"/>
  </r>
  <r>
    <x v="0"/>
    <s v="Commercial"/>
    <x v="3"/>
    <x v="2"/>
    <n v="2485211.7800000012"/>
  </r>
  <r>
    <x v="0"/>
    <s v="Commercial"/>
    <x v="4"/>
    <x v="2"/>
    <n v="98023.623999999996"/>
  </r>
  <r>
    <x v="0"/>
    <s v="Commercial"/>
    <x v="5"/>
    <x v="2"/>
    <n v="952058.41399999999"/>
  </r>
  <r>
    <x v="1"/>
    <s v="Stock"/>
    <x v="0"/>
    <x v="2"/>
    <n v="32.25892543524224"/>
  </r>
  <r>
    <x v="1"/>
    <s v="Stock"/>
    <x v="3"/>
    <x v="2"/>
    <n v="32.992700322434246"/>
  </r>
  <r>
    <x v="2"/>
    <s v="Stock"/>
    <x v="0"/>
    <x v="2"/>
    <n v="24.826439232409381"/>
  </r>
  <r>
    <x v="2"/>
    <s v="Stock"/>
    <x v="3"/>
    <x v="2"/>
    <n v="31.04936305732484"/>
  </r>
  <r>
    <x v="3"/>
    <s v="Production"/>
    <x v="0"/>
    <x v="2"/>
    <n v="0.18386030535905762"/>
  </r>
  <r>
    <x v="3"/>
    <s v="Production"/>
    <x v="1"/>
    <x v="2"/>
    <n v="0.48556828169782612"/>
  </r>
  <r>
    <x v="3"/>
    <s v="Production"/>
    <x v="2"/>
    <x v="2"/>
    <n v="0.40340148340301929"/>
  </r>
  <r>
    <x v="3"/>
    <s v="Production"/>
    <x v="3"/>
    <x v="2"/>
    <n v="0.40340148340301929"/>
  </r>
  <r>
    <x v="3"/>
    <s v="Production"/>
    <x v="5"/>
    <x v="2"/>
    <n v="0.5230638051554698"/>
  </r>
  <r>
    <x v="4"/>
    <s v="Production"/>
    <x v="0"/>
    <x v="2"/>
    <n v="0.28183796995369825"/>
  </r>
  <r>
    <x v="4"/>
    <s v="Production"/>
    <x v="1"/>
    <x v="2"/>
    <n v="8.9462288036555482E-2"/>
  </r>
  <r>
    <x v="4"/>
    <s v="Production"/>
    <x v="2"/>
    <x v="2"/>
    <n v="0.92061521800466295"/>
  </r>
  <r>
    <x v="4"/>
    <s v="Production"/>
    <x v="3"/>
    <x v="2"/>
    <n v="1"/>
  </r>
  <r>
    <x v="4"/>
    <s v="Production"/>
    <x v="5"/>
    <x v="2"/>
    <n v="0.36008397199999381"/>
  </r>
  <r>
    <x v="5"/>
    <s v="Stock"/>
    <x v="0"/>
    <x v="2"/>
    <n v="0.96097435304317702"/>
  </r>
  <r>
    <x v="5"/>
    <s v="Stock"/>
    <x v="3"/>
    <x v="2"/>
    <n v="0.93960178151652363"/>
  </r>
  <r>
    <x v="6"/>
    <s v="Stock"/>
    <x v="0"/>
    <x v="2"/>
    <n v="1.2486687965921193"/>
  </r>
  <r>
    <x v="6"/>
    <s v="Stock"/>
    <x v="3"/>
    <x v="2"/>
    <n v="0.99841017488076311"/>
  </r>
  <r>
    <x v="7"/>
    <s v="Stock"/>
    <x v="0"/>
    <x v="2"/>
    <n v="0.82809245656123676"/>
  </r>
  <r>
    <x v="7"/>
    <s v="Stock"/>
    <x v="3"/>
    <x v="2"/>
    <n v="0.76539656187491389"/>
  </r>
  <r>
    <x v="8"/>
    <s v="Production"/>
    <x v="6"/>
    <x v="2"/>
    <n v="2.9838229955779328E-2"/>
  </r>
  <r>
    <x v="8"/>
    <s v="Production"/>
    <x v="7"/>
    <x v="2"/>
    <n v="2.9765803661432423E-2"/>
  </r>
  <r>
    <x v="8"/>
    <s v="Production"/>
    <x v="8"/>
    <x v="2"/>
    <n v="2.8695879285214796E-3"/>
  </r>
  <r>
    <x v="8"/>
    <s v="Production"/>
    <x v="9"/>
    <x v="2"/>
    <n v="2.196424346207057E-4"/>
  </r>
  <r>
    <x v="8"/>
    <s v="Production"/>
    <x v="10"/>
    <x v="2"/>
    <n v="2.1535258672101699E-2"/>
  </r>
  <r>
    <x v="9"/>
    <s v="Logistique"/>
    <x v="0"/>
    <x v="2"/>
    <n v="0.70632530120481929"/>
  </r>
  <r>
    <x v="9"/>
    <s v="Logistique"/>
    <x v="3"/>
    <x v="2"/>
    <n v="0.39250000000000002"/>
  </r>
  <r>
    <x v="10"/>
    <s v="Logistique"/>
    <x v="0"/>
    <x v="2"/>
    <n v="0"/>
  </r>
  <r>
    <x v="10"/>
    <s v="Logistique"/>
    <x v="3"/>
    <x v="2"/>
    <n v="4.4247787610619468E-3"/>
  </r>
  <r>
    <x v="0"/>
    <s v="Commercial"/>
    <x v="0"/>
    <x v="3"/>
    <n v="6092855.9749999959"/>
  </r>
  <r>
    <x v="0"/>
    <s v="Commercial"/>
    <x v="1"/>
    <x v="3"/>
    <n v="418530.57799999998"/>
  </r>
  <r>
    <x v="0"/>
    <s v="Commercial"/>
    <x v="2"/>
    <x v="3"/>
    <n v="8211.6899999999987"/>
  </r>
  <r>
    <x v="0"/>
    <s v="Commercial"/>
    <x v="3"/>
    <x v="3"/>
    <n v="1954739.0489999999"/>
  </r>
  <r>
    <x v="0"/>
    <s v="Commercial"/>
    <x v="4"/>
    <x v="3"/>
    <n v="8486.18"/>
  </r>
  <r>
    <x v="0"/>
    <s v="Commercial"/>
    <x v="5"/>
    <x v="3"/>
    <n v="209461.13"/>
  </r>
  <r>
    <x v="1"/>
    <s v="Stock"/>
    <x v="0"/>
    <x v="3"/>
    <n v="32.289792672477802"/>
  </r>
  <r>
    <x v="1"/>
    <s v="Stock"/>
    <x v="3"/>
    <x v="3"/>
    <n v="31.142086869266347"/>
  </r>
  <r>
    <x v="2"/>
    <s v="Stock"/>
    <x v="0"/>
    <x v="3"/>
    <n v="21.927986906710313"/>
  </r>
  <r>
    <x v="2"/>
    <s v="Stock"/>
    <x v="3"/>
    <x v="3"/>
    <n v="30.320631970260223"/>
  </r>
  <r>
    <x v="3"/>
    <s v="Production"/>
    <x v="0"/>
    <x v="3"/>
    <n v="0.43071902610845325"/>
  </r>
  <r>
    <x v="3"/>
    <s v="Production"/>
    <x v="1"/>
    <x v="3"/>
    <n v="0.78373476827633048"/>
  </r>
  <r>
    <x v="3"/>
    <s v="Production"/>
    <x v="2"/>
    <x v="3"/>
    <n v="1"/>
  </r>
  <r>
    <x v="3"/>
    <s v="Production"/>
    <x v="3"/>
    <x v="3"/>
    <n v="1"/>
  </r>
  <r>
    <x v="3"/>
    <s v="Production"/>
    <x v="5"/>
    <x v="3"/>
    <n v="0.21078173306563269"/>
  </r>
  <r>
    <x v="4"/>
    <s v="Production"/>
    <x v="0"/>
    <x v="3"/>
    <n v="0.48663250257994023"/>
  </r>
  <r>
    <x v="4"/>
    <s v="Production"/>
    <x v="1"/>
    <x v="3"/>
    <n v="0.83019080482493401"/>
  </r>
  <r>
    <x v="4"/>
    <s v="Production"/>
    <x v="2"/>
    <x v="3"/>
    <n v="1"/>
  </r>
  <r>
    <x v="4"/>
    <s v="Production"/>
    <x v="3"/>
    <x v="3"/>
    <n v="0.36723417271239239"/>
  </r>
  <r>
    <x v="4"/>
    <s v="Production"/>
    <x v="5"/>
    <x v="3"/>
    <n v="0.51250282358197452"/>
  </r>
  <r>
    <x v="11"/>
    <s v="Production"/>
    <x v="0"/>
    <x v="0"/>
    <n v="191004"/>
  </r>
  <r>
    <x v="11"/>
    <s v="Production"/>
    <x v="1"/>
    <x v="0"/>
    <n v="771645"/>
  </r>
  <r>
    <x v="11"/>
    <s v="Production"/>
    <x v="2"/>
    <x v="0"/>
    <n v="125224"/>
  </r>
  <r>
    <x v="11"/>
    <s v="Production"/>
    <x v="3"/>
    <x v="0"/>
    <n v="661040"/>
  </r>
  <r>
    <x v="11"/>
    <s v="Production"/>
    <x v="5"/>
    <x v="0"/>
    <n v="2302927"/>
  </r>
  <r>
    <x v="11"/>
    <s v="Production"/>
    <x v="0"/>
    <x v="1"/>
    <n v="384075"/>
  </r>
  <r>
    <x v="11"/>
    <s v="Production"/>
    <x v="1"/>
    <x v="1"/>
    <n v="363715"/>
  </r>
  <r>
    <x v="11"/>
    <s v="Production"/>
    <x v="2"/>
    <x v="1"/>
    <n v="335048"/>
  </r>
  <r>
    <x v="11"/>
    <s v="Production"/>
    <x v="3"/>
    <x v="1"/>
    <n v="719519"/>
  </r>
  <r>
    <x v="11"/>
    <s v="Production"/>
    <x v="5"/>
    <x v="1"/>
    <n v="3510532"/>
  </r>
  <r>
    <x v="11"/>
    <s v="Production"/>
    <x v="0"/>
    <x v="2"/>
    <n v="5812633"/>
  </r>
  <r>
    <x v="11"/>
    <s v="Production"/>
    <x v="1"/>
    <x v="2"/>
    <n v="50616"/>
  </r>
  <r>
    <x v="11"/>
    <s v="Production"/>
    <x v="2"/>
    <x v="2"/>
    <n v="428744"/>
  </r>
  <r>
    <x v="11"/>
    <s v="Production"/>
    <x v="3"/>
    <x v="2"/>
    <n v="900749"/>
  </r>
  <r>
    <x v="11"/>
    <s v="Production"/>
    <x v="5"/>
    <x v="2"/>
    <n v="815054"/>
  </r>
  <r>
    <x v="11"/>
    <s v="Production"/>
    <x v="0"/>
    <x v="3"/>
    <n v="10320986"/>
  </r>
  <r>
    <x v="11"/>
    <s v="Production"/>
    <x v="1"/>
    <x v="3"/>
    <n v="386619"/>
  </r>
  <r>
    <x v="11"/>
    <s v="Production"/>
    <x v="2"/>
    <x v="3"/>
    <n v="45178"/>
  </r>
  <r>
    <x v="11"/>
    <s v="Production"/>
    <x v="3"/>
    <x v="3"/>
    <n v="528824"/>
  </r>
  <r>
    <x v="11"/>
    <s v="Production"/>
    <x v="5"/>
    <x v="3"/>
    <n v="1422601"/>
  </r>
  <r>
    <x v="5"/>
    <s v="Stock"/>
    <x v="0"/>
    <x v="3"/>
    <n v="0.92908617606487442"/>
  </r>
  <r>
    <x v="5"/>
    <s v="Stock"/>
    <x v="3"/>
    <x v="3"/>
    <n v="0.96332657878514061"/>
  </r>
  <r>
    <x v="6"/>
    <s v="Stock"/>
    <x v="0"/>
    <x v="3"/>
    <n v="1.3681146439767129"/>
  </r>
  <r>
    <x v="6"/>
    <s v="Stock"/>
    <x v="3"/>
    <x v="3"/>
    <n v="0.98942528735632185"/>
  </r>
  <r>
    <x v="7"/>
    <s v="Stock"/>
    <x v="0"/>
    <x v="3"/>
    <n v="0.80663783163505653"/>
  </r>
  <r>
    <x v="7"/>
    <s v="Stock"/>
    <x v="3"/>
    <x v="3"/>
    <n v="0.7177776616965259"/>
  </r>
  <r>
    <x v="8"/>
    <s v="Production"/>
    <x v="6"/>
    <x v="3"/>
    <n v="0.14637514817393255"/>
  </r>
  <r>
    <x v="8"/>
    <s v="Production"/>
    <x v="7"/>
    <x v="3"/>
    <n v="2.3294732909973852E-2"/>
  </r>
  <r>
    <x v="8"/>
    <s v="Production"/>
    <x v="8"/>
    <x v="3"/>
    <n v="3.1538340468663748E-3"/>
  </r>
  <r>
    <x v="8"/>
    <s v="Production"/>
    <x v="9"/>
    <x v="3"/>
    <n v="2.9089281718506278E-3"/>
  </r>
  <r>
    <x v="8"/>
    <s v="Production"/>
    <x v="10"/>
    <x v="3"/>
    <n v="0.16194634337054428"/>
  </r>
  <r>
    <x v="9"/>
    <s v="Logistique"/>
    <x v="0"/>
    <x v="3"/>
    <n v="0.92018072289156627"/>
  </r>
  <r>
    <x v="9"/>
    <s v="Logistique"/>
    <x v="3"/>
    <x v="3"/>
    <n v="0.38428571428571429"/>
  </r>
  <r>
    <x v="10"/>
    <s v="Logistique"/>
    <x v="0"/>
    <x v="3"/>
    <n v="0"/>
  </r>
  <r>
    <x v="10"/>
    <s v="Logistique"/>
    <x v="3"/>
    <x v="3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ECA2F04-B3C1-48A1-ACBF-A80B24522D80}" name="Retour Client" cacheId="4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outline="1" outlineData="1" multipleFieldFilters="0">
  <location ref="A115:F119" firstHeaderRow="1" firstDataRow="2" firstDataCol="1" rowPageCount="1" colPageCount="1"/>
  <pivotFields count="5">
    <pivotField axis="axisPage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axis="axisRow" showAll="0">
      <items count="12">
        <item x="0"/>
        <item x="1"/>
        <item x="6"/>
        <item x="9"/>
        <item x="7"/>
        <item x="8"/>
        <item x="2"/>
        <item x="10"/>
        <item x="3"/>
        <item x="4"/>
        <item x="5"/>
        <item t="default"/>
      </items>
    </pivotField>
    <pivotField axis="axisCol" showAll="0">
      <items count="5">
        <item x="0"/>
        <item x="1"/>
        <item x="2"/>
        <item x="3"/>
        <item t="default"/>
      </items>
    </pivotField>
    <pivotField dataField="1" showAll="0"/>
  </pivotFields>
  <rowFields count="1">
    <field x="2"/>
  </rowFields>
  <rowItems count="3">
    <i>
      <x/>
    </i>
    <i>
      <x v="8"/>
    </i>
    <i t="grand">
      <x/>
    </i>
  </rowItems>
  <colFields count="1">
    <field x="3"/>
  </colFields>
  <colItems count="5">
    <i>
      <x/>
    </i>
    <i>
      <x v="1"/>
    </i>
    <i>
      <x v="2"/>
    </i>
    <i>
      <x v="3"/>
    </i>
    <i t="grand">
      <x/>
    </i>
  </colItems>
  <pageFields count="1">
    <pageField fld="0" item="10" hier="-1"/>
  </pageFields>
  <dataFields count="1">
    <dataField name="Moyenne de Valeur" fld="4" subtotal="average" baseField="2" baseItem="0" numFmtId="164"/>
  </dataFields>
  <formats count="3">
    <format dxfId="86">
      <pivotArea outline="0" collapsedLevelsAreSubtotals="1" fieldPosition="0"/>
    </format>
    <format dxfId="87">
      <pivotArea outline="0" collapsedLevelsAreSubtotals="1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9CCAAB7-BE7B-42B6-8F3E-7D5B2CA85B23}" name="Couverture des Stocks" cacheId="4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outline="1" outlineData="1" multipleFieldFilters="0" chartFormat="10" colHeaderCaption="">
  <location ref="A16:B19" firstHeaderRow="1" firstDataRow="1" firstDataCol="1" rowPageCount="1" colPageCount="1"/>
  <pivotFields count="5">
    <pivotField axis="axisPage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axis="axisRow" showAll="0">
      <items count="12">
        <item x="0"/>
        <item x="1"/>
        <item x="6"/>
        <item x="9"/>
        <item x="7"/>
        <item x="8"/>
        <item x="2"/>
        <item x="10"/>
        <item x="3"/>
        <item x="4"/>
        <item x="5"/>
        <item t="default"/>
      </items>
    </pivotField>
    <pivotField showAll="0">
      <items count="5">
        <item x="0"/>
        <item x="1"/>
        <item x="2"/>
        <item x="3"/>
        <item t="default"/>
      </items>
    </pivotField>
    <pivotField dataField="1" showAll="0"/>
  </pivotFields>
  <rowFields count="1">
    <field x="2"/>
  </rowFields>
  <rowItems count="3">
    <i>
      <x/>
    </i>
    <i>
      <x v="8"/>
    </i>
    <i t="grand">
      <x/>
    </i>
  </rowItems>
  <colItems count="1">
    <i/>
  </colItems>
  <pageFields count="1">
    <pageField fld="0" item="7" hier="-1"/>
  </pageFields>
  <dataFields count="1">
    <dataField name="Moyenne de Valeur" fld="4" subtotal="average" baseField="2" baseItem="0" numFmtId="9"/>
  </dataFields>
  <formats count="2">
    <format dxfId="100">
      <pivotArea outline="0" collapsedLevelsAreSubtotals="1" fieldPosition="0"/>
    </format>
    <format dxfId="10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B2D3D40-82C9-405F-AC89-CE4031875A56}" name="Tendence Prod" cacheId="4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outline="1" outlineData="1" multipleFieldFilters="0" chartFormat="37" colHeaderCaption="">
  <location ref="A79:F86" firstHeaderRow="1" firstDataRow="2" firstDataCol="1" rowPageCount="1" colPageCount="1"/>
  <pivotFields count="5">
    <pivotField axis="axisPage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axis="axisRow" showAll="0">
      <items count="12">
        <item x="0"/>
        <item x="1"/>
        <item x="6"/>
        <item x="9"/>
        <item x="7"/>
        <item x="8"/>
        <item x="2"/>
        <item x="10"/>
        <item x="3"/>
        <item x="4"/>
        <item x="5"/>
        <item t="default"/>
      </items>
    </pivotField>
    <pivotField axis="axisCol" showAll="0">
      <items count="5">
        <item x="0"/>
        <item x="1"/>
        <item x="2"/>
        <item x="3"/>
        <item t="default"/>
      </items>
    </pivotField>
    <pivotField dataField="1" showAll="0"/>
  </pivotFields>
  <rowFields count="1">
    <field x="2"/>
  </rowFields>
  <rowItems count="6">
    <i>
      <x/>
    </i>
    <i>
      <x v="1"/>
    </i>
    <i>
      <x v="6"/>
    </i>
    <i>
      <x v="8"/>
    </i>
    <i>
      <x v="10"/>
    </i>
    <i t="grand">
      <x/>
    </i>
  </rowItems>
  <colFields count="1">
    <field x="3"/>
  </colFields>
  <colItems count="5">
    <i>
      <x/>
    </i>
    <i>
      <x v="1"/>
    </i>
    <i>
      <x v="2"/>
    </i>
    <i>
      <x v="3"/>
    </i>
    <i t="grand">
      <x/>
    </i>
  </colItems>
  <pageFields count="1">
    <pageField fld="0" item="11" hier="-1"/>
  </pageFields>
  <dataFields count="1">
    <dataField name="Somme de Valeur" fld="4" baseField="0" baseItem="0" numFmtId="1"/>
  </dataFields>
  <formats count="1">
    <format dxfId="10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9CD3EB8-0E7C-4702-A959-CA7D37D2A0E4}" name="Durée Moy PF" cacheId="4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outline="1" outlineData="1" multipleFieldFilters="0">
  <location ref="A34:F38" firstHeaderRow="1" firstDataRow="2" firstDataCol="1" rowPageCount="1" colPageCount="1"/>
  <pivotFields count="5">
    <pivotField axis="axisPage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axis="axisRow" showAll="0">
      <items count="12">
        <item x="0"/>
        <item x="1"/>
        <item x="6"/>
        <item x="9"/>
        <item x="7"/>
        <item x="8"/>
        <item x="2"/>
        <item x="10"/>
        <item x="3"/>
        <item x="4"/>
        <item x="5"/>
        <item t="default"/>
      </items>
    </pivotField>
    <pivotField axis="axisCol" showAll="0">
      <items count="5">
        <item x="0"/>
        <item x="1"/>
        <item x="2"/>
        <item x="3"/>
        <item t="default"/>
      </items>
    </pivotField>
    <pivotField dataField="1" showAll="0"/>
  </pivotFields>
  <rowFields count="1">
    <field x="2"/>
  </rowFields>
  <rowItems count="3">
    <i>
      <x/>
    </i>
    <i>
      <x v="8"/>
    </i>
    <i t="grand">
      <x/>
    </i>
  </rowItems>
  <colFields count="1">
    <field x="3"/>
  </colFields>
  <colItems count="5">
    <i>
      <x/>
    </i>
    <i>
      <x v="1"/>
    </i>
    <i>
      <x v="2"/>
    </i>
    <i>
      <x v="3"/>
    </i>
    <i t="grand">
      <x/>
    </i>
  </colItems>
  <pageFields count="1">
    <pageField fld="0" item="2" hier="-1"/>
  </pageFields>
  <dataFields count="1">
    <dataField name="Somme de Valeur" fld="4" baseField="0" baseItem="0" numFmtId="3"/>
  </dataFields>
  <formats count="1">
    <format dxfId="9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851BE9F-F581-4E61-BEC6-F4CC90A1ABFD}" name="PIC Vs Prod" cacheId="4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outline="1" outlineData="1" multipleFieldFilters="0" chartFormat="35">
  <location ref="A55:F62" firstHeaderRow="1" firstDataRow="2" firstDataCol="1" rowPageCount="1" colPageCount="1"/>
  <pivotFields count="5">
    <pivotField axis="axisPage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axis="axisRow" showAll="0">
      <items count="12">
        <item x="0"/>
        <item x="1"/>
        <item x="6"/>
        <item x="9"/>
        <item x="7"/>
        <item x="8"/>
        <item x="2"/>
        <item x="10"/>
        <item x="3"/>
        <item x="4"/>
        <item x="5"/>
        <item t="default"/>
      </items>
    </pivotField>
    <pivotField axis="axisCol" showAll="0">
      <items count="5">
        <item x="0"/>
        <item x="1"/>
        <item x="2"/>
        <item x="3"/>
        <item t="default"/>
      </items>
    </pivotField>
    <pivotField dataField="1" showAll="0"/>
  </pivotFields>
  <rowFields count="1">
    <field x="2"/>
  </rowFields>
  <rowItems count="6">
    <i>
      <x/>
    </i>
    <i>
      <x v="1"/>
    </i>
    <i>
      <x v="6"/>
    </i>
    <i>
      <x v="8"/>
    </i>
    <i>
      <x v="10"/>
    </i>
    <i t="grand">
      <x/>
    </i>
  </rowItems>
  <colFields count="1">
    <field x="3"/>
  </colFields>
  <colItems count="5">
    <i>
      <x/>
    </i>
    <i>
      <x v="1"/>
    </i>
    <i>
      <x v="2"/>
    </i>
    <i>
      <x v="3"/>
    </i>
    <i t="grand">
      <x/>
    </i>
  </colItems>
  <pageFields count="1">
    <pageField fld="0" item="4" hier="-1"/>
  </pageFields>
  <dataFields count="1">
    <dataField name="Somme de Valeur" fld="4" baseField="0" baseItem="0" numFmtId="9"/>
  </dataFields>
  <formats count="1">
    <format dxfId="107">
      <pivotArea outline="0" collapsedLevelsAreSubtotals="1" fieldPosition="0"/>
    </format>
  </formats>
  <chartFormats count="28">
    <chartFormat chart="30" format="8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30" format="9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30" format="1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30" format="1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34" format="28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34" format="29">
      <pivotArea type="data" outline="0" fieldPosition="0">
        <references count="3">
          <reference field="4294967294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</references>
      </pivotArea>
    </chartFormat>
    <chartFormat chart="34" format="30">
      <pivotArea type="data" outline="0" fieldPosition="0">
        <references count="3">
          <reference field="4294967294" count="1" selected="0">
            <x v="0"/>
          </reference>
          <reference field="2" count="1" selected="0">
            <x v="1"/>
          </reference>
          <reference field="3" count="1" selected="0">
            <x v="0"/>
          </reference>
        </references>
      </pivotArea>
    </chartFormat>
    <chartFormat chart="34" format="31">
      <pivotArea type="data" outline="0" fieldPosition="0">
        <references count="3">
          <reference field="4294967294" count="1" selected="0">
            <x v="0"/>
          </reference>
          <reference field="2" count="1" selected="0">
            <x v="6"/>
          </reference>
          <reference field="3" count="1" selected="0">
            <x v="0"/>
          </reference>
        </references>
      </pivotArea>
    </chartFormat>
    <chartFormat chart="34" format="32">
      <pivotArea type="data" outline="0" fieldPosition="0">
        <references count="3">
          <reference field="4294967294" count="1" selected="0">
            <x v="0"/>
          </reference>
          <reference field="2" count="1" selected="0">
            <x v="8"/>
          </reference>
          <reference field="3" count="1" selected="0">
            <x v="0"/>
          </reference>
        </references>
      </pivotArea>
    </chartFormat>
    <chartFormat chart="34" format="33">
      <pivotArea type="data" outline="0" fieldPosition="0">
        <references count="3">
          <reference field="4294967294" count="1" selected="0">
            <x v="0"/>
          </reference>
          <reference field="2" count="1" selected="0">
            <x v="10"/>
          </reference>
          <reference field="3" count="1" selected="0">
            <x v="0"/>
          </reference>
        </references>
      </pivotArea>
    </chartFormat>
    <chartFormat chart="34" format="34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34" format="35">
      <pivotArea type="data" outline="0" fieldPosition="0">
        <references count="3">
          <reference field="4294967294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</references>
      </pivotArea>
    </chartFormat>
    <chartFormat chart="34" format="36">
      <pivotArea type="data" outline="0" fieldPosition="0">
        <references count="3">
          <reference field="4294967294" count="1" selected="0">
            <x v="0"/>
          </reference>
          <reference field="2" count="1" selected="0">
            <x v="1"/>
          </reference>
          <reference field="3" count="1" selected="0">
            <x v="1"/>
          </reference>
        </references>
      </pivotArea>
    </chartFormat>
    <chartFormat chart="34" format="37">
      <pivotArea type="data" outline="0" fieldPosition="0">
        <references count="3">
          <reference field="4294967294" count="1" selected="0">
            <x v="0"/>
          </reference>
          <reference field="2" count="1" selected="0">
            <x v="6"/>
          </reference>
          <reference field="3" count="1" selected="0">
            <x v="1"/>
          </reference>
        </references>
      </pivotArea>
    </chartFormat>
    <chartFormat chart="34" format="38">
      <pivotArea type="data" outline="0" fieldPosition="0">
        <references count="3">
          <reference field="4294967294" count="1" selected="0">
            <x v="0"/>
          </reference>
          <reference field="2" count="1" selected="0">
            <x v="8"/>
          </reference>
          <reference field="3" count="1" selected="0">
            <x v="1"/>
          </reference>
        </references>
      </pivotArea>
    </chartFormat>
    <chartFormat chart="34" format="39">
      <pivotArea type="data" outline="0" fieldPosition="0">
        <references count="3">
          <reference field="4294967294" count="1" selected="0">
            <x v="0"/>
          </reference>
          <reference field="2" count="1" selected="0">
            <x v="10"/>
          </reference>
          <reference field="3" count="1" selected="0">
            <x v="1"/>
          </reference>
        </references>
      </pivotArea>
    </chartFormat>
    <chartFormat chart="34" format="4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34" format="41">
      <pivotArea type="data" outline="0" fieldPosition="0">
        <references count="3">
          <reference field="4294967294" count="1" selected="0">
            <x v="0"/>
          </reference>
          <reference field="2" count="1" selected="0">
            <x v="0"/>
          </reference>
          <reference field="3" count="1" selected="0">
            <x v="2"/>
          </reference>
        </references>
      </pivotArea>
    </chartFormat>
    <chartFormat chart="34" format="42">
      <pivotArea type="data" outline="0" fieldPosition="0">
        <references count="3">
          <reference field="4294967294" count="1" selected="0">
            <x v="0"/>
          </reference>
          <reference field="2" count="1" selected="0">
            <x v="1"/>
          </reference>
          <reference field="3" count="1" selected="0">
            <x v="2"/>
          </reference>
        </references>
      </pivotArea>
    </chartFormat>
    <chartFormat chart="34" format="43">
      <pivotArea type="data" outline="0" fieldPosition="0">
        <references count="3">
          <reference field="4294967294" count="1" selected="0">
            <x v="0"/>
          </reference>
          <reference field="2" count="1" selected="0">
            <x v="6"/>
          </reference>
          <reference field="3" count="1" selected="0">
            <x v="2"/>
          </reference>
        </references>
      </pivotArea>
    </chartFormat>
    <chartFormat chart="34" format="44">
      <pivotArea type="data" outline="0" fieldPosition="0">
        <references count="3">
          <reference field="4294967294" count="1" selected="0">
            <x v="0"/>
          </reference>
          <reference field="2" count="1" selected="0">
            <x v="8"/>
          </reference>
          <reference field="3" count="1" selected="0">
            <x v="2"/>
          </reference>
        </references>
      </pivotArea>
    </chartFormat>
    <chartFormat chart="34" format="45">
      <pivotArea type="data" outline="0" fieldPosition="0">
        <references count="3">
          <reference field="4294967294" count="1" selected="0">
            <x v="0"/>
          </reference>
          <reference field="2" count="1" selected="0">
            <x v="10"/>
          </reference>
          <reference field="3" count="1" selected="0">
            <x v="2"/>
          </reference>
        </references>
      </pivotArea>
    </chartFormat>
    <chartFormat chart="34" format="46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34" format="47">
      <pivotArea type="data" outline="0" fieldPosition="0">
        <references count="3">
          <reference field="4294967294" count="1" selected="0">
            <x v="0"/>
          </reference>
          <reference field="2" count="1" selected="0">
            <x v="0"/>
          </reference>
          <reference field="3" count="1" selected="0">
            <x v="3"/>
          </reference>
        </references>
      </pivotArea>
    </chartFormat>
    <chartFormat chart="34" format="48">
      <pivotArea type="data" outline="0" fieldPosition="0">
        <references count="3">
          <reference field="4294967294" count="1" selected="0">
            <x v="0"/>
          </reference>
          <reference field="2" count="1" selected="0">
            <x v="1"/>
          </reference>
          <reference field="3" count="1" selected="0">
            <x v="3"/>
          </reference>
        </references>
      </pivotArea>
    </chartFormat>
    <chartFormat chart="34" format="49">
      <pivotArea type="data" outline="0" fieldPosition="0">
        <references count="3">
          <reference field="4294967294" count="1" selected="0">
            <x v="0"/>
          </reference>
          <reference field="2" count="1" selected="0">
            <x v="6"/>
          </reference>
          <reference field="3" count="1" selected="0">
            <x v="3"/>
          </reference>
        </references>
      </pivotArea>
    </chartFormat>
    <chartFormat chart="34" format="50">
      <pivotArea type="data" outline="0" fieldPosition="0">
        <references count="3">
          <reference field="4294967294" count="1" selected="0">
            <x v="0"/>
          </reference>
          <reference field="2" count="1" selected="0">
            <x v="8"/>
          </reference>
          <reference field="3" count="1" selected="0">
            <x v="3"/>
          </reference>
        </references>
      </pivotArea>
    </chartFormat>
    <chartFormat chart="34" format="51">
      <pivotArea type="data" outline="0" fieldPosition="0">
        <references count="3">
          <reference field="4294967294" count="1" selected="0">
            <x v="0"/>
          </reference>
          <reference field="2" count="1" selected="0">
            <x v="10"/>
          </reference>
          <reference field="3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4847216-52F3-4B66-9380-236F817C2AA1}" name="Remplissage PF" cacheId="4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outline="1" outlineData="1" multipleFieldFilters="0">
  <location ref="A107:B110" firstHeaderRow="1" firstDataRow="1" firstDataCol="1" rowPageCount="1" colPageCount="1"/>
  <pivotFields count="5">
    <pivotField axis="axisPage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axis="axisRow" showAll="0">
      <items count="12">
        <item x="0"/>
        <item x="1"/>
        <item x="6"/>
        <item x="9"/>
        <item x="7"/>
        <item x="8"/>
        <item x="2"/>
        <item x="10"/>
        <item x="3"/>
        <item x="4"/>
        <item x="5"/>
        <item t="default"/>
      </items>
    </pivotField>
    <pivotField showAll="0">
      <items count="5">
        <item x="0"/>
        <item x="1"/>
        <item x="2"/>
        <item x="3"/>
        <item t="default"/>
      </items>
    </pivotField>
    <pivotField dataField="1" showAll="0"/>
  </pivotFields>
  <rowFields count="1">
    <field x="2"/>
  </rowFields>
  <rowItems count="3">
    <i>
      <x/>
    </i>
    <i>
      <x v="8"/>
    </i>
    <i t="grand">
      <x/>
    </i>
  </rowItems>
  <colItems count="1">
    <i/>
  </colItems>
  <pageFields count="1">
    <pageField fld="0" item="9" hier="-1"/>
  </pageFields>
  <dataFields count="1">
    <dataField name="Moyenne de Valeur" fld="4" subtotal="average" baseField="2" baseItem="0" numFmtId="9"/>
  </dataFields>
  <formats count="3">
    <format dxfId="88">
      <pivotArea outline="0" collapsedLevelsAreSubtotals="1" fieldPosition="0"/>
    </format>
    <format dxfId="89">
      <pivotArea outline="0" collapsedLevelsAreSubtotals="1" fieldPosition="0"/>
    </format>
    <format dxfId="8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355F780-21B0-4BF2-89FD-5E8E3B67D8AA}" name="Rotation du stock PF" cacheId="4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outline="1" outlineData="1" multipleFieldFilters="0">
  <location ref="A99:B102" firstHeaderRow="1" firstDataRow="1" firstDataCol="1" rowPageCount="1" colPageCount="1"/>
  <pivotFields count="5">
    <pivotField axis="axisPage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axis="axisRow" showAll="0">
      <items count="12">
        <item x="0"/>
        <item x="1"/>
        <item x="6"/>
        <item x="9"/>
        <item x="7"/>
        <item x="8"/>
        <item x="2"/>
        <item x="10"/>
        <item x="3"/>
        <item x="4"/>
        <item x="5"/>
        <item t="default"/>
      </items>
    </pivotField>
    <pivotField showAll="0">
      <items count="5">
        <item x="0"/>
        <item x="1"/>
        <item x="2"/>
        <item x="3"/>
        <item t="default"/>
      </items>
    </pivotField>
    <pivotField dataField="1" showAll="0"/>
  </pivotFields>
  <rowFields count="1">
    <field x="2"/>
  </rowFields>
  <rowItems count="3">
    <i>
      <x/>
    </i>
    <i>
      <x v="8"/>
    </i>
    <i t="grand">
      <x/>
    </i>
  </rowItems>
  <colItems count="1">
    <i/>
  </colItems>
  <pageFields count="1">
    <pageField fld="0" item="6" hier="-1"/>
  </pageFields>
  <dataFields count="1">
    <dataField name="Moyenne de Valeur" fld="4" subtotal="average" baseField="2" baseItem="0" numFmtId="181"/>
  </dataFields>
  <formats count="2">
    <format dxfId="92">
      <pivotArea outline="0" collapsedLevelsAreSubtotals="1" fieldPosition="0"/>
    </format>
    <format dxfId="9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4326055-3873-471D-B755-6969E003549F}" name="Rotation du Stock MP" cacheId="4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outline="1" outlineData="1" multipleFieldFilters="0">
  <location ref="A90:B93" firstHeaderRow="1" firstDataRow="1" firstDataCol="1" rowPageCount="1" colPageCount="1"/>
  <pivotFields count="5">
    <pivotField axis="axisPage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axis="axisRow" showAll="0">
      <items count="12">
        <item x="0"/>
        <item x="1"/>
        <item x="6"/>
        <item x="9"/>
        <item x="7"/>
        <item x="8"/>
        <item x="2"/>
        <item x="10"/>
        <item x="3"/>
        <item x="4"/>
        <item x="5"/>
        <item t="default"/>
      </items>
    </pivotField>
    <pivotField showAll="0">
      <items count="5">
        <item x="0"/>
        <item x="1"/>
        <item x="2"/>
        <item x="3"/>
        <item t="default"/>
      </items>
    </pivotField>
    <pivotField dataField="1" showAll="0"/>
  </pivotFields>
  <rowFields count="1">
    <field x="2"/>
  </rowFields>
  <rowItems count="3">
    <i>
      <x/>
    </i>
    <i>
      <x v="8"/>
    </i>
    <i t="grand">
      <x/>
    </i>
  </rowItems>
  <colItems count="1">
    <i/>
  </colItems>
  <pageFields count="1">
    <pageField fld="0" item="5" hier="-1"/>
  </pageFields>
  <dataFields count="1">
    <dataField name="Moyenne de Valeur" fld="4" subtotal="average" baseField="2" baseItem="0" numFmtId="181"/>
  </dataFields>
  <formats count="4">
    <format dxfId="94">
      <pivotArea outline="0" collapsedLevelsAreSubtotals="1" fieldPosition="0"/>
    </format>
    <format dxfId="95">
      <pivotArea outline="0" collapsedLevelsAreSubtotals="1" fieldPosition="0"/>
    </format>
    <format dxfId="91">
      <pivotArea collapsedLevelsAreSubtotals="1" fieldPosition="0">
        <references count="1">
          <reference field="2" count="2">
            <x v="0"/>
            <x v="8"/>
          </reference>
        </references>
      </pivotArea>
    </format>
    <format dxfId="90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E8B6D46-5193-4DCC-A318-A887781A2E12}" name="Durée Moy Fer Nu" cacheId="4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outline="1" outlineData="1" multipleFieldFilters="0" chartFormat="6" colHeaderCaption="">
  <location ref="A25:F29" firstHeaderRow="1" firstDataRow="2" firstDataCol="1" rowPageCount="1" colPageCount="1"/>
  <pivotFields count="5">
    <pivotField axis="axisPage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axis="axisRow" showAll="0">
      <items count="12">
        <item x="0"/>
        <item x="1"/>
        <item x="6"/>
        <item x="9"/>
        <item x="7"/>
        <item x="8"/>
        <item x="2"/>
        <item x="10"/>
        <item x="3"/>
        <item x="4"/>
        <item x="5"/>
        <item t="default"/>
      </items>
    </pivotField>
    <pivotField axis="axisCol" showAll="0">
      <items count="5">
        <item x="0"/>
        <item x="1"/>
        <item x="2"/>
        <item x="3"/>
        <item t="default"/>
      </items>
    </pivotField>
    <pivotField dataField="1" showAll="0"/>
  </pivotFields>
  <rowFields count="1">
    <field x="2"/>
  </rowFields>
  <rowItems count="3">
    <i>
      <x/>
    </i>
    <i>
      <x v="8"/>
    </i>
    <i t="grand">
      <x/>
    </i>
  </rowItems>
  <colFields count="1">
    <field x="3"/>
  </colFields>
  <colItems count="5">
    <i>
      <x/>
    </i>
    <i>
      <x v="1"/>
    </i>
    <i>
      <x v="2"/>
    </i>
    <i>
      <x v="3"/>
    </i>
    <i t="grand">
      <x/>
    </i>
  </colItems>
  <pageFields count="1">
    <pageField fld="0" item="1" hier="-1"/>
  </pageFields>
  <dataFields count="1">
    <dataField name="Somme de Valeur" fld="4" baseField="0" baseItem="0" numFmtId="169"/>
  </dataFields>
  <formats count="3">
    <format dxfId="97">
      <pivotArea outline="0" collapsedLevelsAreSubtotals="1" fieldPosition="0"/>
    </format>
    <format dxfId="98">
      <pivotArea dataOnly="0" labelOnly="1" fieldPosition="0">
        <references count="1">
          <reference field="2" count="2">
            <x v="0"/>
            <x v="8"/>
          </reference>
        </references>
      </pivotArea>
    </format>
    <format dxfId="99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7197738-CC20-4276-882D-1AE8446A7F58}" name="CA Réalisé" cacheId="4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outline="1" outlineData="1" multipleFieldFilters="0" chartFormat="13" colHeaderCaption="">
  <location ref="A3:F11" firstHeaderRow="1" firstDataRow="2" firstDataCol="1" rowPageCount="1" colPageCount="1"/>
  <pivotFields count="5">
    <pivotField axis="axisPage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axis="axisRow" showAll="0" sortType="ascending">
      <items count="12">
        <item x="0"/>
        <item x="1"/>
        <item x="6"/>
        <item x="9"/>
        <item x="7"/>
        <item x="8"/>
        <item x="2"/>
        <item x="10"/>
        <item x="3"/>
        <item x="4"/>
        <item x="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Col" showAll="0">
      <items count="5">
        <item x="0"/>
        <item x="1"/>
        <item x="2"/>
        <item x="3"/>
        <item t="default"/>
      </items>
    </pivotField>
    <pivotField dataField="1" showAll="0"/>
  </pivotFields>
  <rowFields count="1">
    <field x="2"/>
  </rowFields>
  <rowItems count="7">
    <i>
      <x v="6"/>
    </i>
    <i>
      <x v="9"/>
    </i>
    <i>
      <x v="1"/>
    </i>
    <i>
      <x v="10"/>
    </i>
    <i>
      <x v="8"/>
    </i>
    <i>
      <x/>
    </i>
    <i t="grand">
      <x/>
    </i>
  </rowItems>
  <colFields count="1">
    <field x="3"/>
  </colFields>
  <colItems count="5">
    <i>
      <x/>
    </i>
    <i>
      <x v="1"/>
    </i>
    <i>
      <x v="2"/>
    </i>
    <i>
      <x v="3"/>
    </i>
    <i t="grand">
      <x/>
    </i>
  </colItems>
  <pageFields count="1">
    <pageField fld="0" item="0" hier="-1"/>
  </pageFields>
  <dataFields count="1">
    <dataField name="Somme de Valeur" fld="4" baseField="0" baseItem="0" numFmtId="3"/>
  </dataFields>
  <formats count="1">
    <format dxfId="10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F5C4C9A-9AF4-42AB-B64C-1B85C6108F33}" name="PIC Vs Liv" cacheId="4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outline="1" outlineData="1" multipleFieldFilters="0" chartFormat="11" colHeaderCaption="">
  <location ref="A43:F50" firstHeaderRow="1" firstDataRow="2" firstDataCol="1" rowPageCount="1" colPageCount="1"/>
  <pivotFields count="5">
    <pivotField axis="axisPage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axis="axisRow" showAll="0">
      <items count="12">
        <item x="0"/>
        <item x="1"/>
        <item x="6"/>
        <item x="9"/>
        <item x="7"/>
        <item x="8"/>
        <item x="2"/>
        <item x="10"/>
        <item x="3"/>
        <item x="4"/>
        <item x="5"/>
        <item t="default"/>
      </items>
    </pivotField>
    <pivotField axis="axisCol" showAll="0">
      <items count="5">
        <item x="0"/>
        <item x="1"/>
        <item x="2"/>
        <item x="3"/>
        <item t="default"/>
      </items>
    </pivotField>
    <pivotField dataField="1" showAll="0"/>
  </pivotFields>
  <rowFields count="1">
    <field x="2"/>
  </rowFields>
  <rowItems count="6">
    <i>
      <x/>
    </i>
    <i>
      <x v="1"/>
    </i>
    <i>
      <x v="6"/>
    </i>
    <i>
      <x v="8"/>
    </i>
    <i>
      <x v="10"/>
    </i>
    <i t="grand">
      <x/>
    </i>
  </rowItems>
  <colFields count="1">
    <field x="3"/>
  </colFields>
  <colItems count="5">
    <i>
      <x/>
    </i>
    <i>
      <x v="1"/>
    </i>
    <i>
      <x v="2"/>
    </i>
    <i>
      <x v="3"/>
    </i>
    <i t="grand">
      <x/>
    </i>
  </colItems>
  <pageFields count="1">
    <pageField fld="0" item="3" hier="-1"/>
  </pageFields>
  <dataFields count="1">
    <dataField name="Somme de Valeur" fld="4" baseField="0" baseItem="0" numFmtId="9"/>
  </dataFields>
  <formats count="1">
    <format dxfId="103">
      <pivotArea outline="0" collapsedLevelsAreSubtotals="1" fieldPosition="0"/>
    </format>
  </formats>
  <chartFormats count="24">
    <chartFormat chart="10" format="28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10" format="29">
      <pivotArea type="data" outline="0" fieldPosition="0">
        <references count="3">
          <reference field="4294967294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</references>
      </pivotArea>
    </chartFormat>
    <chartFormat chart="10" format="30">
      <pivotArea type="data" outline="0" fieldPosition="0">
        <references count="3">
          <reference field="4294967294" count="1" selected="0">
            <x v="0"/>
          </reference>
          <reference field="2" count="1" selected="0">
            <x v="1"/>
          </reference>
          <reference field="3" count="1" selected="0">
            <x v="0"/>
          </reference>
        </references>
      </pivotArea>
    </chartFormat>
    <chartFormat chart="10" format="31">
      <pivotArea type="data" outline="0" fieldPosition="0">
        <references count="3">
          <reference field="4294967294" count="1" selected="0">
            <x v="0"/>
          </reference>
          <reference field="2" count="1" selected="0">
            <x v="6"/>
          </reference>
          <reference field="3" count="1" selected="0">
            <x v="0"/>
          </reference>
        </references>
      </pivotArea>
    </chartFormat>
    <chartFormat chart="10" format="32">
      <pivotArea type="data" outline="0" fieldPosition="0">
        <references count="3">
          <reference field="4294967294" count="1" selected="0">
            <x v="0"/>
          </reference>
          <reference field="2" count="1" selected="0">
            <x v="8"/>
          </reference>
          <reference field="3" count="1" selected="0">
            <x v="0"/>
          </reference>
        </references>
      </pivotArea>
    </chartFormat>
    <chartFormat chart="10" format="33">
      <pivotArea type="data" outline="0" fieldPosition="0">
        <references count="3">
          <reference field="4294967294" count="1" selected="0">
            <x v="0"/>
          </reference>
          <reference field="2" count="1" selected="0">
            <x v="10"/>
          </reference>
          <reference field="3" count="1" selected="0">
            <x v="0"/>
          </reference>
        </references>
      </pivotArea>
    </chartFormat>
    <chartFormat chart="10" format="34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10" format="35">
      <pivotArea type="data" outline="0" fieldPosition="0">
        <references count="3">
          <reference field="4294967294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</references>
      </pivotArea>
    </chartFormat>
    <chartFormat chart="10" format="36">
      <pivotArea type="data" outline="0" fieldPosition="0">
        <references count="3">
          <reference field="4294967294" count="1" selected="0">
            <x v="0"/>
          </reference>
          <reference field="2" count="1" selected="0">
            <x v="1"/>
          </reference>
          <reference field="3" count="1" selected="0">
            <x v="1"/>
          </reference>
        </references>
      </pivotArea>
    </chartFormat>
    <chartFormat chart="10" format="37">
      <pivotArea type="data" outline="0" fieldPosition="0">
        <references count="3">
          <reference field="4294967294" count="1" selected="0">
            <x v="0"/>
          </reference>
          <reference field="2" count="1" selected="0">
            <x v="6"/>
          </reference>
          <reference field="3" count="1" selected="0">
            <x v="1"/>
          </reference>
        </references>
      </pivotArea>
    </chartFormat>
    <chartFormat chart="10" format="38">
      <pivotArea type="data" outline="0" fieldPosition="0">
        <references count="3">
          <reference field="4294967294" count="1" selected="0">
            <x v="0"/>
          </reference>
          <reference field="2" count="1" selected="0">
            <x v="8"/>
          </reference>
          <reference field="3" count="1" selected="0">
            <x v="1"/>
          </reference>
        </references>
      </pivotArea>
    </chartFormat>
    <chartFormat chart="10" format="39">
      <pivotArea type="data" outline="0" fieldPosition="0">
        <references count="3">
          <reference field="4294967294" count="1" selected="0">
            <x v="0"/>
          </reference>
          <reference field="2" count="1" selected="0">
            <x v="10"/>
          </reference>
          <reference field="3" count="1" selected="0">
            <x v="1"/>
          </reference>
        </references>
      </pivotArea>
    </chartFormat>
    <chartFormat chart="10" format="4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10" format="41">
      <pivotArea type="data" outline="0" fieldPosition="0">
        <references count="3">
          <reference field="4294967294" count="1" selected="0">
            <x v="0"/>
          </reference>
          <reference field="2" count="1" selected="0">
            <x v="0"/>
          </reference>
          <reference field="3" count="1" selected="0">
            <x v="2"/>
          </reference>
        </references>
      </pivotArea>
    </chartFormat>
    <chartFormat chart="10" format="42">
      <pivotArea type="data" outline="0" fieldPosition="0">
        <references count="3">
          <reference field="4294967294" count="1" selected="0">
            <x v="0"/>
          </reference>
          <reference field="2" count="1" selected="0">
            <x v="1"/>
          </reference>
          <reference field="3" count="1" selected="0">
            <x v="2"/>
          </reference>
        </references>
      </pivotArea>
    </chartFormat>
    <chartFormat chart="10" format="43">
      <pivotArea type="data" outline="0" fieldPosition="0">
        <references count="3">
          <reference field="4294967294" count="1" selected="0">
            <x v="0"/>
          </reference>
          <reference field="2" count="1" selected="0">
            <x v="6"/>
          </reference>
          <reference field="3" count="1" selected="0">
            <x v="2"/>
          </reference>
        </references>
      </pivotArea>
    </chartFormat>
    <chartFormat chart="10" format="44">
      <pivotArea type="data" outline="0" fieldPosition="0">
        <references count="3">
          <reference field="4294967294" count="1" selected="0">
            <x v="0"/>
          </reference>
          <reference field="2" count="1" selected="0">
            <x v="8"/>
          </reference>
          <reference field="3" count="1" selected="0">
            <x v="2"/>
          </reference>
        </references>
      </pivotArea>
    </chartFormat>
    <chartFormat chart="10" format="45">
      <pivotArea type="data" outline="0" fieldPosition="0">
        <references count="3">
          <reference field="4294967294" count="1" selected="0">
            <x v="0"/>
          </reference>
          <reference field="2" count="1" selected="0">
            <x v="10"/>
          </reference>
          <reference field="3" count="1" selected="0">
            <x v="2"/>
          </reference>
        </references>
      </pivotArea>
    </chartFormat>
    <chartFormat chart="10" format="46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10" format="47">
      <pivotArea type="data" outline="0" fieldPosition="0">
        <references count="3">
          <reference field="4294967294" count="1" selected="0">
            <x v="0"/>
          </reference>
          <reference field="2" count="1" selected="0">
            <x v="0"/>
          </reference>
          <reference field="3" count="1" selected="0">
            <x v="3"/>
          </reference>
        </references>
      </pivotArea>
    </chartFormat>
    <chartFormat chart="10" format="48">
      <pivotArea type="data" outline="0" fieldPosition="0">
        <references count="3">
          <reference field="4294967294" count="1" selected="0">
            <x v="0"/>
          </reference>
          <reference field="2" count="1" selected="0">
            <x v="1"/>
          </reference>
          <reference field="3" count="1" selected="0">
            <x v="3"/>
          </reference>
        </references>
      </pivotArea>
    </chartFormat>
    <chartFormat chart="10" format="49">
      <pivotArea type="data" outline="0" fieldPosition="0">
        <references count="3">
          <reference field="4294967294" count="1" selected="0">
            <x v="0"/>
          </reference>
          <reference field="2" count="1" selected="0">
            <x v="6"/>
          </reference>
          <reference field="3" count="1" selected="0">
            <x v="3"/>
          </reference>
        </references>
      </pivotArea>
    </chartFormat>
    <chartFormat chart="10" format="50">
      <pivotArea type="data" outline="0" fieldPosition="0">
        <references count="3">
          <reference field="4294967294" count="1" selected="0">
            <x v="0"/>
          </reference>
          <reference field="2" count="1" selected="0">
            <x v="8"/>
          </reference>
          <reference field="3" count="1" selected="0">
            <x v="3"/>
          </reference>
        </references>
      </pivotArea>
    </chartFormat>
    <chartFormat chart="10" format="51">
      <pivotArea type="data" outline="0" fieldPosition="0">
        <references count="3">
          <reference field="4294967294" count="1" selected="0">
            <x v="0"/>
          </reference>
          <reference field="2" count="1" selected="0">
            <x v="10"/>
          </reference>
          <reference field="3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D6629D4-AE90-4AF6-BCFB-94374C7E27E2}" name="Taux de Déchet" cacheId="4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outline="1" outlineData="1" multipleFieldFilters="0" chartFormat="3" colHeaderCaption="">
  <location ref="A67:F74" firstHeaderRow="1" firstDataRow="2" firstDataCol="1" rowPageCount="1" colPageCount="1"/>
  <pivotFields count="5">
    <pivotField axis="axisPage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axis="axisRow" showAll="0">
      <items count="12">
        <item x="0"/>
        <item x="1"/>
        <item x="6"/>
        <item x="9"/>
        <item x="7"/>
        <item x="8"/>
        <item x="2"/>
        <item x="10"/>
        <item x="3"/>
        <item x="4"/>
        <item x="5"/>
        <item t="default"/>
      </items>
    </pivotField>
    <pivotField axis="axisCol" showAll="0">
      <items count="5">
        <item x="0"/>
        <item x="1"/>
        <item x="2"/>
        <item x="3"/>
        <item t="default"/>
      </items>
    </pivotField>
    <pivotField dataField="1" showAll="0"/>
  </pivotFields>
  <rowFields count="1">
    <field x="2"/>
  </rowFields>
  <rowItems count="6">
    <i>
      <x v="2"/>
    </i>
    <i>
      <x v="3"/>
    </i>
    <i>
      <x v="4"/>
    </i>
    <i>
      <x v="5"/>
    </i>
    <i>
      <x v="7"/>
    </i>
    <i t="grand">
      <x/>
    </i>
  </rowItems>
  <colFields count="1">
    <field x="3"/>
  </colFields>
  <colItems count="5">
    <i>
      <x/>
    </i>
    <i>
      <x v="1"/>
    </i>
    <i>
      <x v="2"/>
    </i>
    <i>
      <x v="3"/>
    </i>
    <i t="grand">
      <x/>
    </i>
  </colItems>
  <pageFields count="1">
    <pageField fld="0" item="8" hier="-1"/>
  </pageFields>
  <dataFields count="1">
    <dataField name="Somme de Valeur" fld="4" baseField="0" baseItem="0" numFmtId="9"/>
  </dataFields>
  <formats count="1">
    <format dxfId="104">
      <pivotArea outline="0" collapsedLevelsAreSubtotals="1" fieldPosition="0"/>
    </format>
  </formats>
  <chartFormats count="48"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1" format="7">
      <pivotArea type="data" outline="0" fieldPosition="0">
        <references count="3">
          <reference field="4294967294" count="1" selected="0">
            <x v="0"/>
          </reference>
          <reference field="2" count="1" selected="0">
            <x v="2"/>
          </reference>
          <reference field="3" count="1" selected="0">
            <x v="0"/>
          </reference>
        </references>
      </pivotArea>
    </chartFormat>
    <chartFormat chart="1" format="8">
      <pivotArea type="data" outline="0" fieldPosition="0">
        <references count="3">
          <reference field="4294967294" count="1" selected="0">
            <x v="0"/>
          </reference>
          <reference field="2" count="1" selected="0">
            <x v="3"/>
          </reference>
          <reference field="3" count="1" selected="0">
            <x v="0"/>
          </reference>
        </references>
      </pivotArea>
    </chartFormat>
    <chartFormat chart="1" format="9">
      <pivotArea type="data" outline="0" fieldPosition="0">
        <references count="3">
          <reference field="4294967294" count="1" selected="0">
            <x v="0"/>
          </reference>
          <reference field="2" count="1" selected="0">
            <x v="4"/>
          </reference>
          <reference field="3" count="1" selected="0">
            <x v="0"/>
          </reference>
        </references>
      </pivotArea>
    </chartFormat>
    <chartFormat chart="1" format="10">
      <pivotArea type="data" outline="0" fieldPosition="0">
        <references count="3">
          <reference field="4294967294" count="1" selected="0">
            <x v="0"/>
          </reference>
          <reference field="2" count="1" selected="0">
            <x v="5"/>
          </reference>
          <reference field="3" count="1" selected="0">
            <x v="0"/>
          </reference>
        </references>
      </pivotArea>
    </chartFormat>
    <chartFormat chart="1" format="11">
      <pivotArea type="data" outline="0" fieldPosition="0">
        <references count="3">
          <reference field="4294967294" count="1" selected="0">
            <x v="0"/>
          </reference>
          <reference field="2" count="1" selected="0">
            <x v="7"/>
          </reference>
          <reference field="3" count="1" selected="0">
            <x v="0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1" format="13">
      <pivotArea type="data" outline="0" fieldPosition="0">
        <references count="3">
          <reference field="4294967294" count="1" selected="0">
            <x v="0"/>
          </reference>
          <reference field="2" count="1" selected="0">
            <x v="2"/>
          </reference>
          <reference field="3" count="1" selected="0">
            <x v="1"/>
          </reference>
        </references>
      </pivotArea>
    </chartFormat>
    <chartFormat chart="1" format="14">
      <pivotArea type="data" outline="0" fieldPosition="0">
        <references count="3">
          <reference field="4294967294" count="1" selected="0">
            <x v="0"/>
          </reference>
          <reference field="2" count="1" selected="0">
            <x v="3"/>
          </reference>
          <reference field="3" count="1" selected="0">
            <x v="1"/>
          </reference>
        </references>
      </pivotArea>
    </chartFormat>
    <chartFormat chart="1" format="15">
      <pivotArea type="data" outline="0" fieldPosition="0">
        <references count="3">
          <reference field="4294967294" count="1" selected="0">
            <x v="0"/>
          </reference>
          <reference field="2" count="1" selected="0">
            <x v="4"/>
          </reference>
          <reference field="3" count="1" selected="0">
            <x v="1"/>
          </reference>
        </references>
      </pivotArea>
    </chartFormat>
    <chartFormat chart="1" format="16">
      <pivotArea type="data" outline="0" fieldPosition="0">
        <references count="3">
          <reference field="4294967294" count="1" selected="0">
            <x v="0"/>
          </reference>
          <reference field="2" count="1" selected="0">
            <x v="5"/>
          </reference>
          <reference field="3" count="1" selected="0">
            <x v="1"/>
          </reference>
        </references>
      </pivotArea>
    </chartFormat>
    <chartFormat chart="1" format="17">
      <pivotArea type="data" outline="0" fieldPosition="0">
        <references count="3">
          <reference field="4294967294" count="1" selected="0">
            <x v="0"/>
          </reference>
          <reference field="2" count="1" selected="0">
            <x v="7"/>
          </reference>
          <reference field="3" count="1" selected="0">
            <x v="1"/>
          </reference>
        </references>
      </pivotArea>
    </chartFormat>
    <chartFormat chart="1" format="18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1" format="19">
      <pivotArea type="data" outline="0" fieldPosition="0">
        <references count="3">
          <reference field="4294967294" count="1" selected="0">
            <x v="0"/>
          </reference>
          <reference field="2" count="1" selected="0">
            <x v="2"/>
          </reference>
          <reference field="3" count="1" selected="0">
            <x v="2"/>
          </reference>
        </references>
      </pivotArea>
    </chartFormat>
    <chartFormat chart="1" format="20">
      <pivotArea type="data" outline="0" fieldPosition="0">
        <references count="3">
          <reference field="4294967294" count="1" selected="0">
            <x v="0"/>
          </reference>
          <reference field="2" count="1" selected="0">
            <x v="3"/>
          </reference>
          <reference field="3" count="1" selected="0">
            <x v="2"/>
          </reference>
        </references>
      </pivotArea>
    </chartFormat>
    <chartFormat chart="1" format="21">
      <pivotArea type="data" outline="0" fieldPosition="0">
        <references count="3">
          <reference field="4294967294" count="1" selected="0">
            <x v="0"/>
          </reference>
          <reference field="2" count="1" selected="0">
            <x v="4"/>
          </reference>
          <reference field="3" count="1" selected="0">
            <x v="2"/>
          </reference>
        </references>
      </pivotArea>
    </chartFormat>
    <chartFormat chart="1" format="22">
      <pivotArea type="data" outline="0" fieldPosition="0">
        <references count="3">
          <reference field="4294967294" count="1" selected="0">
            <x v="0"/>
          </reference>
          <reference field="2" count="1" selected="0">
            <x v="5"/>
          </reference>
          <reference field="3" count="1" selected="0">
            <x v="2"/>
          </reference>
        </references>
      </pivotArea>
    </chartFormat>
    <chartFormat chart="1" format="23">
      <pivotArea type="data" outline="0" fieldPosition="0">
        <references count="3">
          <reference field="4294967294" count="1" selected="0">
            <x v="0"/>
          </reference>
          <reference field="2" count="1" selected="0">
            <x v="7"/>
          </reference>
          <reference field="3" count="1" selected="0">
            <x v="2"/>
          </reference>
        </references>
      </pivotArea>
    </chartFormat>
    <chartFormat chart="1" format="24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1" format="25">
      <pivotArea type="data" outline="0" fieldPosition="0">
        <references count="3">
          <reference field="4294967294" count="1" selected="0">
            <x v="0"/>
          </reference>
          <reference field="2" count="1" selected="0">
            <x v="2"/>
          </reference>
          <reference field="3" count="1" selected="0">
            <x v="3"/>
          </reference>
        </references>
      </pivotArea>
    </chartFormat>
    <chartFormat chart="1" format="26">
      <pivotArea type="data" outline="0" fieldPosition="0">
        <references count="3">
          <reference field="4294967294" count="1" selected="0">
            <x v="0"/>
          </reference>
          <reference field="2" count="1" selected="0">
            <x v="3"/>
          </reference>
          <reference field="3" count="1" selected="0">
            <x v="3"/>
          </reference>
        </references>
      </pivotArea>
    </chartFormat>
    <chartFormat chart="1" format="27">
      <pivotArea type="data" outline="0" fieldPosition="0">
        <references count="3">
          <reference field="4294967294" count="1" selected="0">
            <x v="0"/>
          </reference>
          <reference field="2" count="1" selected="0">
            <x v="4"/>
          </reference>
          <reference field="3" count="1" selected="0">
            <x v="3"/>
          </reference>
        </references>
      </pivotArea>
    </chartFormat>
    <chartFormat chart="1" format="28">
      <pivotArea type="data" outline="0" fieldPosition="0">
        <references count="3">
          <reference field="4294967294" count="1" selected="0">
            <x v="0"/>
          </reference>
          <reference field="2" count="1" selected="0">
            <x v="5"/>
          </reference>
          <reference field="3" count="1" selected="0">
            <x v="3"/>
          </reference>
        </references>
      </pivotArea>
    </chartFormat>
    <chartFormat chart="1" format="29">
      <pivotArea type="data" outline="0" fieldPosition="0">
        <references count="3">
          <reference field="4294967294" count="1" selected="0">
            <x v="0"/>
          </reference>
          <reference field="2" count="1" selected="0">
            <x v="7"/>
          </reference>
          <reference field="3" count="1" selected="0">
            <x v="3"/>
          </reference>
        </references>
      </pivotArea>
    </chartFormat>
    <chartFormat chart="2" format="3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2" format="31">
      <pivotArea type="data" outline="0" fieldPosition="0">
        <references count="3">
          <reference field="4294967294" count="1" selected="0">
            <x v="0"/>
          </reference>
          <reference field="2" count="1" selected="0">
            <x v="2"/>
          </reference>
          <reference field="3" count="1" selected="0">
            <x v="0"/>
          </reference>
        </references>
      </pivotArea>
    </chartFormat>
    <chartFormat chart="2" format="32">
      <pivotArea type="data" outline="0" fieldPosition="0">
        <references count="3">
          <reference field="4294967294" count="1" selected="0">
            <x v="0"/>
          </reference>
          <reference field="2" count="1" selected="0">
            <x v="3"/>
          </reference>
          <reference field="3" count="1" selected="0">
            <x v="0"/>
          </reference>
        </references>
      </pivotArea>
    </chartFormat>
    <chartFormat chart="2" format="33">
      <pivotArea type="data" outline="0" fieldPosition="0">
        <references count="3">
          <reference field="4294967294" count="1" selected="0">
            <x v="0"/>
          </reference>
          <reference field="2" count="1" selected="0">
            <x v="4"/>
          </reference>
          <reference field="3" count="1" selected="0">
            <x v="0"/>
          </reference>
        </references>
      </pivotArea>
    </chartFormat>
    <chartFormat chart="2" format="34">
      <pivotArea type="data" outline="0" fieldPosition="0">
        <references count="3">
          <reference field="4294967294" count="1" selected="0">
            <x v="0"/>
          </reference>
          <reference field="2" count="1" selected="0">
            <x v="5"/>
          </reference>
          <reference field="3" count="1" selected="0">
            <x v="0"/>
          </reference>
        </references>
      </pivotArea>
    </chartFormat>
    <chartFormat chart="2" format="35">
      <pivotArea type="data" outline="0" fieldPosition="0">
        <references count="3">
          <reference field="4294967294" count="1" selected="0">
            <x v="0"/>
          </reference>
          <reference field="2" count="1" selected="0">
            <x v="7"/>
          </reference>
          <reference field="3" count="1" selected="0">
            <x v="0"/>
          </reference>
        </references>
      </pivotArea>
    </chartFormat>
    <chartFormat chart="2" format="36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2" format="37">
      <pivotArea type="data" outline="0" fieldPosition="0">
        <references count="3">
          <reference field="4294967294" count="1" selected="0">
            <x v="0"/>
          </reference>
          <reference field="2" count="1" selected="0">
            <x v="2"/>
          </reference>
          <reference field="3" count="1" selected="0">
            <x v="1"/>
          </reference>
        </references>
      </pivotArea>
    </chartFormat>
    <chartFormat chart="2" format="38">
      <pivotArea type="data" outline="0" fieldPosition="0">
        <references count="3">
          <reference field="4294967294" count="1" selected="0">
            <x v="0"/>
          </reference>
          <reference field="2" count="1" selected="0">
            <x v="3"/>
          </reference>
          <reference field="3" count="1" selected="0">
            <x v="1"/>
          </reference>
        </references>
      </pivotArea>
    </chartFormat>
    <chartFormat chart="2" format="39">
      <pivotArea type="data" outline="0" fieldPosition="0">
        <references count="3">
          <reference field="4294967294" count="1" selected="0">
            <x v="0"/>
          </reference>
          <reference field="2" count="1" selected="0">
            <x v="4"/>
          </reference>
          <reference field="3" count="1" selected="0">
            <x v="1"/>
          </reference>
        </references>
      </pivotArea>
    </chartFormat>
    <chartFormat chart="2" format="40">
      <pivotArea type="data" outline="0" fieldPosition="0">
        <references count="3">
          <reference field="4294967294" count="1" selected="0">
            <x v="0"/>
          </reference>
          <reference field="2" count="1" selected="0">
            <x v="5"/>
          </reference>
          <reference field="3" count="1" selected="0">
            <x v="1"/>
          </reference>
        </references>
      </pivotArea>
    </chartFormat>
    <chartFormat chart="2" format="41">
      <pivotArea type="data" outline="0" fieldPosition="0">
        <references count="3">
          <reference field="4294967294" count="1" selected="0">
            <x v="0"/>
          </reference>
          <reference field="2" count="1" selected="0">
            <x v="7"/>
          </reference>
          <reference field="3" count="1" selected="0">
            <x v="1"/>
          </reference>
        </references>
      </pivotArea>
    </chartFormat>
    <chartFormat chart="2" format="42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2" format="43">
      <pivotArea type="data" outline="0" fieldPosition="0">
        <references count="3">
          <reference field="4294967294" count="1" selected="0">
            <x v="0"/>
          </reference>
          <reference field="2" count="1" selected="0">
            <x v="2"/>
          </reference>
          <reference field="3" count="1" selected="0">
            <x v="2"/>
          </reference>
        </references>
      </pivotArea>
    </chartFormat>
    <chartFormat chart="2" format="44">
      <pivotArea type="data" outline="0" fieldPosition="0">
        <references count="3">
          <reference field="4294967294" count="1" selected="0">
            <x v="0"/>
          </reference>
          <reference field="2" count="1" selected="0">
            <x v="3"/>
          </reference>
          <reference field="3" count="1" selected="0">
            <x v="2"/>
          </reference>
        </references>
      </pivotArea>
    </chartFormat>
    <chartFormat chart="2" format="45">
      <pivotArea type="data" outline="0" fieldPosition="0">
        <references count="3">
          <reference field="4294967294" count="1" selected="0">
            <x v="0"/>
          </reference>
          <reference field="2" count="1" selected="0">
            <x v="4"/>
          </reference>
          <reference field="3" count="1" selected="0">
            <x v="2"/>
          </reference>
        </references>
      </pivotArea>
    </chartFormat>
    <chartFormat chart="2" format="46">
      <pivotArea type="data" outline="0" fieldPosition="0">
        <references count="3">
          <reference field="4294967294" count="1" selected="0">
            <x v="0"/>
          </reference>
          <reference field="2" count="1" selected="0">
            <x v="5"/>
          </reference>
          <reference field="3" count="1" selected="0">
            <x v="2"/>
          </reference>
        </references>
      </pivotArea>
    </chartFormat>
    <chartFormat chart="2" format="47">
      <pivotArea type="data" outline="0" fieldPosition="0">
        <references count="3">
          <reference field="4294967294" count="1" selected="0">
            <x v="0"/>
          </reference>
          <reference field="2" count="1" selected="0">
            <x v="7"/>
          </reference>
          <reference field="3" count="1" selected="0">
            <x v="2"/>
          </reference>
        </references>
      </pivotArea>
    </chartFormat>
    <chartFormat chart="2" format="48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2" format="49">
      <pivotArea type="data" outline="0" fieldPosition="0">
        <references count="3">
          <reference field="4294967294" count="1" selected="0">
            <x v="0"/>
          </reference>
          <reference field="2" count="1" selected="0">
            <x v="2"/>
          </reference>
          <reference field="3" count="1" selected="0">
            <x v="3"/>
          </reference>
        </references>
      </pivotArea>
    </chartFormat>
    <chartFormat chart="2" format="50">
      <pivotArea type="data" outline="0" fieldPosition="0">
        <references count="3">
          <reference field="4294967294" count="1" selected="0">
            <x v="0"/>
          </reference>
          <reference field="2" count="1" selected="0">
            <x v="3"/>
          </reference>
          <reference field="3" count="1" selected="0">
            <x v="3"/>
          </reference>
        </references>
      </pivotArea>
    </chartFormat>
    <chartFormat chart="2" format="51">
      <pivotArea type="data" outline="0" fieldPosition="0">
        <references count="3">
          <reference field="4294967294" count="1" selected="0">
            <x v="0"/>
          </reference>
          <reference field="2" count="1" selected="0">
            <x v="4"/>
          </reference>
          <reference field="3" count="1" selected="0">
            <x v="3"/>
          </reference>
        </references>
      </pivotArea>
    </chartFormat>
    <chartFormat chart="2" format="52">
      <pivotArea type="data" outline="0" fieldPosition="0">
        <references count="3">
          <reference field="4294967294" count="1" selected="0">
            <x v="0"/>
          </reference>
          <reference field="2" count="1" selected="0">
            <x v="5"/>
          </reference>
          <reference field="3" count="1" selected="0">
            <x v="3"/>
          </reference>
        </references>
      </pivotArea>
    </chartFormat>
    <chartFormat chart="2" format="53">
      <pivotArea type="data" outline="0" fieldPosition="0">
        <references count="3">
          <reference field="4294967294" count="1" selected="0">
            <x v="0"/>
          </reference>
          <reference field="2" count="1" selected="0">
            <x v="7"/>
          </reference>
          <reference field="3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81C0085-7346-4F87-A3F6-5B23402E9A4B}" name="Tableau croisé dynamique12" cacheId="3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outline="1" outlineData="1" multipleFieldFilters="0">
  <location ref="K7:O9" firstHeaderRow="0" firstDataRow="1" firstDataCol="1"/>
  <pivotFields count="7">
    <pivotField axis="axisRow" showAll="0">
      <items count="2">
        <item x="0"/>
        <item t="default"/>
      </items>
    </pivotField>
    <pivotField showAll="0"/>
    <pivotField showAll="0"/>
    <pivotField dataField="1" numFmtId="9" showAll="0"/>
    <pivotField dataField="1" numFmtId="9" showAll="0"/>
    <pivotField dataField="1" numFmtId="9" showAll="0"/>
    <pivotField dataField="1" numFmtId="9" showAll="0"/>
  </pivotFields>
  <rowFields count="1">
    <field x="0"/>
  </rowFields>
  <rowItems count="2">
    <i>
      <x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omme de Janvier" fld="3" baseField="0" baseItem="0"/>
    <dataField name="Somme de Février" fld="4" baseField="0" baseItem="0"/>
    <dataField name="Somme de Mars" fld="5" baseField="0" baseItem="0"/>
    <dataField name="Somme de Avril" fld="6" baseField="0" baseItem="0"/>
  </dataFields>
  <formats count="1">
    <format dxfId="105">
      <pivotArea collapsedLevelsAreSubtotals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Mois" xr10:uid="{DCF55AE3-AEE5-4BB1-8DA6-2C9CCF0C0C26}" sourceName="Mois">
  <pivotTables>
    <pivotTable tabId="27" name="CA Réalisé"/>
    <pivotTable tabId="27" name="Couverture des Stocks"/>
    <pivotTable tabId="27" name="Durée Moy Fer Nu"/>
    <pivotTable tabId="27" name="Durée Moy PF"/>
    <pivotTable tabId="27" name="PIC Vs Liv"/>
    <pivotTable tabId="27" name="PIC Vs Prod"/>
    <pivotTable tabId="27" name="Taux de Déchet"/>
    <pivotTable tabId="27" name="Tendence Prod"/>
    <pivotTable tabId="27" name="Rotation du Stock MP"/>
    <pivotTable tabId="27" name="Rotation du stock PF"/>
    <pivotTable tabId="27" name="Remplissage PF"/>
    <pivotTable tabId="27" name="Retour Client"/>
  </pivotTables>
  <data>
    <tabular pivotCacheId="1562717287">
      <items count="4">
        <i x="0" s="1"/>
        <i x="1" s="1"/>
        <i x="2" s="1"/>
        <i x="3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Secteur" xr10:uid="{132CF037-BAAE-4D08-853A-DEBA44BF3F62}" sourceName="Secteur">
  <pivotTables>
    <pivotTable tabId="27" name="Couverture des Stocks"/>
    <pivotTable tabId="27" name="Durée Moy Fer Nu"/>
    <pivotTable tabId="27" name="Durée Moy PF"/>
    <pivotTable tabId="27" name="Rotation du Stock MP"/>
    <pivotTable tabId="27" name="Rotation du stock PF"/>
    <pivotTable tabId="27" name="Remplissage PF"/>
    <pivotTable tabId="27" name="Retour Client"/>
  </pivotTables>
  <data>
    <tabular pivotCacheId="1562717287">
      <items count="11">
        <i x="0" s="1"/>
        <i x="3" s="1"/>
        <i x="1" s="1" nd="1"/>
        <i x="6" s="1" nd="1"/>
        <i x="9" s="1" nd="1"/>
        <i x="7" s="1" nd="1"/>
        <i x="8" s="1" nd="1"/>
        <i x="2" s="1" nd="1"/>
        <i x="10" s="1" nd="1"/>
        <i x="4" s="1" nd="1"/>
        <i x="5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Mois" xr10:uid="{E889DB2A-FFBC-4DDA-A3EF-25758DCF13BB}" cache="Segment_Mois" caption="Mois" columnCount="4" style="SlicerStyleDark2 2" lockedPosition="1" rowHeight="252000"/>
  <slicer name="Mois 1" xr10:uid="{436D5468-F335-4B33-82D3-E2CA728E4959}" cache="Segment_Mois" caption="Mois" columnCount="4" style="SlicerStyleDark2 2" lockedPosition="1" rowHeight="252000"/>
  <slicer name="Mois 2" xr10:uid="{A3E660BE-366E-4799-AB27-724409BBE729}" cache="Segment_Mois" caption="Mois" columnCount="4" style="SlicerStyleDark2 2" lockedPosition="1" rowHeight="252000"/>
  <slicer name="Secteur" xr10:uid="{330784EB-E628-4224-AB6B-924BCA71EAD7}" cache="Segment_Secteur" caption="Secteur" columnCount="2" style="SlicerStyleDark2 2" lockedPosition="1" rowHeight="252000"/>
</slic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TBD%20CCE.2022.xlsx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TBD%20CCE.2022.xlsx" TargetMode="External"/><Relationship Id="rId1" Type="http://schemas.openxmlformats.org/officeDocument/2006/relationships/hyperlink" Target="..\TBD%20Global%20CCE\2022\TBD%20CCE.2022.xlsx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TBD%20CCE.2022.xlsx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TBD%20CCE.2022.xlsx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TBD%20CCE.2022.xlsx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TBD%20CCE.2022.xlsx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hyperlink" Target="TBD%20CCE.2022.xlsx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TBD%20CCE.2022.xlsx" TargetMode="External"/><Relationship Id="rId13" Type="http://schemas.openxmlformats.org/officeDocument/2006/relationships/hyperlink" Target="TBD%20CCE.2022.xlsx" TargetMode="External"/><Relationship Id="rId3" Type="http://schemas.openxmlformats.org/officeDocument/2006/relationships/hyperlink" Target="TBD%20CCE.2022.xlsx" TargetMode="External"/><Relationship Id="rId7" Type="http://schemas.openxmlformats.org/officeDocument/2006/relationships/hyperlink" Target="TBD%20CCE.2022.xlsx" TargetMode="External"/><Relationship Id="rId12" Type="http://schemas.openxmlformats.org/officeDocument/2006/relationships/hyperlink" Target="TBD%20CCE.2022.xlsx" TargetMode="External"/><Relationship Id="rId2" Type="http://schemas.openxmlformats.org/officeDocument/2006/relationships/hyperlink" Target="TBD%20CCE.2022.xlsx" TargetMode="External"/><Relationship Id="rId1" Type="http://schemas.openxmlformats.org/officeDocument/2006/relationships/hyperlink" Target="TBD%20CCE.2022.xlsx" TargetMode="External"/><Relationship Id="rId6" Type="http://schemas.openxmlformats.org/officeDocument/2006/relationships/hyperlink" Target="TBD%20CCE.2022.xlsx" TargetMode="External"/><Relationship Id="rId11" Type="http://schemas.openxmlformats.org/officeDocument/2006/relationships/hyperlink" Target="TBD%20CCE.2022.xlsx" TargetMode="External"/><Relationship Id="rId5" Type="http://schemas.openxmlformats.org/officeDocument/2006/relationships/hyperlink" Target="TBD%20CCE.2022.xlsx" TargetMode="External"/><Relationship Id="rId10" Type="http://schemas.openxmlformats.org/officeDocument/2006/relationships/hyperlink" Target="TBD%20CCE.2022.xlsx" TargetMode="External"/><Relationship Id="rId4" Type="http://schemas.openxmlformats.org/officeDocument/2006/relationships/hyperlink" Target="TBD%20CCE.2022.xlsx" TargetMode="External"/><Relationship Id="rId9" Type="http://schemas.openxmlformats.org/officeDocument/2006/relationships/hyperlink" Target="TBD%20CCE.2022.xlsx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13" Type="http://schemas.openxmlformats.org/officeDocument/2006/relationships/pivotTable" Target="../pivotTables/pivotTable13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12" Type="http://schemas.openxmlformats.org/officeDocument/2006/relationships/pivotTable" Target="../pivotTables/pivotTable12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11" Type="http://schemas.openxmlformats.org/officeDocument/2006/relationships/pivotTable" Target="../pivotTables/pivotTable11.xml"/><Relationship Id="rId5" Type="http://schemas.openxmlformats.org/officeDocument/2006/relationships/pivotTable" Target="../pivotTables/pivotTable5.xml"/><Relationship Id="rId10" Type="http://schemas.openxmlformats.org/officeDocument/2006/relationships/pivotTable" Target="../pivotTables/pivotTable10.xml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TBD%20CCE.2022.xls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TBD%20CCE.2022.xlsx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TBD%20CCE.2022.xlsx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TBD%20CCE.2022.xlsx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TBD%20CCE.2022.xlsx" TargetMode="External"/><Relationship Id="rId1" Type="http://schemas.openxmlformats.org/officeDocument/2006/relationships/hyperlink" Target="..\..\TBD%20Global%20CCE\2022\TBD%20CCE.2022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605F2-9119-4A2C-AEF9-583870966764}">
  <sheetPr>
    <pageSetUpPr fitToPage="1"/>
  </sheetPr>
  <dimension ref="A1:Z47"/>
  <sheetViews>
    <sheetView showGridLines="0" tabSelected="1" zoomScale="55" zoomScaleNormal="55" workbookViewId="0">
      <selection activeCell="AC10" sqref="AC10"/>
    </sheetView>
  </sheetViews>
  <sheetFormatPr baseColWidth="10" defaultRowHeight="15" x14ac:dyDescent="0.25"/>
  <cols>
    <col min="1" max="1" width="2" style="826" customWidth="1"/>
    <col min="2" max="2" width="16" style="826" customWidth="1"/>
    <col min="3" max="3" width="25.140625" style="716" bestFit="1" customWidth="1"/>
    <col min="4" max="4" width="11.5703125" style="716" customWidth="1"/>
    <col min="5" max="5" width="2.28515625" style="716" customWidth="1"/>
    <col min="6" max="8" width="10.7109375" style="716" customWidth="1"/>
    <col min="9" max="11" width="11.42578125" style="716"/>
    <col min="12" max="12" width="3.7109375" style="716" customWidth="1"/>
    <col min="13" max="13" width="1.140625" style="716" customWidth="1"/>
    <col min="14" max="14" width="17.42578125" style="716" bestFit="1" customWidth="1"/>
    <col min="15" max="15" width="20.140625" style="716" bestFit="1" customWidth="1"/>
    <col min="16" max="25" width="11.42578125" style="716"/>
    <col min="26" max="26" width="1.85546875" style="716" customWidth="1"/>
    <col min="27" max="16384" width="11.42578125" style="826"/>
  </cols>
  <sheetData>
    <row r="1" spans="1:26" ht="72" customHeight="1" thickTop="1" x14ac:dyDescent="0.25">
      <c r="A1" s="721"/>
      <c r="B1" s="834"/>
      <c r="C1" s="830"/>
      <c r="D1" s="830"/>
      <c r="E1" s="830"/>
      <c r="F1" s="830"/>
      <c r="G1" s="830"/>
      <c r="H1" s="830"/>
      <c r="I1" s="830"/>
      <c r="J1" s="830"/>
      <c r="K1" s="830"/>
      <c r="L1" s="830"/>
      <c r="M1" s="831"/>
      <c r="N1" s="830"/>
      <c r="O1" s="830"/>
      <c r="P1" s="830"/>
      <c r="Q1" s="830"/>
      <c r="R1" s="830"/>
      <c r="S1" s="830"/>
      <c r="T1" s="830"/>
      <c r="U1" s="830"/>
      <c r="V1" s="830"/>
      <c r="W1" s="830"/>
      <c r="X1" s="830"/>
      <c r="Y1" s="830"/>
      <c r="Z1" s="835"/>
    </row>
    <row r="2" spans="1:26" x14ac:dyDescent="0.25">
      <c r="A2" s="721"/>
      <c r="B2" s="836"/>
      <c r="C2" s="721"/>
      <c r="D2" s="721"/>
      <c r="E2" s="721"/>
      <c r="F2" s="721"/>
      <c r="G2" s="721"/>
      <c r="H2" s="721"/>
      <c r="I2" s="721"/>
      <c r="J2" s="721"/>
      <c r="K2" s="721"/>
      <c r="L2" s="721"/>
      <c r="M2" s="738"/>
      <c r="N2" s="721"/>
      <c r="O2" s="721"/>
      <c r="P2" s="721"/>
      <c r="Q2" s="721"/>
      <c r="R2" s="721"/>
      <c r="S2" s="721"/>
      <c r="T2" s="721"/>
      <c r="U2" s="721"/>
      <c r="V2" s="721"/>
      <c r="W2" s="721"/>
      <c r="X2" s="721"/>
      <c r="Y2" s="721"/>
      <c r="Z2" s="837"/>
    </row>
    <row r="3" spans="1:26" x14ac:dyDescent="0.25">
      <c r="A3" s="721"/>
      <c r="B3" s="836"/>
      <c r="C3" s="721"/>
      <c r="D3" s="721"/>
      <c r="E3" s="721"/>
      <c r="F3" s="721"/>
      <c r="G3" s="721"/>
      <c r="H3" s="721"/>
      <c r="I3" s="721"/>
      <c r="J3" s="721"/>
      <c r="K3" s="721"/>
      <c r="L3" s="721"/>
      <c r="M3" s="738"/>
      <c r="N3" s="721"/>
      <c r="O3" s="721"/>
      <c r="P3" s="721"/>
      <c r="Q3" s="721"/>
      <c r="R3" s="721"/>
      <c r="S3" s="721"/>
      <c r="T3" s="721"/>
      <c r="U3" s="721"/>
      <c r="V3" s="721"/>
      <c r="W3" s="721"/>
      <c r="X3" s="721"/>
      <c r="Y3" s="721"/>
      <c r="Z3" s="837"/>
    </row>
    <row r="4" spans="1:26" x14ac:dyDescent="0.25">
      <c r="A4" s="721"/>
      <c r="B4" s="836"/>
      <c r="C4" s="721"/>
      <c r="D4" s="721"/>
      <c r="E4" s="721"/>
      <c r="F4" s="721"/>
      <c r="G4" s="721"/>
      <c r="H4" s="721"/>
      <c r="I4" s="721"/>
      <c r="J4" s="721"/>
      <c r="K4" s="721"/>
      <c r="L4" s="721"/>
      <c r="M4" s="738"/>
      <c r="N4" s="721"/>
      <c r="O4" s="721"/>
      <c r="P4" s="721"/>
      <c r="Q4" s="721"/>
      <c r="R4" s="721"/>
      <c r="S4" s="721"/>
      <c r="T4" s="721"/>
      <c r="U4" s="721"/>
      <c r="V4" s="721"/>
      <c r="W4" s="721"/>
      <c r="X4" s="721"/>
      <c r="Y4" s="721"/>
      <c r="Z4" s="837"/>
    </row>
    <row r="5" spans="1:26" ht="19.5" customHeight="1" thickBot="1" x14ac:dyDescent="0.3">
      <c r="A5" s="721"/>
      <c r="B5" s="836"/>
      <c r="C5" s="721"/>
      <c r="D5" s="721"/>
      <c r="E5" s="721"/>
      <c r="F5" s="721"/>
      <c r="G5" s="721"/>
      <c r="H5" s="721"/>
      <c r="I5" s="721"/>
      <c r="J5" s="721"/>
      <c r="K5" s="721"/>
      <c r="L5" s="721"/>
      <c r="M5" s="738"/>
      <c r="N5" s="721"/>
      <c r="O5" s="721"/>
      <c r="P5" s="721"/>
      <c r="Q5" s="721"/>
      <c r="R5" s="721"/>
      <c r="S5" s="721"/>
      <c r="T5" s="721"/>
      <c r="U5" s="721"/>
      <c r="V5" s="721"/>
      <c r="W5" s="721"/>
      <c r="X5" s="721"/>
      <c r="Y5" s="721"/>
      <c r="Z5" s="837"/>
    </row>
    <row r="6" spans="1:26" ht="7.5" customHeight="1" thickTop="1" x14ac:dyDescent="0.25">
      <c r="A6" s="721"/>
      <c r="B6" s="838"/>
      <c r="C6" s="830"/>
      <c r="D6" s="830"/>
      <c r="E6" s="830"/>
      <c r="F6" s="830"/>
      <c r="G6" s="830"/>
      <c r="H6" s="830"/>
      <c r="I6" s="830"/>
      <c r="J6" s="830"/>
      <c r="K6" s="830"/>
      <c r="L6" s="830"/>
      <c r="M6" s="831"/>
      <c r="N6" s="832"/>
      <c r="O6" s="830"/>
      <c r="P6" s="830"/>
      <c r="Q6" s="830"/>
      <c r="R6" s="830"/>
      <c r="S6" s="830"/>
      <c r="T6" s="830"/>
      <c r="U6" s="830"/>
      <c r="V6" s="830"/>
      <c r="W6" s="830"/>
      <c r="X6" s="830"/>
      <c r="Y6" s="830"/>
      <c r="Z6" s="835"/>
    </row>
    <row r="7" spans="1:26" ht="39.75" customHeight="1" x14ac:dyDescent="0.7">
      <c r="A7" s="721"/>
      <c r="B7" s="839">
        <f>GETPIVOTDATA("Valeur",Analyse!$A$3)</f>
        <v>23650036.547999993</v>
      </c>
      <c r="C7" s="827"/>
      <c r="D7" s="845"/>
      <c r="E7" s="720"/>
      <c r="F7" s="720"/>
      <c r="G7" s="720"/>
      <c r="H7" s="720"/>
      <c r="I7" s="720"/>
      <c r="J7" s="720"/>
      <c r="K7" s="720"/>
      <c r="L7" s="720"/>
      <c r="M7" s="735"/>
      <c r="N7" s="828">
        <f>GETPIVOTDATA("Valeur",Analyse!$A$79)</f>
        <v>30076733</v>
      </c>
      <c r="O7" s="828"/>
      <c r="P7" s="846"/>
      <c r="Q7" s="721"/>
      <c r="R7" s="721"/>
      <c r="S7" s="721"/>
      <c r="T7" s="721"/>
      <c r="U7" s="721"/>
      <c r="V7" s="721"/>
      <c r="W7" s="721"/>
      <c r="X7" s="721"/>
      <c r="Y7" s="721"/>
      <c r="Z7" s="837"/>
    </row>
    <row r="8" spans="1:26" ht="20.100000000000001" customHeight="1" x14ac:dyDescent="0.25">
      <c r="A8" s="721"/>
      <c r="B8" s="840" t="str">
        <f>INDEX(Analyse!A5:A10,1)</f>
        <v>Huile</v>
      </c>
      <c r="C8" s="731">
        <f>IFERROR(GETPIVOTDATA("Valeur",Analyse!$A$3,"Secteur",$B8),"")</f>
        <v>62090.308000000005</v>
      </c>
      <c r="D8" s="730">
        <f>C8</f>
        <v>62090.308000000005</v>
      </c>
      <c r="E8" s="721"/>
      <c r="F8" s="721"/>
      <c r="G8" s="721"/>
      <c r="H8" s="721"/>
      <c r="I8" s="721"/>
      <c r="J8" s="721"/>
      <c r="K8" s="721"/>
      <c r="L8" s="721"/>
      <c r="M8" s="738"/>
      <c r="N8" s="829" t="str">
        <f>INDEX(Analyse!A81:A85,1)</f>
        <v>Alimentaire</v>
      </c>
      <c r="O8" s="736">
        <f>IFERROR(GETPIVOTDATA("Valeur",Analyse!$A$79,"Secteur",$N8),"")</f>
        <v>16708698</v>
      </c>
      <c r="P8" s="730">
        <f>O8</f>
        <v>16708698</v>
      </c>
      <c r="Q8" s="721"/>
      <c r="R8" s="721"/>
      <c r="S8" s="721"/>
      <c r="T8" s="721"/>
      <c r="U8" s="721"/>
      <c r="V8" s="721"/>
      <c r="W8" s="721"/>
      <c r="X8" s="721"/>
      <c r="Y8" s="721"/>
      <c r="Z8" s="837"/>
    </row>
    <row r="9" spans="1:26" ht="20.100000000000001" customHeight="1" x14ac:dyDescent="0.25">
      <c r="A9" s="721"/>
      <c r="B9" s="840" t="str">
        <f>INDEX(Analyse!A6:A11,1)</f>
        <v>Passager</v>
      </c>
      <c r="C9" s="731">
        <f>IFERROR(GETPIVOTDATA("Valeur",Analyse!$A$3,"Secteur",$B9),"")</f>
        <v>126454.12</v>
      </c>
      <c r="D9" s="730">
        <f t="shared" ref="D9:D13" si="0">C9</f>
        <v>126454.12</v>
      </c>
      <c r="E9" s="721"/>
      <c r="F9" s="721"/>
      <c r="G9" s="721"/>
      <c r="H9" s="721"/>
      <c r="I9" s="721"/>
      <c r="J9" s="721"/>
      <c r="K9" s="721"/>
      <c r="L9" s="721"/>
      <c r="M9" s="738"/>
      <c r="N9" s="829" t="str">
        <f>INDEX(Analyse!A82:A86,1)</f>
        <v>Chamia</v>
      </c>
      <c r="O9" s="736">
        <f>IFERROR(GETPIVOTDATA("Valeur",Analyse!$A$79,"Secteur",$N9),"")</f>
        <v>1572595</v>
      </c>
      <c r="P9" s="730">
        <f t="shared" ref="P9:P12" si="1">O9</f>
        <v>1572595</v>
      </c>
      <c r="Q9" s="721"/>
      <c r="R9" s="721"/>
      <c r="S9" s="721"/>
      <c r="T9" s="721"/>
      <c r="U9" s="721"/>
      <c r="V9" s="721"/>
      <c r="W9" s="721"/>
      <c r="X9" s="721"/>
      <c r="Y9" s="721"/>
      <c r="Z9" s="837"/>
    </row>
    <row r="10" spans="1:26" ht="20.100000000000001" customHeight="1" x14ac:dyDescent="0.25">
      <c r="A10" s="721"/>
      <c r="B10" s="840" t="str">
        <f>INDEX(Analyse!A7:A12,1)</f>
        <v>Chamia</v>
      </c>
      <c r="C10" s="731">
        <f>IFERROR(GETPIVOTDATA("Valeur",Analyse!$A$3,"Secteur",$B10),"")</f>
        <v>1469127.21</v>
      </c>
      <c r="D10" s="730">
        <f t="shared" si="0"/>
        <v>1469127.21</v>
      </c>
      <c r="E10" s="721"/>
      <c r="F10" s="721"/>
      <c r="G10" s="721"/>
      <c r="H10" s="721"/>
      <c r="I10" s="721"/>
      <c r="J10" s="721"/>
      <c r="K10" s="721"/>
      <c r="L10" s="721"/>
      <c r="M10" s="738"/>
      <c r="N10" s="829" t="str">
        <f>INDEX(Analyse!A83:A87,1)</f>
        <v>Huile</v>
      </c>
      <c r="O10" s="736">
        <f>IFERROR(GETPIVOTDATA("Valeur",Analyse!$A$79,"Secteur",$N10),"")</f>
        <v>934194</v>
      </c>
      <c r="P10" s="730">
        <f t="shared" si="1"/>
        <v>934194</v>
      </c>
      <c r="Q10" s="721"/>
      <c r="R10" s="721"/>
      <c r="S10" s="721"/>
      <c r="T10" s="721"/>
      <c r="U10" s="721"/>
      <c r="V10" s="721"/>
      <c r="W10" s="721"/>
      <c r="X10" s="721"/>
      <c r="Y10" s="721"/>
      <c r="Z10" s="837"/>
    </row>
    <row r="11" spans="1:26" ht="20.100000000000001" customHeight="1" x14ac:dyDescent="0.25">
      <c r="A11" s="721"/>
      <c r="B11" s="840" t="str">
        <f>INDEX(Analyse!A8:A13,1)</f>
        <v>Thon</v>
      </c>
      <c r="C11" s="731">
        <f>IFERROR(GETPIVOTDATA("Valeur",Analyse!$A$3,"Secteur",$B11),"")</f>
        <v>3786230.5419999994</v>
      </c>
      <c r="D11" s="730">
        <f t="shared" si="0"/>
        <v>3786230.5419999994</v>
      </c>
      <c r="E11" s="721"/>
      <c r="F11" s="721"/>
      <c r="G11" s="721"/>
      <c r="H11" s="721"/>
      <c r="I11" s="721"/>
      <c r="J11" s="721"/>
      <c r="K11" s="721"/>
      <c r="L11" s="721"/>
      <c r="M11" s="738"/>
      <c r="N11" s="829" t="str">
        <f>INDEX(Analyse!A84:A88,1)</f>
        <v>Industriel</v>
      </c>
      <c r="O11" s="736">
        <f>IFERROR(GETPIVOTDATA("Valeur",Analyse!$A$79,"Secteur",$N11),"")</f>
        <v>2810132</v>
      </c>
      <c r="P11" s="730">
        <f t="shared" si="1"/>
        <v>2810132</v>
      </c>
      <c r="Q11" s="721"/>
      <c r="R11" s="721"/>
      <c r="S11" s="721"/>
      <c r="T11" s="721"/>
      <c r="U11" s="721"/>
      <c r="V11" s="721"/>
      <c r="W11" s="721"/>
      <c r="X11" s="721"/>
      <c r="Y11" s="721"/>
      <c r="Z11" s="837"/>
    </row>
    <row r="12" spans="1:26" ht="20.100000000000001" customHeight="1" x14ac:dyDescent="0.25">
      <c r="A12" s="721"/>
      <c r="B12" s="840" t="str">
        <f>INDEX(Analyse!A9:A14,1)</f>
        <v>Industriel</v>
      </c>
      <c r="C12" s="731">
        <f>IFERROR(GETPIVOTDATA("Valeur",Analyse!$A$3,"Secteur",$B12),"")</f>
        <v>7590329.6030000001</v>
      </c>
      <c r="D12" s="730">
        <f t="shared" si="0"/>
        <v>7590329.6030000001</v>
      </c>
      <c r="E12" s="721"/>
      <c r="F12" s="721"/>
      <c r="G12" s="721"/>
      <c r="H12" s="721"/>
      <c r="I12" s="721"/>
      <c r="J12" s="721"/>
      <c r="K12" s="721"/>
      <c r="L12" s="721"/>
      <c r="M12" s="738"/>
      <c r="N12" s="829" t="str">
        <f>INDEX(Analyse!A85:A89,1)</f>
        <v>Thon</v>
      </c>
      <c r="O12" s="736">
        <f>IFERROR(GETPIVOTDATA("Valeur",Analyse!$A$79,"Secteur",$N12),"")</f>
        <v>8051114</v>
      </c>
      <c r="P12" s="730">
        <f t="shared" si="1"/>
        <v>8051114</v>
      </c>
      <c r="Q12" s="721"/>
      <c r="R12" s="721"/>
      <c r="S12" s="721"/>
      <c r="T12" s="721"/>
      <c r="U12" s="721"/>
      <c r="V12" s="721"/>
      <c r="W12" s="721"/>
      <c r="X12" s="721"/>
      <c r="Y12" s="721"/>
      <c r="Z12" s="837"/>
    </row>
    <row r="13" spans="1:26" ht="20.100000000000001" customHeight="1" x14ac:dyDescent="0.25">
      <c r="A13" s="721"/>
      <c r="B13" s="844" t="str">
        <f>INDEX(Analyse!A10:A15,1)</f>
        <v>Alimentaire</v>
      </c>
      <c r="C13" s="733">
        <f>IFERROR(GETPIVOTDATA("Valeur",Analyse!$A$3,"Secteur",$B13),"")</f>
        <v>10615804.764999993</v>
      </c>
      <c r="D13" s="734">
        <f t="shared" si="0"/>
        <v>10615804.764999993</v>
      </c>
      <c r="E13" s="721"/>
      <c r="F13" s="721"/>
      <c r="G13" s="721"/>
      <c r="H13" s="825"/>
      <c r="I13" s="721"/>
      <c r="J13" s="721"/>
      <c r="K13" s="721"/>
      <c r="L13" s="721"/>
      <c r="M13" s="738"/>
      <c r="N13" s="847"/>
      <c r="O13" s="733"/>
      <c r="P13" s="734"/>
      <c r="Q13" s="721"/>
      <c r="R13" s="721"/>
      <c r="S13" s="721"/>
      <c r="T13" s="721"/>
      <c r="U13" s="721"/>
      <c r="V13" s="721"/>
      <c r="W13" s="721"/>
      <c r="X13" s="721"/>
      <c r="Y13" s="721"/>
      <c r="Z13" s="837"/>
    </row>
    <row r="14" spans="1:26" x14ac:dyDescent="0.25">
      <c r="A14" s="721"/>
      <c r="B14" s="836"/>
      <c r="C14" s="721"/>
      <c r="D14" s="721"/>
      <c r="E14" s="721"/>
      <c r="F14" s="721"/>
      <c r="G14" s="721"/>
      <c r="H14" s="721"/>
      <c r="I14" s="721"/>
      <c r="J14" s="721"/>
      <c r="K14" s="721"/>
      <c r="L14" s="721"/>
      <c r="M14" s="738"/>
      <c r="N14" s="721"/>
      <c r="O14" s="721"/>
      <c r="P14" s="721"/>
      <c r="Q14" s="721"/>
      <c r="R14" s="721"/>
      <c r="S14" s="721"/>
      <c r="T14" s="721"/>
      <c r="U14" s="721"/>
      <c r="V14" s="721"/>
      <c r="W14" s="721"/>
      <c r="X14" s="721"/>
      <c r="Y14" s="721"/>
      <c r="Z14" s="837"/>
    </row>
    <row r="15" spans="1:26" x14ac:dyDescent="0.25">
      <c r="A15" s="721"/>
      <c r="B15" s="836"/>
      <c r="C15" s="721"/>
      <c r="D15" s="721"/>
      <c r="E15" s="721"/>
      <c r="F15" s="721"/>
      <c r="G15" s="721"/>
      <c r="H15" s="721"/>
      <c r="I15" s="721"/>
      <c r="J15" s="721"/>
      <c r="K15" s="721"/>
      <c r="L15" s="721"/>
      <c r="M15" s="738"/>
      <c r="N15" s="721"/>
      <c r="O15" s="721"/>
      <c r="P15" s="721"/>
      <c r="Q15" s="721"/>
      <c r="R15" s="721"/>
      <c r="S15" s="721"/>
      <c r="T15" s="721"/>
      <c r="U15" s="721"/>
      <c r="V15" s="721"/>
      <c r="W15" s="721"/>
      <c r="X15" s="721"/>
      <c r="Y15" s="721"/>
      <c r="Z15" s="837"/>
    </row>
    <row r="16" spans="1:26" x14ac:dyDescent="0.25">
      <c r="A16" s="721"/>
      <c r="B16" s="836"/>
      <c r="C16" s="721"/>
      <c r="D16" s="721"/>
      <c r="E16" s="721"/>
      <c r="F16" s="721"/>
      <c r="G16" s="721"/>
      <c r="H16" s="721"/>
      <c r="I16" s="721"/>
      <c r="J16" s="721"/>
      <c r="K16" s="721"/>
      <c r="L16" s="721"/>
      <c r="M16" s="738"/>
      <c r="N16" s="721"/>
      <c r="O16" s="721"/>
      <c r="P16" s="721"/>
      <c r="Q16" s="721"/>
      <c r="R16" s="721"/>
      <c r="S16" s="721"/>
      <c r="T16" s="721"/>
      <c r="U16" s="721"/>
      <c r="V16" s="721"/>
      <c r="W16" s="721"/>
      <c r="X16" s="721"/>
      <c r="Y16" s="721"/>
      <c r="Z16" s="837"/>
    </row>
    <row r="17" spans="1:26" x14ac:dyDescent="0.25">
      <c r="A17" s="721"/>
      <c r="B17" s="836"/>
      <c r="C17" s="721"/>
      <c r="D17" s="721"/>
      <c r="E17" s="721"/>
      <c r="F17" s="721"/>
      <c r="G17" s="721"/>
      <c r="H17" s="721"/>
      <c r="I17" s="721"/>
      <c r="J17" s="721"/>
      <c r="K17" s="721"/>
      <c r="L17" s="721"/>
      <c r="M17" s="738"/>
      <c r="N17" s="721"/>
      <c r="O17" s="721"/>
      <c r="P17" s="721"/>
      <c r="Q17" s="721"/>
      <c r="R17" s="721"/>
      <c r="S17" s="721"/>
      <c r="T17" s="721"/>
      <c r="U17" s="721"/>
      <c r="V17" s="721"/>
      <c r="W17" s="721"/>
      <c r="X17" s="721"/>
      <c r="Y17" s="721"/>
      <c r="Z17" s="837"/>
    </row>
    <row r="18" spans="1:26" x14ac:dyDescent="0.25">
      <c r="A18" s="721"/>
      <c r="B18" s="836"/>
      <c r="C18" s="721"/>
      <c r="D18" s="721"/>
      <c r="E18" s="721"/>
      <c r="F18" s="721"/>
      <c r="G18" s="721"/>
      <c r="H18" s="721"/>
      <c r="I18" s="721"/>
      <c r="J18" s="721"/>
      <c r="K18" s="721"/>
      <c r="L18" s="721"/>
      <c r="M18" s="738"/>
      <c r="N18" s="721"/>
      <c r="O18" s="721"/>
      <c r="P18" s="721"/>
      <c r="Q18" s="721"/>
      <c r="R18" s="721"/>
      <c r="S18" s="721"/>
      <c r="T18" s="721"/>
      <c r="U18" s="721"/>
      <c r="V18" s="721"/>
      <c r="W18" s="721"/>
      <c r="X18" s="721"/>
      <c r="Y18" s="721"/>
      <c r="Z18" s="837"/>
    </row>
    <row r="19" spans="1:26" x14ac:dyDescent="0.25">
      <c r="A19" s="721"/>
      <c r="B19" s="836"/>
      <c r="C19" s="721"/>
      <c r="D19" s="721"/>
      <c r="E19" s="721"/>
      <c r="F19" s="721"/>
      <c r="G19" s="721"/>
      <c r="H19" s="721"/>
      <c r="I19" s="721"/>
      <c r="J19" s="721"/>
      <c r="K19" s="721"/>
      <c r="L19" s="721"/>
      <c r="M19" s="738"/>
      <c r="N19" s="721"/>
      <c r="O19" s="721"/>
      <c r="P19" s="721"/>
      <c r="Q19" s="721"/>
      <c r="R19" s="721"/>
      <c r="S19" s="721"/>
      <c r="T19" s="721"/>
      <c r="U19" s="721"/>
      <c r="V19" s="721"/>
      <c r="W19" s="721"/>
      <c r="X19" s="721"/>
      <c r="Y19" s="721"/>
      <c r="Z19" s="837"/>
    </row>
    <row r="20" spans="1:26" x14ac:dyDescent="0.25">
      <c r="A20" s="721"/>
      <c r="B20" s="836"/>
      <c r="C20" s="721"/>
      <c r="D20" s="721"/>
      <c r="E20" s="721"/>
      <c r="F20" s="721"/>
      <c r="G20" s="721"/>
      <c r="H20" s="721"/>
      <c r="I20" s="721"/>
      <c r="J20" s="721"/>
      <c r="K20" s="721"/>
      <c r="L20" s="721"/>
      <c r="M20" s="738"/>
      <c r="N20" s="721"/>
      <c r="O20" s="721"/>
      <c r="P20" s="721"/>
      <c r="Q20" s="721"/>
      <c r="R20" s="721"/>
      <c r="S20" s="721"/>
      <c r="T20" s="721"/>
      <c r="U20" s="721"/>
      <c r="V20" s="721"/>
      <c r="W20" s="721"/>
      <c r="X20" s="721"/>
      <c r="Y20" s="721"/>
      <c r="Z20" s="837"/>
    </row>
    <row r="21" spans="1:26" x14ac:dyDescent="0.25">
      <c r="A21" s="721"/>
      <c r="B21" s="836"/>
      <c r="C21" s="721"/>
      <c r="D21" s="721"/>
      <c r="E21" s="721"/>
      <c r="F21" s="721"/>
      <c r="G21" s="721"/>
      <c r="H21" s="721"/>
      <c r="I21" s="721"/>
      <c r="J21" s="721"/>
      <c r="K21" s="721"/>
      <c r="L21" s="721"/>
      <c r="M21" s="738"/>
      <c r="N21" s="721"/>
      <c r="O21" s="721"/>
      <c r="P21" s="721"/>
      <c r="Q21" s="721"/>
      <c r="R21" s="721"/>
      <c r="S21" s="721"/>
      <c r="T21" s="721"/>
      <c r="U21" s="721"/>
      <c r="V21" s="721"/>
      <c r="W21" s="721"/>
      <c r="X21" s="721"/>
      <c r="Y21" s="721"/>
      <c r="Z21" s="837"/>
    </row>
    <row r="22" spans="1:26" x14ac:dyDescent="0.25">
      <c r="A22" s="721"/>
      <c r="B22" s="836"/>
      <c r="C22" s="721"/>
      <c r="D22" s="721"/>
      <c r="E22" s="721"/>
      <c r="F22" s="721"/>
      <c r="G22" s="721"/>
      <c r="H22" s="721"/>
      <c r="I22" s="721"/>
      <c r="J22" s="721"/>
      <c r="K22" s="721"/>
      <c r="L22" s="721"/>
      <c r="M22" s="738"/>
      <c r="N22" s="721"/>
      <c r="O22" s="721"/>
      <c r="P22" s="721"/>
      <c r="Q22" s="721"/>
      <c r="R22" s="721"/>
      <c r="S22" s="721"/>
      <c r="T22" s="721"/>
      <c r="U22" s="721"/>
      <c r="V22" s="721"/>
      <c r="W22" s="721"/>
      <c r="X22" s="721"/>
      <c r="Y22" s="721"/>
      <c r="Z22" s="837"/>
    </row>
    <row r="23" spans="1:26" x14ac:dyDescent="0.25">
      <c r="A23" s="721"/>
      <c r="B23" s="836"/>
      <c r="C23" s="721"/>
      <c r="D23" s="721"/>
      <c r="E23" s="721"/>
      <c r="F23" s="721"/>
      <c r="G23" s="721"/>
      <c r="H23" s="721"/>
      <c r="I23" s="721"/>
      <c r="J23" s="721"/>
      <c r="K23" s="721"/>
      <c r="L23" s="721"/>
      <c r="M23" s="738"/>
      <c r="N23" s="721"/>
      <c r="O23" s="721"/>
      <c r="P23" s="721"/>
      <c r="Q23" s="721"/>
      <c r="R23" s="721"/>
      <c r="S23" s="721"/>
      <c r="T23" s="721"/>
      <c r="U23" s="721"/>
      <c r="V23" s="721"/>
      <c r="W23" s="721"/>
      <c r="X23" s="721"/>
      <c r="Y23" s="721"/>
      <c r="Z23" s="837"/>
    </row>
    <row r="24" spans="1:26" x14ac:dyDescent="0.25">
      <c r="A24" s="721"/>
      <c r="B24" s="836"/>
      <c r="C24" s="721"/>
      <c r="D24" s="721"/>
      <c r="E24" s="721"/>
      <c r="F24" s="721"/>
      <c r="G24" s="721"/>
      <c r="H24" s="721"/>
      <c r="I24" s="721"/>
      <c r="J24" s="721"/>
      <c r="K24" s="721"/>
      <c r="L24" s="721"/>
      <c r="M24" s="738"/>
      <c r="N24" s="721"/>
      <c r="O24" s="721"/>
      <c r="P24" s="721"/>
      <c r="Q24" s="721"/>
      <c r="R24" s="721"/>
      <c r="S24" s="721"/>
      <c r="T24" s="721"/>
      <c r="U24" s="721"/>
      <c r="V24" s="721"/>
      <c r="W24" s="721"/>
      <c r="X24" s="721"/>
      <c r="Y24" s="721"/>
      <c r="Z24" s="837"/>
    </row>
    <row r="25" spans="1:26" x14ac:dyDescent="0.25">
      <c r="A25" s="721"/>
      <c r="B25" s="836"/>
      <c r="C25" s="721"/>
      <c r="D25" s="721"/>
      <c r="E25" s="721"/>
      <c r="F25" s="721"/>
      <c r="G25" s="721"/>
      <c r="H25" s="721"/>
      <c r="I25" s="721"/>
      <c r="J25" s="721"/>
      <c r="K25" s="721"/>
      <c r="L25" s="721"/>
      <c r="M25" s="738"/>
      <c r="N25" s="721"/>
      <c r="O25" s="721"/>
      <c r="P25" s="721"/>
      <c r="Q25" s="721"/>
      <c r="R25" s="721"/>
      <c r="S25" s="721"/>
      <c r="T25" s="721"/>
      <c r="U25" s="721"/>
      <c r="V25" s="721"/>
      <c r="W25" s="721"/>
      <c r="X25" s="721"/>
      <c r="Y25" s="721"/>
      <c r="Z25" s="837"/>
    </row>
    <row r="26" spans="1:26" x14ac:dyDescent="0.25">
      <c r="A26" s="721"/>
      <c r="B26" s="836"/>
      <c r="C26" s="721"/>
      <c r="D26" s="721"/>
      <c r="E26" s="721"/>
      <c r="F26" s="721"/>
      <c r="G26" s="721"/>
      <c r="H26" s="721"/>
      <c r="I26" s="721"/>
      <c r="J26" s="721"/>
      <c r="K26" s="721"/>
      <c r="L26" s="721"/>
      <c r="M26" s="738"/>
      <c r="N26" s="721"/>
      <c r="O26" s="721"/>
      <c r="P26" s="721"/>
      <c r="Q26" s="721"/>
      <c r="R26" s="721"/>
      <c r="S26" s="721"/>
      <c r="T26" s="721"/>
      <c r="U26" s="721"/>
      <c r="V26" s="721"/>
      <c r="W26" s="721"/>
      <c r="X26" s="721"/>
      <c r="Y26" s="721"/>
      <c r="Z26" s="837"/>
    </row>
    <row r="27" spans="1:26" x14ac:dyDescent="0.25">
      <c r="A27" s="721"/>
      <c r="B27" s="836"/>
      <c r="C27" s="721"/>
      <c r="D27" s="721"/>
      <c r="E27" s="721"/>
      <c r="F27" s="721"/>
      <c r="G27" s="721"/>
      <c r="H27" s="721"/>
      <c r="I27" s="721"/>
      <c r="J27" s="721"/>
      <c r="K27" s="721"/>
      <c r="L27" s="721"/>
      <c r="M27" s="738"/>
      <c r="N27" s="721"/>
      <c r="O27" s="721"/>
      <c r="P27" s="721"/>
      <c r="Q27" s="721"/>
      <c r="R27" s="721"/>
      <c r="S27" s="721"/>
      <c r="T27" s="721"/>
      <c r="U27" s="721"/>
      <c r="V27" s="721"/>
      <c r="W27" s="721"/>
      <c r="X27" s="721"/>
      <c r="Y27" s="721"/>
      <c r="Z27" s="837"/>
    </row>
    <row r="28" spans="1:26" ht="20.100000000000001" customHeight="1" x14ac:dyDescent="0.25">
      <c r="A28" s="721"/>
      <c r="B28" s="836"/>
      <c r="C28" s="721"/>
      <c r="D28" s="721"/>
      <c r="E28" s="721"/>
      <c r="F28" s="721"/>
      <c r="G28" s="721"/>
      <c r="H28" s="721"/>
      <c r="I28" s="721"/>
      <c r="J28" s="721"/>
      <c r="K28" s="721"/>
      <c r="L28" s="721"/>
      <c r="M28" s="738"/>
      <c r="N28" s="721"/>
      <c r="O28" s="721"/>
      <c r="P28" s="721"/>
      <c r="Q28" s="721"/>
      <c r="R28" s="721"/>
      <c r="S28" s="721"/>
      <c r="T28" s="721"/>
      <c r="U28" s="721"/>
      <c r="V28" s="721"/>
      <c r="W28" s="721"/>
      <c r="X28" s="721"/>
      <c r="Y28" s="721"/>
      <c r="Z28" s="837"/>
    </row>
    <row r="29" spans="1:26" x14ac:dyDescent="0.25">
      <c r="A29" s="721"/>
      <c r="B29" s="836"/>
      <c r="C29" s="721"/>
      <c r="D29" s="721"/>
      <c r="E29" s="721"/>
      <c r="F29" s="721"/>
      <c r="G29" s="721"/>
      <c r="H29" s="721"/>
      <c r="I29" s="721"/>
      <c r="J29" s="721"/>
      <c r="K29" s="721"/>
      <c r="L29" s="721"/>
      <c r="M29" s="738"/>
      <c r="N29" s="721"/>
      <c r="O29" s="721"/>
      <c r="P29" s="721"/>
      <c r="Q29" s="721"/>
      <c r="R29" s="721"/>
      <c r="S29" s="721"/>
      <c r="T29" s="721"/>
      <c r="U29" s="721"/>
      <c r="V29" s="721"/>
      <c r="W29" s="721"/>
      <c r="X29" s="721"/>
      <c r="Y29" s="721"/>
      <c r="Z29" s="837"/>
    </row>
    <row r="30" spans="1:26" x14ac:dyDescent="0.25">
      <c r="A30" s="721"/>
      <c r="B30" s="836"/>
      <c r="C30" s="721"/>
      <c r="D30" s="721"/>
      <c r="E30" s="721"/>
      <c r="F30" s="721"/>
      <c r="G30" s="721"/>
      <c r="H30" s="721"/>
      <c r="I30" s="721"/>
      <c r="J30" s="721"/>
      <c r="K30" s="721"/>
      <c r="L30" s="721"/>
      <c r="M30" s="721"/>
      <c r="N30" s="721"/>
      <c r="O30" s="721"/>
      <c r="P30" s="721"/>
      <c r="Q30" s="721"/>
      <c r="R30" s="721"/>
      <c r="S30" s="721"/>
      <c r="T30" s="721"/>
      <c r="U30" s="721"/>
      <c r="V30" s="721"/>
      <c r="W30" s="721"/>
      <c r="X30" s="721"/>
      <c r="Y30" s="721"/>
      <c r="Z30" s="837"/>
    </row>
    <row r="31" spans="1:26" ht="23.25" customHeight="1" thickBot="1" x14ac:dyDescent="0.3">
      <c r="A31" s="721"/>
      <c r="B31" s="841"/>
      <c r="C31" s="833"/>
      <c r="D31" s="833"/>
      <c r="E31" s="833"/>
      <c r="F31" s="833"/>
      <c r="G31" s="833"/>
      <c r="H31" s="833"/>
      <c r="I31" s="833"/>
      <c r="J31" s="833"/>
      <c r="K31" s="833"/>
      <c r="L31" s="833"/>
      <c r="M31" s="833"/>
      <c r="N31" s="833"/>
      <c r="O31" s="833"/>
      <c r="P31" s="833"/>
      <c r="Q31" s="833"/>
      <c r="R31" s="833"/>
      <c r="S31" s="833"/>
      <c r="T31" s="833"/>
      <c r="U31" s="833"/>
      <c r="V31" s="833"/>
      <c r="W31" s="833"/>
      <c r="X31" s="833"/>
      <c r="Y31" s="833"/>
      <c r="Z31" s="842"/>
    </row>
    <row r="32" spans="1:26" ht="15.75" thickTop="1" x14ac:dyDescent="0.25">
      <c r="A32" s="721"/>
      <c r="B32" s="836"/>
      <c r="C32" s="721"/>
      <c r="D32" s="721"/>
      <c r="E32" s="721"/>
      <c r="F32" s="721"/>
      <c r="G32" s="721"/>
      <c r="H32" s="721"/>
      <c r="I32" s="721"/>
      <c r="J32" s="721"/>
      <c r="K32" s="721"/>
      <c r="L32" s="721"/>
      <c r="M32" s="721"/>
      <c r="N32" s="721"/>
      <c r="O32" s="721"/>
      <c r="P32" s="721"/>
      <c r="Q32" s="721"/>
      <c r="R32" s="721"/>
      <c r="S32" s="721"/>
      <c r="T32" s="721"/>
      <c r="U32" s="721"/>
      <c r="V32" s="721"/>
      <c r="W32" s="721"/>
      <c r="X32" s="721"/>
      <c r="Y32" s="721"/>
      <c r="Z32" s="837"/>
    </row>
    <row r="33" spans="1:26" x14ac:dyDescent="0.25">
      <c r="A33" s="721"/>
      <c r="B33" s="836"/>
      <c r="C33" s="721"/>
      <c r="D33" s="721"/>
      <c r="E33" s="721"/>
      <c r="F33" s="721"/>
      <c r="G33" s="721"/>
      <c r="H33" s="721"/>
      <c r="I33" s="721"/>
      <c r="J33" s="721"/>
      <c r="K33" s="721"/>
      <c r="L33" s="721"/>
      <c r="M33" s="721"/>
      <c r="N33" s="721"/>
      <c r="O33" s="721"/>
      <c r="P33" s="721"/>
      <c r="Q33" s="721"/>
      <c r="R33" s="721"/>
      <c r="S33" s="721"/>
      <c r="T33" s="721"/>
      <c r="U33" s="721"/>
      <c r="V33" s="721"/>
      <c r="W33" s="721"/>
      <c r="X33" s="721"/>
      <c r="Y33" s="721"/>
      <c r="Z33" s="837"/>
    </row>
    <row r="34" spans="1:26" x14ac:dyDescent="0.25">
      <c r="A34" s="721"/>
      <c r="B34" s="836"/>
      <c r="C34" s="721"/>
      <c r="D34" s="721"/>
      <c r="E34" s="721"/>
      <c r="F34" s="721"/>
      <c r="G34" s="721"/>
      <c r="H34" s="721"/>
      <c r="I34" s="721"/>
      <c r="J34" s="721"/>
      <c r="K34" s="721"/>
      <c r="L34" s="721"/>
      <c r="M34" s="721"/>
      <c r="N34" s="721"/>
      <c r="O34" s="721"/>
      <c r="P34" s="721"/>
      <c r="Q34" s="721"/>
      <c r="R34" s="721"/>
      <c r="S34" s="721"/>
      <c r="T34" s="721"/>
      <c r="U34" s="721"/>
      <c r="V34" s="721"/>
      <c r="W34" s="721"/>
      <c r="X34" s="721"/>
      <c r="Y34" s="721"/>
      <c r="Z34" s="837"/>
    </row>
    <row r="35" spans="1:26" x14ac:dyDescent="0.25">
      <c r="A35" s="721"/>
      <c r="B35" s="836"/>
      <c r="C35" s="721"/>
      <c r="D35" s="721"/>
      <c r="E35" s="721"/>
      <c r="F35" s="721"/>
      <c r="G35" s="721"/>
      <c r="H35" s="721"/>
      <c r="I35" s="721"/>
      <c r="J35" s="721"/>
      <c r="K35" s="721"/>
      <c r="L35" s="721"/>
      <c r="M35" s="721"/>
      <c r="N35" s="721"/>
      <c r="O35" s="721"/>
      <c r="P35" s="721"/>
      <c r="Q35" s="721"/>
      <c r="R35" s="721"/>
      <c r="S35" s="721"/>
      <c r="T35" s="721"/>
      <c r="U35" s="721"/>
      <c r="V35" s="721"/>
      <c r="W35" s="721"/>
      <c r="X35" s="721"/>
      <c r="Y35" s="721"/>
      <c r="Z35" s="837"/>
    </row>
    <row r="36" spans="1:26" x14ac:dyDescent="0.25">
      <c r="A36" s="721"/>
      <c r="B36" s="836"/>
      <c r="C36" s="721"/>
      <c r="D36" s="721"/>
      <c r="E36" s="721"/>
      <c r="F36" s="721"/>
      <c r="G36" s="721"/>
      <c r="H36" s="721"/>
      <c r="I36" s="721"/>
      <c r="J36" s="721"/>
      <c r="K36" s="721"/>
      <c r="L36" s="721"/>
      <c r="M36" s="721"/>
      <c r="N36" s="721"/>
      <c r="O36" s="721"/>
      <c r="P36" s="721"/>
      <c r="Q36" s="721"/>
      <c r="R36" s="721"/>
      <c r="S36" s="721"/>
      <c r="T36" s="721"/>
      <c r="U36" s="721"/>
      <c r="V36" s="721"/>
      <c r="W36" s="721"/>
      <c r="X36" s="721"/>
      <c r="Y36" s="721"/>
      <c r="Z36" s="837"/>
    </row>
    <row r="37" spans="1:26" x14ac:dyDescent="0.25">
      <c r="A37" s="721"/>
      <c r="B37" s="836"/>
      <c r="C37" s="721"/>
      <c r="D37" s="721"/>
      <c r="E37" s="721"/>
      <c r="F37" s="721"/>
      <c r="G37" s="721"/>
      <c r="H37" s="721"/>
      <c r="I37" s="721"/>
      <c r="J37" s="721"/>
      <c r="K37" s="721"/>
      <c r="L37" s="721"/>
      <c r="M37" s="721"/>
      <c r="N37" s="721"/>
      <c r="O37" s="721"/>
      <c r="P37" s="721"/>
      <c r="Q37" s="721"/>
      <c r="R37" s="721"/>
      <c r="S37" s="721"/>
      <c r="T37" s="721"/>
      <c r="U37" s="721"/>
      <c r="V37" s="721"/>
      <c r="W37" s="721"/>
      <c r="X37" s="721"/>
      <c r="Y37" s="721"/>
      <c r="Z37" s="837"/>
    </row>
    <row r="38" spans="1:26" x14ac:dyDescent="0.25">
      <c r="A38" s="721"/>
      <c r="B38" s="836"/>
      <c r="C38" s="721"/>
      <c r="D38" s="721"/>
      <c r="E38" s="721"/>
      <c r="F38" s="721"/>
      <c r="G38" s="721"/>
      <c r="H38" s="721"/>
      <c r="I38" s="721"/>
      <c r="J38" s="721"/>
      <c r="K38" s="721"/>
      <c r="L38" s="721"/>
      <c r="M38" s="721"/>
      <c r="N38" s="721"/>
      <c r="O38" s="721"/>
      <c r="P38" s="721"/>
      <c r="Q38" s="721"/>
      <c r="R38" s="721"/>
      <c r="S38" s="721"/>
      <c r="T38" s="721"/>
      <c r="U38" s="721"/>
      <c r="V38" s="721"/>
      <c r="W38" s="721"/>
      <c r="X38" s="721"/>
      <c r="Y38" s="721"/>
      <c r="Z38" s="837"/>
    </row>
    <row r="39" spans="1:26" x14ac:dyDescent="0.25">
      <c r="A39" s="721"/>
      <c r="B39" s="836"/>
      <c r="C39" s="721"/>
      <c r="D39" s="721"/>
      <c r="E39" s="721"/>
      <c r="F39" s="721"/>
      <c r="G39" s="721"/>
      <c r="H39" s="721"/>
      <c r="I39" s="721"/>
      <c r="J39" s="721"/>
      <c r="K39" s="721"/>
      <c r="L39" s="721"/>
      <c r="M39" s="721"/>
      <c r="N39" s="721"/>
      <c r="O39" s="721"/>
      <c r="P39" s="721"/>
      <c r="Q39" s="721"/>
      <c r="R39" s="721"/>
      <c r="S39" s="721"/>
      <c r="T39" s="721"/>
      <c r="U39" s="721"/>
      <c r="V39" s="721"/>
      <c r="W39" s="721"/>
      <c r="X39" s="721"/>
      <c r="Y39" s="721"/>
      <c r="Z39" s="837"/>
    </row>
    <row r="40" spans="1:26" x14ac:dyDescent="0.25">
      <c r="A40" s="721"/>
      <c r="B40" s="836"/>
      <c r="C40" s="721"/>
      <c r="D40" s="721"/>
      <c r="E40" s="721"/>
      <c r="F40" s="721"/>
      <c r="G40" s="721"/>
      <c r="H40" s="721"/>
      <c r="I40" s="721"/>
      <c r="J40" s="721"/>
      <c r="K40" s="721"/>
      <c r="L40" s="721"/>
      <c r="M40" s="721"/>
      <c r="N40" s="721"/>
      <c r="O40" s="721"/>
      <c r="P40" s="721"/>
      <c r="Q40" s="721"/>
      <c r="R40" s="721"/>
      <c r="S40" s="721"/>
      <c r="T40" s="721"/>
      <c r="U40" s="721"/>
      <c r="V40" s="721"/>
      <c r="W40" s="721"/>
      <c r="X40" s="721"/>
      <c r="Y40" s="721"/>
      <c r="Z40" s="837"/>
    </row>
    <row r="41" spans="1:26" x14ac:dyDescent="0.25">
      <c r="A41" s="721"/>
      <c r="B41" s="836"/>
      <c r="C41" s="721"/>
      <c r="D41" s="721"/>
      <c r="E41" s="721"/>
      <c r="F41" s="721"/>
      <c r="G41" s="721"/>
      <c r="H41" s="721"/>
      <c r="I41" s="721"/>
      <c r="J41" s="721"/>
      <c r="K41" s="721"/>
      <c r="L41" s="721"/>
      <c r="M41" s="721"/>
      <c r="N41" s="721"/>
      <c r="O41" s="721"/>
      <c r="P41" s="721"/>
      <c r="Q41" s="721"/>
      <c r="R41" s="721"/>
      <c r="S41" s="721"/>
      <c r="T41" s="721"/>
      <c r="U41" s="721"/>
      <c r="V41" s="721"/>
      <c r="W41" s="721"/>
      <c r="X41" s="721"/>
      <c r="Y41" s="721"/>
      <c r="Z41" s="837"/>
    </row>
    <row r="42" spans="1:26" x14ac:dyDescent="0.25">
      <c r="A42" s="721"/>
      <c r="B42" s="836"/>
      <c r="C42" s="721"/>
      <c r="D42" s="721"/>
      <c r="E42" s="721"/>
      <c r="F42" s="721"/>
      <c r="G42" s="721"/>
      <c r="H42" s="721"/>
      <c r="I42" s="721"/>
      <c r="J42" s="721"/>
      <c r="K42" s="721"/>
      <c r="L42" s="721"/>
      <c r="M42" s="721"/>
      <c r="N42" s="721"/>
      <c r="O42" s="721"/>
      <c r="P42" s="721"/>
      <c r="Q42" s="721"/>
      <c r="R42" s="721"/>
      <c r="S42" s="721"/>
      <c r="T42" s="721"/>
      <c r="U42" s="721"/>
      <c r="V42" s="721"/>
      <c r="W42" s="721"/>
      <c r="X42" s="721"/>
      <c r="Y42" s="721"/>
      <c r="Z42" s="837"/>
    </row>
    <row r="43" spans="1:26" x14ac:dyDescent="0.25">
      <c r="A43" s="721"/>
      <c r="B43" s="836"/>
      <c r="C43" s="721"/>
      <c r="D43" s="721"/>
      <c r="E43" s="721"/>
      <c r="F43" s="721"/>
      <c r="G43" s="721"/>
      <c r="H43" s="721"/>
      <c r="I43" s="721"/>
      <c r="J43" s="721"/>
      <c r="K43" s="721"/>
      <c r="L43" s="721"/>
      <c r="M43" s="721"/>
      <c r="N43" s="721"/>
      <c r="O43" s="721"/>
      <c r="P43" s="721"/>
      <c r="Q43" s="721"/>
      <c r="R43" s="721"/>
      <c r="S43" s="721"/>
      <c r="T43" s="721"/>
      <c r="U43" s="721"/>
      <c r="V43" s="721"/>
      <c r="W43" s="721"/>
      <c r="X43" s="721"/>
      <c r="Y43" s="721"/>
      <c r="Z43" s="837"/>
    </row>
    <row r="44" spans="1:26" x14ac:dyDescent="0.25">
      <c r="A44" s="721"/>
      <c r="B44" s="836"/>
      <c r="C44" s="721"/>
      <c r="D44" s="721"/>
      <c r="E44" s="721"/>
      <c r="F44" s="721"/>
      <c r="G44" s="721"/>
      <c r="H44" s="721"/>
      <c r="I44" s="721"/>
      <c r="J44" s="721"/>
      <c r="K44" s="721"/>
      <c r="L44" s="721"/>
      <c r="M44" s="721"/>
      <c r="N44" s="721"/>
      <c r="O44" s="721"/>
      <c r="P44" s="721"/>
      <c r="Q44" s="721"/>
      <c r="R44" s="721"/>
      <c r="S44" s="721"/>
      <c r="T44" s="721"/>
      <c r="U44" s="721"/>
      <c r="V44" s="721"/>
      <c r="W44" s="721"/>
      <c r="X44" s="721"/>
      <c r="Y44" s="721"/>
      <c r="Z44" s="837"/>
    </row>
    <row r="45" spans="1:26" x14ac:dyDescent="0.25">
      <c r="A45" s="721"/>
      <c r="B45" s="836"/>
      <c r="C45" s="721"/>
      <c r="D45" s="721"/>
      <c r="E45" s="721"/>
      <c r="F45" s="721"/>
      <c r="G45" s="721"/>
      <c r="H45" s="721"/>
      <c r="I45" s="721"/>
      <c r="J45" s="721"/>
      <c r="K45" s="721"/>
      <c r="L45" s="721"/>
      <c r="M45" s="721"/>
      <c r="N45" s="721"/>
      <c r="O45" s="721"/>
      <c r="P45" s="721"/>
      <c r="Q45" s="721"/>
      <c r="R45" s="721"/>
      <c r="S45" s="721"/>
      <c r="T45" s="721"/>
      <c r="U45" s="721"/>
      <c r="V45" s="721"/>
      <c r="W45" s="721"/>
      <c r="X45" s="721"/>
      <c r="Y45" s="721"/>
      <c r="Z45" s="837"/>
    </row>
    <row r="46" spans="1:26" ht="15.75" thickBot="1" x14ac:dyDescent="0.3">
      <c r="A46" s="721"/>
      <c r="B46" s="841"/>
      <c r="C46" s="833"/>
      <c r="D46" s="833"/>
      <c r="E46" s="833"/>
      <c r="F46" s="833"/>
      <c r="G46" s="833"/>
      <c r="H46" s="833"/>
      <c r="I46" s="833"/>
      <c r="J46" s="833"/>
      <c r="K46" s="833"/>
      <c r="L46" s="833"/>
      <c r="M46" s="833"/>
      <c r="N46" s="833"/>
      <c r="O46" s="833"/>
      <c r="P46" s="833"/>
      <c r="Q46" s="833"/>
      <c r="R46" s="833"/>
      <c r="S46" s="833"/>
      <c r="T46" s="833"/>
      <c r="U46" s="833"/>
      <c r="V46" s="833"/>
      <c r="W46" s="833"/>
      <c r="X46" s="833"/>
      <c r="Y46" s="833"/>
      <c r="Z46" s="842"/>
    </row>
    <row r="47" spans="1:26" ht="15.75" thickTop="1" x14ac:dyDescent="0.25"/>
  </sheetData>
  <mergeCells count="2">
    <mergeCell ref="B7:D7"/>
    <mergeCell ref="N7:P7"/>
  </mergeCells>
  <conditionalFormatting sqref="D8:D13">
    <cfRule type="dataBar" priority="2">
      <dataBar showValue="0">
        <cfvo type="min"/>
        <cfvo type="max"/>
        <color rgb="FFCC99FF"/>
      </dataBar>
      <extLst>
        <ext xmlns:x14="http://schemas.microsoft.com/office/spreadsheetml/2009/9/main" uri="{B025F937-C7B1-47D3-B67F-A62EFF666E3E}">
          <x14:id>{219CE584-A97C-43CB-AC03-8E46B2648777}</x14:id>
        </ext>
      </extLst>
    </cfRule>
  </conditionalFormatting>
  <conditionalFormatting sqref="P8:P13">
    <cfRule type="dataBar" priority="1">
      <dataBar showValue="0">
        <cfvo type="min"/>
        <cfvo type="max"/>
        <color rgb="FFCC99FF"/>
      </dataBar>
      <extLst>
        <ext xmlns:x14="http://schemas.microsoft.com/office/spreadsheetml/2009/9/main" uri="{B025F937-C7B1-47D3-B67F-A62EFF666E3E}">
          <x14:id>{D4D14D51-6041-44C4-9195-1B260AD63FA7}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44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19CE584-A97C-43CB-AC03-8E46B26487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D8:D13</xm:sqref>
        </x14:conditionalFormatting>
        <x14:conditionalFormatting xmlns:xm="http://schemas.microsoft.com/office/excel/2006/main">
          <x14:cfRule type="dataBar" id="{D4D14D51-6041-44C4-9195-1B260AD63F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P8:P13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AB807-5240-49AC-9D03-85679E7D745A}">
  <sheetPr>
    <tabColor rgb="FF660066"/>
  </sheetPr>
  <dimension ref="A1:R41"/>
  <sheetViews>
    <sheetView showGridLines="0" topLeftCell="A10" zoomScale="80" zoomScaleNormal="80" workbookViewId="0">
      <selection activeCell="J47" sqref="J47"/>
    </sheetView>
  </sheetViews>
  <sheetFormatPr baseColWidth="10" defaultRowHeight="12.75" x14ac:dyDescent="0.2"/>
  <cols>
    <col min="1" max="1" width="11.42578125" style="17"/>
    <col min="2" max="2" width="19" style="16" bestFit="1" customWidth="1"/>
    <col min="3" max="3" width="19" style="17" customWidth="1"/>
    <col min="4" max="4" width="0.85546875" style="18" customWidth="1"/>
    <col min="5" max="6" width="12.7109375" style="18" customWidth="1"/>
    <col min="7" max="7" width="13.85546875" style="18" bestFit="1" customWidth="1"/>
    <col min="8" max="12" width="15.42578125" style="18" bestFit="1" customWidth="1"/>
    <col min="13" max="13" width="15.5703125" style="18" bestFit="1" customWidth="1"/>
    <col min="14" max="14" width="14.28515625" style="18" bestFit="1" customWidth="1"/>
    <col min="15" max="15" width="15.140625" style="18" bestFit="1" customWidth="1"/>
    <col min="16" max="16" width="14.85546875" style="18" bestFit="1" customWidth="1"/>
    <col min="17" max="17" width="0.85546875" style="18" customWidth="1"/>
    <col min="18" max="18" width="17.5703125" style="18" bestFit="1" customWidth="1"/>
    <col min="19" max="16384" width="11.42578125" style="17"/>
  </cols>
  <sheetData>
    <row r="1" spans="1:1" ht="15" x14ac:dyDescent="0.25">
      <c r="A1" s="290" t="s">
        <v>66</v>
      </c>
    </row>
    <row r="17" spans="2:18" x14ac:dyDescent="0.2">
      <c r="B17" s="66">
        <v>2021</v>
      </c>
      <c r="C17" s="67">
        <f>SUMIF(E19:P19,"&lt;&gt;0",E17:P17)</f>
        <v>29771743.866999917</v>
      </c>
      <c r="E17" s="68">
        <f>SUM(E24,E27,E30,E33,E36,E39)</f>
        <v>1269262.1970000004</v>
      </c>
      <c r="F17" s="69">
        <f t="shared" ref="F17:P17" si="0">SUM(F24,F27,F30,F33,F36,F39)</f>
        <v>3786617.4949999992</v>
      </c>
      <c r="G17" s="69">
        <f t="shared" si="0"/>
        <v>11399981.828999959</v>
      </c>
      <c r="H17" s="69">
        <f t="shared" si="0"/>
        <v>13315882.34599996</v>
      </c>
      <c r="I17" s="69">
        <f t="shared" si="0"/>
        <v>10839908.285999982</v>
      </c>
      <c r="J17" s="69">
        <f t="shared" si="0"/>
        <v>12229900.964000002</v>
      </c>
      <c r="K17" s="69">
        <f t="shared" si="0"/>
        <v>12213586.967999987</v>
      </c>
      <c r="L17" s="69">
        <f t="shared" si="0"/>
        <v>12300170.909000007</v>
      </c>
      <c r="M17" s="69">
        <f t="shared" si="0"/>
        <v>16573166.747000005</v>
      </c>
      <c r="N17" s="69">
        <f t="shared" si="0"/>
        <v>8225999.9770000018</v>
      </c>
      <c r="O17" s="69">
        <f t="shared" si="0"/>
        <v>8040186.6080000019</v>
      </c>
      <c r="P17" s="70">
        <f t="shared" si="0"/>
        <v>5496266.8250000011</v>
      </c>
      <c r="R17" s="785">
        <f>+C21</f>
        <v>-0.20562138873515726</v>
      </c>
    </row>
    <row r="18" spans="2:18" ht="5.0999999999999996" customHeight="1" x14ac:dyDescent="0.2">
      <c r="B18" s="71"/>
      <c r="R18" s="786"/>
    </row>
    <row r="19" spans="2:18" x14ac:dyDescent="0.2">
      <c r="B19" s="72">
        <v>2022</v>
      </c>
      <c r="C19" s="67">
        <f>SUMIF(E19:P19,"&lt;&gt;0",E19:P19)</f>
        <v>23650036.547999993</v>
      </c>
      <c r="E19" s="68">
        <f>SUM(E25,E28,E31,E34,E37,E40)</f>
        <v>2639910.3059999999</v>
      </c>
      <c r="F19" s="69">
        <f t="shared" ref="F19:P19" si="1">SUM(F25,F28,F31,F34,F37,F40)</f>
        <v>5546038.612999999</v>
      </c>
      <c r="G19" s="69">
        <f t="shared" si="1"/>
        <v>6771803.0269999988</v>
      </c>
      <c r="H19" s="69">
        <f t="shared" si="1"/>
        <v>8692284.6019999962</v>
      </c>
      <c r="I19" s="69">
        <f t="shared" si="1"/>
        <v>0</v>
      </c>
      <c r="J19" s="69">
        <f t="shared" si="1"/>
        <v>0</v>
      </c>
      <c r="K19" s="69">
        <f t="shared" si="1"/>
        <v>0</v>
      </c>
      <c r="L19" s="69">
        <f t="shared" si="1"/>
        <v>0</v>
      </c>
      <c r="M19" s="69">
        <f t="shared" si="1"/>
        <v>0</v>
      </c>
      <c r="N19" s="69">
        <f t="shared" si="1"/>
        <v>0</v>
      </c>
      <c r="O19" s="69">
        <f t="shared" si="1"/>
        <v>0</v>
      </c>
      <c r="P19" s="70">
        <f t="shared" si="1"/>
        <v>0</v>
      </c>
      <c r="R19" s="786"/>
    </row>
    <row r="20" spans="2:18" ht="5.0999999999999996" customHeight="1" x14ac:dyDescent="0.2">
      <c r="B20" s="71"/>
      <c r="R20" s="786"/>
    </row>
    <row r="21" spans="2:18" x14ac:dyDescent="0.2">
      <c r="B21" s="72" t="s">
        <v>55</v>
      </c>
      <c r="C21" s="73">
        <f>(C19-C17)/C17</f>
        <v>-0.20562138873515726</v>
      </c>
      <c r="E21" s="74">
        <f>(E19-E17)/E17</f>
        <v>1.0798778315777722</v>
      </c>
      <c r="F21" s="75">
        <f t="shared" ref="F21:P21" si="2">(F19-F17)/F17</f>
        <v>0.46464189222259961</v>
      </c>
      <c r="G21" s="75">
        <f t="shared" si="2"/>
        <v>-0.40598124377939976</v>
      </c>
      <c r="H21" s="75">
        <f t="shared" si="2"/>
        <v>-0.34722428629664748</v>
      </c>
      <c r="I21" s="75">
        <f t="shared" si="2"/>
        <v>-1</v>
      </c>
      <c r="J21" s="75">
        <f t="shared" si="2"/>
        <v>-1</v>
      </c>
      <c r="K21" s="75">
        <f t="shared" si="2"/>
        <v>-1</v>
      </c>
      <c r="L21" s="75">
        <f t="shared" si="2"/>
        <v>-1</v>
      </c>
      <c r="M21" s="75">
        <f t="shared" si="2"/>
        <v>-1</v>
      </c>
      <c r="N21" s="75">
        <f t="shared" si="2"/>
        <v>-1</v>
      </c>
      <c r="O21" s="75">
        <f t="shared" si="2"/>
        <v>-1</v>
      </c>
      <c r="P21" s="76">
        <f t="shared" si="2"/>
        <v>-1</v>
      </c>
      <c r="R21" s="787"/>
    </row>
    <row r="22" spans="2:18" ht="5.0999999999999996" customHeight="1" x14ac:dyDescent="0.2">
      <c r="B22" s="17"/>
      <c r="C22" s="71"/>
    </row>
    <row r="23" spans="2:18" x14ac:dyDescent="0.2">
      <c r="B23" s="77" t="s">
        <v>56</v>
      </c>
      <c r="C23" s="78" t="s">
        <v>57</v>
      </c>
      <c r="D23" s="79"/>
      <c r="E23" s="80" t="s">
        <v>8</v>
      </c>
      <c r="F23" s="81" t="s">
        <v>9</v>
      </c>
      <c r="G23" s="81" t="s">
        <v>10</v>
      </c>
      <c r="H23" s="81" t="s">
        <v>11</v>
      </c>
      <c r="I23" s="81" t="s">
        <v>12</v>
      </c>
      <c r="J23" s="81" t="s">
        <v>13</v>
      </c>
      <c r="K23" s="81" t="s">
        <v>14</v>
      </c>
      <c r="L23" s="81" t="s">
        <v>15</v>
      </c>
      <c r="M23" s="81" t="s">
        <v>16</v>
      </c>
      <c r="N23" s="81" t="s">
        <v>17</v>
      </c>
      <c r="O23" s="81" t="s">
        <v>18</v>
      </c>
      <c r="P23" s="82" t="s">
        <v>19</v>
      </c>
      <c r="Q23" s="79"/>
      <c r="R23" s="83" t="s">
        <v>28</v>
      </c>
    </row>
    <row r="24" spans="2:18" x14ac:dyDescent="0.2">
      <c r="B24" s="783" t="s">
        <v>58</v>
      </c>
      <c r="C24" s="84" t="s">
        <v>59</v>
      </c>
      <c r="D24" s="61"/>
      <c r="E24" s="85">
        <f>'[4]Tendence CA'!E$24</f>
        <v>0</v>
      </c>
      <c r="F24" s="86">
        <f>'[4]Tendence CA'!F$24</f>
        <v>81109.921000000002</v>
      </c>
      <c r="G24" s="86">
        <f>'[4]Tendence CA'!G$24</f>
        <v>7789535.5359999603</v>
      </c>
      <c r="H24" s="86">
        <f>'[4]Tendence CA'!H$24</f>
        <v>9321772.8719999604</v>
      </c>
      <c r="I24" s="86">
        <f>'[4]Tendence CA'!I$24</f>
        <v>7771023.0709999809</v>
      </c>
      <c r="J24" s="86">
        <f>'[4]Tendence CA'!J$24</f>
        <v>9049454.6320000011</v>
      </c>
      <c r="K24" s="86">
        <f>'[4]Tendence CA'!K$24</f>
        <v>9601350.0179999862</v>
      </c>
      <c r="L24" s="86">
        <f>'[4]Tendence CA'!L$24</f>
        <v>9300750.0670000073</v>
      </c>
      <c r="M24" s="86">
        <f>'[4]Tendence CA'!M$24</f>
        <v>12914398.215000004</v>
      </c>
      <c r="N24" s="86">
        <f>'[4]Tendence CA'!N$24</f>
        <v>3812432.79</v>
      </c>
      <c r="O24" s="86">
        <f>'[4]Tendence CA'!O$24</f>
        <v>5110570.6920000007</v>
      </c>
      <c r="P24" s="87">
        <f>'[4]Tendence CA'!P$24</f>
        <v>1856724.4829999986</v>
      </c>
      <c r="Q24" s="61"/>
      <c r="R24" s="88">
        <f>SUM(E24:P24)</f>
        <v>76609122.296999902</v>
      </c>
    </row>
    <row r="25" spans="2:18" x14ac:dyDescent="0.2">
      <c r="B25" s="783"/>
      <c r="C25" s="89" t="s">
        <v>60</v>
      </c>
      <c r="D25" s="61"/>
      <c r="E25" s="90">
        <f>'[4]Tendence CA'!E$25</f>
        <v>847669.34800000011</v>
      </c>
      <c r="F25" s="91">
        <f>'[4]Tendence CA'!F$25</f>
        <v>783631.62799999991</v>
      </c>
      <c r="G25" s="91">
        <f>'[4]Tendence CA'!G$25</f>
        <v>2891647.8139999979</v>
      </c>
      <c r="H25" s="91">
        <f>'[4]Tendence CA'!H$25</f>
        <v>6092855.9749999959</v>
      </c>
      <c r="I25" s="91">
        <f>'[4]Tendence CA'!I$25</f>
        <v>0</v>
      </c>
      <c r="J25" s="91">
        <f>'[4]Tendence CA'!J$25</f>
        <v>0</v>
      </c>
      <c r="K25" s="91">
        <f>'[4]Tendence CA'!K$25</f>
        <v>0</v>
      </c>
      <c r="L25" s="91">
        <f>'[4]Tendence CA'!L$25</f>
        <v>0</v>
      </c>
      <c r="M25" s="91">
        <f>'[4]Tendence CA'!M$25</f>
        <v>0</v>
      </c>
      <c r="N25" s="91">
        <f>'[4]Tendence CA'!N$25</f>
        <v>0</v>
      </c>
      <c r="O25" s="91">
        <f>'[4]Tendence CA'!O$25</f>
        <v>0</v>
      </c>
      <c r="P25" s="92">
        <f>'[4]Tendence CA'!P$25</f>
        <v>0</v>
      </c>
      <c r="Q25" s="61"/>
      <c r="R25" s="93">
        <f t="shared" ref="R25:R40" si="3">SUM(E25:P25)</f>
        <v>10615804.764999993</v>
      </c>
    </row>
    <row r="26" spans="2:18" x14ac:dyDescent="0.2">
      <c r="B26" s="788"/>
      <c r="C26" s="94" t="s">
        <v>26</v>
      </c>
      <c r="D26" s="62"/>
      <c r="E26" s="95">
        <f>IF(E24=0,1,(E25-E24)/E24)</f>
        <v>1</v>
      </c>
      <c r="F26" s="96">
        <f t="shared" ref="F26:P26" si="4">IF(F24=0,1,(F25-F24)/F24)</f>
        <v>8.6613536092582297</v>
      </c>
      <c r="G26" s="96">
        <f t="shared" si="4"/>
        <v>-0.62877789046137378</v>
      </c>
      <c r="H26" s="96">
        <f t="shared" si="4"/>
        <v>-0.34638442078960557</v>
      </c>
      <c r="I26" s="96">
        <f t="shared" si="4"/>
        <v>-1</v>
      </c>
      <c r="J26" s="96">
        <f t="shared" si="4"/>
        <v>-1</v>
      </c>
      <c r="K26" s="96">
        <f t="shared" si="4"/>
        <v>-1</v>
      </c>
      <c r="L26" s="96">
        <f t="shared" si="4"/>
        <v>-1</v>
      </c>
      <c r="M26" s="96">
        <f t="shared" si="4"/>
        <v>-1</v>
      </c>
      <c r="N26" s="96">
        <f t="shared" si="4"/>
        <v>-1</v>
      </c>
      <c r="O26" s="96">
        <f t="shared" si="4"/>
        <v>-1</v>
      </c>
      <c r="P26" s="97">
        <f t="shared" si="4"/>
        <v>-1</v>
      </c>
      <c r="Q26" s="62"/>
      <c r="R26" s="98">
        <f t="shared" ref="R26" si="5">IF(R24=0,1,R25/R24)</f>
        <v>0.1385710271401415</v>
      </c>
    </row>
    <row r="27" spans="2:18" x14ac:dyDescent="0.2">
      <c r="B27" s="789" t="s">
        <v>61</v>
      </c>
      <c r="C27" s="99" t="s">
        <v>59</v>
      </c>
      <c r="D27" s="61"/>
      <c r="E27" s="100">
        <f>'[4]Tendence CA'!E$27</f>
        <v>0</v>
      </c>
      <c r="F27" s="101">
        <f>'[4]Tendence CA'!F$27</f>
        <v>111803.13000000002</v>
      </c>
      <c r="G27" s="101">
        <f>'[4]Tendence CA'!G$27</f>
        <v>268372.58</v>
      </c>
      <c r="H27" s="101">
        <f>'[4]Tendence CA'!H$27</f>
        <v>337475.96699999995</v>
      </c>
      <c r="I27" s="101">
        <f>'[4]Tendence CA'!I$27</f>
        <v>128463.40000000001</v>
      </c>
      <c r="J27" s="101">
        <f>'[4]Tendence CA'!J$27</f>
        <v>81183.579999999987</v>
      </c>
      <c r="K27" s="101">
        <f>'[4]Tendence CA'!K$27</f>
        <v>8775.6</v>
      </c>
      <c r="L27" s="101">
        <f>'[4]Tendence CA'!L$27</f>
        <v>27223.395000000004</v>
      </c>
      <c r="M27" s="101">
        <f>'[4]Tendence CA'!M$27</f>
        <v>277767.62</v>
      </c>
      <c r="N27" s="101">
        <f>'[4]Tendence CA'!N$27</f>
        <v>202783.74000000005</v>
      </c>
      <c r="O27" s="101">
        <f>'[4]Tendence CA'!O$27</f>
        <v>69601.37</v>
      </c>
      <c r="P27" s="102">
        <f>'[4]Tendence CA'!P$27</f>
        <v>327818.81</v>
      </c>
      <c r="Q27" s="61"/>
      <c r="R27" s="103">
        <f t="shared" si="3"/>
        <v>1841269.1919999998</v>
      </c>
    </row>
    <row r="28" spans="2:18" x14ac:dyDescent="0.2">
      <c r="B28" s="783"/>
      <c r="C28" s="89" t="s">
        <v>60</v>
      </c>
      <c r="D28" s="61"/>
      <c r="E28" s="90">
        <f>'[4]Tendence CA'!E$28</f>
        <v>41268.627</v>
      </c>
      <c r="F28" s="91">
        <f>'[4]Tendence CA'!F$28</f>
        <v>672140.12800000003</v>
      </c>
      <c r="G28" s="91">
        <f>'[4]Tendence CA'!G$28</f>
        <v>337187.87699999998</v>
      </c>
      <c r="H28" s="91">
        <f>'[4]Tendence CA'!H$28</f>
        <v>418530.57799999998</v>
      </c>
      <c r="I28" s="91">
        <f>'[4]Tendence CA'!I$28</f>
        <v>0</v>
      </c>
      <c r="J28" s="91">
        <f>'[4]Tendence CA'!J$28</f>
        <v>0</v>
      </c>
      <c r="K28" s="91">
        <f>'[4]Tendence CA'!K$28</f>
        <v>0</v>
      </c>
      <c r="L28" s="91">
        <f>'[4]Tendence CA'!L$28</f>
        <v>0</v>
      </c>
      <c r="M28" s="91">
        <f>'[4]Tendence CA'!M$28</f>
        <v>0</v>
      </c>
      <c r="N28" s="91">
        <f>'[4]Tendence CA'!N$28</f>
        <v>0</v>
      </c>
      <c r="O28" s="91">
        <f>'[4]Tendence CA'!O$28</f>
        <v>0</v>
      </c>
      <c r="P28" s="92">
        <f>'[4]Tendence CA'!P$28</f>
        <v>0</v>
      </c>
      <c r="Q28" s="61"/>
      <c r="R28" s="93">
        <f t="shared" si="3"/>
        <v>1469127.21</v>
      </c>
    </row>
    <row r="29" spans="2:18" x14ac:dyDescent="0.2">
      <c r="B29" s="788"/>
      <c r="C29" s="94" t="s">
        <v>55</v>
      </c>
      <c r="D29" s="62"/>
      <c r="E29" s="95">
        <f>IF(E27=0,1,(E28-E27)/E27)</f>
        <v>1</v>
      </c>
      <c r="F29" s="96">
        <f t="shared" ref="F29:P29" si="6">IF(F27=0,1,(F28-F27)/F27)</f>
        <v>5.0118185242219955</v>
      </c>
      <c r="G29" s="96">
        <f t="shared" si="6"/>
        <v>0.25641701920516602</v>
      </c>
      <c r="H29" s="96">
        <f t="shared" si="6"/>
        <v>0.24017891324391716</v>
      </c>
      <c r="I29" s="96">
        <f t="shared" si="6"/>
        <v>-1</v>
      </c>
      <c r="J29" s="96">
        <f t="shared" si="6"/>
        <v>-1</v>
      </c>
      <c r="K29" s="96">
        <f t="shared" si="6"/>
        <v>-1</v>
      </c>
      <c r="L29" s="96">
        <f t="shared" si="6"/>
        <v>-1</v>
      </c>
      <c r="M29" s="96">
        <f t="shared" si="6"/>
        <v>-1</v>
      </c>
      <c r="N29" s="96">
        <f t="shared" si="6"/>
        <v>-1</v>
      </c>
      <c r="O29" s="96">
        <f t="shared" si="6"/>
        <v>-1</v>
      </c>
      <c r="P29" s="97">
        <f t="shared" si="6"/>
        <v>-1</v>
      </c>
      <c r="Q29" s="62"/>
      <c r="R29" s="98">
        <f t="shared" ref="R29" si="7">IF(R27=0,1,R28/R27)</f>
        <v>0.79788833505883161</v>
      </c>
    </row>
    <row r="30" spans="2:18" x14ac:dyDescent="0.2">
      <c r="B30" s="789" t="s">
        <v>62</v>
      </c>
      <c r="C30" s="99" t="s">
        <v>59</v>
      </c>
      <c r="D30" s="61"/>
      <c r="E30" s="100">
        <f>'[4]Tendence CA'!E$30</f>
        <v>0</v>
      </c>
      <c r="F30" s="101">
        <f>'[4]Tendence CA'!F$30</f>
        <v>15313</v>
      </c>
      <c r="G30" s="101">
        <f>'[4]Tendence CA'!G$30</f>
        <v>75952.990000000005</v>
      </c>
      <c r="H30" s="101">
        <f>'[4]Tendence CA'!H$30</f>
        <v>33078.006000000001</v>
      </c>
      <c r="I30" s="101">
        <f>'[4]Tendence CA'!I$30</f>
        <v>0</v>
      </c>
      <c r="J30" s="101">
        <f>'[4]Tendence CA'!J$30</f>
        <v>21869.974999999999</v>
      </c>
      <c r="K30" s="101">
        <f>'[4]Tendence CA'!K$30</f>
        <v>11393.817999999999</v>
      </c>
      <c r="L30" s="101">
        <f>'[4]Tendence CA'!L$30</f>
        <v>0</v>
      </c>
      <c r="M30" s="101">
        <f>'[4]Tendence CA'!M$30</f>
        <v>45259.885000000002</v>
      </c>
      <c r="N30" s="101">
        <f>'[4]Tendence CA'!N$30</f>
        <v>48237.698000000004</v>
      </c>
      <c r="O30" s="101">
        <f>'[4]Tendence CA'!O$30</f>
        <v>42496.460000000006</v>
      </c>
      <c r="P30" s="102">
        <f>'[4]Tendence CA'!P$30</f>
        <v>991.19</v>
      </c>
      <c r="Q30" s="61"/>
      <c r="R30" s="103">
        <f t="shared" si="3"/>
        <v>294593.02200000006</v>
      </c>
    </row>
    <row r="31" spans="2:18" x14ac:dyDescent="0.2">
      <c r="B31" s="783"/>
      <c r="C31" s="89" t="s">
        <v>60</v>
      </c>
      <c r="D31" s="61"/>
      <c r="E31" s="90">
        <f>'[4]Tendence CA'!E$31</f>
        <v>1525.64</v>
      </c>
      <c r="F31" s="91">
        <f>'[4]Tendence CA'!F$31</f>
        <v>44679.460000000006</v>
      </c>
      <c r="G31" s="91">
        <f>'[4]Tendence CA'!G$31</f>
        <v>7673.518</v>
      </c>
      <c r="H31" s="91">
        <f>'[4]Tendence CA'!H$31</f>
        <v>8211.6899999999987</v>
      </c>
      <c r="I31" s="91">
        <f>'[4]Tendence CA'!I$31</f>
        <v>0</v>
      </c>
      <c r="J31" s="91">
        <f>'[4]Tendence CA'!J$31</f>
        <v>0</v>
      </c>
      <c r="K31" s="91">
        <f>'[4]Tendence CA'!K$31</f>
        <v>0</v>
      </c>
      <c r="L31" s="91">
        <f>'[4]Tendence CA'!L$31</f>
        <v>0</v>
      </c>
      <c r="M31" s="91">
        <f>'[4]Tendence CA'!M$31</f>
        <v>0</v>
      </c>
      <c r="N31" s="91">
        <f>'[4]Tendence CA'!N$31</f>
        <v>0</v>
      </c>
      <c r="O31" s="91">
        <f>'[4]Tendence CA'!O$31</f>
        <v>0</v>
      </c>
      <c r="P31" s="92">
        <f>'[4]Tendence CA'!P$31</f>
        <v>0</v>
      </c>
      <c r="Q31" s="61"/>
      <c r="R31" s="93">
        <f t="shared" si="3"/>
        <v>62090.308000000005</v>
      </c>
    </row>
    <row r="32" spans="2:18" x14ac:dyDescent="0.2">
      <c r="B32" s="788"/>
      <c r="C32" s="94" t="s">
        <v>55</v>
      </c>
      <c r="D32" s="62"/>
      <c r="E32" s="95">
        <f>IF(E30=0,1,(E31-E30)/E30)</f>
        <v>1</v>
      </c>
      <c r="F32" s="96">
        <f t="shared" ref="F32:P32" si="8">IF(F30=0,1,(F31-F30)/F30)</f>
        <v>1.9177470123424545</v>
      </c>
      <c r="G32" s="96">
        <f t="shared" si="8"/>
        <v>-0.89897016562481613</v>
      </c>
      <c r="H32" s="96">
        <f t="shared" si="8"/>
        <v>-0.75174773231494063</v>
      </c>
      <c r="I32" s="96">
        <f t="shared" si="8"/>
        <v>1</v>
      </c>
      <c r="J32" s="96">
        <f t="shared" si="8"/>
        <v>-1</v>
      </c>
      <c r="K32" s="96">
        <f t="shared" si="8"/>
        <v>-1</v>
      </c>
      <c r="L32" s="96">
        <f t="shared" si="8"/>
        <v>1</v>
      </c>
      <c r="M32" s="96">
        <f t="shared" si="8"/>
        <v>-1</v>
      </c>
      <c r="N32" s="96">
        <f t="shared" si="8"/>
        <v>-1</v>
      </c>
      <c r="O32" s="96">
        <f t="shared" si="8"/>
        <v>-1</v>
      </c>
      <c r="P32" s="97">
        <f t="shared" si="8"/>
        <v>-1</v>
      </c>
      <c r="Q32" s="62"/>
      <c r="R32" s="98">
        <f t="shared" ref="R32" si="9">IF(R30=0,1,R31/R30)</f>
        <v>0.21076639079387288</v>
      </c>
    </row>
    <row r="33" spans="2:18" x14ac:dyDescent="0.2">
      <c r="B33" s="789" t="s">
        <v>63</v>
      </c>
      <c r="C33" s="99" t="s">
        <v>59</v>
      </c>
      <c r="D33" s="61"/>
      <c r="E33" s="100">
        <f>'[4]Tendence CA'!E$33</f>
        <v>1269262.1970000004</v>
      </c>
      <c r="F33" s="101">
        <f>'[4]Tendence CA'!F$33</f>
        <v>2013782.3039999984</v>
      </c>
      <c r="G33" s="101">
        <f>'[4]Tendence CA'!G$33</f>
        <v>1938641.7559999975</v>
      </c>
      <c r="H33" s="101">
        <f>'[4]Tendence CA'!H$33</f>
        <v>2036648.9170000008</v>
      </c>
      <c r="I33" s="101">
        <f>'[4]Tendence CA'!I$33</f>
        <v>1964591.6940000008</v>
      </c>
      <c r="J33" s="101">
        <f>'[4]Tendence CA'!J$33</f>
        <v>2435378.1450000023</v>
      </c>
      <c r="K33" s="101">
        <f>'[4]Tendence CA'!K$33</f>
        <v>1726075.1080000005</v>
      </c>
      <c r="L33" s="101">
        <f>'[4]Tendence CA'!L$33</f>
        <v>2072201.3080000004</v>
      </c>
      <c r="M33" s="101">
        <f>'[4]Tendence CA'!M$33</f>
        <v>2288216.5730000017</v>
      </c>
      <c r="N33" s="101">
        <f>'[4]Tendence CA'!N$33</f>
        <v>2606367.3210000023</v>
      </c>
      <c r="O33" s="101">
        <f>'[4]Tendence CA'!O$33</f>
        <v>2154515.6890000007</v>
      </c>
      <c r="P33" s="102">
        <f>'[4]Tendence CA'!P$33</f>
        <v>2051417.1400000008</v>
      </c>
      <c r="Q33" s="61"/>
      <c r="R33" s="103">
        <f t="shared" si="3"/>
        <v>24557098.152000006</v>
      </c>
    </row>
    <row r="34" spans="2:18" x14ac:dyDescent="0.2">
      <c r="B34" s="783"/>
      <c r="C34" s="89" t="s">
        <v>60</v>
      </c>
      <c r="D34" s="61"/>
      <c r="E34" s="90">
        <f>'[4]Tendence CA'!E$34</f>
        <v>1109775.953</v>
      </c>
      <c r="F34" s="91">
        <f>'[4]Tendence CA'!F$34</f>
        <v>2040602.8209999993</v>
      </c>
      <c r="G34" s="91">
        <f>'[4]Tendence CA'!G$34</f>
        <v>2485211.7800000012</v>
      </c>
      <c r="H34" s="91">
        <f>'[4]Tendence CA'!H$34</f>
        <v>1954739.0489999999</v>
      </c>
      <c r="I34" s="91">
        <f>'[4]Tendence CA'!I$34</f>
        <v>0</v>
      </c>
      <c r="J34" s="91">
        <f>'[4]Tendence CA'!J$34</f>
        <v>0</v>
      </c>
      <c r="K34" s="91">
        <f>'[4]Tendence CA'!K$34</f>
        <v>0</v>
      </c>
      <c r="L34" s="91">
        <f>'[4]Tendence CA'!L$34</f>
        <v>0</v>
      </c>
      <c r="M34" s="91">
        <f>'[4]Tendence CA'!M$34</f>
        <v>0</v>
      </c>
      <c r="N34" s="91">
        <f>'[4]Tendence CA'!N$34</f>
        <v>0</v>
      </c>
      <c r="O34" s="91">
        <f>'[4]Tendence CA'!O$34</f>
        <v>0</v>
      </c>
      <c r="P34" s="92">
        <f>'[4]Tendence CA'!P$34</f>
        <v>0</v>
      </c>
      <c r="Q34" s="61"/>
      <c r="R34" s="93">
        <f t="shared" si="3"/>
        <v>7590329.6030000001</v>
      </c>
    </row>
    <row r="35" spans="2:18" x14ac:dyDescent="0.2">
      <c r="B35" s="788"/>
      <c r="C35" s="94" t="s">
        <v>55</v>
      </c>
      <c r="D35" s="62"/>
      <c r="E35" s="95">
        <f>IF(E33=0,1,(E34-E33)/E33)</f>
        <v>-0.12565271728485927</v>
      </c>
      <c r="F35" s="96">
        <f t="shared" ref="F35:P35" si="10">IF(F33=0,1,(F34-F33)/F33)</f>
        <v>1.3318478837919586E-2</v>
      </c>
      <c r="G35" s="96">
        <f t="shared" si="10"/>
        <v>0.28193451539377884</v>
      </c>
      <c r="H35" s="96">
        <f t="shared" si="10"/>
        <v>-4.0217961631136112E-2</v>
      </c>
      <c r="I35" s="96">
        <f t="shared" si="10"/>
        <v>-1</v>
      </c>
      <c r="J35" s="96">
        <f t="shared" si="10"/>
        <v>-1</v>
      </c>
      <c r="K35" s="96">
        <f t="shared" si="10"/>
        <v>-1</v>
      </c>
      <c r="L35" s="96">
        <f t="shared" si="10"/>
        <v>-1</v>
      </c>
      <c r="M35" s="96">
        <f t="shared" si="10"/>
        <v>-1</v>
      </c>
      <c r="N35" s="96">
        <f t="shared" si="10"/>
        <v>-1</v>
      </c>
      <c r="O35" s="96">
        <f t="shared" si="10"/>
        <v>-1</v>
      </c>
      <c r="P35" s="97">
        <f t="shared" si="10"/>
        <v>-1</v>
      </c>
      <c r="Q35" s="62"/>
      <c r="R35" s="98">
        <f t="shared" ref="R35" si="11">IF(R33=0,1,R34/R33)</f>
        <v>0.30908902819129791</v>
      </c>
    </row>
    <row r="36" spans="2:18" x14ac:dyDescent="0.2">
      <c r="B36" s="789" t="s">
        <v>64</v>
      </c>
      <c r="C36" s="99" t="s">
        <v>59</v>
      </c>
      <c r="D36" s="61"/>
      <c r="E36" s="100">
        <f>'[4]Tendence CA'!E$36</f>
        <v>0</v>
      </c>
      <c r="F36" s="101">
        <f>'[4]Tendence CA'!F$36</f>
        <v>36146.923999999999</v>
      </c>
      <c r="G36" s="101">
        <f>'[4]Tendence CA'!G$36</f>
        <v>27689.018999999997</v>
      </c>
      <c r="H36" s="101">
        <f>'[4]Tendence CA'!H$36</f>
        <v>53156.746999999988</v>
      </c>
      <c r="I36" s="101">
        <f>'[4]Tendence CA'!I$36</f>
        <v>10834.660000000002</v>
      </c>
      <c r="J36" s="101">
        <f>'[4]Tendence CA'!J$36</f>
        <v>6512.9740000000002</v>
      </c>
      <c r="K36" s="101">
        <f>'[4]Tendence CA'!K$36</f>
        <v>22030.488000000001</v>
      </c>
      <c r="L36" s="101">
        <f>'[4]Tendence CA'!L$36</f>
        <v>38808.18499999999</v>
      </c>
      <c r="M36" s="101">
        <f>'[4]Tendence CA'!M$36</f>
        <v>47606.784999999989</v>
      </c>
      <c r="N36" s="101">
        <f>'[4]Tendence CA'!N$36</f>
        <v>20726.412000000004</v>
      </c>
      <c r="O36" s="101">
        <f>'[4]Tendence CA'!O$36</f>
        <v>15269.848</v>
      </c>
      <c r="P36" s="102">
        <f>'[4]Tendence CA'!P$36</f>
        <v>2630.7</v>
      </c>
      <c r="Q36" s="61"/>
      <c r="R36" s="103">
        <f t="shared" si="3"/>
        <v>281412.74200000003</v>
      </c>
    </row>
    <row r="37" spans="2:18" x14ac:dyDescent="0.2">
      <c r="B37" s="783"/>
      <c r="C37" s="89" t="s">
        <v>60</v>
      </c>
      <c r="D37" s="61"/>
      <c r="E37" s="90">
        <f>'[4]Tendence CA'!E$37</f>
        <v>9585.8080000000009</v>
      </c>
      <c r="F37" s="91">
        <f>'[4]Tendence CA'!F$37</f>
        <v>10358.508</v>
      </c>
      <c r="G37" s="91">
        <f>'[4]Tendence CA'!G$37</f>
        <v>98023.623999999996</v>
      </c>
      <c r="H37" s="91">
        <f>'[4]Tendence CA'!H$37</f>
        <v>8486.18</v>
      </c>
      <c r="I37" s="91">
        <f>'[4]Tendence CA'!I$37</f>
        <v>0</v>
      </c>
      <c r="J37" s="91">
        <f>'[4]Tendence CA'!J$37</f>
        <v>0</v>
      </c>
      <c r="K37" s="91">
        <f>'[4]Tendence CA'!K$37</f>
        <v>0</v>
      </c>
      <c r="L37" s="91">
        <f>'[4]Tendence CA'!L$37</f>
        <v>0</v>
      </c>
      <c r="M37" s="91">
        <f>'[4]Tendence CA'!M$37</f>
        <v>0</v>
      </c>
      <c r="N37" s="91">
        <f>'[4]Tendence CA'!N$37</f>
        <v>0</v>
      </c>
      <c r="O37" s="91">
        <f>'[4]Tendence CA'!O$37</f>
        <v>0</v>
      </c>
      <c r="P37" s="92">
        <f>'[4]Tendence CA'!P$37</f>
        <v>0</v>
      </c>
      <c r="Q37" s="61"/>
      <c r="R37" s="93">
        <f t="shared" si="3"/>
        <v>126454.12</v>
      </c>
    </row>
    <row r="38" spans="2:18" x14ac:dyDescent="0.2">
      <c r="B38" s="788"/>
      <c r="C38" s="94" t="s">
        <v>55</v>
      </c>
      <c r="D38" s="62"/>
      <c r="E38" s="95">
        <f>IF(E36=0,1,(E37-E36)/E36)</f>
        <v>1</v>
      </c>
      <c r="F38" s="96">
        <f t="shared" ref="F38:P38" si="12">IF(F36=0,1,(F37-F36)/F36)</f>
        <v>-0.71343320942053046</v>
      </c>
      <c r="G38" s="96">
        <f t="shared" si="12"/>
        <v>2.5401624015643169</v>
      </c>
      <c r="H38" s="96">
        <f t="shared" si="12"/>
        <v>-0.84035554320131733</v>
      </c>
      <c r="I38" s="96">
        <f t="shared" si="12"/>
        <v>-1</v>
      </c>
      <c r="J38" s="96">
        <f t="shared" si="12"/>
        <v>-1</v>
      </c>
      <c r="K38" s="96">
        <f t="shared" si="12"/>
        <v>-1</v>
      </c>
      <c r="L38" s="96">
        <f t="shared" si="12"/>
        <v>-1</v>
      </c>
      <c r="M38" s="96">
        <f t="shared" si="12"/>
        <v>-1</v>
      </c>
      <c r="N38" s="96">
        <f t="shared" si="12"/>
        <v>-1</v>
      </c>
      <c r="O38" s="96">
        <f t="shared" si="12"/>
        <v>-1</v>
      </c>
      <c r="P38" s="97">
        <f t="shared" si="12"/>
        <v>-1</v>
      </c>
      <c r="Q38" s="62"/>
      <c r="R38" s="98">
        <f t="shared" ref="R38" si="13">IF(R36=0,1,R37/R36)</f>
        <v>0.44935463512167473</v>
      </c>
    </row>
    <row r="39" spans="2:18" x14ac:dyDescent="0.2">
      <c r="B39" s="783" t="s">
        <v>65</v>
      </c>
      <c r="C39" s="89" t="s">
        <v>59</v>
      </c>
      <c r="D39" s="61"/>
      <c r="E39" s="90">
        <f>'[4]Tendence CA'!E$39</f>
        <v>0</v>
      </c>
      <c r="F39" s="91">
        <f>'[4]Tendence CA'!F$39</f>
        <v>1528462.2160000005</v>
      </c>
      <c r="G39" s="91">
        <f>'[4]Tendence CA'!G$39</f>
        <v>1299789.9480000003</v>
      </c>
      <c r="H39" s="91">
        <f>'[4]Tendence CA'!H$39</f>
        <v>1533749.8370000001</v>
      </c>
      <c r="I39" s="91">
        <f>'[4]Tendence CA'!I$39</f>
        <v>964995.46100000001</v>
      </c>
      <c r="J39" s="91">
        <f>'[4]Tendence CA'!J$39</f>
        <v>635501.65800000017</v>
      </c>
      <c r="K39" s="91">
        <f>'[4]Tendence CA'!K$39</f>
        <v>843961.93599999999</v>
      </c>
      <c r="L39" s="91">
        <f>'[4]Tendence CA'!L$39</f>
        <v>861187.95400000014</v>
      </c>
      <c r="M39" s="91">
        <f>'[4]Tendence CA'!M$39</f>
        <v>999917.66899999988</v>
      </c>
      <c r="N39" s="91">
        <f>'[4]Tendence CA'!N$39</f>
        <v>1535452.0160000001</v>
      </c>
      <c r="O39" s="91">
        <f>'[4]Tendence CA'!O$39</f>
        <v>647732.54900000023</v>
      </c>
      <c r="P39" s="92">
        <f>'[4]Tendence CA'!P$39</f>
        <v>1256684.5020000008</v>
      </c>
      <c r="Q39" s="61"/>
      <c r="R39" s="93">
        <f t="shared" si="3"/>
        <v>12107435.746000003</v>
      </c>
    </row>
    <row r="40" spans="2:18" x14ac:dyDescent="0.2">
      <c r="B40" s="783"/>
      <c r="C40" s="89" t="s">
        <v>60</v>
      </c>
      <c r="D40" s="61"/>
      <c r="E40" s="90">
        <f>'[4]Tendence CA'!E$40</f>
        <v>630084.93000000005</v>
      </c>
      <c r="F40" s="91">
        <f>'[4]Tendence CA'!F$40</f>
        <v>1994626.0679999997</v>
      </c>
      <c r="G40" s="91">
        <f>'[4]Tendence CA'!G$40</f>
        <v>952058.41399999999</v>
      </c>
      <c r="H40" s="91">
        <f>'[4]Tendence CA'!H$40</f>
        <v>209461.13</v>
      </c>
      <c r="I40" s="91">
        <f>'[4]Tendence CA'!I$40</f>
        <v>0</v>
      </c>
      <c r="J40" s="91">
        <f>'[4]Tendence CA'!J$40</f>
        <v>0</v>
      </c>
      <c r="K40" s="91">
        <f>'[4]Tendence CA'!K$40</f>
        <v>0</v>
      </c>
      <c r="L40" s="91">
        <f>'[4]Tendence CA'!L$40</f>
        <v>0</v>
      </c>
      <c r="M40" s="91">
        <f>'[4]Tendence CA'!M$40</f>
        <v>0</v>
      </c>
      <c r="N40" s="91">
        <f>'[4]Tendence CA'!N$40</f>
        <v>0</v>
      </c>
      <c r="O40" s="91">
        <f>'[4]Tendence CA'!O$40</f>
        <v>0</v>
      </c>
      <c r="P40" s="92">
        <f>'[4]Tendence CA'!P$40</f>
        <v>0</v>
      </c>
      <c r="Q40" s="61"/>
      <c r="R40" s="93">
        <f t="shared" si="3"/>
        <v>3786230.5419999994</v>
      </c>
    </row>
    <row r="41" spans="2:18" x14ac:dyDescent="0.2">
      <c r="B41" s="784"/>
      <c r="C41" s="104" t="s">
        <v>55</v>
      </c>
      <c r="D41" s="62"/>
      <c r="E41" s="105">
        <f>IF(E39=0,1,(E40-E39)/E39)</f>
        <v>1</v>
      </c>
      <c r="F41" s="106">
        <f t="shared" ref="F41:P41" si="14">IF(F39=0,1,(F40-F39)/F39)</f>
        <v>0.30498879666123135</v>
      </c>
      <c r="G41" s="106">
        <f t="shared" si="14"/>
        <v>-0.26752902231245773</v>
      </c>
      <c r="H41" s="106">
        <f t="shared" si="14"/>
        <v>-0.86343201156604255</v>
      </c>
      <c r="I41" s="106">
        <f t="shared" si="14"/>
        <v>-1</v>
      </c>
      <c r="J41" s="106">
        <f t="shared" si="14"/>
        <v>-1</v>
      </c>
      <c r="K41" s="106">
        <f t="shared" si="14"/>
        <v>-1</v>
      </c>
      <c r="L41" s="106">
        <f t="shared" si="14"/>
        <v>-1</v>
      </c>
      <c r="M41" s="106">
        <f t="shared" si="14"/>
        <v>-1</v>
      </c>
      <c r="N41" s="106">
        <f t="shared" si="14"/>
        <v>-1</v>
      </c>
      <c r="O41" s="106">
        <f t="shared" si="14"/>
        <v>-1</v>
      </c>
      <c r="P41" s="107">
        <f t="shared" si="14"/>
        <v>-1</v>
      </c>
      <c r="Q41" s="62"/>
      <c r="R41" s="108">
        <f t="shared" ref="R41" si="15">IF(R39=0,1,R40/R39)</f>
        <v>0.3127194412946504</v>
      </c>
    </row>
  </sheetData>
  <mergeCells count="7">
    <mergeCell ref="B39:B41"/>
    <mergeCell ref="R17:R21"/>
    <mergeCell ref="B24:B26"/>
    <mergeCell ref="B27:B29"/>
    <mergeCell ref="B30:B32"/>
    <mergeCell ref="B33:B35"/>
    <mergeCell ref="B36:B38"/>
  </mergeCells>
  <conditionalFormatting sqref="E26:P26">
    <cfRule type="cellIs" dxfId="30" priority="13" operator="lessThan">
      <formula>0</formula>
    </cfRule>
    <cfRule type="cellIs" dxfId="29" priority="14" operator="greaterThanOrEqual">
      <formula>0</formula>
    </cfRule>
  </conditionalFormatting>
  <conditionalFormatting sqref="E29:P29">
    <cfRule type="cellIs" dxfId="28" priority="11" operator="lessThan">
      <formula>0</formula>
    </cfRule>
    <cfRule type="cellIs" dxfId="27" priority="12" operator="greaterThanOrEqual">
      <formula>0</formula>
    </cfRule>
  </conditionalFormatting>
  <conditionalFormatting sqref="E32:P32">
    <cfRule type="cellIs" dxfId="26" priority="9" operator="lessThan">
      <formula>0</formula>
    </cfRule>
    <cfRule type="cellIs" dxfId="25" priority="10" operator="greaterThanOrEqual">
      <formula>0</formula>
    </cfRule>
  </conditionalFormatting>
  <conditionalFormatting sqref="E35:P35">
    <cfRule type="cellIs" dxfId="24" priority="7" operator="lessThan">
      <formula>0</formula>
    </cfRule>
    <cfRule type="cellIs" dxfId="23" priority="8" operator="greaterThanOrEqual">
      <formula>0</formula>
    </cfRule>
  </conditionalFormatting>
  <conditionalFormatting sqref="E38:P38">
    <cfRule type="cellIs" dxfId="22" priority="5" operator="lessThan">
      <formula>0</formula>
    </cfRule>
    <cfRule type="cellIs" dxfId="21" priority="6" operator="greaterThanOrEqual">
      <formula>0</formula>
    </cfRule>
  </conditionalFormatting>
  <conditionalFormatting sqref="E41:P41">
    <cfRule type="cellIs" dxfId="20" priority="3" operator="lessThan">
      <formula>0</formula>
    </cfRule>
    <cfRule type="cellIs" dxfId="19" priority="4" operator="greaterThanOrEqual">
      <formula>0</formula>
    </cfRule>
  </conditionalFormatting>
  <conditionalFormatting sqref="C17:P17">
    <cfRule type="dataBar" priority="2">
      <dataBar>
        <cfvo type="min"/>
        <cfvo type="max"/>
        <color rgb="FFFF99FF"/>
      </dataBar>
      <extLst>
        <ext xmlns:x14="http://schemas.microsoft.com/office/spreadsheetml/2009/9/main" uri="{B025F937-C7B1-47D3-B67F-A62EFF666E3E}">
          <x14:id>{6EB49D7A-9F6B-45D4-973B-324B75D1F7DF}</x14:id>
        </ext>
      </extLst>
    </cfRule>
  </conditionalFormatting>
  <conditionalFormatting sqref="C19:P19">
    <cfRule type="dataBar" priority="1">
      <dataBar>
        <cfvo type="min"/>
        <cfvo type="max"/>
        <color rgb="FFFF99FF"/>
      </dataBar>
      <extLst>
        <ext xmlns:x14="http://schemas.microsoft.com/office/spreadsheetml/2009/9/main" uri="{B025F937-C7B1-47D3-B67F-A62EFF666E3E}">
          <x14:id>{DC50A154-6D99-42FA-A0CC-FB7B1FC44581}</x14:id>
        </ext>
      </extLst>
    </cfRule>
  </conditionalFormatting>
  <hyperlinks>
    <hyperlink ref="A1" r:id="rId1" location="Récapitulatif!A1" xr:uid="{2152BC7C-6EA9-43F4-83A8-BFC500CCB6E7}"/>
  </hyperlinks>
  <pageMargins left="0.7" right="0.7" top="0.75" bottom="0.75" header="0.3" footer="0.3"/>
  <ignoredErrors>
    <ignoredError sqref="R26:R41" formula="1"/>
    <ignoredError sqref="C24:C41" numberStoredAsText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EB49D7A-9F6B-45D4-973B-324B75D1F7DF}">
            <x14:dataBar minLength="0" maxLength="100" border="1" negativeBarBorderColorSameAsPositive="0">
              <x14:cfvo type="autoMin"/>
              <x14:cfvo type="autoMax"/>
              <x14:borderColor rgb="FFFF99FF"/>
              <x14:negativeFillColor rgb="FFFF0000"/>
              <x14:negativeBorderColor rgb="FFFF0000"/>
              <x14:axisColor rgb="FF000000"/>
            </x14:dataBar>
          </x14:cfRule>
          <xm:sqref>C17:P17</xm:sqref>
        </x14:conditionalFormatting>
        <x14:conditionalFormatting xmlns:xm="http://schemas.microsoft.com/office/excel/2006/main">
          <x14:cfRule type="dataBar" id="{DC50A154-6D99-42FA-A0CC-FB7B1FC44581}">
            <x14:dataBar minLength="0" maxLength="100" border="1" negativeBarBorderColorSameAsPositive="0">
              <x14:cfvo type="autoMin"/>
              <x14:cfvo type="autoMax"/>
              <x14:borderColor rgb="FFFF99FF"/>
              <x14:negativeFillColor rgb="FFFF0000"/>
              <x14:negativeBorderColor rgb="FFFF0000"/>
              <x14:axisColor rgb="FF000000"/>
            </x14:dataBar>
          </x14:cfRule>
          <xm:sqref>C19:P19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E1654-A9DF-4E32-A7CD-DCB8259D293C}">
  <sheetPr>
    <tabColor theme="5" tint="-0.249977111117893"/>
  </sheetPr>
  <dimension ref="A1:T79"/>
  <sheetViews>
    <sheetView showGridLines="0" topLeftCell="B1" zoomScale="80" zoomScaleNormal="80" workbookViewId="0">
      <selection activeCell="G50" sqref="G50:R50"/>
    </sheetView>
  </sheetViews>
  <sheetFormatPr baseColWidth="10" defaultRowHeight="15" outlineLevelRow="1" x14ac:dyDescent="0.25"/>
  <cols>
    <col min="1" max="1" width="21.42578125" hidden="1" customWidth="1"/>
    <col min="2" max="2" width="23.5703125" bestFit="1" customWidth="1"/>
    <col min="3" max="3" width="14.7109375" style="1" customWidth="1"/>
    <col min="4" max="4" width="0.85546875" customWidth="1"/>
    <col min="5" max="5" width="13.7109375" bestFit="1" customWidth="1"/>
    <col min="6" max="6" width="0.85546875" customWidth="1"/>
    <col min="7" max="8" width="13.85546875" bestFit="1" customWidth="1"/>
    <col min="9" max="10" width="14.85546875" bestFit="1" customWidth="1"/>
    <col min="11" max="11" width="13.85546875" bestFit="1" customWidth="1"/>
    <col min="12" max="12" width="14.85546875" bestFit="1" customWidth="1"/>
    <col min="13" max="18" width="13.85546875" bestFit="1" customWidth="1"/>
    <col min="19" max="19" width="0.85546875" customWidth="1"/>
    <col min="20" max="20" width="10.7109375" bestFit="1" customWidth="1"/>
    <col min="257" max="257" width="0" hidden="1" customWidth="1"/>
    <col min="258" max="258" width="23.5703125" bestFit="1" customWidth="1"/>
    <col min="259" max="259" width="14.7109375" customWidth="1"/>
    <col min="260" max="260" width="0.85546875" customWidth="1"/>
    <col min="261" max="261" width="13.7109375" bestFit="1" customWidth="1"/>
    <col min="262" max="262" width="0.85546875" customWidth="1"/>
    <col min="263" max="264" width="13.85546875" bestFit="1" customWidth="1"/>
    <col min="265" max="266" width="14.85546875" bestFit="1" customWidth="1"/>
    <col min="267" max="267" width="13.85546875" bestFit="1" customWidth="1"/>
    <col min="268" max="268" width="14.85546875" bestFit="1" customWidth="1"/>
    <col min="269" max="274" width="13.85546875" bestFit="1" customWidth="1"/>
    <col min="275" max="275" width="0.85546875" customWidth="1"/>
    <col min="276" max="276" width="10.7109375" bestFit="1" customWidth="1"/>
    <col min="513" max="513" width="0" hidden="1" customWidth="1"/>
    <col min="514" max="514" width="23.5703125" bestFit="1" customWidth="1"/>
    <col min="515" max="515" width="14.7109375" customWidth="1"/>
    <col min="516" max="516" width="0.85546875" customWidth="1"/>
    <col min="517" max="517" width="13.7109375" bestFit="1" customWidth="1"/>
    <col min="518" max="518" width="0.85546875" customWidth="1"/>
    <col min="519" max="520" width="13.85546875" bestFit="1" customWidth="1"/>
    <col min="521" max="522" width="14.85546875" bestFit="1" customWidth="1"/>
    <col min="523" max="523" width="13.85546875" bestFit="1" customWidth="1"/>
    <col min="524" max="524" width="14.85546875" bestFit="1" customWidth="1"/>
    <col min="525" max="530" width="13.85546875" bestFit="1" customWidth="1"/>
    <col min="531" max="531" width="0.85546875" customWidth="1"/>
    <col min="532" max="532" width="10.7109375" bestFit="1" customWidth="1"/>
    <col min="769" max="769" width="0" hidden="1" customWidth="1"/>
    <col min="770" max="770" width="23.5703125" bestFit="1" customWidth="1"/>
    <col min="771" max="771" width="14.7109375" customWidth="1"/>
    <col min="772" max="772" width="0.85546875" customWidth="1"/>
    <col min="773" max="773" width="13.7109375" bestFit="1" customWidth="1"/>
    <col min="774" max="774" width="0.85546875" customWidth="1"/>
    <col min="775" max="776" width="13.85546875" bestFit="1" customWidth="1"/>
    <col min="777" max="778" width="14.85546875" bestFit="1" customWidth="1"/>
    <col min="779" max="779" width="13.85546875" bestFit="1" customWidth="1"/>
    <col min="780" max="780" width="14.85546875" bestFit="1" customWidth="1"/>
    <col min="781" max="786" width="13.85546875" bestFit="1" customWidth="1"/>
    <col min="787" max="787" width="0.85546875" customWidth="1"/>
    <col min="788" max="788" width="10.7109375" bestFit="1" customWidth="1"/>
    <col min="1025" max="1025" width="0" hidden="1" customWidth="1"/>
    <col min="1026" max="1026" width="23.5703125" bestFit="1" customWidth="1"/>
    <col min="1027" max="1027" width="14.7109375" customWidth="1"/>
    <col min="1028" max="1028" width="0.85546875" customWidth="1"/>
    <col min="1029" max="1029" width="13.7109375" bestFit="1" customWidth="1"/>
    <col min="1030" max="1030" width="0.85546875" customWidth="1"/>
    <col min="1031" max="1032" width="13.85546875" bestFit="1" customWidth="1"/>
    <col min="1033" max="1034" width="14.85546875" bestFit="1" customWidth="1"/>
    <col min="1035" max="1035" width="13.85546875" bestFit="1" customWidth="1"/>
    <col min="1036" max="1036" width="14.85546875" bestFit="1" customWidth="1"/>
    <col min="1037" max="1042" width="13.85546875" bestFit="1" customWidth="1"/>
    <col min="1043" max="1043" width="0.85546875" customWidth="1"/>
    <col min="1044" max="1044" width="10.7109375" bestFit="1" customWidth="1"/>
    <col min="1281" max="1281" width="0" hidden="1" customWidth="1"/>
    <col min="1282" max="1282" width="23.5703125" bestFit="1" customWidth="1"/>
    <col min="1283" max="1283" width="14.7109375" customWidth="1"/>
    <col min="1284" max="1284" width="0.85546875" customWidth="1"/>
    <col min="1285" max="1285" width="13.7109375" bestFit="1" customWidth="1"/>
    <col min="1286" max="1286" width="0.85546875" customWidth="1"/>
    <col min="1287" max="1288" width="13.85546875" bestFit="1" customWidth="1"/>
    <col min="1289" max="1290" width="14.85546875" bestFit="1" customWidth="1"/>
    <col min="1291" max="1291" width="13.85546875" bestFit="1" customWidth="1"/>
    <col min="1292" max="1292" width="14.85546875" bestFit="1" customWidth="1"/>
    <col min="1293" max="1298" width="13.85546875" bestFit="1" customWidth="1"/>
    <col min="1299" max="1299" width="0.85546875" customWidth="1"/>
    <col min="1300" max="1300" width="10.7109375" bestFit="1" customWidth="1"/>
    <col min="1537" max="1537" width="0" hidden="1" customWidth="1"/>
    <col min="1538" max="1538" width="23.5703125" bestFit="1" customWidth="1"/>
    <col min="1539" max="1539" width="14.7109375" customWidth="1"/>
    <col min="1540" max="1540" width="0.85546875" customWidth="1"/>
    <col min="1541" max="1541" width="13.7109375" bestFit="1" customWidth="1"/>
    <col min="1542" max="1542" width="0.85546875" customWidth="1"/>
    <col min="1543" max="1544" width="13.85546875" bestFit="1" customWidth="1"/>
    <col min="1545" max="1546" width="14.85546875" bestFit="1" customWidth="1"/>
    <col min="1547" max="1547" width="13.85546875" bestFit="1" customWidth="1"/>
    <col min="1548" max="1548" width="14.85546875" bestFit="1" customWidth="1"/>
    <col min="1549" max="1554" width="13.85546875" bestFit="1" customWidth="1"/>
    <col min="1555" max="1555" width="0.85546875" customWidth="1"/>
    <col min="1556" max="1556" width="10.7109375" bestFit="1" customWidth="1"/>
    <col min="1793" max="1793" width="0" hidden="1" customWidth="1"/>
    <col min="1794" max="1794" width="23.5703125" bestFit="1" customWidth="1"/>
    <col min="1795" max="1795" width="14.7109375" customWidth="1"/>
    <col min="1796" max="1796" width="0.85546875" customWidth="1"/>
    <col min="1797" max="1797" width="13.7109375" bestFit="1" customWidth="1"/>
    <col min="1798" max="1798" width="0.85546875" customWidth="1"/>
    <col min="1799" max="1800" width="13.85546875" bestFit="1" customWidth="1"/>
    <col min="1801" max="1802" width="14.85546875" bestFit="1" customWidth="1"/>
    <col min="1803" max="1803" width="13.85546875" bestFit="1" customWidth="1"/>
    <col min="1804" max="1804" width="14.85546875" bestFit="1" customWidth="1"/>
    <col min="1805" max="1810" width="13.85546875" bestFit="1" customWidth="1"/>
    <col min="1811" max="1811" width="0.85546875" customWidth="1"/>
    <col min="1812" max="1812" width="10.7109375" bestFit="1" customWidth="1"/>
    <col min="2049" max="2049" width="0" hidden="1" customWidth="1"/>
    <col min="2050" max="2050" width="23.5703125" bestFit="1" customWidth="1"/>
    <col min="2051" max="2051" width="14.7109375" customWidth="1"/>
    <col min="2052" max="2052" width="0.85546875" customWidth="1"/>
    <col min="2053" max="2053" width="13.7109375" bestFit="1" customWidth="1"/>
    <col min="2054" max="2054" width="0.85546875" customWidth="1"/>
    <col min="2055" max="2056" width="13.85546875" bestFit="1" customWidth="1"/>
    <col min="2057" max="2058" width="14.85546875" bestFit="1" customWidth="1"/>
    <col min="2059" max="2059" width="13.85546875" bestFit="1" customWidth="1"/>
    <col min="2060" max="2060" width="14.85546875" bestFit="1" customWidth="1"/>
    <col min="2061" max="2066" width="13.85546875" bestFit="1" customWidth="1"/>
    <col min="2067" max="2067" width="0.85546875" customWidth="1"/>
    <col min="2068" max="2068" width="10.7109375" bestFit="1" customWidth="1"/>
    <col min="2305" max="2305" width="0" hidden="1" customWidth="1"/>
    <col min="2306" max="2306" width="23.5703125" bestFit="1" customWidth="1"/>
    <col min="2307" max="2307" width="14.7109375" customWidth="1"/>
    <col min="2308" max="2308" width="0.85546875" customWidth="1"/>
    <col min="2309" max="2309" width="13.7109375" bestFit="1" customWidth="1"/>
    <col min="2310" max="2310" width="0.85546875" customWidth="1"/>
    <col min="2311" max="2312" width="13.85546875" bestFit="1" customWidth="1"/>
    <col min="2313" max="2314" width="14.85546875" bestFit="1" customWidth="1"/>
    <col min="2315" max="2315" width="13.85546875" bestFit="1" customWidth="1"/>
    <col min="2316" max="2316" width="14.85546875" bestFit="1" customWidth="1"/>
    <col min="2317" max="2322" width="13.85546875" bestFit="1" customWidth="1"/>
    <col min="2323" max="2323" width="0.85546875" customWidth="1"/>
    <col min="2324" max="2324" width="10.7109375" bestFit="1" customWidth="1"/>
    <col min="2561" max="2561" width="0" hidden="1" customWidth="1"/>
    <col min="2562" max="2562" width="23.5703125" bestFit="1" customWidth="1"/>
    <col min="2563" max="2563" width="14.7109375" customWidth="1"/>
    <col min="2564" max="2564" width="0.85546875" customWidth="1"/>
    <col min="2565" max="2565" width="13.7109375" bestFit="1" customWidth="1"/>
    <col min="2566" max="2566" width="0.85546875" customWidth="1"/>
    <col min="2567" max="2568" width="13.85546875" bestFit="1" customWidth="1"/>
    <col min="2569" max="2570" width="14.85546875" bestFit="1" customWidth="1"/>
    <col min="2571" max="2571" width="13.85546875" bestFit="1" customWidth="1"/>
    <col min="2572" max="2572" width="14.85546875" bestFit="1" customWidth="1"/>
    <col min="2573" max="2578" width="13.85546875" bestFit="1" customWidth="1"/>
    <col min="2579" max="2579" width="0.85546875" customWidth="1"/>
    <col min="2580" max="2580" width="10.7109375" bestFit="1" customWidth="1"/>
    <col min="2817" max="2817" width="0" hidden="1" customWidth="1"/>
    <col min="2818" max="2818" width="23.5703125" bestFit="1" customWidth="1"/>
    <col min="2819" max="2819" width="14.7109375" customWidth="1"/>
    <col min="2820" max="2820" width="0.85546875" customWidth="1"/>
    <col min="2821" max="2821" width="13.7109375" bestFit="1" customWidth="1"/>
    <col min="2822" max="2822" width="0.85546875" customWidth="1"/>
    <col min="2823" max="2824" width="13.85546875" bestFit="1" customWidth="1"/>
    <col min="2825" max="2826" width="14.85546875" bestFit="1" customWidth="1"/>
    <col min="2827" max="2827" width="13.85546875" bestFit="1" customWidth="1"/>
    <col min="2828" max="2828" width="14.85546875" bestFit="1" customWidth="1"/>
    <col min="2829" max="2834" width="13.85546875" bestFit="1" customWidth="1"/>
    <col min="2835" max="2835" width="0.85546875" customWidth="1"/>
    <col min="2836" max="2836" width="10.7109375" bestFit="1" customWidth="1"/>
    <col min="3073" max="3073" width="0" hidden="1" customWidth="1"/>
    <col min="3074" max="3074" width="23.5703125" bestFit="1" customWidth="1"/>
    <col min="3075" max="3075" width="14.7109375" customWidth="1"/>
    <col min="3076" max="3076" width="0.85546875" customWidth="1"/>
    <col min="3077" max="3077" width="13.7109375" bestFit="1" customWidth="1"/>
    <col min="3078" max="3078" width="0.85546875" customWidth="1"/>
    <col min="3079" max="3080" width="13.85546875" bestFit="1" customWidth="1"/>
    <col min="3081" max="3082" width="14.85546875" bestFit="1" customWidth="1"/>
    <col min="3083" max="3083" width="13.85546875" bestFit="1" customWidth="1"/>
    <col min="3084" max="3084" width="14.85546875" bestFit="1" customWidth="1"/>
    <col min="3085" max="3090" width="13.85546875" bestFit="1" customWidth="1"/>
    <col min="3091" max="3091" width="0.85546875" customWidth="1"/>
    <col min="3092" max="3092" width="10.7109375" bestFit="1" customWidth="1"/>
    <col min="3329" max="3329" width="0" hidden="1" customWidth="1"/>
    <col min="3330" max="3330" width="23.5703125" bestFit="1" customWidth="1"/>
    <col min="3331" max="3331" width="14.7109375" customWidth="1"/>
    <col min="3332" max="3332" width="0.85546875" customWidth="1"/>
    <col min="3333" max="3333" width="13.7109375" bestFit="1" customWidth="1"/>
    <col min="3334" max="3334" width="0.85546875" customWidth="1"/>
    <col min="3335" max="3336" width="13.85546875" bestFit="1" customWidth="1"/>
    <col min="3337" max="3338" width="14.85546875" bestFit="1" customWidth="1"/>
    <col min="3339" max="3339" width="13.85546875" bestFit="1" customWidth="1"/>
    <col min="3340" max="3340" width="14.85546875" bestFit="1" customWidth="1"/>
    <col min="3341" max="3346" width="13.85546875" bestFit="1" customWidth="1"/>
    <col min="3347" max="3347" width="0.85546875" customWidth="1"/>
    <col min="3348" max="3348" width="10.7109375" bestFit="1" customWidth="1"/>
    <col min="3585" max="3585" width="0" hidden="1" customWidth="1"/>
    <col min="3586" max="3586" width="23.5703125" bestFit="1" customWidth="1"/>
    <col min="3587" max="3587" width="14.7109375" customWidth="1"/>
    <col min="3588" max="3588" width="0.85546875" customWidth="1"/>
    <col min="3589" max="3589" width="13.7109375" bestFit="1" customWidth="1"/>
    <col min="3590" max="3590" width="0.85546875" customWidth="1"/>
    <col min="3591" max="3592" width="13.85546875" bestFit="1" customWidth="1"/>
    <col min="3593" max="3594" width="14.85546875" bestFit="1" customWidth="1"/>
    <col min="3595" max="3595" width="13.85546875" bestFit="1" customWidth="1"/>
    <col min="3596" max="3596" width="14.85546875" bestFit="1" customWidth="1"/>
    <col min="3597" max="3602" width="13.85546875" bestFit="1" customWidth="1"/>
    <col min="3603" max="3603" width="0.85546875" customWidth="1"/>
    <col min="3604" max="3604" width="10.7109375" bestFit="1" customWidth="1"/>
    <col min="3841" max="3841" width="0" hidden="1" customWidth="1"/>
    <col min="3842" max="3842" width="23.5703125" bestFit="1" customWidth="1"/>
    <col min="3843" max="3843" width="14.7109375" customWidth="1"/>
    <col min="3844" max="3844" width="0.85546875" customWidth="1"/>
    <col min="3845" max="3845" width="13.7109375" bestFit="1" customWidth="1"/>
    <col min="3846" max="3846" width="0.85546875" customWidth="1"/>
    <col min="3847" max="3848" width="13.85546875" bestFit="1" customWidth="1"/>
    <col min="3849" max="3850" width="14.85546875" bestFit="1" customWidth="1"/>
    <col min="3851" max="3851" width="13.85546875" bestFit="1" customWidth="1"/>
    <col min="3852" max="3852" width="14.85546875" bestFit="1" customWidth="1"/>
    <col min="3853" max="3858" width="13.85546875" bestFit="1" customWidth="1"/>
    <col min="3859" max="3859" width="0.85546875" customWidth="1"/>
    <col min="3860" max="3860" width="10.7109375" bestFit="1" customWidth="1"/>
    <col min="4097" max="4097" width="0" hidden="1" customWidth="1"/>
    <col min="4098" max="4098" width="23.5703125" bestFit="1" customWidth="1"/>
    <col min="4099" max="4099" width="14.7109375" customWidth="1"/>
    <col min="4100" max="4100" width="0.85546875" customWidth="1"/>
    <col min="4101" max="4101" width="13.7109375" bestFit="1" customWidth="1"/>
    <col min="4102" max="4102" width="0.85546875" customWidth="1"/>
    <col min="4103" max="4104" width="13.85546875" bestFit="1" customWidth="1"/>
    <col min="4105" max="4106" width="14.85546875" bestFit="1" customWidth="1"/>
    <col min="4107" max="4107" width="13.85546875" bestFit="1" customWidth="1"/>
    <col min="4108" max="4108" width="14.85546875" bestFit="1" customWidth="1"/>
    <col min="4109" max="4114" width="13.85546875" bestFit="1" customWidth="1"/>
    <col min="4115" max="4115" width="0.85546875" customWidth="1"/>
    <col min="4116" max="4116" width="10.7109375" bestFit="1" customWidth="1"/>
    <col min="4353" max="4353" width="0" hidden="1" customWidth="1"/>
    <col min="4354" max="4354" width="23.5703125" bestFit="1" customWidth="1"/>
    <col min="4355" max="4355" width="14.7109375" customWidth="1"/>
    <col min="4356" max="4356" width="0.85546875" customWidth="1"/>
    <col min="4357" max="4357" width="13.7109375" bestFit="1" customWidth="1"/>
    <col min="4358" max="4358" width="0.85546875" customWidth="1"/>
    <col min="4359" max="4360" width="13.85546875" bestFit="1" customWidth="1"/>
    <col min="4361" max="4362" width="14.85546875" bestFit="1" customWidth="1"/>
    <col min="4363" max="4363" width="13.85546875" bestFit="1" customWidth="1"/>
    <col min="4364" max="4364" width="14.85546875" bestFit="1" customWidth="1"/>
    <col min="4365" max="4370" width="13.85546875" bestFit="1" customWidth="1"/>
    <col min="4371" max="4371" width="0.85546875" customWidth="1"/>
    <col min="4372" max="4372" width="10.7109375" bestFit="1" customWidth="1"/>
    <col min="4609" max="4609" width="0" hidden="1" customWidth="1"/>
    <col min="4610" max="4610" width="23.5703125" bestFit="1" customWidth="1"/>
    <col min="4611" max="4611" width="14.7109375" customWidth="1"/>
    <col min="4612" max="4612" width="0.85546875" customWidth="1"/>
    <col min="4613" max="4613" width="13.7109375" bestFit="1" customWidth="1"/>
    <col min="4614" max="4614" width="0.85546875" customWidth="1"/>
    <col min="4615" max="4616" width="13.85546875" bestFit="1" customWidth="1"/>
    <col min="4617" max="4618" width="14.85546875" bestFit="1" customWidth="1"/>
    <col min="4619" max="4619" width="13.85546875" bestFit="1" customWidth="1"/>
    <col min="4620" max="4620" width="14.85546875" bestFit="1" customWidth="1"/>
    <col min="4621" max="4626" width="13.85546875" bestFit="1" customWidth="1"/>
    <col min="4627" max="4627" width="0.85546875" customWidth="1"/>
    <col min="4628" max="4628" width="10.7109375" bestFit="1" customWidth="1"/>
    <col min="4865" max="4865" width="0" hidden="1" customWidth="1"/>
    <col min="4866" max="4866" width="23.5703125" bestFit="1" customWidth="1"/>
    <col min="4867" max="4867" width="14.7109375" customWidth="1"/>
    <col min="4868" max="4868" width="0.85546875" customWidth="1"/>
    <col min="4869" max="4869" width="13.7109375" bestFit="1" customWidth="1"/>
    <col min="4870" max="4870" width="0.85546875" customWidth="1"/>
    <col min="4871" max="4872" width="13.85546875" bestFit="1" customWidth="1"/>
    <col min="4873" max="4874" width="14.85546875" bestFit="1" customWidth="1"/>
    <col min="4875" max="4875" width="13.85546875" bestFit="1" customWidth="1"/>
    <col min="4876" max="4876" width="14.85546875" bestFit="1" customWidth="1"/>
    <col min="4877" max="4882" width="13.85546875" bestFit="1" customWidth="1"/>
    <col min="4883" max="4883" width="0.85546875" customWidth="1"/>
    <col min="4884" max="4884" width="10.7109375" bestFit="1" customWidth="1"/>
    <col min="5121" max="5121" width="0" hidden="1" customWidth="1"/>
    <col min="5122" max="5122" width="23.5703125" bestFit="1" customWidth="1"/>
    <col min="5123" max="5123" width="14.7109375" customWidth="1"/>
    <col min="5124" max="5124" width="0.85546875" customWidth="1"/>
    <col min="5125" max="5125" width="13.7109375" bestFit="1" customWidth="1"/>
    <col min="5126" max="5126" width="0.85546875" customWidth="1"/>
    <col min="5127" max="5128" width="13.85546875" bestFit="1" customWidth="1"/>
    <col min="5129" max="5130" width="14.85546875" bestFit="1" customWidth="1"/>
    <col min="5131" max="5131" width="13.85546875" bestFit="1" customWidth="1"/>
    <col min="5132" max="5132" width="14.85546875" bestFit="1" customWidth="1"/>
    <col min="5133" max="5138" width="13.85546875" bestFit="1" customWidth="1"/>
    <col min="5139" max="5139" width="0.85546875" customWidth="1"/>
    <col min="5140" max="5140" width="10.7109375" bestFit="1" customWidth="1"/>
    <col min="5377" max="5377" width="0" hidden="1" customWidth="1"/>
    <col min="5378" max="5378" width="23.5703125" bestFit="1" customWidth="1"/>
    <col min="5379" max="5379" width="14.7109375" customWidth="1"/>
    <col min="5380" max="5380" width="0.85546875" customWidth="1"/>
    <col min="5381" max="5381" width="13.7109375" bestFit="1" customWidth="1"/>
    <col min="5382" max="5382" width="0.85546875" customWidth="1"/>
    <col min="5383" max="5384" width="13.85546875" bestFit="1" customWidth="1"/>
    <col min="5385" max="5386" width="14.85546875" bestFit="1" customWidth="1"/>
    <col min="5387" max="5387" width="13.85546875" bestFit="1" customWidth="1"/>
    <col min="5388" max="5388" width="14.85546875" bestFit="1" customWidth="1"/>
    <col min="5389" max="5394" width="13.85546875" bestFit="1" customWidth="1"/>
    <col min="5395" max="5395" width="0.85546875" customWidth="1"/>
    <col min="5396" max="5396" width="10.7109375" bestFit="1" customWidth="1"/>
    <col min="5633" max="5633" width="0" hidden="1" customWidth="1"/>
    <col min="5634" max="5634" width="23.5703125" bestFit="1" customWidth="1"/>
    <col min="5635" max="5635" width="14.7109375" customWidth="1"/>
    <col min="5636" max="5636" width="0.85546875" customWidth="1"/>
    <col min="5637" max="5637" width="13.7109375" bestFit="1" customWidth="1"/>
    <col min="5638" max="5638" width="0.85546875" customWidth="1"/>
    <col min="5639" max="5640" width="13.85546875" bestFit="1" customWidth="1"/>
    <col min="5641" max="5642" width="14.85546875" bestFit="1" customWidth="1"/>
    <col min="5643" max="5643" width="13.85546875" bestFit="1" customWidth="1"/>
    <col min="5644" max="5644" width="14.85546875" bestFit="1" customWidth="1"/>
    <col min="5645" max="5650" width="13.85546875" bestFit="1" customWidth="1"/>
    <col min="5651" max="5651" width="0.85546875" customWidth="1"/>
    <col min="5652" max="5652" width="10.7109375" bestFit="1" customWidth="1"/>
    <col min="5889" max="5889" width="0" hidden="1" customWidth="1"/>
    <col min="5890" max="5890" width="23.5703125" bestFit="1" customWidth="1"/>
    <col min="5891" max="5891" width="14.7109375" customWidth="1"/>
    <col min="5892" max="5892" width="0.85546875" customWidth="1"/>
    <col min="5893" max="5893" width="13.7109375" bestFit="1" customWidth="1"/>
    <col min="5894" max="5894" width="0.85546875" customWidth="1"/>
    <col min="5895" max="5896" width="13.85546875" bestFit="1" customWidth="1"/>
    <col min="5897" max="5898" width="14.85546875" bestFit="1" customWidth="1"/>
    <col min="5899" max="5899" width="13.85546875" bestFit="1" customWidth="1"/>
    <col min="5900" max="5900" width="14.85546875" bestFit="1" customWidth="1"/>
    <col min="5901" max="5906" width="13.85546875" bestFit="1" customWidth="1"/>
    <col min="5907" max="5907" width="0.85546875" customWidth="1"/>
    <col min="5908" max="5908" width="10.7109375" bestFit="1" customWidth="1"/>
    <col min="6145" max="6145" width="0" hidden="1" customWidth="1"/>
    <col min="6146" max="6146" width="23.5703125" bestFit="1" customWidth="1"/>
    <col min="6147" max="6147" width="14.7109375" customWidth="1"/>
    <col min="6148" max="6148" width="0.85546875" customWidth="1"/>
    <col min="6149" max="6149" width="13.7109375" bestFit="1" customWidth="1"/>
    <col min="6150" max="6150" width="0.85546875" customWidth="1"/>
    <col min="6151" max="6152" width="13.85546875" bestFit="1" customWidth="1"/>
    <col min="6153" max="6154" width="14.85546875" bestFit="1" customWidth="1"/>
    <col min="6155" max="6155" width="13.85546875" bestFit="1" customWidth="1"/>
    <col min="6156" max="6156" width="14.85546875" bestFit="1" customWidth="1"/>
    <col min="6157" max="6162" width="13.85546875" bestFit="1" customWidth="1"/>
    <col min="6163" max="6163" width="0.85546875" customWidth="1"/>
    <col min="6164" max="6164" width="10.7109375" bestFit="1" customWidth="1"/>
    <col min="6401" max="6401" width="0" hidden="1" customWidth="1"/>
    <col min="6402" max="6402" width="23.5703125" bestFit="1" customWidth="1"/>
    <col min="6403" max="6403" width="14.7109375" customWidth="1"/>
    <col min="6404" max="6404" width="0.85546875" customWidth="1"/>
    <col min="6405" max="6405" width="13.7109375" bestFit="1" customWidth="1"/>
    <col min="6406" max="6406" width="0.85546875" customWidth="1"/>
    <col min="6407" max="6408" width="13.85546875" bestFit="1" customWidth="1"/>
    <col min="6409" max="6410" width="14.85546875" bestFit="1" customWidth="1"/>
    <col min="6411" max="6411" width="13.85546875" bestFit="1" customWidth="1"/>
    <col min="6412" max="6412" width="14.85546875" bestFit="1" customWidth="1"/>
    <col min="6413" max="6418" width="13.85546875" bestFit="1" customWidth="1"/>
    <col min="6419" max="6419" width="0.85546875" customWidth="1"/>
    <col min="6420" max="6420" width="10.7109375" bestFit="1" customWidth="1"/>
    <col min="6657" max="6657" width="0" hidden="1" customWidth="1"/>
    <col min="6658" max="6658" width="23.5703125" bestFit="1" customWidth="1"/>
    <col min="6659" max="6659" width="14.7109375" customWidth="1"/>
    <col min="6660" max="6660" width="0.85546875" customWidth="1"/>
    <col min="6661" max="6661" width="13.7109375" bestFit="1" customWidth="1"/>
    <col min="6662" max="6662" width="0.85546875" customWidth="1"/>
    <col min="6663" max="6664" width="13.85546875" bestFit="1" customWidth="1"/>
    <col min="6665" max="6666" width="14.85546875" bestFit="1" customWidth="1"/>
    <col min="6667" max="6667" width="13.85546875" bestFit="1" customWidth="1"/>
    <col min="6668" max="6668" width="14.85546875" bestFit="1" customWidth="1"/>
    <col min="6669" max="6674" width="13.85546875" bestFit="1" customWidth="1"/>
    <col min="6675" max="6675" width="0.85546875" customWidth="1"/>
    <col min="6676" max="6676" width="10.7109375" bestFit="1" customWidth="1"/>
    <col min="6913" max="6913" width="0" hidden="1" customWidth="1"/>
    <col min="6914" max="6914" width="23.5703125" bestFit="1" customWidth="1"/>
    <col min="6915" max="6915" width="14.7109375" customWidth="1"/>
    <col min="6916" max="6916" width="0.85546875" customWidth="1"/>
    <col min="6917" max="6917" width="13.7109375" bestFit="1" customWidth="1"/>
    <col min="6918" max="6918" width="0.85546875" customWidth="1"/>
    <col min="6919" max="6920" width="13.85546875" bestFit="1" customWidth="1"/>
    <col min="6921" max="6922" width="14.85546875" bestFit="1" customWidth="1"/>
    <col min="6923" max="6923" width="13.85546875" bestFit="1" customWidth="1"/>
    <col min="6924" max="6924" width="14.85546875" bestFit="1" customWidth="1"/>
    <col min="6925" max="6930" width="13.85546875" bestFit="1" customWidth="1"/>
    <col min="6931" max="6931" width="0.85546875" customWidth="1"/>
    <col min="6932" max="6932" width="10.7109375" bestFit="1" customWidth="1"/>
    <col min="7169" max="7169" width="0" hidden="1" customWidth="1"/>
    <col min="7170" max="7170" width="23.5703125" bestFit="1" customWidth="1"/>
    <col min="7171" max="7171" width="14.7109375" customWidth="1"/>
    <col min="7172" max="7172" width="0.85546875" customWidth="1"/>
    <col min="7173" max="7173" width="13.7109375" bestFit="1" customWidth="1"/>
    <col min="7174" max="7174" width="0.85546875" customWidth="1"/>
    <col min="7175" max="7176" width="13.85546875" bestFit="1" customWidth="1"/>
    <col min="7177" max="7178" width="14.85546875" bestFit="1" customWidth="1"/>
    <col min="7179" max="7179" width="13.85546875" bestFit="1" customWidth="1"/>
    <col min="7180" max="7180" width="14.85546875" bestFit="1" customWidth="1"/>
    <col min="7181" max="7186" width="13.85546875" bestFit="1" customWidth="1"/>
    <col min="7187" max="7187" width="0.85546875" customWidth="1"/>
    <col min="7188" max="7188" width="10.7109375" bestFit="1" customWidth="1"/>
    <col min="7425" max="7425" width="0" hidden="1" customWidth="1"/>
    <col min="7426" max="7426" width="23.5703125" bestFit="1" customWidth="1"/>
    <col min="7427" max="7427" width="14.7109375" customWidth="1"/>
    <col min="7428" max="7428" width="0.85546875" customWidth="1"/>
    <col min="7429" max="7429" width="13.7109375" bestFit="1" customWidth="1"/>
    <col min="7430" max="7430" width="0.85546875" customWidth="1"/>
    <col min="7431" max="7432" width="13.85546875" bestFit="1" customWidth="1"/>
    <col min="7433" max="7434" width="14.85546875" bestFit="1" customWidth="1"/>
    <col min="7435" max="7435" width="13.85546875" bestFit="1" customWidth="1"/>
    <col min="7436" max="7436" width="14.85546875" bestFit="1" customWidth="1"/>
    <col min="7437" max="7442" width="13.85546875" bestFit="1" customWidth="1"/>
    <col min="7443" max="7443" width="0.85546875" customWidth="1"/>
    <col min="7444" max="7444" width="10.7109375" bestFit="1" customWidth="1"/>
    <col min="7681" max="7681" width="0" hidden="1" customWidth="1"/>
    <col min="7682" max="7682" width="23.5703125" bestFit="1" customWidth="1"/>
    <col min="7683" max="7683" width="14.7109375" customWidth="1"/>
    <col min="7684" max="7684" width="0.85546875" customWidth="1"/>
    <col min="7685" max="7685" width="13.7109375" bestFit="1" customWidth="1"/>
    <col min="7686" max="7686" width="0.85546875" customWidth="1"/>
    <col min="7687" max="7688" width="13.85546875" bestFit="1" customWidth="1"/>
    <col min="7689" max="7690" width="14.85546875" bestFit="1" customWidth="1"/>
    <col min="7691" max="7691" width="13.85546875" bestFit="1" customWidth="1"/>
    <col min="7692" max="7692" width="14.85546875" bestFit="1" customWidth="1"/>
    <col min="7693" max="7698" width="13.85546875" bestFit="1" customWidth="1"/>
    <col min="7699" max="7699" width="0.85546875" customWidth="1"/>
    <col min="7700" max="7700" width="10.7109375" bestFit="1" customWidth="1"/>
    <col min="7937" max="7937" width="0" hidden="1" customWidth="1"/>
    <col min="7938" max="7938" width="23.5703125" bestFit="1" customWidth="1"/>
    <col min="7939" max="7939" width="14.7109375" customWidth="1"/>
    <col min="7940" max="7940" width="0.85546875" customWidth="1"/>
    <col min="7941" max="7941" width="13.7109375" bestFit="1" customWidth="1"/>
    <col min="7942" max="7942" width="0.85546875" customWidth="1"/>
    <col min="7943" max="7944" width="13.85546875" bestFit="1" customWidth="1"/>
    <col min="7945" max="7946" width="14.85546875" bestFit="1" customWidth="1"/>
    <col min="7947" max="7947" width="13.85546875" bestFit="1" customWidth="1"/>
    <col min="7948" max="7948" width="14.85546875" bestFit="1" customWidth="1"/>
    <col min="7949" max="7954" width="13.85546875" bestFit="1" customWidth="1"/>
    <col min="7955" max="7955" width="0.85546875" customWidth="1"/>
    <col min="7956" max="7956" width="10.7109375" bestFit="1" customWidth="1"/>
    <col min="8193" max="8193" width="0" hidden="1" customWidth="1"/>
    <col min="8194" max="8194" width="23.5703125" bestFit="1" customWidth="1"/>
    <col min="8195" max="8195" width="14.7109375" customWidth="1"/>
    <col min="8196" max="8196" width="0.85546875" customWidth="1"/>
    <col min="8197" max="8197" width="13.7109375" bestFit="1" customWidth="1"/>
    <col min="8198" max="8198" width="0.85546875" customWidth="1"/>
    <col min="8199" max="8200" width="13.85546875" bestFit="1" customWidth="1"/>
    <col min="8201" max="8202" width="14.85546875" bestFit="1" customWidth="1"/>
    <col min="8203" max="8203" width="13.85546875" bestFit="1" customWidth="1"/>
    <col min="8204" max="8204" width="14.85546875" bestFit="1" customWidth="1"/>
    <col min="8205" max="8210" width="13.85546875" bestFit="1" customWidth="1"/>
    <col min="8211" max="8211" width="0.85546875" customWidth="1"/>
    <col min="8212" max="8212" width="10.7109375" bestFit="1" customWidth="1"/>
    <col min="8449" max="8449" width="0" hidden="1" customWidth="1"/>
    <col min="8450" max="8450" width="23.5703125" bestFit="1" customWidth="1"/>
    <col min="8451" max="8451" width="14.7109375" customWidth="1"/>
    <col min="8452" max="8452" width="0.85546875" customWidth="1"/>
    <col min="8453" max="8453" width="13.7109375" bestFit="1" customWidth="1"/>
    <col min="8454" max="8454" width="0.85546875" customWidth="1"/>
    <col min="8455" max="8456" width="13.85546875" bestFit="1" customWidth="1"/>
    <col min="8457" max="8458" width="14.85546875" bestFit="1" customWidth="1"/>
    <col min="8459" max="8459" width="13.85546875" bestFit="1" customWidth="1"/>
    <col min="8460" max="8460" width="14.85546875" bestFit="1" customWidth="1"/>
    <col min="8461" max="8466" width="13.85546875" bestFit="1" customWidth="1"/>
    <col min="8467" max="8467" width="0.85546875" customWidth="1"/>
    <col min="8468" max="8468" width="10.7109375" bestFit="1" customWidth="1"/>
    <col min="8705" max="8705" width="0" hidden="1" customWidth="1"/>
    <col min="8706" max="8706" width="23.5703125" bestFit="1" customWidth="1"/>
    <col min="8707" max="8707" width="14.7109375" customWidth="1"/>
    <col min="8708" max="8708" width="0.85546875" customWidth="1"/>
    <col min="8709" max="8709" width="13.7109375" bestFit="1" customWidth="1"/>
    <col min="8710" max="8710" width="0.85546875" customWidth="1"/>
    <col min="8711" max="8712" width="13.85546875" bestFit="1" customWidth="1"/>
    <col min="8713" max="8714" width="14.85546875" bestFit="1" customWidth="1"/>
    <col min="8715" max="8715" width="13.85546875" bestFit="1" customWidth="1"/>
    <col min="8716" max="8716" width="14.85546875" bestFit="1" customWidth="1"/>
    <col min="8717" max="8722" width="13.85546875" bestFit="1" customWidth="1"/>
    <col min="8723" max="8723" width="0.85546875" customWidth="1"/>
    <col min="8724" max="8724" width="10.7109375" bestFit="1" customWidth="1"/>
    <col min="8961" max="8961" width="0" hidden="1" customWidth="1"/>
    <col min="8962" max="8962" width="23.5703125" bestFit="1" customWidth="1"/>
    <col min="8963" max="8963" width="14.7109375" customWidth="1"/>
    <col min="8964" max="8964" width="0.85546875" customWidth="1"/>
    <col min="8965" max="8965" width="13.7109375" bestFit="1" customWidth="1"/>
    <col min="8966" max="8966" width="0.85546875" customWidth="1"/>
    <col min="8967" max="8968" width="13.85546875" bestFit="1" customWidth="1"/>
    <col min="8969" max="8970" width="14.85546875" bestFit="1" customWidth="1"/>
    <col min="8971" max="8971" width="13.85546875" bestFit="1" customWidth="1"/>
    <col min="8972" max="8972" width="14.85546875" bestFit="1" customWidth="1"/>
    <col min="8973" max="8978" width="13.85546875" bestFit="1" customWidth="1"/>
    <col min="8979" max="8979" width="0.85546875" customWidth="1"/>
    <col min="8980" max="8980" width="10.7109375" bestFit="1" customWidth="1"/>
    <col min="9217" max="9217" width="0" hidden="1" customWidth="1"/>
    <col min="9218" max="9218" width="23.5703125" bestFit="1" customWidth="1"/>
    <col min="9219" max="9219" width="14.7109375" customWidth="1"/>
    <col min="9220" max="9220" width="0.85546875" customWidth="1"/>
    <col min="9221" max="9221" width="13.7109375" bestFit="1" customWidth="1"/>
    <col min="9222" max="9222" width="0.85546875" customWidth="1"/>
    <col min="9223" max="9224" width="13.85546875" bestFit="1" customWidth="1"/>
    <col min="9225" max="9226" width="14.85546875" bestFit="1" customWidth="1"/>
    <col min="9227" max="9227" width="13.85546875" bestFit="1" customWidth="1"/>
    <col min="9228" max="9228" width="14.85546875" bestFit="1" customWidth="1"/>
    <col min="9229" max="9234" width="13.85546875" bestFit="1" customWidth="1"/>
    <col min="9235" max="9235" width="0.85546875" customWidth="1"/>
    <col min="9236" max="9236" width="10.7109375" bestFit="1" customWidth="1"/>
    <col min="9473" max="9473" width="0" hidden="1" customWidth="1"/>
    <col min="9474" max="9474" width="23.5703125" bestFit="1" customWidth="1"/>
    <col min="9475" max="9475" width="14.7109375" customWidth="1"/>
    <col min="9476" max="9476" width="0.85546875" customWidth="1"/>
    <col min="9477" max="9477" width="13.7109375" bestFit="1" customWidth="1"/>
    <col min="9478" max="9478" width="0.85546875" customWidth="1"/>
    <col min="9479" max="9480" width="13.85546875" bestFit="1" customWidth="1"/>
    <col min="9481" max="9482" width="14.85546875" bestFit="1" customWidth="1"/>
    <col min="9483" max="9483" width="13.85546875" bestFit="1" customWidth="1"/>
    <col min="9484" max="9484" width="14.85546875" bestFit="1" customWidth="1"/>
    <col min="9485" max="9490" width="13.85546875" bestFit="1" customWidth="1"/>
    <col min="9491" max="9491" width="0.85546875" customWidth="1"/>
    <col min="9492" max="9492" width="10.7109375" bestFit="1" customWidth="1"/>
    <col min="9729" max="9729" width="0" hidden="1" customWidth="1"/>
    <col min="9730" max="9730" width="23.5703125" bestFit="1" customWidth="1"/>
    <col min="9731" max="9731" width="14.7109375" customWidth="1"/>
    <col min="9732" max="9732" width="0.85546875" customWidth="1"/>
    <col min="9733" max="9733" width="13.7109375" bestFit="1" customWidth="1"/>
    <col min="9734" max="9734" width="0.85546875" customWidth="1"/>
    <col min="9735" max="9736" width="13.85546875" bestFit="1" customWidth="1"/>
    <col min="9737" max="9738" width="14.85546875" bestFit="1" customWidth="1"/>
    <col min="9739" max="9739" width="13.85546875" bestFit="1" customWidth="1"/>
    <col min="9740" max="9740" width="14.85546875" bestFit="1" customWidth="1"/>
    <col min="9741" max="9746" width="13.85546875" bestFit="1" customWidth="1"/>
    <col min="9747" max="9747" width="0.85546875" customWidth="1"/>
    <col min="9748" max="9748" width="10.7109375" bestFit="1" customWidth="1"/>
    <col min="9985" max="9985" width="0" hidden="1" customWidth="1"/>
    <col min="9986" max="9986" width="23.5703125" bestFit="1" customWidth="1"/>
    <col min="9987" max="9987" width="14.7109375" customWidth="1"/>
    <col min="9988" max="9988" width="0.85546875" customWidth="1"/>
    <col min="9989" max="9989" width="13.7109375" bestFit="1" customWidth="1"/>
    <col min="9990" max="9990" width="0.85546875" customWidth="1"/>
    <col min="9991" max="9992" width="13.85546875" bestFit="1" customWidth="1"/>
    <col min="9993" max="9994" width="14.85546875" bestFit="1" customWidth="1"/>
    <col min="9995" max="9995" width="13.85546875" bestFit="1" customWidth="1"/>
    <col min="9996" max="9996" width="14.85546875" bestFit="1" customWidth="1"/>
    <col min="9997" max="10002" width="13.85546875" bestFit="1" customWidth="1"/>
    <col min="10003" max="10003" width="0.85546875" customWidth="1"/>
    <col min="10004" max="10004" width="10.7109375" bestFit="1" customWidth="1"/>
    <col min="10241" max="10241" width="0" hidden="1" customWidth="1"/>
    <col min="10242" max="10242" width="23.5703125" bestFit="1" customWidth="1"/>
    <col min="10243" max="10243" width="14.7109375" customWidth="1"/>
    <col min="10244" max="10244" width="0.85546875" customWidth="1"/>
    <col min="10245" max="10245" width="13.7109375" bestFit="1" customWidth="1"/>
    <col min="10246" max="10246" width="0.85546875" customWidth="1"/>
    <col min="10247" max="10248" width="13.85546875" bestFit="1" customWidth="1"/>
    <col min="10249" max="10250" width="14.85546875" bestFit="1" customWidth="1"/>
    <col min="10251" max="10251" width="13.85546875" bestFit="1" customWidth="1"/>
    <col min="10252" max="10252" width="14.85546875" bestFit="1" customWidth="1"/>
    <col min="10253" max="10258" width="13.85546875" bestFit="1" customWidth="1"/>
    <col min="10259" max="10259" width="0.85546875" customWidth="1"/>
    <col min="10260" max="10260" width="10.7109375" bestFit="1" customWidth="1"/>
    <col min="10497" max="10497" width="0" hidden="1" customWidth="1"/>
    <col min="10498" max="10498" width="23.5703125" bestFit="1" customWidth="1"/>
    <col min="10499" max="10499" width="14.7109375" customWidth="1"/>
    <col min="10500" max="10500" width="0.85546875" customWidth="1"/>
    <col min="10501" max="10501" width="13.7109375" bestFit="1" customWidth="1"/>
    <col min="10502" max="10502" width="0.85546875" customWidth="1"/>
    <col min="10503" max="10504" width="13.85546875" bestFit="1" customWidth="1"/>
    <col min="10505" max="10506" width="14.85546875" bestFit="1" customWidth="1"/>
    <col min="10507" max="10507" width="13.85546875" bestFit="1" customWidth="1"/>
    <col min="10508" max="10508" width="14.85546875" bestFit="1" customWidth="1"/>
    <col min="10509" max="10514" width="13.85546875" bestFit="1" customWidth="1"/>
    <col min="10515" max="10515" width="0.85546875" customWidth="1"/>
    <col min="10516" max="10516" width="10.7109375" bestFit="1" customWidth="1"/>
    <col min="10753" max="10753" width="0" hidden="1" customWidth="1"/>
    <col min="10754" max="10754" width="23.5703125" bestFit="1" customWidth="1"/>
    <col min="10755" max="10755" width="14.7109375" customWidth="1"/>
    <col min="10756" max="10756" width="0.85546875" customWidth="1"/>
    <col min="10757" max="10757" width="13.7109375" bestFit="1" customWidth="1"/>
    <col min="10758" max="10758" width="0.85546875" customWidth="1"/>
    <col min="10759" max="10760" width="13.85546875" bestFit="1" customWidth="1"/>
    <col min="10761" max="10762" width="14.85546875" bestFit="1" customWidth="1"/>
    <col min="10763" max="10763" width="13.85546875" bestFit="1" customWidth="1"/>
    <col min="10764" max="10764" width="14.85546875" bestFit="1" customWidth="1"/>
    <col min="10765" max="10770" width="13.85546875" bestFit="1" customWidth="1"/>
    <col min="10771" max="10771" width="0.85546875" customWidth="1"/>
    <col min="10772" max="10772" width="10.7109375" bestFit="1" customWidth="1"/>
    <col min="11009" max="11009" width="0" hidden="1" customWidth="1"/>
    <col min="11010" max="11010" width="23.5703125" bestFit="1" customWidth="1"/>
    <col min="11011" max="11011" width="14.7109375" customWidth="1"/>
    <col min="11012" max="11012" width="0.85546875" customWidth="1"/>
    <col min="11013" max="11013" width="13.7109375" bestFit="1" customWidth="1"/>
    <col min="11014" max="11014" width="0.85546875" customWidth="1"/>
    <col min="11015" max="11016" width="13.85546875" bestFit="1" customWidth="1"/>
    <col min="11017" max="11018" width="14.85546875" bestFit="1" customWidth="1"/>
    <col min="11019" max="11019" width="13.85546875" bestFit="1" customWidth="1"/>
    <col min="11020" max="11020" width="14.85546875" bestFit="1" customWidth="1"/>
    <col min="11021" max="11026" width="13.85546875" bestFit="1" customWidth="1"/>
    <col min="11027" max="11027" width="0.85546875" customWidth="1"/>
    <col min="11028" max="11028" width="10.7109375" bestFit="1" customWidth="1"/>
    <col min="11265" max="11265" width="0" hidden="1" customWidth="1"/>
    <col min="11266" max="11266" width="23.5703125" bestFit="1" customWidth="1"/>
    <col min="11267" max="11267" width="14.7109375" customWidth="1"/>
    <col min="11268" max="11268" width="0.85546875" customWidth="1"/>
    <col min="11269" max="11269" width="13.7109375" bestFit="1" customWidth="1"/>
    <col min="11270" max="11270" width="0.85546875" customWidth="1"/>
    <col min="11271" max="11272" width="13.85546875" bestFit="1" customWidth="1"/>
    <col min="11273" max="11274" width="14.85546875" bestFit="1" customWidth="1"/>
    <col min="11275" max="11275" width="13.85546875" bestFit="1" customWidth="1"/>
    <col min="11276" max="11276" width="14.85546875" bestFit="1" customWidth="1"/>
    <col min="11277" max="11282" width="13.85546875" bestFit="1" customWidth="1"/>
    <col min="11283" max="11283" width="0.85546875" customWidth="1"/>
    <col min="11284" max="11284" width="10.7109375" bestFit="1" customWidth="1"/>
    <col min="11521" max="11521" width="0" hidden="1" customWidth="1"/>
    <col min="11522" max="11522" width="23.5703125" bestFit="1" customWidth="1"/>
    <col min="11523" max="11523" width="14.7109375" customWidth="1"/>
    <col min="11524" max="11524" width="0.85546875" customWidth="1"/>
    <col min="11525" max="11525" width="13.7109375" bestFit="1" customWidth="1"/>
    <col min="11526" max="11526" width="0.85546875" customWidth="1"/>
    <col min="11527" max="11528" width="13.85546875" bestFit="1" customWidth="1"/>
    <col min="11529" max="11530" width="14.85546875" bestFit="1" customWidth="1"/>
    <col min="11531" max="11531" width="13.85546875" bestFit="1" customWidth="1"/>
    <col min="11532" max="11532" width="14.85546875" bestFit="1" customWidth="1"/>
    <col min="11533" max="11538" width="13.85546875" bestFit="1" customWidth="1"/>
    <col min="11539" max="11539" width="0.85546875" customWidth="1"/>
    <col min="11540" max="11540" width="10.7109375" bestFit="1" customWidth="1"/>
    <col min="11777" max="11777" width="0" hidden="1" customWidth="1"/>
    <col min="11778" max="11778" width="23.5703125" bestFit="1" customWidth="1"/>
    <col min="11779" max="11779" width="14.7109375" customWidth="1"/>
    <col min="11780" max="11780" width="0.85546875" customWidth="1"/>
    <col min="11781" max="11781" width="13.7109375" bestFit="1" customWidth="1"/>
    <col min="11782" max="11782" width="0.85546875" customWidth="1"/>
    <col min="11783" max="11784" width="13.85546875" bestFit="1" customWidth="1"/>
    <col min="11785" max="11786" width="14.85546875" bestFit="1" customWidth="1"/>
    <col min="11787" max="11787" width="13.85546875" bestFit="1" customWidth="1"/>
    <col min="11788" max="11788" width="14.85546875" bestFit="1" customWidth="1"/>
    <col min="11789" max="11794" width="13.85546875" bestFit="1" customWidth="1"/>
    <col min="11795" max="11795" width="0.85546875" customWidth="1"/>
    <col min="11796" max="11796" width="10.7109375" bestFit="1" customWidth="1"/>
    <col min="12033" max="12033" width="0" hidden="1" customWidth="1"/>
    <col min="12034" max="12034" width="23.5703125" bestFit="1" customWidth="1"/>
    <col min="12035" max="12035" width="14.7109375" customWidth="1"/>
    <col min="12036" max="12036" width="0.85546875" customWidth="1"/>
    <col min="12037" max="12037" width="13.7109375" bestFit="1" customWidth="1"/>
    <col min="12038" max="12038" width="0.85546875" customWidth="1"/>
    <col min="12039" max="12040" width="13.85546875" bestFit="1" customWidth="1"/>
    <col min="12041" max="12042" width="14.85546875" bestFit="1" customWidth="1"/>
    <col min="12043" max="12043" width="13.85546875" bestFit="1" customWidth="1"/>
    <col min="12044" max="12044" width="14.85546875" bestFit="1" customWidth="1"/>
    <col min="12045" max="12050" width="13.85546875" bestFit="1" customWidth="1"/>
    <col min="12051" max="12051" width="0.85546875" customWidth="1"/>
    <col min="12052" max="12052" width="10.7109375" bestFit="1" customWidth="1"/>
    <col min="12289" max="12289" width="0" hidden="1" customWidth="1"/>
    <col min="12290" max="12290" width="23.5703125" bestFit="1" customWidth="1"/>
    <col min="12291" max="12291" width="14.7109375" customWidth="1"/>
    <col min="12292" max="12292" width="0.85546875" customWidth="1"/>
    <col min="12293" max="12293" width="13.7109375" bestFit="1" customWidth="1"/>
    <col min="12294" max="12294" width="0.85546875" customWidth="1"/>
    <col min="12295" max="12296" width="13.85546875" bestFit="1" customWidth="1"/>
    <col min="12297" max="12298" width="14.85546875" bestFit="1" customWidth="1"/>
    <col min="12299" max="12299" width="13.85546875" bestFit="1" customWidth="1"/>
    <col min="12300" max="12300" width="14.85546875" bestFit="1" customWidth="1"/>
    <col min="12301" max="12306" width="13.85546875" bestFit="1" customWidth="1"/>
    <col min="12307" max="12307" width="0.85546875" customWidth="1"/>
    <col min="12308" max="12308" width="10.7109375" bestFit="1" customWidth="1"/>
    <col min="12545" max="12545" width="0" hidden="1" customWidth="1"/>
    <col min="12546" max="12546" width="23.5703125" bestFit="1" customWidth="1"/>
    <col min="12547" max="12547" width="14.7109375" customWidth="1"/>
    <col min="12548" max="12548" width="0.85546875" customWidth="1"/>
    <col min="12549" max="12549" width="13.7109375" bestFit="1" customWidth="1"/>
    <col min="12550" max="12550" width="0.85546875" customWidth="1"/>
    <col min="12551" max="12552" width="13.85546875" bestFit="1" customWidth="1"/>
    <col min="12553" max="12554" width="14.85546875" bestFit="1" customWidth="1"/>
    <col min="12555" max="12555" width="13.85546875" bestFit="1" customWidth="1"/>
    <col min="12556" max="12556" width="14.85546875" bestFit="1" customWidth="1"/>
    <col min="12557" max="12562" width="13.85546875" bestFit="1" customWidth="1"/>
    <col min="12563" max="12563" width="0.85546875" customWidth="1"/>
    <col min="12564" max="12564" width="10.7109375" bestFit="1" customWidth="1"/>
    <col min="12801" max="12801" width="0" hidden="1" customWidth="1"/>
    <col min="12802" max="12802" width="23.5703125" bestFit="1" customWidth="1"/>
    <col min="12803" max="12803" width="14.7109375" customWidth="1"/>
    <col min="12804" max="12804" width="0.85546875" customWidth="1"/>
    <col min="12805" max="12805" width="13.7109375" bestFit="1" customWidth="1"/>
    <col min="12806" max="12806" width="0.85546875" customWidth="1"/>
    <col min="12807" max="12808" width="13.85546875" bestFit="1" customWidth="1"/>
    <col min="12809" max="12810" width="14.85546875" bestFit="1" customWidth="1"/>
    <col min="12811" max="12811" width="13.85546875" bestFit="1" customWidth="1"/>
    <col min="12812" max="12812" width="14.85546875" bestFit="1" customWidth="1"/>
    <col min="12813" max="12818" width="13.85546875" bestFit="1" customWidth="1"/>
    <col min="12819" max="12819" width="0.85546875" customWidth="1"/>
    <col min="12820" max="12820" width="10.7109375" bestFit="1" customWidth="1"/>
    <col min="13057" max="13057" width="0" hidden="1" customWidth="1"/>
    <col min="13058" max="13058" width="23.5703125" bestFit="1" customWidth="1"/>
    <col min="13059" max="13059" width="14.7109375" customWidth="1"/>
    <col min="13060" max="13060" width="0.85546875" customWidth="1"/>
    <col min="13061" max="13061" width="13.7109375" bestFit="1" customWidth="1"/>
    <col min="13062" max="13062" width="0.85546875" customWidth="1"/>
    <col min="13063" max="13064" width="13.85546875" bestFit="1" customWidth="1"/>
    <col min="13065" max="13066" width="14.85546875" bestFit="1" customWidth="1"/>
    <col min="13067" max="13067" width="13.85546875" bestFit="1" customWidth="1"/>
    <col min="13068" max="13068" width="14.85546875" bestFit="1" customWidth="1"/>
    <col min="13069" max="13074" width="13.85546875" bestFit="1" customWidth="1"/>
    <col min="13075" max="13075" width="0.85546875" customWidth="1"/>
    <col min="13076" max="13076" width="10.7109375" bestFit="1" customWidth="1"/>
    <col min="13313" max="13313" width="0" hidden="1" customWidth="1"/>
    <col min="13314" max="13314" width="23.5703125" bestFit="1" customWidth="1"/>
    <col min="13315" max="13315" width="14.7109375" customWidth="1"/>
    <col min="13316" max="13316" width="0.85546875" customWidth="1"/>
    <col min="13317" max="13317" width="13.7109375" bestFit="1" customWidth="1"/>
    <col min="13318" max="13318" width="0.85546875" customWidth="1"/>
    <col min="13319" max="13320" width="13.85546875" bestFit="1" customWidth="1"/>
    <col min="13321" max="13322" width="14.85546875" bestFit="1" customWidth="1"/>
    <col min="13323" max="13323" width="13.85546875" bestFit="1" customWidth="1"/>
    <col min="13324" max="13324" width="14.85546875" bestFit="1" customWidth="1"/>
    <col min="13325" max="13330" width="13.85546875" bestFit="1" customWidth="1"/>
    <col min="13331" max="13331" width="0.85546875" customWidth="1"/>
    <col min="13332" max="13332" width="10.7109375" bestFit="1" customWidth="1"/>
    <col min="13569" max="13569" width="0" hidden="1" customWidth="1"/>
    <col min="13570" max="13570" width="23.5703125" bestFit="1" customWidth="1"/>
    <col min="13571" max="13571" width="14.7109375" customWidth="1"/>
    <col min="13572" max="13572" width="0.85546875" customWidth="1"/>
    <col min="13573" max="13573" width="13.7109375" bestFit="1" customWidth="1"/>
    <col min="13574" max="13574" width="0.85546875" customWidth="1"/>
    <col min="13575" max="13576" width="13.85546875" bestFit="1" customWidth="1"/>
    <col min="13577" max="13578" width="14.85546875" bestFit="1" customWidth="1"/>
    <col min="13579" max="13579" width="13.85546875" bestFit="1" customWidth="1"/>
    <col min="13580" max="13580" width="14.85546875" bestFit="1" customWidth="1"/>
    <col min="13581" max="13586" width="13.85546875" bestFit="1" customWidth="1"/>
    <col min="13587" max="13587" width="0.85546875" customWidth="1"/>
    <col min="13588" max="13588" width="10.7109375" bestFit="1" customWidth="1"/>
    <col min="13825" max="13825" width="0" hidden="1" customWidth="1"/>
    <col min="13826" max="13826" width="23.5703125" bestFit="1" customWidth="1"/>
    <col min="13827" max="13827" width="14.7109375" customWidth="1"/>
    <col min="13828" max="13828" width="0.85546875" customWidth="1"/>
    <col min="13829" max="13829" width="13.7109375" bestFit="1" customWidth="1"/>
    <col min="13830" max="13830" width="0.85546875" customWidth="1"/>
    <col min="13831" max="13832" width="13.85546875" bestFit="1" customWidth="1"/>
    <col min="13833" max="13834" width="14.85546875" bestFit="1" customWidth="1"/>
    <col min="13835" max="13835" width="13.85546875" bestFit="1" customWidth="1"/>
    <col min="13836" max="13836" width="14.85546875" bestFit="1" customWidth="1"/>
    <col min="13837" max="13842" width="13.85546875" bestFit="1" customWidth="1"/>
    <col min="13843" max="13843" width="0.85546875" customWidth="1"/>
    <col min="13844" max="13844" width="10.7109375" bestFit="1" customWidth="1"/>
    <col min="14081" max="14081" width="0" hidden="1" customWidth="1"/>
    <col min="14082" max="14082" width="23.5703125" bestFit="1" customWidth="1"/>
    <col min="14083" max="14083" width="14.7109375" customWidth="1"/>
    <col min="14084" max="14084" width="0.85546875" customWidth="1"/>
    <col min="14085" max="14085" width="13.7109375" bestFit="1" customWidth="1"/>
    <col min="14086" max="14086" width="0.85546875" customWidth="1"/>
    <col min="14087" max="14088" width="13.85546875" bestFit="1" customWidth="1"/>
    <col min="14089" max="14090" width="14.85546875" bestFit="1" customWidth="1"/>
    <col min="14091" max="14091" width="13.85546875" bestFit="1" customWidth="1"/>
    <col min="14092" max="14092" width="14.85546875" bestFit="1" customWidth="1"/>
    <col min="14093" max="14098" width="13.85546875" bestFit="1" customWidth="1"/>
    <col min="14099" max="14099" width="0.85546875" customWidth="1"/>
    <col min="14100" max="14100" width="10.7109375" bestFit="1" customWidth="1"/>
    <col min="14337" max="14337" width="0" hidden="1" customWidth="1"/>
    <col min="14338" max="14338" width="23.5703125" bestFit="1" customWidth="1"/>
    <col min="14339" max="14339" width="14.7109375" customWidth="1"/>
    <col min="14340" max="14340" width="0.85546875" customWidth="1"/>
    <col min="14341" max="14341" width="13.7109375" bestFit="1" customWidth="1"/>
    <col min="14342" max="14342" width="0.85546875" customWidth="1"/>
    <col min="14343" max="14344" width="13.85546875" bestFit="1" customWidth="1"/>
    <col min="14345" max="14346" width="14.85546875" bestFit="1" customWidth="1"/>
    <col min="14347" max="14347" width="13.85546875" bestFit="1" customWidth="1"/>
    <col min="14348" max="14348" width="14.85546875" bestFit="1" customWidth="1"/>
    <col min="14349" max="14354" width="13.85546875" bestFit="1" customWidth="1"/>
    <col min="14355" max="14355" width="0.85546875" customWidth="1"/>
    <col min="14356" max="14356" width="10.7109375" bestFit="1" customWidth="1"/>
    <col min="14593" max="14593" width="0" hidden="1" customWidth="1"/>
    <col min="14594" max="14594" width="23.5703125" bestFit="1" customWidth="1"/>
    <col min="14595" max="14595" width="14.7109375" customWidth="1"/>
    <col min="14596" max="14596" width="0.85546875" customWidth="1"/>
    <col min="14597" max="14597" width="13.7109375" bestFit="1" customWidth="1"/>
    <col min="14598" max="14598" width="0.85546875" customWidth="1"/>
    <col min="14599" max="14600" width="13.85546875" bestFit="1" customWidth="1"/>
    <col min="14601" max="14602" width="14.85546875" bestFit="1" customWidth="1"/>
    <col min="14603" max="14603" width="13.85546875" bestFit="1" customWidth="1"/>
    <col min="14604" max="14604" width="14.85546875" bestFit="1" customWidth="1"/>
    <col min="14605" max="14610" width="13.85546875" bestFit="1" customWidth="1"/>
    <col min="14611" max="14611" width="0.85546875" customWidth="1"/>
    <col min="14612" max="14612" width="10.7109375" bestFit="1" customWidth="1"/>
    <col min="14849" max="14849" width="0" hidden="1" customWidth="1"/>
    <col min="14850" max="14850" width="23.5703125" bestFit="1" customWidth="1"/>
    <col min="14851" max="14851" width="14.7109375" customWidth="1"/>
    <col min="14852" max="14852" width="0.85546875" customWidth="1"/>
    <col min="14853" max="14853" width="13.7109375" bestFit="1" customWidth="1"/>
    <col min="14854" max="14854" width="0.85546875" customWidth="1"/>
    <col min="14855" max="14856" width="13.85546875" bestFit="1" customWidth="1"/>
    <col min="14857" max="14858" width="14.85546875" bestFit="1" customWidth="1"/>
    <col min="14859" max="14859" width="13.85546875" bestFit="1" customWidth="1"/>
    <col min="14860" max="14860" width="14.85546875" bestFit="1" customWidth="1"/>
    <col min="14861" max="14866" width="13.85546875" bestFit="1" customWidth="1"/>
    <col min="14867" max="14867" width="0.85546875" customWidth="1"/>
    <col min="14868" max="14868" width="10.7109375" bestFit="1" customWidth="1"/>
    <col min="15105" max="15105" width="0" hidden="1" customWidth="1"/>
    <col min="15106" max="15106" width="23.5703125" bestFit="1" customWidth="1"/>
    <col min="15107" max="15107" width="14.7109375" customWidth="1"/>
    <col min="15108" max="15108" width="0.85546875" customWidth="1"/>
    <col min="15109" max="15109" width="13.7109375" bestFit="1" customWidth="1"/>
    <col min="15110" max="15110" width="0.85546875" customWidth="1"/>
    <col min="15111" max="15112" width="13.85546875" bestFit="1" customWidth="1"/>
    <col min="15113" max="15114" width="14.85546875" bestFit="1" customWidth="1"/>
    <col min="15115" max="15115" width="13.85546875" bestFit="1" customWidth="1"/>
    <col min="15116" max="15116" width="14.85546875" bestFit="1" customWidth="1"/>
    <col min="15117" max="15122" width="13.85546875" bestFit="1" customWidth="1"/>
    <col min="15123" max="15123" width="0.85546875" customWidth="1"/>
    <col min="15124" max="15124" width="10.7109375" bestFit="1" customWidth="1"/>
    <col min="15361" max="15361" width="0" hidden="1" customWidth="1"/>
    <col min="15362" max="15362" width="23.5703125" bestFit="1" customWidth="1"/>
    <col min="15363" max="15363" width="14.7109375" customWidth="1"/>
    <col min="15364" max="15364" width="0.85546875" customWidth="1"/>
    <col min="15365" max="15365" width="13.7109375" bestFit="1" customWidth="1"/>
    <col min="15366" max="15366" width="0.85546875" customWidth="1"/>
    <col min="15367" max="15368" width="13.85546875" bestFit="1" customWidth="1"/>
    <col min="15369" max="15370" width="14.85546875" bestFit="1" customWidth="1"/>
    <col min="15371" max="15371" width="13.85546875" bestFit="1" customWidth="1"/>
    <col min="15372" max="15372" width="14.85546875" bestFit="1" customWidth="1"/>
    <col min="15373" max="15378" width="13.85546875" bestFit="1" customWidth="1"/>
    <col min="15379" max="15379" width="0.85546875" customWidth="1"/>
    <col min="15380" max="15380" width="10.7109375" bestFit="1" customWidth="1"/>
    <col min="15617" max="15617" width="0" hidden="1" customWidth="1"/>
    <col min="15618" max="15618" width="23.5703125" bestFit="1" customWidth="1"/>
    <col min="15619" max="15619" width="14.7109375" customWidth="1"/>
    <col min="15620" max="15620" width="0.85546875" customWidth="1"/>
    <col min="15621" max="15621" width="13.7109375" bestFit="1" customWidth="1"/>
    <col min="15622" max="15622" width="0.85546875" customWidth="1"/>
    <col min="15623" max="15624" width="13.85546875" bestFit="1" customWidth="1"/>
    <col min="15625" max="15626" width="14.85546875" bestFit="1" customWidth="1"/>
    <col min="15627" max="15627" width="13.85546875" bestFit="1" customWidth="1"/>
    <col min="15628" max="15628" width="14.85546875" bestFit="1" customWidth="1"/>
    <col min="15629" max="15634" width="13.85546875" bestFit="1" customWidth="1"/>
    <col min="15635" max="15635" width="0.85546875" customWidth="1"/>
    <col min="15636" max="15636" width="10.7109375" bestFit="1" customWidth="1"/>
    <col min="15873" max="15873" width="0" hidden="1" customWidth="1"/>
    <col min="15874" max="15874" width="23.5703125" bestFit="1" customWidth="1"/>
    <col min="15875" max="15875" width="14.7109375" customWidth="1"/>
    <col min="15876" max="15876" width="0.85546875" customWidth="1"/>
    <col min="15877" max="15877" width="13.7109375" bestFit="1" customWidth="1"/>
    <col min="15878" max="15878" width="0.85546875" customWidth="1"/>
    <col min="15879" max="15880" width="13.85546875" bestFit="1" customWidth="1"/>
    <col min="15881" max="15882" width="14.85546875" bestFit="1" customWidth="1"/>
    <col min="15883" max="15883" width="13.85546875" bestFit="1" customWidth="1"/>
    <col min="15884" max="15884" width="14.85546875" bestFit="1" customWidth="1"/>
    <col min="15885" max="15890" width="13.85546875" bestFit="1" customWidth="1"/>
    <col min="15891" max="15891" width="0.85546875" customWidth="1"/>
    <col min="15892" max="15892" width="10.7109375" bestFit="1" customWidth="1"/>
    <col min="16129" max="16129" width="0" hidden="1" customWidth="1"/>
    <col min="16130" max="16130" width="23.5703125" bestFit="1" customWidth="1"/>
    <col min="16131" max="16131" width="14.7109375" customWidth="1"/>
    <col min="16132" max="16132" width="0.85546875" customWidth="1"/>
    <col min="16133" max="16133" width="13.7109375" bestFit="1" customWidth="1"/>
    <col min="16134" max="16134" width="0.85546875" customWidth="1"/>
    <col min="16135" max="16136" width="13.85546875" bestFit="1" customWidth="1"/>
    <col min="16137" max="16138" width="14.85546875" bestFit="1" customWidth="1"/>
    <col min="16139" max="16139" width="13.85546875" bestFit="1" customWidth="1"/>
    <col min="16140" max="16140" width="14.85546875" bestFit="1" customWidth="1"/>
    <col min="16141" max="16146" width="13.85546875" bestFit="1" customWidth="1"/>
    <col min="16147" max="16147" width="0.85546875" customWidth="1"/>
    <col min="16148" max="16148" width="10.7109375" bestFit="1" customWidth="1"/>
  </cols>
  <sheetData>
    <row r="1" spans="1:20" x14ac:dyDescent="0.25">
      <c r="A1" s="109" t="s">
        <v>66</v>
      </c>
      <c r="B1" s="109" t="s">
        <v>66</v>
      </c>
    </row>
    <row r="12" spans="1:20" x14ac:dyDescent="0.25">
      <c r="C12" s="110"/>
    </row>
    <row r="13" spans="1:20" x14ac:dyDescent="0.25">
      <c r="C13" s="790" t="s">
        <v>67</v>
      </c>
      <c r="D13" s="791"/>
      <c r="E13" s="111">
        <f>AVERAGEIF(G13:R13,"&lt;&gt;0",G13:R13)</f>
        <v>6964.0771449376907</v>
      </c>
      <c r="F13" s="112"/>
      <c r="G13" s="113">
        <f t="shared" ref="G13:R13" si="0">+G19+G49</f>
        <v>7331.2268212565978</v>
      </c>
      <c r="H13" s="114">
        <f t="shared" si="0"/>
        <v>7205.980134646722</v>
      </c>
      <c r="I13" s="114">
        <f t="shared" si="0"/>
        <v>6769.2268192893353</v>
      </c>
      <c r="J13" s="114">
        <f t="shared" si="0"/>
        <v>6549.8748045581087</v>
      </c>
      <c r="K13" s="114">
        <f t="shared" si="0"/>
        <v>0</v>
      </c>
      <c r="L13" s="114">
        <f t="shared" si="0"/>
        <v>0</v>
      </c>
      <c r="M13" s="114">
        <f t="shared" si="0"/>
        <v>0</v>
      </c>
      <c r="N13" s="114">
        <f t="shared" si="0"/>
        <v>0</v>
      </c>
      <c r="O13" s="114">
        <f t="shared" si="0"/>
        <v>0</v>
      </c>
      <c r="P13" s="114">
        <f t="shared" si="0"/>
        <v>0</v>
      </c>
      <c r="Q13" s="114">
        <f t="shared" si="0"/>
        <v>0</v>
      </c>
      <c r="R13" s="115">
        <f t="shared" si="0"/>
        <v>0</v>
      </c>
      <c r="T13" s="792">
        <f>($T$19+$T$49)/($C$20+$C$50)</f>
        <v>0.83962364530282385</v>
      </c>
    </row>
    <row r="14" spans="1:20" ht="5.25" customHeight="1" x14ac:dyDescent="0.25">
      <c r="C14" s="116"/>
      <c r="E14" s="117"/>
      <c r="T14" s="792"/>
    </row>
    <row r="15" spans="1:20" x14ac:dyDescent="0.25">
      <c r="C15" s="118" t="s">
        <v>68</v>
      </c>
      <c r="D15" s="119"/>
      <c r="E15" s="120">
        <f>E13/($C$20+$C$50)</f>
        <v>0.83962364530282385</v>
      </c>
      <c r="F15" s="121"/>
      <c r="G15" s="122">
        <f>G13/($C$20+$C$50)</f>
        <v>0.88388902938558311</v>
      </c>
      <c r="H15" s="123">
        <f t="shared" ref="H15:R15" si="1">H13/($C$20+$C$50)</f>
        <v>0.86878866829180534</v>
      </c>
      <c r="I15" s="123">
        <f t="shared" si="1"/>
        <v>0.8161315246234544</v>
      </c>
      <c r="J15" s="123">
        <f t="shared" si="1"/>
        <v>0.78968535891045255</v>
      </c>
      <c r="K15" s="123">
        <f t="shared" si="1"/>
        <v>0</v>
      </c>
      <c r="L15" s="123">
        <f t="shared" si="1"/>
        <v>0</v>
      </c>
      <c r="M15" s="123">
        <f t="shared" si="1"/>
        <v>0</v>
      </c>
      <c r="N15" s="123">
        <f t="shared" si="1"/>
        <v>0</v>
      </c>
      <c r="O15" s="123">
        <f t="shared" si="1"/>
        <v>0</v>
      </c>
      <c r="P15" s="123">
        <f t="shared" si="1"/>
        <v>0</v>
      </c>
      <c r="Q15" s="123">
        <f t="shared" si="1"/>
        <v>0</v>
      </c>
      <c r="R15" s="124">
        <f t="shared" si="1"/>
        <v>0</v>
      </c>
      <c r="T15" s="792"/>
    </row>
    <row r="17" spans="1:20" x14ac:dyDescent="0.25">
      <c r="E17" s="125">
        <f>100%-E15</f>
        <v>0.16037635469717615</v>
      </c>
      <c r="G17" s="126" t="s">
        <v>8</v>
      </c>
      <c r="H17" s="126" t="s">
        <v>9</v>
      </c>
      <c r="I17" s="126" t="s">
        <v>10</v>
      </c>
      <c r="J17" s="126" t="s">
        <v>11</v>
      </c>
      <c r="K17" s="126" t="s">
        <v>12</v>
      </c>
      <c r="L17" s="126" t="s">
        <v>13</v>
      </c>
      <c r="M17" s="126" t="s">
        <v>14</v>
      </c>
      <c r="N17" s="126" t="s">
        <v>15</v>
      </c>
      <c r="O17" s="126" t="s">
        <v>16</v>
      </c>
      <c r="P17" s="126" t="s">
        <v>17</v>
      </c>
      <c r="Q17" s="126" t="s">
        <v>18</v>
      </c>
      <c r="R17" s="126" t="s">
        <v>19</v>
      </c>
      <c r="T17" s="126" t="s">
        <v>28</v>
      </c>
    </row>
    <row r="18" spans="1:20" ht="3.75" customHeight="1" x14ac:dyDescent="0.25"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T18" s="1"/>
    </row>
    <row r="19" spans="1:20" ht="15" customHeight="1" x14ac:dyDescent="0.25">
      <c r="A19" s="793" t="s">
        <v>58</v>
      </c>
      <c r="B19" s="794" t="s">
        <v>69</v>
      </c>
      <c r="C19" s="127" t="s">
        <v>70</v>
      </c>
      <c r="D19" s="128"/>
      <c r="E19" s="129" t="s">
        <v>71</v>
      </c>
      <c r="F19" s="128"/>
      <c r="G19" s="130">
        <f t="shared" ref="G19:R19" si="2">SUM(G21,G23,G27,G31,G33,G35,G37,G41,G45,G47,G43,G39,G29,G25)</f>
        <v>5856.2509051337838</v>
      </c>
      <c r="H19" s="131">
        <f t="shared" si="2"/>
        <v>5831.6840842673346</v>
      </c>
      <c r="I19" s="131">
        <f t="shared" si="2"/>
        <v>5558.0952217596769</v>
      </c>
      <c r="J19" s="131">
        <f t="shared" si="2"/>
        <v>5414.0933686549688</v>
      </c>
      <c r="K19" s="131">
        <f t="shared" si="2"/>
        <v>0</v>
      </c>
      <c r="L19" s="131">
        <f t="shared" si="2"/>
        <v>0</v>
      </c>
      <c r="M19" s="131">
        <f t="shared" si="2"/>
        <v>0</v>
      </c>
      <c r="N19" s="131">
        <f t="shared" si="2"/>
        <v>0</v>
      </c>
      <c r="O19" s="131">
        <f t="shared" si="2"/>
        <v>0</v>
      </c>
      <c r="P19" s="131">
        <f t="shared" si="2"/>
        <v>0</v>
      </c>
      <c r="Q19" s="131">
        <f t="shared" si="2"/>
        <v>0</v>
      </c>
      <c r="R19" s="132">
        <f t="shared" si="2"/>
        <v>0</v>
      </c>
      <c r="S19" s="128"/>
      <c r="T19" s="131">
        <f>AVERAGEIF(G19:R19,"&lt;&gt;0",G19:R19)</f>
        <v>5665.0308949539412</v>
      </c>
    </row>
    <row r="20" spans="1:20" ht="15" customHeight="1" x14ac:dyDescent="0.25">
      <c r="A20" s="790"/>
      <c r="B20" s="794"/>
      <c r="C20" s="127">
        <f>SUM(C21,C23,C27,C31,C33,C35,C37,C41,C45,C47,C43,C39,C29,C25)</f>
        <v>6711.9259180797289</v>
      </c>
      <c r="D20" s="128"/>
      <c r="E20" s="133" t="s">
        <v>72</v>
      </c>
      <c r="F20" s="128"/>
      <c r="G20" s="134">
        <f t="shared" ref="G20:R20" si="3">G19/$C$20</f>
        <v>0.87251423460425315</v>
      </c>
      <c r="H20" s="135">
        <f t="shared" si="3"/>
        <v>0.86885405998875653</v>
      </c>
      <c r="I20" s="135">
        <f t="shared" si="3"/>
        <v>0.82809245656123676</v>
      </c>
      <c r="J20" s="135">
        <f t="shared" si="3"/>
        <v>0.80663783163505653</v>
      </c>
      <c r="K20" s="135">
        <f t="shared" si="3"/>
        <v>0</v>
      </c>
      <c r="L20" s="135">
        <f t="shared" si="3"/>
        <v>0</v>
      </c>
      <c r="M20" s="135">
        <f t="shared" si="3"/>
        <v>0</v>
      </c>
      <c r="N20" s="135">
        <f t="shared" si="3"/>
        <v>0</v>
      </c>
      <c r="O20" s="135">
        <f t="shared" si="3"/>
        <v>0</v>
      </c>
      <c r="P20" s="135">
        <f t="shared" si="3"/>
        <v>0</v>
      </c>
      <c r="Q20" s="135">
        <f t="shared" si="3"/>
        <v>0</v>
      </c>
      <c r="R20" s="136">
        <f t="shared" si="3"/>
        <v>0</v>
      </c>
      <c r="S20" s="128"/>
      <c r="T20" s="137">
        <f>T19/$C$20</f>
        <v>0.84402464569732583</v>
      </c>
    </row>
    <row r="21" spans="1:20" hidden="1" outlineLevel="1" x14ac:dyDescent="0.25">
      <c r="A21" s="138"/>
      <c r="B21" s="139" t="s">
        <v>73</v>
      </c>
      <c r="C21" s="140">
        <v>3059.5280612408546</v>
      </c>
      <c r="E21" s="141" t="s">
        <v>71</v>
      </c>
      <c r="G21" s="142">
        <f>'[5]Suivi Couverture de Stock Fer'!G21</f>
        <v>2060.5951397417034</v>
      </c>
      <c r="H21" s="143">
        <f>'[5]Suivi Couverture de Stock Fer'!H21</f>
        <v>2024.2608796115999</v>
      </c>
      <c r="I21" s="143">
        <f>'[5]Suivi Couverture de Stock Fer'!I21</f>
        <v>1878.3727301432514</v>
      </c>
      <c r="J21" s="143">
        <f>'[5]Suivi Couverture de Stock Fer'!J21</f>
        <v>1905.0412936037756</v>
      </c>
      <c r="K21" s="143">
        <f>'[5]Suivi Couverture de Stock Fer'!K21</f>
        <v>0</v>
      </c>
      <c r="L21" s="143">
        <f>'[5]Suivi Couverture de Stock Fer'!L21</f>
        <v>0</v>
      </c>
      <c r="M21" s="143">
        <f>'[5]Suivi Couverture de Stock Fer'!M21</f>
        <v>0</v>
      </c>
      <c r="N21" s="143">
        <f>'[5]Suivi Couverture de Stock Fer'!N21</f>
        <v>0</v>
      </c>
      <c r="O21" s="143">
        <f>'[5]Suivi Couverture de Stock Fer'!O21</f>
        <v>0</v>
      </c>
      <c r="P21" s="143">
        <f>'[5]Suivi Couverture de Stock Fer'!P21</f>
        <v>0</v>
      </c>
      <c r="Q21" s="143">
        <f>'[5]Suivi Couverture de Stock Fer'!Q21</f>
        <v>0</v>
      </c>
      <c r="R21" s="144">
        <f>'[5]Suivi Couverture de Stock Fer'!R21</f>
        <v>0</v>
      </c>
      <c r="T21" s="145">
        <f>AVERAGE(G21:R21)</f>
        <v>655.68917025836083</v>
      </c>
    </row>
    <row r="22" spans="1:20" hidden="1" outlineLevel="1" x14ac:dyDescent="0.25">
      <c r="A22" s="146"/>
      <c r="B22" s="147" t="str">
        <f>B21</f>
        <v>BT4/4-400GR</v>
      </c>
      <c r="C22" s="148"/>
      <c r="E22" s="149" t="s">
        <v>72</v>
      </c>
      <c r="G22" s="150">
        <f t="shared" ref="G22:R22" si="4">G21/$C$21</f>
        <v>0.67350097743701898</v>
      </c>
      <c r="H22" s="151">
        <f t="shared" si="4"/>
        <v>0.66162520463715546</v>
      </c>
      <c r="I22" s="151">
        <f t="shared" si="4"/>
        <v>0.61394198469336436</v>
      </c>
      <c r="J22" s="151">
        <f t="shared" si="4"/>
        <v>0.62265854585139735</v>
      </c>
      <c r="K22" s="151">
        <f t="shared" si="4"/>
        <v>0</v>
      </c>
      <c r="L22" s="151">
        <f t="shared" si="4"/>
        <v>0</v>
      </c>
      <c r="M22" s="151">
        <f t="shared" si="4"/>
        <v>0</v>
      </c>
      <c r="N22" s="151">
        <f t="shared" si="4"/>
        <v>0</v>
      </c>
      <c r="O22" s="151">
        <f t="shared" si="4"/>
        <v>0</v>
      </c>
      <c r="P22" s="151">
        <f t="shared" si="4"/>
        <v>0</v>
      </c>
      <c r="Q22" s="151">
        <f t="shared" si="4"/>
        <v>0</v>
      </c>
      <c r="R22" s="152">
        <f t="shared" si="4"/>
        <v>0</v>
      </c>
      <c r="T22" s="153"/>
    </row>
    <row r="23" spans="1:20" hidden="1" outlineLevel="1" x14ac:dyDescent="0.25">
      <c r="A23" s="146"/>
      <c r="B23" s="112" t="s">
        <v>47</v>
      </c>
      <c r="C23" s="144">
        <v>1729.1234138157126</v>
      </c>
      <c r="E23" s="141" t="s">
        <v>71</v>
      </c>
      <c r="G23" s="142">
        <f>'[5]Suivi Couverture de Stock Fer'!G23</f>
        <v>1407.6375422259998</v>
      </c>
      <c r="H23" s="143">
        <f>'[5]Suivi Couverture de Stock Fer'!H23</f>
        <v>1412.2768443095999</v>
      </c>
      <c r="I23" s="143">
        <f>'[5]Suivi Couverture de Stock Fer'!I23</f>
        <v>1365.2569464004</v>
      </c>
      <c r="J23" s="143">
        <f>'[5]Suivi Couverture de Stock Fer'!J23</f>
        <v>1249.3721830164002</v>
      </c>
      <c r="K23" s="143">
        <f>'[5]Suivi Couverture de Stock Fer'!K23</f>
        <v>0</v>
      </c>
      <c r="L23" s="143">
        <f>'[5]Suivi Couverture de Stock Fer'!L23</f>
        <v>0</v>
      </c>
      <c r="M23" s="143">
        <f>'[5]Suivi Couverture de Stock Fer'!M23</f>
        <v>0</v>
      </c>
      <c r="N23" s="143">
        <f>'[5]Suivi Couverture de Stock Fer'!N23</f>
        <v>0</v>
      </c>
      <c r="O23" s="143">
        <f>'[5]Suivi Couverture de Stock Fer'!O23</f>
        <v>0</v>
      </c>
      <c r="P23" s="143">
        <f>'[5]Suivi Couverture de Stock Fer'!P23</f>
        <v>0</v>
      </c>
      <c r="Q23" s="143">
        <f>'[5]Suivi Couverture de Stock Fer'!Q23</f>
        <v>0</v>
      </c>
      <c r="R23" s="144">
        <f>'[5]Suivi Couverture de Stock Fer'!R23</f>
        <v>0</v>
      </c>
      <c r="T23" s="145">
        <f>AVERAGE(G23:R23)</f>
        <v>452.87862632936668</v>
      </c>
    </row>
    <row r="24" spans="1:20" hidden="1" outlineLevel="1" x14ac:dyDescent="0.25">
      <c r="A24" s="146"/>
      <c r="B24" s="147" t="str">
        <f>B23</f>
        <v>BT1/2</v>
      </c>
      <c r="C24" s="148"/>
      <c r="E24" s="149" t="s">
        <v>72</v>
      </c>
      <c r="G24" s="150">
        <f t="shared" ref="G24:R24" si="5">G23/$C$21</f>
        <v>0.46008322657942985</v>
      </c>
      <c r="H24" s="151">
        <f t="shared" si="5"/>
        <v>0.46159957223494852</v>
      </c>
      <c r="I24" s="151">
        <f t="shared" si="5"/>
        <v>0.44623122229076467</v>
      </c>
      <c r="J24" s="151">
        <f t="shared" si="5"/>
        <v>0.40835454292571238</v>
      </c>
      <c r="K24" s="151">
        <f t="shared" si="5"/>
        <v>0</v>
      </c>
      <c r="L24" s="151">
        <f t="shared" si="5"/>
        <v>0</v>
      </c>
      <c r="M24" s="151">
        <f t="shared" si="5"/>
        <v>0</v>
      </c>
      <c r="N24" s="151">
        <f t="shared" si="5"/>
        <v>0</v>
      </c>
      <c r="O24" s="151">
        <f t="shared" si="5"/>
        <v>0</v>
      </c>
      <c r="P24" s="151">
        <f t="shared" si="5"/>
        <v>0</v>
      </c>
      <c r="Q24" s="151">
        <f t="shared" si="5"/>
        <v>0</v>
      </c>
      <c r="R24" s="152">
        <f t="shared" si="5"/>
        <v>0</v>
      </c>
      <c r="T24" s="154"/>
    </row>
    <row r="25" spans="1:20" hidden="1" outlineLevel="1" x14ac:dyDescent="0.25">
      <c r="A25" s="146"/>
      <c r="B25" s="112" t="s">
        <v>48</v>
      </c>
      <c r="C25" s="144">
        <v>710.49074587860605</v>
      </c>
      <c r="E25" s="141" t="s">
        <v>71</v>
      </c>
      <c r="G25" s="142">
        <f>'[5]Suivi Couverture de Stock Fer'!G25</f>
        <v>254.73086784684003</v>
      </c>
      <c r="H25" s="143">
        <f>'[5]Suivi Couverture de Stock Fer'!H25</f>
        <v>254.53940637510004</v>
      </c>
      <c r="I25" s="143">
        <f>'[5]Suivi Couverture de Stock Fer'!I25</f>
        <v>233.30805321978002</v>
      </c>
      <c r="J25" s="143">
        <f>'[5]Suivi Couverture de Stock Fer'!J25</f>
        <v>205.59604683618002</v>
      </c>
      <c r="K25" s="143">
        <f>'[5]Suivi Couverture de Stock Fer'!K25</f>
        <v>0</v>
      </c>
      <c r="L25" s="143">
        <f>'[5]Suivi Couverture de Stock Fer'!L25</f>
        <v>0</v>
      </c>
      <c r="M25" s="143">
        <f>'[5]Suivi Couverture de Stock Fer'!M25</f>
        <v>0</v>
      </c>
      <c r="N25" s="143">
        <f>'[5]Suivi Couverture de Stock Fer'!N25</f>
        <v>0</v>
      </c>
      <c r="O25" s="143">
        <f>'[5]Suivi Couverture de Stock Fer'!O25</f>
        <v>0</v>
      </c>
      <c r="P25" s="143">
        <f>'[5]Suivi Couverture de Stock Fer'!P25</f>
        <v>0</v>
      </c>
      <c r="Q25" s="143">
        <f>'[5]Suivi Couverture de Stock Fer'!Q25</f>
        <v>0</v>
      </c>
      <c r="R25" s="144">
        <f>'[5]Suivi Couverture de Stock Fer'!R25</f>
        <v>0</v>
      </c>
      <c r="T25" s="145">
        <f>AVERAGE(G25:R25)</f>
        <v>79.014531189825007</v>
      </c>
    </row>
    <row r="26" spans="1:20" hidden="1" outlineLevel="1" x14ac:dyDescent="0.25">
      <c r="A26" s="146"/>
      <c r="B26" s="147" t="str">
        <f>B25</f>
        <v>BT1/6</v>
      </c>
      <c r="C26" s="148"/>
      <c r="E26" s="149" t="s">
        <v>72</v>
      </c>
      <c r="G26" s="150">
        <f t="shared" ref="G26:R26" si="6">G25/$C$21</f>
        <v>8.3258222427784717E-2</v>
      </c>
      <c r="H26" s="151">
        <f t="shared" si="6"/>
        <v>8.3195643667953914E-2</v>
      </c>
      <c r="I26" s="151">
        <f t="shared" si="6"/>
        <v>7.6256222708137908E-2</v>
      </c>
      <c r="J26" s="151">
        <f t="shared" si="6"/>
        <v>6.7198614531679218E-2</v>
      </c>
      <c r="K26" s="151">
        <f t="shared" si="6"/>
        <v>0</v>
      </c>
      <c r="L26" s="151">
        <f t="shared" si="6"/>
        <v>0</v>
      </c>
      <c r="M26" s="151">
        <f t="shared" si="6"/>
        <v>0</v>
      </c>
      <c r="N26" s="151">
        <f t="shared" si="6"/>
        <v>0</v>
      </c>
      <c r="O26" s="151">
        <f t="shared" si="6"/>
        <v>0</v>
      </c>
      <c r="P26" s="151">
        <f t="shared" si="6"/>
        <v>0</v>
      </c>
      <c r="Q26" s="151">
        <f t="shared" si="6"/>
        <v>0</v>
      </c>
      <c r="R26" s="152">
        <f t="shared" si="6"/>
        <v>0</v>
      </c>
      <c r="T26" s="154"/>
    </row>
    <row r="27" spans="1:20" hidden="1" outlineLevel="1" x14ac:dyDescent="0.25">
      <c r="A27" s="146"/>
      <c r="B27" s="112" t="s">
        <v>32</v>
      </c>
      <c r="C27" s="144">
        <v>413.86243922646838</v>
      </c>
      <c r="E27" s="141" t="s">
        <v>71</v>
      </c>
      <c r="G27" s="142">
        <f>'[5]Suivi Couverture de Stock Fer'!G27</f>
        <v>292.68412264478008</v>
      </c>
      <c r="H27" s="143">
        <f>'[5]Suivi Couverture de Stock Fer'!H27</f>
        <v>235.26781264348</v>
      </c>
      <c r="I27" s="143">
        <f>'[5]Suivi Couverture de Stock Fer'!I27</f>
        <v>211.09769414081995</v>
      </c>
      <c r="J27" s="143">
        <f>'[5]Suivi Couverture de Stock Fer'!J27</f>
        <v>211.72967001509997</v>
      </c>
      <c r="K27" s="143">
        <f>'[5]Suivi Couverture de Stock Fer'!K27</f>
        <v>0</v>
      </c>
      <c r="L27" s="143">
        <f>'[5]Suivi Couverture de Stock Fer'!L27</f>
        <v>0</v>
      </c>
      <c r="M27" s="143">
        <f>'[5]Suivi Couverture de Stock Fer'!M27</f>
        <v>0</v>
      </c>
      <c r="N27" s="143">
        <f>'[5]Suivi Couverture de Stock Fer'!N27</f>
        <v>0</v>
      </c>
      <c r="O27" s="143">
        <f>'[5]Suivi Couverture de Stock Fer'!O27</f>
        <v>0</v>
      </c>
      <c r="P27" s="143">
        <f>'[5]Suivi Couverture de Stock Fer'!P27</f>
        <v>0</v>
      </c>
      <c r="Q27" s="143">
        <f>'[5]Suivi Couverture de Stock Fer'!Q27</f>
        <v>0</v>
      </c>
      <c r="R27" s="144">
        <f>'[5]Suivi Couverture de Stock Fer'!R27</f>
        <v>0</v>
      </c>
      <c r="T27" s="145">
        <f>AVERAGE(G27:R27)</f>
        <v>79.231608287014993</v>
      </c>
    </row>
    <row r="28" spans="1:20" hidden="1" outlineLevel="1" x14ac:dyDescent="0.25">
      <c r="A28" s="146"/>
      <c r="B28" s="147" t="str">
        <f>B27</f>
        <v>BT1/5EMB</v>
      </c>
      <c r="C28" s="148"/>
      <c r="E28" s="149" t="s">
        <v>72</v>
      </c>
      <c r="G28" s="150">
        <f t="shared" ref="G28:R28" si="7">G27/$C$21</f>
        <v>9.5663160064652586E-2</v>
      </c>
      <c r="H28" s="151">
        <f t="shared" si="7"/>
        <v>7.6896765754147806E-2</v>
      </c>
      <c r="I28" s="151">
        <f t="shared" si="7"/>
        <v>6.8996815821066509E-2</v>
      </c>
      <c r="J28" s="151">
        <f t="shared" si="7"/>
        <v>6.9203375741953038E-2</v>
      </c>
      <c r="K28" s="151">
        <f t="shared" si="7"/>
        <v>0</v>
      </c>
      <c r="L28" s="151">
        <f t="shared" si="7"/>
        <v>0</v>
      </c>
      <c r="M28" s="151">
        <f t="shared" si="7"/>
        <v>0</v>
      </c>
      <c r="N28" s="151">
        <f t="shared" si="7"/>
        <v>0</v>
      </c>
      <c r="O28" s="151">
        <f t="shared" si="7"/>
        <v>0</v>
      </c>
      <c r="P28" s="151">
        <f t="shared" si="7"/>
        <v>0</v>
      </c>
      <c r="Q28" s="151">
        <f t="shared" si="7"/>
        <v>0</v>
      </c>
      <c r="R28" s="152">
        <f t="shared" si="7"/>
        <v>0</v>
      </c>
      <c r="T28" s="154"/>
    </row>
    <row r="29" spans="1:20" hidden="1" outlineLevel="1" x14ac:dyDescent="0.25">
      <c r="A29" s="146"/>
      <c r="B29" s="112" t="s">
        <v>50</v>
      </c>
      <c r="C29" s="144">
        <v>357.74812193677201</v>
      </c>
      <c r="E29" s="141" t="s">
        <v>71</v>
      </c>
      <c r="G29" s="142">
        <f>'[5]Suivi Couverture de Stock Fer'!G29</f>
        <v>188.34962018208</v>
      </c>
      <c r="H29" s="143">
        <f>'[5]Suivi Couverture de Stock Fer'!H29</f>
        <v>179.38234539338399</v>
      </c>
      <c r="I29" s="143">
        <f>'[5]Suivi Couverture de Stock Fer'!I29</f>
        <v>177.760962136968</v>
      </c>
      <c r="J29" s="143">
        <f>'[5]Suivi Couverture de Stock Fer'!J29</f>
        <v>166.786184166168</v>
      </c>
      <c r="K29" s="143">
        <f>'[5]Suivi Couverture de Stock Fer'!K29</f>
        <v>0</v>
      </c>
      <c r="L29" s="143">
        <f>'[5]Suivi Couverture de Stock Fer'!L29</f>
        <v>0</v>
      </c>
      <c r="M29" s="143">
        <f>'[5]Suivi Couverture de Stock Fer'!M29</f>
        <v>0</v>
      </c>
      <c r="N29" s="143">
        <f>'[5]Suivi Couverture de Stock Fer'!N29</f>
        <v>0</v>
      </c>
      <c r="O29" s="143">
        <f>'[5]Suivi Couverture de Stock Fer'!O29</f>
        <v>0</v>
      </c>
      <c r="P29" s="143">
        <f>'[5]Suivi Couverture de Stock Fer'!P29</f>
        <v>0</v>
      </c>
      <c r="Q29" s="143">
        <f>'[5]Suivi Couverture de Stock Fer'!Q29</f>
        <v>0</v>
      </c>
      <c r="R29" s="144">
        <f>'[5]Suivi Couverture de Stock Fer'!R29</f>
        <v>0</v>
      </c>
      <c r="T29" s="145">
        <f>AVERAGE(G29:R29)</f>
        <v>59.356592656549999</v>
      </c>
    </row>
    <row r="30" spans="1:20" hidden="1" outlineLevel="1" x14ac:dyDescent="0.25">
      <c r="A30" s="146"/>
      <c r="B30" s="147" t="str">
        <f>B29</f>
        <v>BT2K5HARISSA</v>
      </c>
      <c r="C30" s="148"/>
      <c r="E30" s="149" t="s">
        <v>72</v>
      </c>
      <c r="G30" s="150">
        <f t="shared" ref="G30:R30" si="8">G29/$C$21</f>
        <v>6.1561658011298294E-2</v>
      </c>
      <c r="H30" s="151">
        <f t="shared" si="8"/>
        <v>5.8630724021087023E-2</v>
      </c>
      <c r="I30" s="151">
        <f t="shared" si="8"/>
        <v>5.8100778479172825E-2</v>
      </c>
      <c r="J30" s="151">
        <f t="shared" si="8"/>
        <v>5.4513696500800984E-2</v>
      </c>
      <c r="K30" s="151">
        <f t="shared" si="8"/>
        <v>0</v>
      </c>
      <c r="L30" s="151">
        <f t="shared" si="8"/>
        <v>0</v>
      </c>
      <c r="M30" s="151">
        <f t="shared" si="8"/>
        <v>0</v>
      </c>
      <c r="N30" s="151">
        <f t="shared" si="8"/>
        <v>0</v>
      </c>
      <c r="O30" s="151">
        <f t="shared" si="8"/>
        <v>0</v>
      </c>
      <c r="P30" s="151">
        <f t="shared" si="8"/>
        <v>0</v>
      </c>
      <c r="Q30" s="151">
        <f t="shared" si="8"/>
        <v>0</v>
      </c>
      <c r="R30" s="152">
        <f t="shared" si="8"/>
        <v>0</v>
      </c>
      <c r="T30" s="154"/>
    </row>
    <row r="31" spans="1:20" hidden="1" outlineLevel="1" x14ac:dyDescent="0.25">
      <c r="A31" s="146"/>
      <c r="B31" s="112" t="s">
        <v>33</v>
      </c>
      <c r="C31" s="144">
        <v>110.85232162294935</v>
      </c>
      <c r="E31" s="141" t="s">
        <v>71</v>
      </c>
      <c r="G31" s="142">
        <f>'[5]Suivi Couverture de Stock Fer'!G31</f>
        <v>621.99554975958404</v>
      </c>
      <c r="H31" s="143">
        <f>'[5]Suivi Couverture de Stock Fer'!H31</f>
        <v>736.39885245420794</v>
      </c>
      <c r="I31" s="143">
        <f>'[5]Suivi Couverture de Stock Fer'!I31</f>
        <v>736.39885245420794</v>
      </c>
      <c r="J31" s="143">
        <f>'[5]Suivi Couverture de Stock Fer'!J31</f>
        <v>736.39885245420794</v>
      </c>
      <c r="K31" s="143">
        <f>'[5]Suivi Couverture de Stock Fer'!K31</f>
        <v>0</v>
      </c>
      <c r="L31" s="143">
        <f>'[5]Suivi Couverture de Stock Fer'!L31</f>
        <v>0</v>
      </c>
      <c r="M31" s="143">
        <f>'[5]Suivi Couverture de Stock Fer'!M31</f>
        <v>0</v>
      </c>
      <c r="N31" s="143">
        <f>'[5]Suivi Couverture de Stock Fer'!N31</f>
        <v>0</v>
      </c>
      <c r="O31" s="143">
        <f>'[5]Suivi Couverture de Stock Fer'!O31</f>
        <v>0</v>
      </c>
      <c r="P31" s="143">
        <f>'[5]Suivi Couverture de Stock Fer'!P31</f>
        <v>0</v>
      </c>
      <c r="Q31" s="143">
        <f>'[5]Suivi Couverture de Stock Fer'!Q31</f>
        <v>0</v>
      </c>
      <c r="R31" s="144">
        <f>'[5]Suivi Couverture de Stock Fer'!R31</f>
        <v>0</v>
      </c>
      <c r="T31" s="145">
        <f>AVERAGE(G31:R31)</f>
        <v>235.9326755935173</v>
      </c>
    </row>
    <row r="32" spans="1:20" hidden="1" outlineLevel="1" x14ac:dyDescent="0.25">
      <c r="A32" s="146"/>
      <c r="B32" s="147" t="str">
        <f>B31</f>
        <v>BT1/6PC</v>
      </c>
      <c r="C32" s="148"/>
      <c r="E32" s="149" t="s">
        <v>72</v>
      </c>
      <c r="G32" s="150">
        <f t="shared" ref="G32:R32" si="9">G31/$C$21</f>
        <v>0.20329787382545558</v>
      </c>
      <c r="H32" s="151">
        <f t="shared" si="9"/>
        <v>0.24069034103107595</v>
      </c>
      <c r="I32" s="151">
        <f t="shared" si="9"/>
        <v>0.24069034103107595</v>
      </c>
      <c r="J32" s="151">
        <f t="shared" si="9"/>
        <v>0.24069034103107595</v>
      </c>
      <c r="K32" s="151">
        <f t="shared" si="9"/>
        <v>0</v>
      </c>
      <c r="L32" s="151">
        <f t="shared" si="9"/>
        <v>0</v>
      </c>
      <c r="M32" s="151">
        <f t="shared" si="9"/>
        <v>0</v>
      </c>
      <c r="N32" s="151">
        <f t="shared" si="9"/>
        <v>0</v>
      </c>
      <c r="O32" s="151">
        <f t="shared" si="9"/>
        <v>0</v>
      </c>
      <c r="P32" s="151">
        <f t="shared" si="9"/>
        <v>0</v>
      </c>
      <c r="Q32" s="151">
        <f t="shared" si="9"/>
        <v>0</v>
      </c>
      <c r="R32" s="152">
        <f t="shared" si="9"/>
        <v>0</v>
      </c>
      <c r="T32" s="154"/>
    </row>
    <row r="33" spans="1:20" hidden="1" outlineLevel="1" x14ac:dyDescent="0.25">
      <c r="A33" s="146"/>
      <c r="B33" s="112" t="s">
        <v>74</v>
      </c>
      <c r="C33" s="144">
        <v>102.60396210689098</v>
      </c>
      <c r="E33" s="141" t="s">
        <v>71</v>
      </c>
      <c r="G33" s="142">
        <f>'[5]Suivi Couverture de Stock Fer'!G33</f>
        <v>54.455173175088007</v>
      </c>
      <c r="H33" s="143">
        <f>'[5]Suivi Couverture de Stock Fer'!H33</f>
        <v>42.084105892415998</v>
      </c>
      <c r="I33" s="143">
        <f>'[5]Suivi Couverture de Stock Fer'!I33</f>
        <v>31.658174974943993</v>
      </c>
      <c r="J33" s="143">
        <f>'[5]Suivi Couverture de Stock Fer'!J33</f>
        <v>30.171226286879989</v>
      </c>
      <c r="K33" s="143">
        <f>'[5]Suivi Couverture de Stock Fer'!K33</f>
        <v>0</v>
      </c>
      <c r="L33" s="143">
        <f>'[5]Suivi Couverture de Stock Fer'!L33</f>
        <v>0</v>
      </c>
      <c r="M33" s="143">
        <f>'[5]Suivi Couverture de Stock Fer'!M33</f>
        <v>0</v>
      </c>
      <c r="N33" s="143">
        <f>'[5]Suivi Couverture de Stock Fer'!N33</f>
        <v>0</v>
      </c>
      <c r="O33" s="143">
        <f>'[5]Suivi Couverture de Stock Fer'!O33</f>
        <v>0</v>
      </c>
      <c r="P33" s="143">
        <f>'[5]Suivi Couverture de Stock Fer'!P33</f>
        <v>0</v>
      </c>
      <c r="Q33" s="143">
        <f>'[5]Suivi Couverture de Stock Fer'!Q33</f>
        <v>0</v>
      </c>
      <c r="R33" s="144">
        <f>'[5]Suivi Couverture de Stock Fer'!R33</f>
        <v>0</v>
      </c>
      <c r="T33" s="145">
        <f>AVERAGE(G33:R33)</f>
        <v>13.197390027443999</v>
      </c>
    </row>
    <row r="34" spans="1:20" hidden="1" outlineLevel="1" x14ac:dyDescent="0.25">
      <c r="A34" s="146"/>
      <c r="B34" s="147" t="str">
        <f>B33</f>
        <v>BT620/700/850/1KTHON</v>
      </c>
      <c r="C34" s="148"/>
      <c r="E34" s="149" t="s">
        <v>72</v>
      </c>
      <c r="G34" s="150">
        <f t="shared" ref="G34:R34" si="10">G33/$C$21</f>
        <v>1.7798553268703339E-2</v>
      </c>
      <c r="H34" s="151">
        <f t="shared" si="10"/>
        <v>1.3755097207818359E-2</v>
      </c>
      <c r="I34" s="151">
        <f t="shared" si="10"/>
        <v>1.0347404678519068E-2</v>
      </c>
      <c r="J34" s="151">
        <f t="shared" si="10"/>
        <v>9.861398778818007E-3</v>
      </c>
      <c r="K34" s="151">
        <f t="shared" si="10"/>
        <v>0</v>
      </c>
      <c r="L34" s="151">
        <f t="shared" si="10"/>
        <v>0</v>
      </c>
      <c r="M34" s="151">
        <f t="shared" si="10"/>
        <v>0</v>
      </c>
      <c r="N34" s="151">
        <f t="shared" si="10"/>
        <v>0</v>
      </c>
      <c r="O34" s="151">
        <f t="shared" si="10"/>
        <v>0</v>
      </c>
      <c r="P34" s="151">
        <f t="shared" si="10"/>
        <v>0</v>
      </c>
      <c r="Q34" s="151">
        <f t="shared" si="10"/>
        <v>0</v>
      </c>
      <c r="R34" s="152">
        <f t="shared" si="10"/>
        <v>0</v>
      </c>
      <c r="T34" s="154"/>
    </row>
    <row r="35" spans="1:20" hidden="1" outlineLevel="1" x14ac:dyDescent="0.25">
      <c r="A35" s="146"/>
      <c r="B35" s="112" t="s">
        <v>75</v>
      </c>
      <c r="C35" s="144">
        <v>64.453393854850006</v>
      </c>
      <c r="E35" s="141" t="s">
        <v>71</v>
      </c>
      <c r="G35" s="142">
        <f>'[5]Suivi Couverture de Stock Fer'!G35</f>
        <v>56.184781260972009</v>
      </c>
      <c r="H35" s="143">
        <f>'[5]Suivi Couverture de Stock Fer'!H35</f>
        <v>53.634083033076003</v>
      </c>
      <c r="I35" s="143">
        <f>'[5]Suivi Couverture de Stock Fer'!I35</f>
        <v>42.094454502828</v>
      </c>
      <c r="J35" s="143">
        <f>'[5]Suivi Couverture de Stock Fer'!J35</f>
        <v>34.856897867063999</v>
      </c>
      <c r="K35" s="143">
        <f>'[5]Suivi Couverture de Stock Fer'!K35</f>
        <v>0</v>
      </c>
      <c r="L35" s="143">
        <f>'[5]Suivi Couverture de Stock Fer'!L35</f>
        <v>0</v>
      </c>
      <c r="M35" s="143">
        <f>'[5]Suivi Couverture de Stock Fer'!M35</f>
        <v>0</v>
      </c>
      <c r="N35" s="143">
        <f>'[5]Suivi Couverture de Stock Fer'!N35</f>
        <v>0</v>
      </c>
      <c r="O35" s="143">
        <f>'[5]Suivi Couverture de Stock Fer'!O35</f>
        <v>0</v>
      </c>
      <c r="P35" s="143">
        <f>'[5]Suivi Couverture de Stock Fer'!P35</f>
        <v>0</v>
      </c>
      <c r="Q35" s="143">
        <f>'[5]Suivi Couverture de Stock Fer'!Q35</f>
        <v>0</v>
      </c>
      <c r="R35" s="144">
        <f>'[5]Suivi Couverture de Stock Fer'!R35</f>
        <v>0</v>
      </c>
      <c r="T35" s="145">
        <f>AVERAGE(G35:R35)</f>
        <v>15.564184721995</v>
      </c>
    </row>
    <row r="36" spans="1:20" hidden="1" outlineLevel="1" x14ac:dyDescent="0.25">
      <c r="A36" s="146"/>
      <c r="B36" s="147" t="str">
        <f>B35</f>
        <v>BT2/3/4/5LRECT</v>
      </c>
      <c r="C36" s="148"/>
      <c r="E36" s="149" t="s">
        <v>72</v>
      </c>
      <c r="G36" s="150">
        <f t="shared" ref="G36:R36" si="11">G35/$C$21</f>
        <v>1.8363871857473704E-2</v>
      </c>
      <c r="H36" s="151">
        <f t="shared" si="11"/>
        <v>1.7530181766440014E-2</v>
      </c>
      <c r="I36" s="151">
        <f t="shared" si="11"/>
        <v>1.3758479628310952E-2</v>
      </c>
      <c r="J36" s="151">
        <f t="shared" si="11"/>
        <v>1.1392900202041967E-2</v>
      </c>
      <c r="K36" s="151">
        <f t="shared" si="11"/>
        <v>0</v>
      </c>
      <c r="L36" s="151">
        <f t="shared" si="11"/>
        <v>0</v>
      </c>
      <c r="M36" s="151">
        <f t="shared" si="11"/>
        <v>0</v>
      </c>
      <c r="N36" s="151">
        <f t="shared" si="11"/>
        <v>0</v>
      </c>
      <c r="O36" s="151">
        <f t="shared" si="11"/>
        <v>0</v>
      </c>
      <c r="P36" s="151">
        <f t="shared" si="11"/>
        <v>0</v>
      </c>
      <c r="Q36" s="151">
        <f t="shared" si="11"/>
        <v>0</v>
      </c>
      <c r="R36" s="152">
        <f t="shared" si="11"/>
        <v>0</v>
      </c>
      <c r="T36" s="154"/>
    </row>
    <row r="37" spans="1:20" hidden="1" outlineLevel="1" x14ac:dyDescent="0.25">
      <c r="A37" s="146"/>
      <c r="B37" s="112" t="s">
        <v>51</v>
      </c>
      <c r="C37" s="144">
        <v>59.96913519297599</v>
      </c>
      <c r="E37" s="141" t="s">
        <v>71</v>
      </c>
      <c r="G37" s="142">
        <f>'[5]Suivi Couverture de Stock Fer'!G37</f>
        <v>98.608939030655989</v>
      </c>
      <c r="H37" s="143">
        <f>'[5]Suivi Couverture de Stock Fer'!H37</f>
        <v>84.483529630272002</v>
      </c>
      <c r="I37" s="143">
        <f>'[5]Suivi Couverture de Stock Fer'!I37</f>
        <v>84.336172494911992</v>
      </c>
      <c r="J37" s="143">
        <f>'[5]Suivi Couverture de Stock Fer'!J37</f>
        <v>81.549894660479993</v>
      </c>
      <c r="K37" s="143">
        <f>'[5]Suivi Couverture de Stock Fer'!K37</f>
        <v>0</v>
      </c>
      <c r="L37" s="143">
        <f>'[5]Suivi Couverture de Stock Fer'!L37</f>
        <v>0</v>
      </c>
      <c r="M37" s="143">
        <f>'[5]Suivi Couverture de Stock Fer'!M37</f>
        <v>0</v>
      </c>
      <c r="N37" s="143">
        <f>'[5]Suivi Couverture de Stock Fer'!N37</f>
        <v>0</v>
      </c>
      <c r="O37" s="143">
        <f>'[5]Suivi Couverture de Stock Fer'!O37</f>
        <v>0</v>
      </c>
      <c r="P37" s="143">
        <f>'[5]Suivi Couverture de Stock Fer'!P37</f>
        <v>0</v>
      </c>
      <c r="Q37" s="143">
        <f>'[5]Suivi Couverture de Stock Fer'!Q37</f>
        <v>0</v>
      </c>
      <c r="R37" s="144">
        <f>'[5]Suivi Couverture de Stock Fer'!R37</f>
        <v>0</v>
      </c>
      <c r="T37" s="145">
        <f>AVERAGE(G37:R37)</f>
        <v>29.081544651359994</v>
      </c>
    </row>
    <row r="38" spans="1:20" hidden="1" outlineLevel="1" x14ac:dyDescent="0.25">
      <c r="A38" s="146"/>
      <c r="B38" s="147" t="str">
        <f>B37</f>
        <v>BT2K5THON</v>
      </c>
      <c r="C38" s="148"/>
      <c r="E38" s="149" t="s">
        <v>72</v>
      </c>
      <c r="G38" s="150">
        <f t="shared" ref="G38:R38" si="12">G37/$C$21</f>
        <v>3.2230114271500784E-2</v>
      </c>
      <c r="H38" s="151">
        <f t="shared" si="12"/>
        <v>2.7613255358085509E-2</v>
      </c>
      <c r="I38" s="151">
        <f t="shared" si="12"/>
        <v>2.7565092003342409E-2</v>
      </c>
      <c r="J38" s="151">
        <f t="shared" si="12"/>
        <v>2.6654403237408371E-2</v>
      </c>
      <c r="K38" s="151">
        <f t="shared" si="12"/>
        <v>0</v>
      </c>
      <c r="L38" s="151">
        <f t="shared" si="12"/>
        <v>0</v>
      </c>
      <c r="M38" s="151">
        <f t="shared" si="12"/>
        <v>0</v>
      </c>
      <c r="N38" s="151">
        <f t="shared" si="12"/>
        <v>0</v>
      </c>
      <c r="O38" s="151">
        <f t="shared" si="12"/>
        <v>0</v>
      </c>
      <c r="P38" s="151">
        <f t="shared" si="12"/>
        <v>0</v>
      </c>
      <c r="Q38" s="151">
        <f t="shared" si="12"/>
        <v>0</v>
      </c>
      <c r="R38" s="152">
        <f t="shared" si="12"/>
        <v>0</v>
      </c>
      <c r="T38" s="154"/>
    </row>
    <row r="39" spans="1:20" hidden="1" outlineLevel="1" x14ac:dyDescent="0.25">
      <c r="A39" s="146"/>
      <c r="B39" s="112" t="s">
        <v>76</v>
      </c>
      <c r="C39" s="144">
        <v>49.019673587884995</v>
      </c>
      <c r="E39" s="141" t="s">
        <v>71</v>
      </c>
      <c r="G39" s="142">
        <f>'[5]Suivi Couverture de Stock Fer'!G39</f>
        <v>668.85665235288889</v>
      </c>
      <c r="H39" s="143">
        <f>'[5]Suivi Couverture de Stock Fer'!H39</f>
        <v>668.85665235288889</v>
      </c>
      <c r="I39" s="143">
        <f>'[5]Suivi Couverture de Stock Fer'!I39</f>
        <v>668.85665235288889</v>
      </c>
      <c r="J39" s="143">
        <f>'[5]Suivi Couverture de Stock Fer'!J39</f>
        <v>668.12109347283285</v>
      </c>
      <c r="K39" s="143">
        <f>'[5]Suivi Couverture de Stock Fer'!K39</f>
        <v>0</v>
      </c>
      <c r="L39" s="143">
        <f>'[5]Suivi Couverture de Stock Fer'!L39</f>
        <v>0</v>
      </c>
      <c r="M39" s="143">
        <f>'[5]Suivi Couverture de Stock Fer'!M39</f>
        <v>0</v>
      </c>
      <c r="N39" s="143">
        <f>'[5]Suivi Couverture de Stock Fer'!N39</f>
        <v>0</v>
      </c>
      <c r="O39" s="143">
        <f>'[5]Suivi Couverture de Stock Fer'!O39</f>
        <v>0</v>
      </c>
      <c r="P39" s="143">
        <f>'[5]Suivi Couverture de Stock Fer'!P39</f>
        <v>0</v>
      </c>
      <c r="Q39" s="143">
        <f>'[5]Suivi Couverture de Stock Fer'!Q39</f>
        <v>0</v>
      </c>
      <c r="R39" s="144">
        <f>'[5]Suivi Couverture de Stock Fer'!R39</f>
        <v>0</v>
      </c>
      <c r="T39" s="145">
        <f>AVERAGE(G39:R39)</f>
        <v>222.89092087762495</v>
      </c>
    </row>
    <row r="40" spans="1:20" hidden="1" outlineLevel="1" x14ac:dyDescent="0.25">
      <c r="A40" s="146"/>
      <c r="B40" s="147" t="str">
        <f>B39</f>
        <v>BT5/1-3/1</v>
      </c>
      <c r="C40" s="148"/>
      <c r="E40" s="149" t="s">
        <v>72</v>
      </c>
      <c r="G40" s="150">
        <f t="shared" ref="G40:R40" si="13">G39/$C$21</f>
        <v>0.21861432187081176</v>
      </c>
      <c r="H40" s="151">
        <f t="shared" si="13"/>
        <v>0.21861432187081176</v>
      </c>
      <c r="I40" s="151">
        <f t="shared" si="13"/>
        <v>0.21861432187081176</v>
      </c>
      <c r="J40" s="151">
        <f t="shared" si="13"/>
        <v>0.21837390607290674</v>
      </c>
      <c r="K40" s="151">
        <f t="shared" si="13"/>
        <v>0</v>
      </c>
      <c r="L40" s="151">
        <f t="shared" si="13"/>
        <v>0</v>
      </c>
      <c r="M40" s="151">
        <f t="shared" si="13"/>
        <v>0</v>
      </c>
      <c r="N40" s="151">
        <f t="shared" si="13"/>
        <v>0</v>
      </c>
      <c r="O40" s="151">
        <f t="shared" si="13"/>
        <v>0</v>
      </c>
      <c r="P40" s="151">
        <f t="shared" si="13"/>
        <v>0</v>
      </c>
      <c r="Q40" s="151">
        <f t="shared" si="13"/>
        <v>0</v>
      </c>
      <c r="R40" s="152">
        <f t="shared" si="13"/>
        <v>0</v>
      </c>
      <c r="T40" s="154"/>
    </row>
    <row r="41" spans="1:20" hidden="1" outlineLevel="1" x14ac:dyDescent="0.25">
      <c r="A41" s="146"/>
      <c r="B41" s="112" t="s">
        <v>49</v>
      </c>
      <c r="C41" s="144">
        <v>28.304454596118749</v>
      </c>
      <c r="E41" s="141" t="s">
        <v>71</v>
      </c>
      <c r="G41" s="142">
        <f>'[5]Suivi Couverture de Stock Fer'!G41</f>
        <v>52.228623092625007</v>
      </c>
      <c r="H41" s="143">
        <f>'[5]Suivi Couverture de Stock Fer'!H41</f>
        <v>52.228623092625007</v>
      </c>
      <c r="I41" s="143">
        <f>'[5]Suivi Couverture de Stock Fer'!I41</f>
        <v>50.89288854667501</v>
      </c>
      <c r="J41" s="143">
        <f>'[5]Suivi Couverture de Stock Fer'!J41</f>
        <v>48.473841731175007</v>
      </c>
      <c r="K41" s="143">
        <f>'[5]Suivi Couverture de Stock Fer'!K41</f>
        <v>0</v>
      </c>
      <c r="L41" s="143">
        <f>'[5]Suivi Couverture de Stock Fer'!L41</f>
        <v>0</v>
      </c>
      <c r="M41" s="143">
        <f>'[5]Suivi Couverture de Stock Fer'!M41</f>
        <v>0</v>
      </c>
      <c r="N41" s="143">
        <f>'[5]Suivi Couverture de Stock Fer'!N41</f>
        <v>0</v>
      </c>
      <c r="O41" s="143">
        <f>'[5]Suivi Couverture de Stock Fer'!O41</f>
        <v>0</v>
      </c>
      <c r="P41" s="143">
        <f>'[5]Suivi Couverture de Stock Fer'!P41</f>
        <v>0</v>
      </c>
      <c r="Q41" s="143">
        <f>'[5]Suivi Couverture de Stock Fer'!Q41</f>
        <v>0</v>
      </c>
      <c r="R41" s="144">
        <f>'[5]Suivi Couverture de Stock Fer'!R41</f>
        <v>0</v>
      </c>
      <c r="T41" s="145">
        <f>AVERAGE(G41:R41)</f>
        <v>16.985331371925003</v>
      </c>
    </row>
    <row r="42" spans="1:20" hidden="1" outlineLevel="1" x14ac:dyDescent="0.25">
      <c r="A42" s="146"/>
      <c r="B42" s="147" t="str">
        <f>B41</f>
        <v>BT1-9KGTHON</v>
      </c>
      <c r="C42" s="148"/>
      <c r="E42" s="149" t="s">
        <v>72</v>
      </c>
      <c r="G42" s="150">
        <f t="shared" ref="G42:R42" si="14">G41/$C$21</f>
        <v>1.7070810284198736E-2</v>
      </c>
      <c r="H42" s="151">
        <f t="shared" si="14"/>
        <v>1.7070810284198736E-2</v>
      </c>
      <c r="I42" s="151">
        <f t="shared" si="14"/>
        <v>1.6634228393392916E-2</v>
      </c>
      <c r="J42" s="151">
        <f t="shared" si="14"/>
        <v>1.5843568276185525E-2</v>
      </c>
      <c r="K42" s="151">
        <f t="shared" si="14"/>
        <v>0</v>
      </c>
      <c r="L42" s="151">
        <f t="shared" si="14"/>
        <v>0</v>
      </c>
      <c r="M42" s="151">
        <f t="shared" si="14"/>
        <v>0</v>
      </c>
      <c r="N42" s="151">
        <f t="shared" si="14"/>
        <v>0</v>
      </c>
      <c r="O42" s="151">
        <f t="shared" si="14"/>
        <v>0</v>
      </c>
      <c r="P42" s="151">
        <f t="shared" si="14"/>
        <v>0</v>
      </c>
      <c r="Q42" s="151">
        <f t="shared" si="14"/>
        <v>0</v>
      </c>
      <c r="R42" s="152">
        <f t="shared" si="14"/>
        <v>0</v>
      </c>
      <c r="T42" s="154"/>
    </row>
    <row r="43" spans="1:20" hidden="1" outlineLevel="1" x14ac:dyDescent="0.25">
      <c r="A43" s="146"/>
      <c r="B43" s="112" t="s">
        <v>34</v>
      </c>
      <c r="C43" s="144">
        <v>13.716233291994444</v>
      </c>
      <c r="E43" s="141" t="s">
        <v>71</v>
      </c>
      <c r="G43" s="142">
        <f>'[5]Suivi Couverture de Stock Fer'!G43</f>
        <v>60.040811452050008</v>
      </c>
      <c r="H43" s="143">
        <f>'[5]Suivi Couverture de Stock Fer'!H43</f>
        <v>53.231004959000011</v>
      </c>
      <c r="I43" s="143">
        <f>'[5]Suivi Couverture de Stock Fer'!I43</f>
        <v>52.818489421500011</v>
      </c>
      <c r="J43" s="143">
        <f>'[5]Suivi Couverture de Stock Fer'!J43</f>
        <v>52.818489421500011</v>
      </c>
      <c r="K43" s="143">
        <f>'[5]Suivi Couverture de Stock Fer'!K43</f>
        <v>0</v>
      </c>
      <c r="L43" s="143">
        <f>'[5]Suivi Couverture de Stock Fer'!L43</f>
        <v>0</v>
      </c>
      <c r="M43" s="143">
        <f>'[5]Suivi Couverture de Stock Fer'!M43</f>
        <v>0</v>
      </c>
      <c r="N43" s="143">
        <f>'[5]Suivi Couverture de Stock Fer'!N43</f>
        <v>0</v>
      </c>
      <c r="O43" s="143">
        <f>'[5]Suivi Couverture de Stock Fer'!O43</f>
        <v>0</v>
      </c>
      <c r="P43" s="143">
        <f>'[5]Suivi Couverture de Stock Fer'!P43</f>
        <v>0</v>
      </c>
      <c r="Q43" s="143">
        <f>'[5]Suivi Couverture de Stock Fer'!Q43</f>
        <v>0</v>
      </c>
      <c r="R43" s="144">
        <f>'[5]Suivi Couverture de Stock Fer'!R43</f>
        <v>0</v>
      </c>
      <c r="T43" s="145">
        <f>AVERAGE(G43:R43)</f>
        <v>18.242399604504168</v>
      </c>
    </row>
    <row r="44" spans="1:20" hidden="1" outlineLevel="1" x14ac:dyDescent="0.25">
      <c r="A44" s="146"/>
      <c r="B44" s="147" t="str">
        <f>B43</f>
        <v>BT185GCHAMIA</v>
      </c>
      <c r="C44" s="148"/>
      <c r="E44" s="149" t="s">
        <v>72</v>
      </c>
      <c r="G44" s="150">
        <f t="shared" ref="G44:R44" si="15">G43/$C$21</f>
        <v>1.9624206822178719E-2</v>
      </c>
      <c r="H44" s="151">
        <f t="shared" si="15"/>
        <v>1.739843658678884E-2</v>
      </c>
      <c r="I44" s="151">
        <f t="shared" si="15"/>
        <v>1.7263606793028852E-2</v>
      </c>
      <c r="J44" s="151">
        <f t="shared" si="15"/>
        <v>1.7263606793028852E-2</v>
      </c>
      <c r="K44" s="151">
        <f t="shared" si="15"/>
        <v>0</v>
      </c>
      <c r="L44" s="151">
        <f t="shared" si="15"/>
        <v>0</v>
      </c>
      <c r="M44" s="151">
        <f t="shared" si="15"/>
        <v>0</v>
      </c>
      <c r="N44" s="151">
        <f t="shared" si="15"/>
        <v>0</v>
      </c>
      <c r="O44" s="151">
        <f t="shared" si="15"/>
        <v>0</v>
      </c>
      <c r="P44" s="151">
        <f t="shared" si="15"/>
        <v>0</v>
      </c>
      <c r="Q44" s="151">
        <f t="shared" si="15"/>
        <v>0</v>
      </c>
      <c r="R44" s="152">
        <f t="shared" si="15"/>
        <v>0</v>
      </c>
      <c r="T44" s="154"/>
    </row>
    <row r="45" spans="1:20" hidden="1" outlineLevel="1" x14ac:dyDescent="0.25">
      <c r="A45" s="146"/>
      <c r="B45" s="112" t="s">
        <v>77</v>
      </c>
      <c r="C45" s="144">
        <v>10.727788373612308</v>
      </c>
      <c r="E45" s="141" t="s">
        <v>71</v>
      </c>
      <c r="G45" s="142">
        <f>'[5]Suivi Couverture de Stock Fer'!G45</f>
        <v>17.874420519167998</v>
      </c>
      <c r="H45" s="143">
        <f>'[5]Suivi Couverture de Stock Fer'!H45</f>
        <v>13.031282670335999</v>
      </c>
      <c r="I45" s="143">
        <f>'[5]Suivi Couverture de Stock Fer'!I45</f>
        <v>3.2344891211520004</v>
      </c>
      <c r="J45" s="143">
        <f>'[5]Suivi Couverture de Stock Fer'!J45</f>
        <v>1.1690332738560001</v>
      </c>
      <c r="K45" s="143">
        <f>'[5]Suivi Couverture de Stock Fer'!K45</f>
        <v>0</v>
      </c>
      <c r="L45" s="143">
        <f>'[5]Suivi Couverture de Stock Fer'!L45</f>
        <v>0</v>
      </c>
      <c r="M45" s="143">
        <f>'[5]Suivi Couverture de Stock Fer'!M45</f>
        <v>0</v>
      </c>
      <c r="N45" s="143">
        <f>'[5]Suivi Couverture de Stock Fer'!N45</f>
        <v>0</v>
      </c>
      <c r="O45" s="143">
        <f>'[5]Suivi Couverture de Stock Fer'!O45</f>
        <v>0</v>
      </c>
      <c r="P45" s="143">
        <f>'[5]Suivi Couverture de Stock Fer'!P45</f>
        <v>0</v>
      </c>
      <c r="Q45" s="143">
        <f>'[5]Suivi Couverture de Stock Fer'!Q45</f>
        <v>0</v>
      </c>
      <c r="R45" s="144">
        <f>'[5]Suivi Couverture de Stock Fer'!R45</f>
        <v>0</v>
      </c>
      <c r="T45" s="145">
        <f>AVERAGE(G45:R45)</f>
        <v>2.9424354653760001</v>
      </c>
    </row>
    <row r="46" spans="1:20" hidden="1" outlineLevel="1" x14ac:dyDescent="0.25">
      <c r="A46" s="146"/>
      <c r="B46" s="147" t="str">
        <f>B45</f>
        <v>BT2KG/5KGCHAMIA</v>
      </c>
      <c r="C46" s="148"/>
      <c r="E46" s="149" t="s">
        <v>72</v>
      </c>
      <c r="G46" s="150">
        <f t="shared" ref="G46:R46" si="16">G45/$C$21</f>
        <v>5.8422149303375432E-3</v>
      </c>
      <c r="H46" s="151">
        <f t="shared" si="16"/>
        <v>4.2592460044477889E-3</v>
      </c>
      <c r="I46" s="151">
        <f t="shared" si="16"/>
        <v>1.0571856366109571E-3</v>
      </c>
      <c r="J46" s="151">
        <f t="shared" si="16"/>
        <v>3.8209594762856155E-4</v>
      </c>
      <c r="K46" s="151">
        <f t="shared" si="16"/>
        <v>0</v>
      </c>
      <c r="L46" s="151">
        <f t="shared" si="16"/>
        <v>0</v>
      </c>
      <c r="M46" s="151">
        <f t="shared" si="16"/>
        <v>0</v>
      </c>
      <c r="N46" s="151">
        <f t="shared" si="16"/>
        <v>0</v>
      </c>
      <c r="O46" s="151">
        <f t="shared" si="16"/>
        <v>0</v>
      </c>
      <c r="P46" s="151">
        <f t="shared" si="16"/>
        <v>0</v>
      </c>
      <c r="Q46" s="151">
        <f t="shared" si="16"/>
        <v>0</v>
      </c>
      <c r="R46" s="152">
        <f t="shared" si="16"/>
        <v>0</v>
      </c>
      <c r="T46" s="154"/>
    </row>
    <row r="47" spans="1:20" hidden="1" outlineLevel="1" x14ac:dyDescent="0.25">
      <c r="A47" s="146"/>
      <c r="B47" s="112" t="s">
        <v>54</v>
      </c>
      <c r="C47" s="144">
        <v>1.5261733540377551</v>
      </c>
      <c r="E47" s="141" t="s">
        <v>71</v>
      </c>
      <c r="G47" s="142">
        <f>'[5]Suivi Couverture de Stock Fer'!G47</f>
        <v>22.008661849349998</v>
      </c>
      <c r="H47" s="143">
        <f>'[5]Suivi Couverture de Stock Fer'!H47</f>
        <v>22.008661849349998</v>
      </c>
      <c r="I47" s="143">
        <f>'[5]Suivi Couverture de Stock Fer'!I47</f>
        <v>22.008661849349998</v>
      </c>
      <c r="J47" s="143">
        <f>'[5]Suivi Couverture de Stock Fer'!J47</f>
        <v>22.008661849349998</v>
      </c>
      <c r="K47" s="143">
        <f>'[5]Suivi Couverture de Stock Fer'!K47</f>
        <v>0</v>
      </c>
      <c r="L47" s="143">
        <f>'[5]Suivi Couverture de Stock Fer'!L47</f>
        <v>0</v>
      </c>
      <c r="M47" s="143">
        <f>'[5]Suivi Couverture de Stock Fer'!M47</f>
        <v>0</v>
      </c>
      <c r="N47" s="143">
        <f>'[5]Suivi Couverture de Stock Fer'!N47</f>
        <v>0</v>
      </c>
      <c r="O47" s="143">
        <f>'[5]Suivi Couverture de Stock Fer'!O47</f>
        <v>0</v>
      </c>
      <c r="P47" s="143">
        <f>'[5]Suivi Couverture de Stock Fer'!P47</f>
        <v>0</v>
      </c>
      <c r="Q47" s="143">
        <f>'[5]Suivi Couverture de Stock Fer'!Q47</f>
        <v>0</v>
      </c>
      <c r="R47" s="144">
        <f>'[5]Suivi Couverture de Stock Fer'!R47</f>
        <v>0</v>
      </c>
      <c r="T47" s="145">
        <f>AVERAGE(G47:R47)</f>
        <v>7.3362206164499995</v>
      </c>
    </row>
    <row r="48" spans="1:20" hidden="1" outlineLevel="1" x14ac:dyDescent="0.25">
      <c r="A48" s="155"/>
      <c r="B48" s="156" t="str">
        <f>B47</f>
        <v>BT1/10EMB</v>
      </c>
      <c r="C48" s="157"/>
      <c r="E48" s="141" t="s">
        <v>72</v>
      </c>
      <c r="G48" s="158">
        <f t="shared" ref="G48:R48" si="17">G47/$C$21</f>
        <v>7.1934825923524728E-3</v>
      </c>
      <c r="H48" s="159">
        <f t="shared" si="17"/>
        <v>7.1934825923524728E-3</v>
      </c>
      <c r="I48" s="159">
        <f t="shared" si="17"/>
        <v>7.1934825923524728E-3</v>
      </c>
      <c r="J48" s="159">
        <f t="shared" si="17"/>
        <v>7.1934825923524728E-3</v>
      </c>
      <c r="K48" s="159">
        <f t="shared" si="17"/>
        <v>0</v>
      </c>
      <c r="L48" s="159">
        <f t="shared" si="17"/>
        <v>0</v>
      </c>
      <c r="M48" s="159">
        <f t="shared" si="17"/>
        <v>0</v>
      </c>
      <c r="N48" s="159">
        <f t="shared" si="17"/>
        <v>0</v>
      </c>
      <c r="O48" s="159">
        <f t="shared" si="17"/>
        <v>0</v>
      </c>
      <c r="P48" s="159">
        <f t="shared" si="17"/>
        <v>0</v>
      </c>
      <c r="Q48" s="159">
        <f t="shared" si="17"/>
        <v>0</v>
      </c>
      <c r="R48" s="160">
        <f t="shared" si="17"/>
        <v>0</v>
      </c>
      <c r="T48" s="145"/>
    </row>
    <row r="49" spans="1:20" ht="15" customHeight="1" collapsed="1" x14ac:dyDescent="0.25">
      <c r="A49" s="790" t="s">
        <v>63</v>
      </c>
      <c r="B49" s="794" t="s">
        <v>78</v>
      </c>
      <c r="C49" s="127" t="s">
        <v>70</v>
      </c>
      <c r="D49" s="128"/>
      <c r="E49" s="129" t="s">
        <v>71</v>
      </c>
      <c r="F49" s="128"/>
      <c r="G49" s="130">
        <f t="shared" ref="G49:R49" si="18">SUM(G51,G53,G55,G57,G59,G61,G63,G65,G67,G69,G71,G73,G75,G77)</f>
        <v>1474.9759161228137</v>
      </c>
      <c r="H49" s="131">
        <f t="shared" si="18"/>
        <v>1374.2960503793877</v>
      </c>
      <c r="I49" s="131">
        <f t="shared" si="18"/>
        <v>1211.1315975296579</v>
      </c>
      <c r="J49" s="131">
        <f t="shared" si="18"/>
        <v>1135.7814359031395</v>
      </c>
      <c r="K49" s="131">
        <f t="shared" si="18"/>
        <v>0</v>
      </c>
      <c r="L49" s="131">
        <f t="shared" si="18"/>
        <v>0</v>
      </c>
      <c r="M49" s="131">
        <f t="shared" si="18"/>
        <v>0</v>
      </c>
      <c r="N49" s="131">
        <f t="shared" si="18"/>
        <v>0</v>
      </c>
      <c r="O49" s="131">
        <f t="shared" si="18"/>
        <v>0</v>
      </c>
      <c r="P49" s="131">
        <f t="shared" si="18"/>
        <v>0</v>
      </c>
      <c r="Q49" s="131">
        <f t="shared" si="18"/>
        <v>0</v>
      </c>
      <c r="R49" s="132">
        <f t="shared" si="18"/>
        <v>0</v>
      </c>
      <c r="S49" s="128"/>
      <c r="T49" s="131">
        <f>AVERAGEIF(G49:R49,"&lt;&gt;0",G49:R49)</f>
        <v>1299.0462499837497</v>
      </c>
    </row>
    <row r="50" spans="1:20" ht="15" customHeight="1" x14ac:dyDescent="0.25">
      <c r="A50" s="790"/>
      <c r="B50" s="794"/>
      <c r="C50" s="127">
        <f>SUM(C51,C53,C57,C61,C63,C65,C67,C71,C75,C77,C73,C69,C59,C55)</f>
        <v>1582.3582935398513</v>
      </c>
      <c r="D50" s="128"/>
      <c r="E50" s="161" t="s">
        <v>72</v>
      </c>
      <c r="F50" s="128"/>
      <c r="G50" s="162">
        <f t="shared" ref="G50:R50" si="19">G49/$C$50</f>
        <v>0.93213776054674991</v>
      </c>
      <c r="H50" s="163">
        <f t="shared" si="19"/>
        <v>0.86851129481236955</v>
      </c>
      <c r="I50" s="163">
        <f t="shared" si="19"/>
        <v>0.76539656187491389</v>
      </c>
      <c r="J50" s="163">
        <f t="shared" si="19"/>
        <v>0.7177776616965259</v>
      </c>
      <c r="K50" s="163">
        <f t="shared" si="19"/>
        <v>0</v>
      </c>
      <c r="L50" s="163">
        <f t="shared" si="19"/>
        <v>0</v>
      </c>
      <c r="M50" s="163">
        <f t="shared" si="19"/>
        <v>0</v>
      </c>
      <c r="N50" s="163">
        <f t="shared" si="19"/>
        <v>0</v>
      </c>
      <c r="O50" s="163">
        <f t="shared" si="19"/>
        <v>0</v>
      </c>
      <c r="P50" s="163">
        <f t="shared" si="19"/>
        <v>0</v>
      </c>
      <c r="Q50" s="163">
        <f t="shared" si="19"/>
        <v>0</v>
      </c>
      <c r="R50" s="164">
        <f t="shared" si="19"/>
        <v>0</v>
      </c>
      <c r="S50" s="128"/>
      <c r="T50" s="165">
        <f>T49/$C$50</f>
        <v>0.82095581973263987</v>
      </c>
    </row>
    <row r="51" spans="1:20" hidden="1" outlineLevel="1" x14ac:dyDescent="0.25">
      <c r="A51" s="138"/>
      <c r="B51" s="139" t="s">
        <v>79</v>
      </c>
      <c r="C51" s="140">
        <v>546.91715105273965</v>
      </c>
      <c r="E51" s="141" t="s">
        <v>71</v>
      </c>
      <c r="G51" s="166">
        <f>'[5]Suivi Couverture de Stock Fer'!G51</f>
        <v>665.78639820605986</v>
      </c>
      <c r="H51" s="167">
        <f>'[5]Suivi Couverture de Stock Fer'!H51</f>
        <v>658.40580222569986</v>
      </c>
      <c r="I51" s="167">
        <f>'[5]Suivi Couverture de Stock Fer'!I51</f>
        <v>623.55226725341981</v>
      </c>
      <c r="J51" s="167">
        <f>'[5]Suivi Couverture de Stock Fer'!J51</f>
        <v>590.27256762785976</v>
      </c>
      <c r="K51" s="167">
        <f>'[5]Suivi Couverture de Stock Fer'!K51</f>
        <v>0</v>
      </c>
      <c r="L51" s="167">
        <f>'[5]Suivi Couverture de Stock Fer'!L51</f>
        <v>0</v>
      </c>
      <c r="M51" s="167">
        <f>'[5]Suivi Couverture de Stock Fer'!M51</f>
        <v>0</v>
      </c>
      <c r="N51" s="167">
        <f>'[5]Suivi Couverture de Stock Fer'!N51</f>
        <v>0</v>
      </c>
      <c r="O51" s="167">
        <f>'[5]Suivi Couverture de Stock Fer'!O51</f>
        <v>0</v>
      </c>
      <c r="P51" s="167">
        <f>'[5]Suivi Couverture de Stock Fer'!P51</f>
        <v>0</v>
      </c>
      <c r="Q51" s="167">
        <f>'[5]Suivi Couverture de Stock Fer'!Q51</f>
        <v>0</v>
      </c>
      <c r="R51" s="168">
        <f>'[5]Suivi Couverture de Stock Fer'!R51</f>
        <v>0</v>
      </c>
      <c r="T51" s="145">
        <f>AVERAGE(G51:R51)</f>
        <v>211.50141960941994</v>
      </c>
    </row>
    <row r="52" spans="1:20" hidden="1" outlineLevel="1" x14ac:dyDescent="0.25">
      <c r="A52" s="146"/>
      <c r="B52" s="147" t="str">
        <f>B51</f>
        <v>BD18L/SC20L</v>
      </c>
      <c r="C52" s="148"/>
      <c r="E52" s="149" t="s">
        <v>72</v>
      </c>
      <c r="G52" s="150">
        <f t="shared" ref="G52:R52" si="20">G51/$C$21</f>
        <v>0.21761081607339025</v>
      </c>
      <c r="H52" s="151">
        <f t="shared" si="20"/>
        <v>0.21519848455276785</v>
      </c>
      <c r="I52" s="151">
        <f t="shared" si="20"/>
        <v>0.20380668350547024</v>
      </c>
      <c r="J52" s="151">
        <f t="shared" si="20"/>
        <v>0.19292928707065446</v>
      </c>
      <c r="K52" s="151">
        <f t="shared" si="20"/>
        <v>0</v>
      </c>
      <c r="L52" s="151">
        <f t="shared" si="20"/>
        <v>0</v>
      </c>
      <c r="M52" s="151">
        <f t="shared" si="20"/>
        <v>0</v>
      </c>
      <c r="N52" s="151">
        <f t="shared" si="20"/>
        <v>0</v>
      </c>
      <c r="O52" s="151">
        <f t="shared" si="20"/>
        <v>0</v>
      </c>
      <c r="P52" s="151">
        <f t="shared" si="20"/>
        <v>0</v>
      </c>
      <c r="Q52" s="151">
        <f t="shared" si="20"/>
        <v>0</v>
      </c>
      <c r="R52" s="152">
        <f t="shared" si="20"/>
        <v>0</v>
      </c>
      <c r="T52" s="153"/>
    </row>
    <row r="53" spans="1:20" hidden="1" outlineLevel="1" x14ac:dyDescent="0.25">
      <c r="A53" s="146"/>
      <c r="B53" s="112" t="s">
        <v>45</v>
      </c>
      <c r="C53" s="144">
        <v>274.57739607144015</v>
      </c>
      <c r="E53" s="141" t="s">
        <v>71</v>
      </c>
      <c r="G53" s="166">
        <f>'[5]Suivi Couverture de Stock Fer'!G53</f>
        <v>171.89126700519606</v>
      </c>
      <c r="H53" s="167">
        <f>'[5]Suivi Couverture de Stock Fer'!H53</f>
        <v>154.50133205158198</v>
      </c>
      <c r="I53" s="167">
        <f>'[5]Suivi Couverture de Stock Fer'!I53</f>
        <v>129.79922752472402</v>
      </c>
      <c r="J53" s="167">
        <f>'[5]Suivi Couverture de Stock Fer'!J53</f>
        <v>109.45543902670796</v>
      </c>
      <c r="K53" s="167">
        <f>'[5]Suivi Couverture de Stock Fer'!K53</f>
        <v>0</v>
      </c>
      <c r="L53" s="167">
        <f>'[5]Suivi Couverture de Stock Fer'!L53</f>
        <v>0</v>
      </c>
      <c r="M53" s="167">
        <f>'[5]Suivi Couverture de Stock Fer'!M53</f>
        <v>0</v>
      </c>
      <c r="N53" s="167">
        <f>'[5]Suivi Couverture de Stock Fer'!N53</f>
        <v>0</v>
      </c>
      <c r="O53" s="167">
        <f>'[5]Suivi Couverture de Stock Fer'!O53</f>
        <v>0</v>
      </c>
      <c r="P53" s="167">
        <f>'[5]Suivi Couverture de Stock Fer'!P53</f>
        <v>0</v>
      </c>
      <c r="Q53" s="167">
        <f>'[5]Suivi Couverture de Stock Fer'!Q53</f>
        <v>0</v>
      </c>
      <c r="R53" s="168">
        <f>'[5]Suivi Couverture de Stock Fer'!R53</f>
        <v>0</v>
      </c>
      <c r="T53" s="145">
        <f>AVERAGE(G53:R53)</f>
        <v>47.137272134017508</v>
      </c>
    </row>
    <row r="54" spans="1:20" hidden="1" outlineLevel="1" x14ac:dyDescent="0.25">
      <c r="A54" s="146"/>
      <c r="B54" s="147" t="str">
        <f>B53</f>
        <v>SC5L</v>
      </c>
      <c r="C54" s="148"/>
      <c r="E54" s="149" t="s">
        <v>72</v>
      </c>
      <c r="G54" s="150">
        <f t="shared" ref="G54:R54" si="21">G53/$C$21</f>
        <v>5.6182281569099914E-2</v>
      </c>
      <c r="H54" s="151">
        <f t="shared" si="21"/>
        <v>5.0498419677484765E-2</v>
      </c>
      <c r="I54" s="151">
        <f t="shared" si="21"/>
        <v>4.2424591285520445E-2</v>
      </c>
      <c r="J54" s="151">
        <f t="shared" si="21"/>
        <v>3.5775268876702522E-2</v>
      </c>
      <c r="K54" s="151">
        <f t="shared" si="21"/>
        <v>0</v>
      </c>
      <c r="L54" s="151">
        <f t="shared" si="21"/>
        <v>0</v>
      </c>
      <c r="M54" s="151">
        <f t="shared" si="21"/>
        <v>0</v>
      </c>
      <c r="N54" s="151">
        <f t="shared" si="21"/>
        <v>0</v>
      </c>
      <c r="O54" s="151">
        <f t="shared" si="21"/>
        <v>0</v>
      </c>
      <c r="P54" s="151">
        <f t="shared" si="21"/>
        <v>0</v>
      </c>
      <c r="Q54" s="151">
        <f t="shared" si="21"/>
        <v>0</v>
      </c>
      <c r="R54" s="152">
        <f t="shared" si="21"/>
        <v>0</v>
      </c>
      <c r="T54" s="154"/>
    </row>
    <row r="55" spans="1:20" hidden="1" outlineLevel="1" x14ac:dyDescent="0.25">
      <c r="A55" s="146"/>
      <c r="B55" s="112" t="s">
        <v>80</v>
      </c>
      <c r="C55" s="144">
        <v>157.89211232558398</v>
      </c>
      <c r="E55" s="141" t="s">
        <v>71</v>
      </c>
      <c r="G55" s="166">
        <f>'[5]Suivi Couverture de Stock Fer'!G55</f>
        <v>192.14544986027198</v>
      </c>
      <c r="H55" s="167">
        <f>'[5]Suivi Couverture de Stock Fer'!H55</f>
        <v>185.73906704319998</v>
      </c>
      <c r="I55" s="167">
        <f>'[5]Suivi Couverture de Stock Fer'!I55</f>
        <v>180.50438506312</v>
      </c>
      <c r="J55" s="167">
        <f>'[5]Suivi Couverture de Stock Fer'!J55</f>
        <v>178.43040225443201</v>
      </c>
      <c r="K55" s="167">
        <f>'[5]Suivi Couverture de Stock Fer'!K55</f>
        <v>0</v>
      </c>
      <c r="L55" s="167">
        <f>'[5]Suivi Couverture de Stock Fer'!L55</f>
        <v>0</v>
      </c>
      <c r="M55" s="167">
        <f>'[5]Suivi Couverture de Stock Fer'!M55</f>
        <v>0</v>
      </c>
      <c r="N55" s="167">
        <f>'[5]Suivi Couverture de Stock Fer'!N55</f>
        <v>0</v>
      </c>
      <c r="O55" s="167">
        <f>'[5]Suivi Couverture de Stock Fer'!O55</f>
        <v>0</v>
      </c>
      <c r="P55" s="167">
        <f>'[5]Suivi Couverture de Stock Fer'!P55</f>
        <v>0</v>
      </c>
      <c r="Q55" s="167">
        <f>'[5]Suivi Couverture de Stock Fer'!Q55</f>
        <v>0</v>
      </c>
      <c r="R55" s="168">
        <f>'[5]Suivi Couverture de Stock Fer'!R55</f>
        <v>0</v>
      </c>
      <c r="T55" s="145">
        <f>AVERAGE(G55:R55)</f>
        <v>61.401608685085336</v>
      </c>
    </row>
    <row r="56" spans="1:20" hidden="1" outlineLevel="1" x14ac:dyDescent="0.25">
      <c r="A56" s="146"/>
      <c r="B56" s="147" t="str">
        <f>B55</f>
        <v>SC18L/BD16L</v>
      </c>
      <c r="C56" s="148"/>
      <c r="E56" s="149" t="s">
        <v>72</v>
      </c>
      <c r="G56" s="150">
        <f t="shared" ref="G56:R56" si="22">G55/$C$21</f>
        <v>6.2802316571119607E-2</v>
      </c>
      <c r="H56" s="151">
        <f t="shared" si="22"/>
        <v>6.0708404474600464E-2</v>
      </c>
      <c r="I56" s="151">
        <f t="shared" si="22"/>
        <v>5.8997460212838422E-2</v>
      </c>
      <c r="J56" s="151">
        <f t="shared" si="22"/>
        <v>5.8319583505328558E-2</v>
      </c>
      <c r="K56" s="151">
        <f t="shared" si="22"/>
        <v>0</v>
      </c>
      <c r="L56" s="151">
        <f t="shared" si="22"/>
        <v>0</v>
      </c>
      <c r="M56" s="151">
        <f t="shared" si="22"/>
        <v>0</v>
      </c>
      <c r="N56" s="151">
        <f t="shared" si="22"/>
        <v>0</v>
      </c>
      <c r="O56" s="151">
        <f t="shared" si="22"/>
        <v>0</v>
      </c>
      <c r="P56" s="151">
        <f t="shared" si="22"/>
        <v>0</v>
      </c>
      <c r="Q56" s="151">
        <f t="shared" si="22"/>
        <v>0</v>
      </c>
      <c r="R56" s="152">
        <f t="shared" si="22"/>
        <v>0</v>
      </c>
      <c r="T56" s="154"/>
    </row>
    <row r="57" spans="1:20" hidden="1" outlineLevel="1" x14ac:dyDescent="0.25">
      <c r="A57" s="146"/>
      <c r="B57" s="112" t="s">
        <v>40</v>
      </c>
      <c r="C57" s="144">
        <v>119.42502985215</v>
      </c>
      <c r="E57" s="141" t="s">
        <v>71</v>
      </c>
      <c r="G57" s="166">
        <f>'[5]Suivi Couverture de Stock Fer'!G57</f>
        <v>45.409225274423996</v>
      </c>
      <c r="H57" s="167">
        <f>'[5]Suivi Couverture de Stock Fer'!H57</f>
        <v>38.99800262714399</v>
      </c>
      <c r="I57" s="167">
        <f>'[5]Suivi Couverture de Stock Fer'!I57</f>
        <v>27.050797278252002</v>
      </c>
      <c r="J57" s="167">
        <f>'[5]Suivi Couverture de Stock Fer'!J57</f>
        <v>23.881204059371996</v>
      </c>
      <c r="K57" s="167">
        <f>'[5]Suivi Couverture de Stock Fer'!K57</f>
        <v>0</v>
      </c>
      <c r="L57" s="167">
        <f>'[5]Suivi Couverture de Stock Fer'!L57</f>
        <v>0</v>
      </c>
      <c r="M57" s="167">
        <f>'[5]Suivi Couverture de Stock Fer'!M57</f>
        <v>0</v>
      </c>
      <c r="N57" s="167">
        <f>'[5]Suivi Couverture de Stock Fer'!N57</f>
        <v>0</v>
      </c>
      <c r="O57" s="167">
        <f>'[5]Suivi Couverture de Stock Fer'!O57</f>
        <v>0</v>
      </c>
      <c r="P57" s="167">
        <f>'[5]Suivi Couverture de Stock Fer'!P57</f>
        <v>0</v>
      </c>
      <c r="Q57" s="167">
        <f>'[5]Suivi Couverture de Stock Fer'!Q57</f>
        <v>0</v>
      </c>
      <c r="R57" s="168">
        <f>'[5]Suivi Couverture de Stock Fer'!R57</f>
        <v>0</v>
      </c>
      <c r="T57" s="145">
        <f>AVERAGE(G57:R57)</f>
        <v>11.278269103265998</v>
      </c>
    </row>
    <row r="58" spans="1:20" hidden="1" outlineLevel="1" x14ac:dyDescent="0.25">
      <c r="A58" s="146"/>
      <c r="B58" s="147" t="str">
        <f>B57</f>
        <v>BT1KGLAQ</v>
      </c>
      <c r="C58" s="148"/>
      <c r="E58" s="149" t="s">
        <v>72</v>
      </c>
      <c r="G58" s="150">
        <f t="shared" ref="G58:R58" si="23">G57/$C$21</f>
        <v>1.4841905145333869E-2</v>
      </c>
      <c r="H58" s="151">
        <f t="shared" si="23"/>
        <v>1.2746411160983942E-2</v>
      </c>
      <c r="I58" s="151">
        <f t="shared" si="23"/>
        <v>8.8414934384622029E-3</v>
      </c>
      <c r="J58" s="151">
        <f t="shared" si="23"/>
        <v>7.8055188844015641E-3</v>
      </c>
      <c r="K58" s="151">
        <f t="shared" si="23"/>
        <v>0</v>
      </c>
      <c r="L58" s="151">
        <f t="shared" si="23"/>
        <v>0</v>
      </c>
      <c r="M58" s="151">
        <f t="shared" si="23"/>
        <v>0</v>
      </c>
      <c r="N58" s="151">
        <f t="shared" si="23"/>
        <v>0</v>
      </c>
      <c r="O58" s="151">
        <f t="shared" si="23"/>
        <v>0</v>
      </c>
      <c r="P58" s="151">
        <f t="shared" si="23"/>
        <v>0</v>
      </c>
      <c r="Q58" s="151">
        <f t="shared" si="23"/>
        <v>0</v>
      </c>
      <c r="R58" s="152">
        <f t="shared" si="23"/>
        <v>0</v>
      </c>
      <c r="T58" s="154"/>
    </row>
    <row r="59" spans="1:20" hidden="1" outlineLevel="1" x14ac:dyDescent="0.25">
      <c r="A59" s="146"/>
      <c r="B59" s="112" t="s">
        <v>41</v>
      </c>
      <c r="C59" s="144">
        <v>116.30575593993601</v>
      </c>
      <c r="E59" s="141" t="s">
        <v>71</v>
      </c>
      <c r="G59" s="166">
        <f>'[5]Suivi Couverture de Stock Fer'!G59</f>
        <v>42.859694510460002</v>
      </c>
      <c r="H59" s="167">
        <f>'[5]Suivi Couverture de Stock Fer'!H59</f>
        <v>26.859736273320003</v>
      </c>
      <c r="I59" s="167">
        <f>'[5]Suivi Couverture de Stock Fer'!I59</f>
        <v>17.356139709804001</v>
      </c>
      <c r="J59" s="167">
        <f>'[5]Suivi Couverture de Stock Fer'!J59</f>
        <v>14.465935708416001</v>
      </c>
      <c r="K59" s="167">
        <f>'[5]Suivi Couverture de Stock Fer'!K59</f>
        <v>0</v>
      </c>
      <c r="L59" s="167">
        <f>'[5]Suivi Couverture de Stock Fer'!L59</f>
        <v>0</v>
      </c>
      <c r="M59" s="167">
        <f>'[5]Suivi Couverture de Stock Fer'!M59</f>
        <v>0</v>
      </c>
      <c r="N59" s="167">
        <f>'[5]Suivi Couverture de Stock Fer'!N59</f>
        <v>0</v>
      </c>
      <c r="O59" s="167">
        <f>'[5]Suivi Couverture de Stock Fer'!O59</f>
        <v>0</v>
      </c>
      <c r="P59" s="167">
        <f>'[5]Suivi Couverture de Stock Fer'!P59</f>
        <v>0</v>
      </c>
      <c r="Q59" s="167">
        <f>'[5]Suivi Couverture de Stock Fer'!Q59</f>
        <v>0</v>
      </c>
      <c r="R59" s="168">
        <f>'[5]Suivi Couverture de Stock Fer'!R59</f>
        <v>0</v>
      </c>
      <c r="T59" s="145">
        <f>AVERAGE(G59:R59)</f>
        <v>8.4617921835000001</v>
      </c>
    </row>
    <row r="60" spans="1:20" hidden="1" outlineLevel="1" x14ac:dyDescent="0.25">
      <c r="A60" s="146"/>
      <c r="B60" s="147" t="str">
        <f>B59</f>
        <v>BT1KGPRE</v>
      </c>
      <c r="C60" s="148"/>
      <c r="E60" s="149" t="s">
        <v>72</v>
      </c>
      <c r="G60" s="150">
        <f t="shared" ref="G60:R60" si="24">G59/$C$21</f>
        <v>1.4008596637311891E-2</v>
      </c>
      <c r="H60" s="151">
        <f t="shared" si="24"/>
        <v>8.7790455703244917E-3</v>
      </c>
      <c r="I60" s="151">
        <f t="shared" si="24"/>
        <v>5.6728159907004942E-3</v>
      </c>
      <c r="J60" s="151">
        <f t="shared" si="24"/>
        <v>4.7281591862730109E-3</v>
      </c>
      <c r="K60" s="151">
        <f t="shared" si="24"/>
        <v>0</v>
      </c>
      <c r="L60" s="151">
        <f t="shared" si="24"/>
        <v>0</v>
      </c>
      <c r="M60" s="151">
        <f t="shared" si="24"/>
        <v>0</v>
      </c>
      <c r="N60" s="151">
        <f t="shared" si="24"/>
        <v>0</v>
      </c>
      <c r="O60" s="151">
        <f t="shared" si="24"/>
        <v>0</v>
      </c>
      <c r="P60" s="151">
        <f t="shared" si="24"/>
        <v>0</v>
      </c>
      <c r="Q60" s="151">
        <f t="shared" si="24"/>
        <v>0</v>
      </c>
      <c r="R60" s="152">
        <f t="shared" si="24"/>
        <v>0</v>
      </c>
      <c r="T60" s="154"/>
    </row>
    <row r="61" spans="1:20" hidden="1" outlineLevel="1" x14ac:dyDescent="0.25">
      <c r="A61" s="146"/>
      <c r="B61" s="112" t="s">
        <v>81</v>
      </c>
      <c r="C61" s="144">
        <v>114.82693989842248</v>
      </c>
      <c r="E61" s="141" t="s">
        <v>71</v>
      </c>
      <c r="G61" s="166">
        <f>'[5]Suivi Couverture de Stock Fer'!G61</f>
        <v>107.42082054228</v>
      </c>
      <c r="H61" s="167">
        <f>'[5]Suivi Couverture de Stock Fer'!H61</f>
        <v>99.011214207359998</v>
      </c>
      <c r="I61" s="167">
        <f>'[5]Suivi Couverture de Stock Fer'!I61</f>
        <v>59.410620474659993</v>
      </c>
      <c r="J61" s="167">
        <f>'[5]Suivi Couverture de Stock Fer'!J61</f>
        <v>57.912219630719996</v>
      </c>
      <c r="K61" s="167">
        <f>'[5]Suivi Couverture de Stock Fer'!K61</f>
        <v>0</v>
      </c>
      <c r="L61" s="167">
        <f>'[5]Suivi Couverture de Stock Fer'!L61</f>
        <v>0</v>
      </c>
      <c r="M61" s="167">
        <f>'[5]Suivi Couverture de Stock Fer'!M61</f>
        <v>0</v>
      </c>
      <c r="N61" s="167">
        <f>'[5]Suivi Couverture de Stock Fer'!N61</f>
        <v>0</v>
      </c>
      <c r="O61" s="167">
        <f>'[5]Suivi Couverture de Stock Fer'!O61</f>
        <v>0</v>
      </c>
      <c r="P61" s="167">
        <f>'[5]Suivi Couverture de Stock Fer'!P61</f>
        <v>0</v>
      </c>
      <c r="Q61" s="167">
        <f>'[5]Suivi Couverture de Stock Fer'!Q61</f>
        <v>0</v>
      </c>
      <c r="R61" s="168">
        <f>'[5]Suivi Couverture de Stock Fer'!R61</f>
        <v>0</v>
      </c>
      <c r="T61" s="145">
        <f>AVERAGE(G61:R61)</f>
        <v>26.979572904584998</v>
      </c>
    </row>
    <row r="62" spans="1:20" hidden="1" outlineLevel="1" x14ac:dyDescent="0.25">
      <c r="A62" s="146"/>
      <c r="B62" s="147" t="str">
        <f>B61</f>
        <v>BT1KGMASTIC/3K6</v>
      </c>
      <c r="C62" s="148"/>
      <c r="E62" s="149" t="s">
        <v>72</v>
      </c>
      <c r="G62" s="150">
        <f t="shared" ref="G62:R62" si="25">G61/$C$21</f>
        <v>3.5110258311771544E-2</v>
      </c>
      <c r="H62" s="151">
        <f t="shared" si="25"/>
        <v>3.2361597025916462E-2</v>
      </c>
      <c r="I62" s="151">
        <f t="shared" si="25"/>
        <v>1.9418230290904667E-2</v>
      </c>
      <c r="J62" s="151">
        <f t="shared" si="25"/>
        <v>1.8928481279309628E-2</v>
      </c>
      <c r="K62" s="151">
        <f t="shared" si="25"/>
        <v>0</v>
      </c>
      <c r="L62" s="151">
        <f t="shared" si="25"/>
        <v>0</v>
      </c>
      <c r="M62" s="151">
        <f t="shared" si="25"/>
        <v>0</v>
      </c>
      <c r="N62" s="151">
        <f t="shared" si="25"/>
        <v>0</v>
      </c>
      <c r="O62" s="151">
        <f t="shared" si="25"/>
        <v>0</v>
      </c>
      <c r="P62" s="151">
        <f t="shared" si="25"/>
        <v>0</v>
      </c>
      <c r="Q62" s="151">
        <f t="shared" si="25"/>
        <v>0</v>
      </c>
      <c r="R62" s="152">
        <f t="shared" si="25"/>
        <v>0</v>
      </c>
      <c r="T62" s="154"/>
    </row>
    <row r="63" spans="1:20" hidden="1" outlineLevel="1" x14ac:dyDescent="0.25">
      <c r="A63" s="146"/>
      <c r="B63" s="112" t="s">
        <v>38</v>
      </c>
      <c r="C63" s="144">
        <v>80.236859197640385</v>
      </c>
      <c r="E63" s="141" t="s">
        <v>71</v>
      </c>
      <c r="G63" s="166">
        <f>'[5]Suivi Couverture de Stock Fer'!G63</f>
        <v>155.17152994141003</v>
      </c>
      <c r="H63" s="167">
        <f>'[5]Suivi Couverture de Stock Fer'!H63</f>
        <v>117.90833783961398</v>
      </c>
      <c r="I63" s="167">
        <f>'[5]Suivi Couverture de Stock Fer'!I63</f>
        <v>95.815030375042014</v>
      </c>
      <c r="J63" s="167">
        <f>'[5]Suivi Couverture de Stock Fer'!J63</f>
        <v>94.15905716707401</v>
      </c>
      <c r="K63" s="167">
        <f>'[5]Suivi Couverture de Stock Fer'!K63</f>
        <v>0</v>
      </c>
      <c r="L63" s="167">
        <f>'[5]Suivi Couverture de Stock Fer'!L63</f>
        <v>0</v>
      </c>
      <c r="M63" s="167">
        <f>'[5]Suivi Couverture de Stock Fer'!M63</f>
        <v>0</v>
      </c>
      <c r="N63" s="167">
        <f>'[5]Suivi Couverture de Stock Fer'!N63</f>
        <v>0</v>
      </c>
      <c r="O63" s="167">
        <f>'[5]Suivi Couverture de Stock Fer'!O63</f>
        <v>0</v>
      </c>
      <c r="P63" s="167">
        <f>'[5]Suivi Couverture de Stock Fer'!P63</f>
        <v>0</v>
      </c>
      <c r="Q63" s="167">
        <f>'[5]Suivi Couverture de Stock Fer'!Q63</f>
        <v>0</v>
      </c>
      <c r="R63" s="168">
        <f>'[5]Suivi Couverture de Stock Fer'!R63</f>
        <v>0</v>
      </c>
      <c r="T63" s="145">
        <f>AVERAGE(G63:R63)</f>
        <v>38.587829610261672</v>
      </c>
    </row>
    <row r="64" spans="1:20" hidden="1" outlineLevel="1" x14ac:dyDescent="0.25">
      <c r="A64" s="146"/>
      <c r="B64" s="147" t="str">
        <f>B63</f>
        <v>BT1/2LRD</v>
      </c>
      <c r="C64" s="148"/>
      <c r="E64" s="149" t="s">
        <v>72</v>
      </c>
      <c r="G64" s="150">
        <f t="shared" ref="G64:R64" si="26">G63/$C$21</f>
        <v>5.0717472379866659E-2</v>
      </c>
      <c r="H64" s="151">
        <f t="shared" si="26"/>
        <v>3.8538080213519538E-2</v>
      </c>
      <c r="I64" s="151">
        <f t="shared" si="26"/>
        <v>3.1316931388490767E-2</v>
      </c>
      <c r="J64" s="151">
        <f t="shared" si="26"/>
        <v>3.0775680197188932E-2</v>
      </c>
      <c r="K64" s="151">
        <f t="shared" si="26"/>
        <v>0</v>
      </c>
      <c r="L64" s="151">
        <f t="shared" si="26"/>
        <v>0</v>
      </c>
      <c r="M64" s="151">
        <f t="shared" si="26"/>
        <v>0</v>
      </c>
      <c r="N64" s="151">
        <f t="shared" si="26"/>
        <v>0</v>
      </c>
      <c r="O64" s="151">
        <f t="shared" si="26"/>
        <v>0</v>
      </c>
      <c r="P64" s="151">
        <f t="shared" si="26"/>
        <v>0</v>
      </c>
      <c r="Q64" s="151">
        <f t="shared" si="26"/>
        <v>0</v>
      </c>
      <c r="R64" s="152">
        <f t="shared" si="26"/>
        <v>0</v>
      </c>
      <c r="T64" s="154"/>
    </row>
    <row r="65" spans="1:20" hidden="1" outlineLevel="1" x14ac:dyDescent="0.25">
      <c r="A65" s="146"/>
      <c r="B65" s="112" t="s">
        <v>35</v>
      </c>
      <c r="C65" s="144">
        <v>48.141158688000019</v>
      </c>
      <c r="E65" s="141" t="s">
        <v>71</v>
      </c>
      <c r="G65" s="166">
        <f>'[5]Suivi Couverture de Stock Fer'!G65</f>
        <v>24.147042991200003</v>
      </c>
      <c r="H65" s="167">
        <f>'[5]Suivi Couverture de Stock Fer'!H65</f>
        <v>15.065548430400002</v>
      </c>
      <c r="I65" s="167">
        <f>'[5]Suivi Couverture de Stock Fer'!I65</f>
        <v>9.2883441960000006</v>
      </c>
      <c r="J65" s="167">
        <f>'[5]Suivi Couverture de Stock Fer'!J65</f>
        <v>3.7736798832000003</v>
      </c>
      <c r="K65" s="167">
        <f>'[5]Suivi Couverture de Stock Fer'!K65</f>
        <v>0</v>
      </c>
      <c r="L65" s="167">
        <f>'[5]Suivi Couverture de Stock Fer'!L65</f>
        <v>0</v>
      </c>
      <c r="M65" s="167">
        <f>'[5]Suivi Couverture de Stock Fer'!M65</f>
        <v>0</v>
      </c>
      <c r="N65" s="167">
        <f>'[5]Suivi Couverture de Stock Fer'!N65</f>
        <v>0</v>
      </c>
      <c r="O65" s="167">
        <f>'[5]Suivi Couverture de Stock Fer'!O65</f>
        <v>0</v>
      </c>
      <c r="P65" s="167">
        <f>'[5]Suivi Couverture de Stock Fer'!P65</f>
        <v>0</v>
      </c>
      <c r="Q65" s="167">
        <f>'[5]Suivi Couverture de Stock Fer'!Q65</f>
        <v>0</v>
      </c>
      <c r="R65" s="168">
        <f>'[5]Suivi Couverture de Stock Fer'!R65</f>
        <v>0</v>
      </c>
      <c r="T65" s="145">
        <f>AVERAGE(G65:R65)</f>
        <v>4.3562179584000011</v>
      </c>
    </row>
    <row r="66" spans="1:20" hidden="1" outlineLevel="1" x14ac:dyDescent="0.25">
      <c r="A66" s="146"/>
      <c r="B66" s="147" t="str">
        <f>B65</f>
        <v>BT1KGD108</v>
      </c>
      <c r="C66" s="148"/>
      <c r="E66" s="149" t="s">
        <v>72</v>
      </c>
      <c r="G66" s="150">
        <f t="shared" ref="G66:R66" si="27">G65/$C$21</f>
        <v>7.8924077530462891E-3</v>
      </c>
      <c r="H66" s="151">
        <f t="shared" si="27"/>
        <v>4.9241412821982283E-3</v>
      </c>
      <c r="I66" s="151">
        <f t="shared" si="27"/>
        <v>3.0358748179720638E-3</v>
      </c>
      <c r="J66" s="151">
        <f t="shared" si="27"/>
        <v>1.2334189481725186E-3</v>
      </c>
      <c r="K66" s="151">
        <f t="shared" si="27"/>
        <v>0</v>
      </c>
      <c r="L66" s="151">
        <f t="shared" si="27"/>
        <v>0</v>
      </c>
      <c r="M66" s="151">
        <f t="shared" si="27"/>
        <v>0</v>
      </c>
      <c r="N66" s="151">
        <f t="shared" si="27"/>
        <v>0</v>
      </c>
      <c r="O66" s="151">
        <f t="shared" si="27"/>
        <v>0</v>
      </c>
      <c r="P66" s="151">
        <f t="shared" si="27"/>
        <v>0</v>
      </c>
      <c r="Q66" s="151">
        <f t="shared" si="27"/>
        <v>0</v>
      </c>
      <c r="R66" s="152">
        <f t="shared" si="27"/>
        <v>0</v>
      </c>
      <c r="T66" s="154"/>
    </row>
    <row r="67" spans="1:20" hidden="1" outlineLevel="1" x14ac:dyDescent="0.25">
      <c r="A67" s="146"/>
      <c r="B67" s="112" t="s">
        <v>42</v>
      </c>
      <c r="C67" s="144">
        <v>43.837572944880009</v>
      </c>
      <c r="E67" s="141" t="s">
        <v>71</v>
      </c>
      <c r="G67" s="166">
        <f>'[5]Suivi Couverture de Stock Fer'!G67</f>
        <v>1.3058507404800002</v>
      </c>
      <c r="H67" s="167">
        <f>'[5]Suivi Couverture de Stock Fer'!H67</f>
        <v>1.2091210560000003</v>
      </c>
      <c r="I67" s="167">
        <f>'[5]Suivi Couverture de Stock Fer'!I67</f>
        <v>4.0199718873600006</v>
      </c>
      <c r="J67" s="167">
        <f>'[5]Suivi Couverture de Stock Fer'!J67</f>
        <v>2.7695984659200001</v>
      </c>
      <c r="K67" s="167">
        <f>'[5]Suivi Couverture de Stock Fer'!K67</f>
        <v>0</v>
      </c>
      <c r="L67" s="167">
        <f>'[5]Suivi Couverture de Stock Fer'!L67</f>
        <v>0</v>
      </c>
      <c r="M67" s="167">
        <f>'[5]Suivi Couverture de Stock Fer'!M67</f>
        <v>0</v>
      </c>
      <c r="N67" s="167">
        <f>'[5]Suivi Couverture de Stock Fer'!N67</f>
        <v>0</v>
      </c>
      <c r="O67" s="167">
        <f>'[5]Suivi Couverture de Stock Fer'!O67</f>
        <v>0</v>
      </c>
      <c r="P67" s="167">
        <f>'[5]Suivi Couverture de Stock Fer'!P67</f>
        <v>0</v>
      </c>
      <c r="Q67" s="167">
        <f>'[5]Suivi Couverture de Stock Fer'!Q67</f>
        <v>0</v>
      </c>
      <c r="R67" s="168">
        <f>'[5]Suivi Couverture de Stock Fer'!R67</f>
        <v>0</v>
      </c>
      <c r="T67" s="145">
        <f>AVERAGE(G67:R67)</f>
        <v>0.77537851248000011</v>
      </c>
    </row>
    <row r="68" spans="1:20" hidden="1" outlineLevel="1" x14ac:dyDescent="0.25">
      <c r="A68" s="146"/>
      <c r="B68" s="147" t="str">
        <f>B67</f>
        <v>BT1LRD</v>
      </c>
      <c r="C68" s="148"/>
      <c r="E68" s="149" t="s">
        <v>72</v>
      </c>
      <c r="G68" s="150">
        <f t="shared" ref="G68:R68" si="28">G67/$C$21</f>
        <v>4.2681443488718499E-4</v>
      </c>
      <c r="H68" s="151">
        <f t="shared" si="28"/>
        <v>3.9519855082146768E-4</v>
      </c>
      <c r="I68" s="151">
        <f t="shared" si="28"/>
        <v>1.3139189466134912E-3</v>
      </c>
      <c r="J68" s="151">
        <f t="shared" si="28"/>
        <v>9.0523715111693812E-4</v>
      </c>
      <c r="K68" s="151">
        <f t="shared" si="28"/>
        <v>0</v>
      </c>
      <c r="L68" s="151">
        <f t="shared" si="28"/>
        <v>0</v>
      </c>
      <c r="M68" s="151">
        <f t="shared" si="28"/>
        <v>0</v>
      </c>
      <c r="N68" s="151">
        <f t="shared" si="28"/>
        <v>0</v>
      </c>
      <c r="O68" s="151">
        <f t="shared" si="28"/>
        <v>0</v>
      </c>
      <c r="P68" s="151">
        <f t="shared" si="28"/>
        <v>0</v>
      </c>
      <c r="Q68" s="151">
        <f t="shared" si="28"/>
        <v>0</v>
      </c>
      <c r="R68" s="152">
        <f t="shared" si="28"/>
        <v>0</v>
      </c>
      <c r="T68" s="154"/>
    </row>
    <row r="69" spans="1:20" hidden="1" outlineLevel="1" x14ac:dyDescent="0.25">
      <c r="A69" s="146"/>
      <c r="B69" s="112" t="s">
        <v>39</v>
      </c>
      <c r="C69" s="144">
        <v>30.132118398435434</v>
      </c>
      <c r="E69" s="141" t="s">
        <v>71</v>
      </c>
      <c r="G69" s="166">
        <f>'[5]Suivi Couverture de Stock Fer'!G69</f>
        <v>22.730292097920003</v>
      </c>
      <c r="H69" s="167">
        <f>'[5]Suivi Couverture de Stock Fer'!H69</f>
        <v>29.614021199136001</v>
      </c>
      <c r="I69" s="167">
        <f>'[5]Suivi Couverture de Stock Fer'!I69</f>
        <v>21.234135849696003</v>
      </c>
      <c r="J69" s="167">
        <f>'[5]Suivi Couverture de Stock Fer'!J69</f>
        <v>21.234135849696003</v>
      </c>
      <c r="K69" s="167">
        <f>'[5]Suivi Couverture de Stock Fer'!K69</f>
        <v>0</v>
      </c>
      <c r="L69" s="167">
        <f>'[5]Suivi Couverture de Stock Fer'!L69</f>
        <v>0</v>
      </c>
      <c r="M69" s="167">
        <f>'[5]Suivi Couverture de Stock Fer'!M69</f>
        <v>0</v>
      </c>
      <c r="N69" s="167">
        <f>'[5]Suivi Couverture de Stock Fer'!N69</f>
        <v>0</v>
      </c>
      <c r="O69" s="167">
        <f>'[5]Suivi Couverture de Stock Fer'!O69</f>
        <v>0</v>
      </c>
      <c r="P69" s="167">
        <f>'[5]Suivi Couverture de Stock Fer'!P69</f>
        <v>0</v>
      </c>
      <c r="Q69" s="167">
        <f>'[5]Suivi Couverture de Stock Fer'!Q69</f>
        <v>0</v>
      </c>
      <c r="R69" s="168">
        <f>'[5]Suivi Couverture de Stock Fer'!R69</f>
        <v>0</v>
      </c>
      <c r="T69" s="145">
        <f>AVERAGE(G69:R69)</f>
        <v>7.9010487497040005</v>
      </c>
    </row>
    <row r="70" spans="1:20" hidden="1" outlineLevel="1" x14ac:dyDescent="0.25">
      <c r="A70" s="146"/>
      <c r="B70" s="147" t="str">
        <f>B69</f>
        <v>BT1/2PRE</v>
      </c>
      <c r="C70" s="148"/>
      <c r="E70" s="149" t="s">
        <v>72</v>
      </c>
      <c r="G70" s="150">
        <f t="shared" ref="G70:R70" si="29">G69/$C$21</f>
        <v>7.4293458477714585E-3</v>
      </c>
      <c r="H70" s="151">
        <f t="shared" si="29"/>
        <v>9.679277524627581E-3</v>
      </c>
      <c r="I70" s="151">
        <f t="shared" si="29"/>
        <v>6.9403304773364496E-3</v>
      </c>
      <c r="J70" s="151">
        <f t="shared" si="29"/>
        <v>6.9403304773364496E-3</v>
      </c>
      <c r="K70" s="151">
        <f t="shared" si="29"/>
        <v>0</v>
      </c>
      <c r="L70" s="151">
        <f t="shared" si="29"/>
        <v>0</v>
      </c>
      <c r="M70" s="151">
        <f t="shared" si="29"/>
        <v>0</v>
      </c>
      <c r="N70" s="151">
        <f t="shared" si="29"/>
        <v>0</v>
      </c>
      <c r="O70" s="151">
        <f t="shared" si="29"/>
        <v>0</v>
      </c>
      <c r="P70" s="151">
        <f t="shared" si="29"/>
        <v>0</v>
      </c>
      <c r="Q70" s="151">
        <f t="shared" si="29"/>
        <v>0</v>
      </c>
      <c r="R70" s="152">
        <f t="shared" si="29"/>
        <v>0</v>
      </c>
      <c r="T70" s="154"/>
    </row>
    <row r="71" spans="1:20" hidden="1" outlineLevel="1" x14ac:dyDescent="0.25">
      <c r="A71" s="146"/>
      <c r="B71" s="112" t="s">
        <v>37</v>
      </c>
      <c r="C71" s="144">
        <v>28.651226228856</v>
      </c>
      <c r="E71" s="141" t="s">
        <v>71</v>
      </c>
      <c r="G71" s="166">
        <f>'[5]Suivi Couverture de Stock Fer'!G71</f>
        <v>12.218690018304001</v>
      </c>
      <c r="H71" s="167">
        <f>'[5]Suivi Couverture de Stock Fer'!H71</f>
        <v>12.16158429024</v>
      </c>
      <c r="I71" s="167">
        <f>'[5]Suivi Couverture de Stock Fer'!I71</f>
        <v>8.2783947818880002</v>
      </c>
      <c r="J71" s="167">
        <f>'[5]Suivi Couverture de Stock Fer'!J71</f>
        <v>6.5903881760639997</v>
      </c>
      <c r="K71" s="167">
        <f>'[5]Suivi Couverture de Stock Fer'!K71</f>
        <v>0</v>
      </c>
      <c r="L71" s="167">
        <f>'[5]Suivi Couverture de Stock Fer'!L71</f>
        <v>0</v>
      </c>
      <c r="M71" s="167">
        <f>'[5]Suivi Couverture de Stock Fer'!M71</f>
        <v>0</v>
      </c>
      <c r="N71" s="167">
        <f>'[5]Suivi Couverture de Stock Fer'!N71</f>
        <v>0</v>
      </c>
      <c r="O71" s="167">
        <f>'[5]Suivi Couverture de Stock Fer'!O71</f>
        <v>0</v>
      </c>
      <c r="P71" s="167">
        <f>'[5]Suivi Couverture de Stock Fer'!P71</f>
        <v>0</v>
      </c>
      <c r="Q71" s="167">
        <f>'[5]Suivi Couverture de Stock Fer'!Q71</f>
        <v>0</v>
      </c>
      <c r="R71" s="168">
        <f>'[5]Suivi Couverture de Stock Fer'!R71</f>
        <v>0</v>
      </c>
      <c r="T71" s="145">
        <f>AVERAGE(G71:R71)</f>
        <v>3.2707547722079995</v>
      </c>
    </row>
    <row r="72" spans="1:20" hidden="1" outlineLevel="1" x14ac:dyDescent="0.25">
      <c r="A72" s="146"/>
      <c r="B72" s="147" t="str">
        <f>B71</f>
        <v>BT1/10PRE</v>
      </c>
      <c r="C72" s="148"/>
      <c r="E72" s="149" t="s">
        <v>72</v>
      </c>
      <c r="G72" s="150">
        <f t="shared" ref="G72:R72" si="30">G71/$C$21</f>
        <v>3.9936518880459163E-3</v>
      </c>
      <c r="H72" s="151">
        <f t="shared" si="30"/>
        <v>3.9749870067567281E-3</v>
      </c>
      <c r="I72" s="151">
        <f t="shared" si="30"/>
        <v>2.7057750790919453E-3</v>
      </c>
      <c r="J72" s="151">
        <f t="shared" si="30"/>
        <v>2.154053842340355E-3</v>
      </c>
      <c r="K72" s="151">
        <f t="shared" si="30"/>
        <v>0</v>
      </c>
      <c r="L72" s="151">
        <f t="shared" si="30"/>
        <v>0</v>
      </c>
      <c r="M72" s="151">
        <f t="shared" si="30"/>
        <v>0</v>
      </c>
      <c r="N72" s="151">
        <f t="shared" si="30"/>
        <v>0</v>
      </c>
      <c r="O72" s="151">
        <f t="shared" si="30"/>
        <v>0</v>
      </c>
      <c r="P72" s="151">
        <f t="shared" si="30"/>
        <v>0</v>
      </c>
      <c r="Q72" s="151">
        <f t="shared" si="30"/>
        <v>0</v>
      </c>
      <c r="R72" s="152">
        <f t="shared" si="30"/>
        <v>0</v>
      </c>
      <c r="T72" s="154"/>
    </row>
    <row r="73" spans="1:20" hidden="1" outlineLevel="1" x14ac:dyDescent="0.25">
      <c r="A73" s="146"/>
      <c r="B73" s="112" t="s">
        <v>82</v>
      </c>
      <c r="C73" s="144">
        <v>12.080012968320002</v>
      </c>
      <c r="E73" s="141" t="s">
        <v>71</v>
      </c>
      <c r="G73" s="166">
        <f>'[5]Suivi Couverture de Stock Fer'!G73</f>
        <v>10.650944950272001</v>
      </c>
      <c r="H73" s="167">
        <f>'[5]Suivi Couverture de Stock Fer'!H73</f>
        <v>16.102268143104002</v>
      </c>
      <c r="I73" s="167">
        <f>'[5]Suivi Couverture de Stock Fer'!I73</f>
        <v>16.102268143104002</v>
      </c>
      <c r="J73" s="167">
        <f>'[5]Suivi Couverture de Stock Fer'!J73</f>
        <v>14.125087130880001</v>
      </c>
      <c r="K73" s="167">
        <f>'[5]Suivi Couverture de Stock Fer'!K73</f>
        <v>0</v>
      </c>
      <c r="L73" s="167">
        <f>'[5]Suivi Couverture de Stock Fer'!L73</f>
        <v>0</v>
      </c>
      <c r="M73" s="167">
        <f>'[5]Suivi Couverture de Stock Fer'!M73</f>
        <v>0</v>
      </c>
      <c r="N73" s="167">
        <f>'[5]Suivi Couverture de Stock Fer'!N73</f>
        <v>0</v>
      </c>
      <c r="O73" s="167">
        <f>'[5]Suivi Couverture de Stock Fer'!O73</f>
        <v>0</v>
      </c>
      <c r="P73" s="167">
        <f>'[5]Suivi Couverture de Stock Fer'!P73</f>
        <v>0</v>
      </c>
      <c r="Q73" s="167">
        <f>'[5]Suivi Couverture de Stock Fer'!Q73</f>
        <v>0</v>
      </c>
      <c r="R73" s="168">
        <f>'[5]Suivi Couverture de Stock Fer'!R73</f>
        <v>0</v>
      </c>
      <c r="T73" s="145">
        <f>AVERAGE(G73:R73)</f>
        <v>4.7483806972800009</v>
      </c>
    </row>
    <row r="74" spans="1:20" hidden="1" outlineLevel="1" x14ac:dyDescent="0.25">
      <c r="A74" s="146"/>
      <c r="B74" s="147" t="str">
        <f>B73</f>
        <v>SC22L/BD20</v>
      </c>
      <c r="C74" s="148"/>
      <c r="E74" s="149" t="s">
        <v>72</v>
      </c>
      <c r="G74" s="150">
        <f t="shared" ref="G74:R74" si="31">G73/$C$21</f>
        <v>3.4812378697230482E-3</v>
      </c>
      <c r="H74" s="151">
        <f t="shared" si="31"/>
        <v>5.2629908341397576E-3</v>
      </c>
      <c r="I74" s="151">
        <f t="shared" si="31"/>
        <v>5.2629908341397576E-3</v>
      </c>
      <c r="J74" s="151">
        <f t="shared" si="31"/>
        <v>4.6167535803385571E-3</v>
      </c>
      <c r="K74" s="151">
        <f t="shared" si="31"/>
        <v>0</v>
      </c>
      <c r="L74" s="151">
        <f t="shared" si="31"/>
        <v>0</v>
      </c>
      <c r="M74" s="151">
        <f t="shared" si="31"/>
        <v>0</v>
      </c>
      <c r="N74" s="151">
        <f t="shared" si="31"/>
        <v>0</v>
      </c>
      <c r="O74" s="151">
        <f t="shared" si="31"/>
        <v>0</v>
      </c>
      <c r="P74" s="151">
        <f t="shared" si="31"/>
        <v>0</v>
      </c>
      <c r="Q74" s="151">
        <f t="shared" si="31"/>
        <v>0</v>
      </c>
      <c r="R74" s="152">
        <f t="shared" si="31"/>
        <v>0</v>
      </c>
      <c r="T74" s="154"/>
    </row>
    <row r="75" spans="1:20" hidden="1" outlineLevel="1" x14ac:dyDescent="0.25">
      <c r="A75" s="146"/>
      <c r="B75" s="112" t="s">
        <v>43</v>
      </c>
      <c r="C75" s="144">
        <v>5.4311486750386662</v>
      </c>
      <c r="E75" s="141" t="s">
        <v>71</v>
      </c>
      <c r="G75" s="166">
        <f>'[5]Suivi Couverture de Stock Fer'!G75</f>
        <v>16.540419222132002</v>
      </c>
      <c r="H75" s="167">
        <f>'[5]Suivi Couverture de Stock Fer'!H75</f>
        <v>15.183423634132001</v>
      </c>
      <c r="I75" s="167">
        <f>'[5]Suivi Couverture de Stock Fer'!I75</f>
        <v>15.183423634132001</v>
      </c>
      <c r="J75" s="167">
        <f>'[5]Suivi Couverture de Stock Fer'!J75</f>
        <v>15.183423634132001</v>
      </c>
      <c r="K75" s="167">
        <f>'[5]Suivi Couverture de Stock Fer'!K75</f>
        <v>0</v>
      </c>
      <c r="L75" s="167">
        <f>'[5]Suivi Couverture de Stock Fer'!L75</f>
        <v>0</v>
      </c>
      <c r="M75" s="167">
        <f>'[5]Suivi Couverture de Stock Fer'!M75</f>
        <v>0</v>
      </c>
      <c r="N75" s="167">
        <f>'[5]Suivi Couverture de Stock Fer'!N75</f>
        <v>0</v>
      </c>
      <c r="O75" s="167">
        <f>'[5]Suivi Couverture de Stock Fer'!O75</f>
        <v>0</v>
      </c>
      <c r="P75" s="167">
        <f>'[5]Suivi Couverture de Stock Fer'!P75</f>
        <v>0</v>
      </c>
      <c r="Q75" s="167">
        <f>'[5]Suivi Couverture de Stock Fer'!Q75</f>
        <v>0</v>
      </c>
      <c r="R75" s="168">
        <f>'[5]Suivi Couverture de Stock Fer'!R75</f>
        <v>0</v>
      </c>
      <c r="T75" s="145">
        <f>AVERAGE(G75:R75)</f>
        <v>5.1742241770440005</v>
      </c>
    </row>
    <row r="76" spans="1:20" hidden="1" outlineLevel="1" x14ac:dyDescent="0.25">
      <c r="A76" s="146"/>
      <c r="B76" s="147" t="str">
        <f>B75</f>
        <v>SC10L</v>
      </c>
      <c r="C76" s="148"/>
      <c r="E76" s="149" t="s">
        <v>72</v>
      </c>
      <c r="G76" s="150">
        <f t="shared" ref="G76:R76" si="32">G75/$C$21</f>
        <v>5.4061995481171346E-3</v>
      </c>
      <c r="H76" s="151">
        <f t="shared" si="32"/>
        <v>4.9626685326017413E-3</v>
      </c>
      <c r="I76" s="151">
        <f t="shared" si="32"/>
        <v>4.9626685326017413E-3</v>
      </c>
      <c r="J76" s="151">
        <f t="shared" si="32"/>
        <v>4.9626685326017413E-3</v>
      </c>
      <c r="K76" s="151">
        <f t="shared" si="32"/>
        <v>0</v>
      </c>
      <c r="L76" s="151">
        <f t="shared" si="32"/>
        <v>0</v>
      </c>
      <c r="M76" s="151">
        <f t="shared" si="32"/>
        <v>0</v>
      </c>
      <c r="N76" s="151">
        <f t="shared" si="32"/>
        <v>0</v>
      </c>
      <c r="O76" s="151">
        <f t="shared" si="32"/>
        <v>0</v>
      </c>
      <c r="P76" s="151">
        <f t="shared" si="32"/>
        <v>0</v>
      </c>
      <c r="Q76" s="151">
        <f t="shared" si="32"/>
        <v>0</v>
      </c>
      <c r="R76" s="152">
        <f t="shared" si="32"/>
        <v>0</v>
      </c>
      <c r="T76" s="154"/>
    </row>
    <row r="77" spans="1:20" hidden="1" outlineLevel="1" x14ac:dyDescent="0.25">
      <c r="A77" s="146"/>
      <c r="B77" s="112" t="s">
        <v>44</v>
      </c>
      <c r="C77" s="144">
        <v>3.9038112984082498</v>
      </c>
      <c r="E77" s="141" t="s">
        <v>71</v>
      </c>
      <c r="G77" s="166">
        <f>'[5]Suivi Couverture de Stock Fer'!G77</f>
        <v>6.6982907624040005</v>
      </c>
      <c r="H77" s="167">
        <f>'[5]Suivi Couverture de Stock Fer'!H77</f>
        <v>3.5365913584560005</v>
      </c>
      <c r="I77" s="167">
        <f>'[5]Suivi Couverture de Stock Fer'!I77</f>
        <v>3.5365913584560005</v>
      </c>
      <c r="J77" s="167">
        <f>'[5]Suivi Couverture de Stock Fer'!J77</f>
        <v>3.5282972886659998</v>
      </c>
      <c r="K77" s="167">
        <f>'[5]Suivi Couverture de Stock Fer'!K77</f>
        <v>0</v>
      </c>
      <c r="L77" s="167">
        <f>'[5]Suivi Couverture de Stock Fer'!L77</f>
        <v>0</v>
      </c>
      <c r="M77" s="167">
        <f>'[5]Suivi Couverture de Stock Fer'!M77</f>
        <v>0</v>
      </c>
      <c r="N77" s="167">
        <f>'[5]Suivi Couverture de Stock Fer'!N77</f>
        <v>0</v>
      </c>
      <c r="O77" s="167">
        <f>'[5]Suivi Couverture de Stock Fer'!O77</f>
        <v>0</v>
      </c>
      <c r="P77" s="167">
        <f>'[5]Suivi Couverture de Stock Fer'!P77</f>
        <v>0</v>
      </c>
      <c r="Q77" s="167">
        <f>'[5]Suivi Couverture de Stock Fer'!Q77</f>
        <v>0</v>
      </c>
      <c r="R77" s="168">
        <f>'[5]Suivi Couverture de Stock Fer'!R77</f>
        <v>0</v>
      </c>
      <c r="T77" s="145">
        <f>AVERAGE(G77:R77)</f>
        <v>1.4416475639985</v>
      </c>
    </row>
    <row r="78" spans="1:20" hidden="1" outlineLevel="1" x14ac:dyDescent="0.25">
      <c r="A78" s="155"/>
      <c r="B78" s="156" t="str">
        <f>B77</f>
        <v>SC4L</v>
      </c>
      <c r="C78" s="157"/>
      <c r="E78" s="169" t="s">
        <v>72</v>
      </c>
      <c r="G78" s="170">
        <f t="shared" ref="G78:R78" si="33">G77/$C$21</f>
        <v>2.18932156474073E-3</v>
      </c>
      <c r="H78" s="171">
        <f t="shared" si="33"/>
        <v>1.1559270866833178E-3</v>
      </c>
      <c r="I78" s="171">
        <f t="shared" si="33"/>
        <v>1.1559270866833178E-3</v>
      </c>
      <c r="J78" s="171">
        <f t="shared" si="33"/>
        <v>1.1532161882623904E-3</v>
      </c>
      <c r="K78" s="171">
        <f t="shared" si="33"/>
        <v>0</v>
      </c>
      <c r="L78" s="171">
        <f t="shared" si="33"/>
        <v>0</v>
      </c>
      <c r="M78" s="171">
        <f t="shared" si="33"/>
        <v>0</v>
      </c>
      <c r="N78" s="171">
        <f t="shared" si="33"/>
        <v>0</v>
      </c>
      <c r="O78" s="171">
        <f t="shared" si="33"/>
        <v>0</v>
      </c>
      <c r="P78" s="171">
        <f t="shared" si="33"/>
        <v>0</v>
      </c>
      <c r="Q78" s="171">
        <f t="shared" si="33"/>
        <v>0</v>
      </c>
      <c r="R78" s="172">
        <f t="shared" si="33"/>
        <v>0</v>
      </c>
      <c r="T78" s="173"/>
    </row>
    <row r="79" spans="1:20" collapsed="1" x14ac:dyDescent="0.25"/>
  </sheetData>
  <autoFilter ref="A17:T17" xr:uid="{F6FE1654-A9DF-4E32-A7CD-DCB8259D293C}"/>
  <mergeCells count="6">
    <mergeCell ref="C13:D13"/>
    <mergeCell ref="T13:T15"/>
    <mergeCell ref="A19:A20"/>
    <mergeCell ref="B19:B20"/>
    <mergeCell ref="A49:A50"/>
    <mergeCell ref="B49:B50"/>
  </mergeCells>
  <conditionalFormatting sqref="G13:R13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{ADCAEF89-A38C-47CD-8349-AD60D7068B52}</x14:id>
        </ext>
      </extLst>
    </cfRule>
  </conditionalFormatting>
  <hyperlinks>
    <hyperlink ref="A1:B1" r:id="rId1" display="Taux de Couverture de Stock Fer" xr:uid="{D129BA00-DE3D-48A3-8681-1DFCC013CF13}"/>
    <hyperlink ref="B1" r:id="rId2" location="Récapitulatif!A1" xr:uid="{C580CDFB-C612-42A0-8326-54C8D01CEA42}"/>
  </hyperlinks>
  <pageMargins left="0.7" right="0.7" top="0.75" bottom="0.75" header="0.3" footer="0.3"/>
  <ignoredErrors>
    <ignoredError sqref="G23:R78" formula="1"/>
  </ignoredErrors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DCAEF89-A38C-47CD-8349-AD60D7068B52}">
            <x14:dataBar minLength="0" maxLength="100" negativeBarColorSameAsPositive="1" axisPosition="none">
              <x14:cfvo type="min"/>
              <x14:cfvo type="max"/>
            </x14:dataBar>
          </x14:cfRule>
          <xm:sqref>G13:R13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BC568-5325-45F2-AFAB-ACCE2B1A2D49}">
  <sheetPr>
    <tabColor theme="5" tint="-0.249977111117893"/>
  </sheetPr>
  <dimension ref="A1:T84"/>
  <sheetViews>
    <sheetView showGridLines="0" zoomScale="80" zoomScaleNormal="80" workbookViewId="0">
      <selection activeCell="B5" sqref="B5:H6"/>
    </sheetView>
  </sheetViews>
  <sheetFormatPr baseColWidth="10" defaultRowHeight="12.75" outlineLevelRow="1" x14ac:dyDescent="0.2"/>
  <cols>
    <col min="1" max="1" width="11.42578125" style="17" customWidth="1"/>
    <col min="2" max="2" width="22.85546875" style="17" bestFit="1" customWidth="1"/>
    <col min="3" max="3" width="14.42578125" style="17" bestFit="1" customWidth="1"/>
    <col min="4" max="4" width="0.85546875" style="17" customWidth="1"/>
    <col min="5" max="16" width="11.7109375" style="17" customWidth="1"/>
    <col min="17" max="17" width="0.85546875" style="17" customWidth="1"/>
    <col min="18" max="18" width="11.140625" style="17" bestFit="1" customWidth="1"/>
    <col min="19" max="19" width="21.85546875" style="17" bestFit="1" customWidth="1"/>
    <col min="20" max="16384" width="11.42578125" style="17"/>
  </cols>
  <sheetData>
    <row r="1" spans="1:18" ht="15" x14ac:dyDescent="0.25">
      <c r="A1" s="760" t="s">
        <v>66</v>
      </c>
      <c r="B1" s="760"/>
    </row>
    <row r="2" spans="1:18" x14ac:dyDescent="0.2">
      <c r="A2" s="174"/>
      <c r="B2" s="174"/>
    </row>
    <row r="3" spans="1:18" x14ac:dyDescent="0.2">
      <c r="A3" s="174"/>
      <c r="B3" s="174"/>
    </row>
    <row r="4" spans="1:18" x14ac:dyDescent="0.2">
      <c r="A4" s="174"/>
      <c r="B4" s="174"/>
    </row>
    <row r="5" spans="1:18" x14ac:dyDescent="0.2">
      <c r="A5" s="174"/>
      <c r="B5" s="174"/>
    </row>
    <row r="6" spans="1:18" x14ac:dyDescent="0.2">
      <c r="A6" s="174"/>
      <c r="B6" s="174"/>
    </row>
    <row r="7" spans="1:18" x14ac:dyDescent="0.2">
      <c r="A7" s="174"/>
      <c r="B7" s="174"/>
    </row>
    <row r="8" spans="1:18" x14ac:dyDescent="0.2">
      <c r="A8" s="174"/>
      <c r="B8" s="174"/>
    </row>
    <row r="9" spans="1:18" x14ac:dyDescent="0.2">
      <c r="A9" s="174"/>
      <c r="B9" s="174"/>
    </row>
    <row r="10" spans="1:18" ht="15" x14ac:dyDescent="0.25">
      <c r="A10" s="175"/>
      <c r="B10" s="174"/>
    </row>
    <row r="11" spans="1:18" x14ac:dyDescent="0.2">
      <c r="A11" s="174"/>
      <c r="B11" s="174"/>
    </row>
    <row r="12" spans="1:18" x14ac:dyDescent="0.2">
      <c r="A12" s="174"/>
      <c r="B12" s="174"/>
    </row>
    <row r="13" spans="1:18" ht="5.25" customHeight="1" x14ac:dyDescent="0.2">
      <c r="C13" s="176"/>
    </row>
    <row r="14" spans="1:18" x14ac:dyDescent="0.2">
      <c r="B14" s="177"/>
      <c r="C14" s="178"/>
    </row>
    <row r="15" spans="1:18" ht="5.25" customHeight="1" x14ac:dyDescent="0.2">
      <c r="C15" s="176"/>
    </row>
    <row r="16" spans="1:18" ht="12.75" customHeight="1" x14ac:dyDescent="0.2">
      <c r="B16" s="179" t="s">
        <v>83</v>
      </c>
      <c r="C16" s="180">
        <f>SUMIF(E18:P18,"&lt;&gt;0",E23:P23)/C18</f>
        <v>238.3704482156117</v>
      </c>
      <c r="E16" s="181">
        <f>SUM(E53,E22)</f>
        <v>110.03939807679832</v>
      </c>
      <c r="F16" s="182">
        <f t="shared" ref="F16:P16" si="0">SUM(F53,F22)</f>
        <v>57.184415572874421</v>
      </c>
      <c r="G16" s="182">
        <f t="shared" si="0"/>
        <v>65.251625757676493</v>
      </c>
      <c r="H16" s="182">
        <f t="shared" si="0"/>
        <v>63.431879541744152</v>
      </c>
      <c r="I16" s="182">
        <f t="shared" si="0"/>
        <v>0</v>
      </c>
      <c r="J16" s="182">
        <f t="shared" si="0"/>
        <v>0</v>
      </c>
      <c r="K16" s="182">
        <f t="shared" si="0"/>
        <v>0</v>
      </c>
      <c r="L16" s="182">
        <f t="shared" si="0"/>
        <v>0</v>
      </c>
      <c r="M16" s="182">
        <f t="shared" si="0"/>
        <v>0</v>
      </c>
      <c r="N16" s="182">
        <f t="shared" si="0"/>
        <v>0</v>
      </c>
      <c r="O16" s="182">
        <f t="shared" si="0"/>
        <v>0</v>
      </c>
      <c r="P16" s="183">
        <f t="shared" si="0"/>
        <v>0</v>
      </c>
      <c r="R16" s="795">
        <f>SUMIF(E18:P18,"&lt;&gt;0",E23:P23)/C18</f>
        <v>238.3704482156117</v>
      </c>
    </row>
    <row r="17" spans="1:20" ht="5.25" customHeight="1" x14ac:dyDescent="0.2">
      <c r="C17" s="176"/>
      <c r="R17" s="796"/>
    </row>
    <row r="18" spans="1:20" ht="12.75" customHeight="1" x14ac:dyDescent="0.2">
      <c r="B18" s="184" t="s">
        <v>84</v>
      </c>
      <c r="C18" s="185">
        <f>'[6]Suivi Rotation de Stock Fer Nu'!E18</f>
        <v>0.50341810781618856</v>
      </c>
      <c r="E18" s="186">
        <f>'[6]Suivi Rotation de Stock Fer Nu'!G18</f>
        <v>0.60427085527854862</v>
      </c>
      <c r="F18" s="187">
        <f>'[6]Suivi Rotation de Stock Fer Nu'!H18</f>
        <v>0.98152386854801821</v>
      </c>
      <c r="G18" s="187">
        <f>'[6]Suivi Rotation de Stock Fer Nu'!I18</f>
        <v>0.95715412349227624</v>
      </c>
      <c r="H18" s="187">
        <f>'[6]Suivi Rotation de Stock Fer Nu'!J18</f>
        <v>0.93525690359216707</v>
      </c>
      <c r="I18" s="187">
        <f>'[6]Suivi Rotation de Stock Fer Nu'!K18</f>
        <v>0</v>
      </c>
      <c r="J18" s="187">
        <f>'[6]Suivi Rotation de Stock Fer Nu'!L18</f>
        <v>0</v>
      </c>
      <c r="K18" s="187">
        <f>'[6]Suivi Rotation de Stock Fer Nu'!M18</f>
        <v>0</v>
      </c>
      <c r="L18" s="187">
        <f>'[6]Suivi Rotation de Stock Fer Nu'!N18</f>
        <v>0</v>
      </c>
      <c r="M18" s="187">
        <f>'[6]Suivi Rotation de Stock Fer Nu'!O18</f>
        <v>0</v>
      </c>
      <c r="N18" s="187">
        <f>'[6]Suivi Rotation de Stock Fer Nu'!P18</f>
        <v>0</v>
      </c>
      <c r="O18" s="187">
        <f>'[6]Suivi Rotation de Stock Fer Nu'!Q18</f>
        <v>0</v>
      </c>
      <c r="P18" s="188">
        <f>'[6]Suivi Rotation de Stock Fer Nu'!R18</f>
        <v>0</v>
      </c>
      <c r="R18" s="796"/>
    </row>
    <row r="19" spans="1:20" ht="5.25" customHeight="1" x14ac:dyDescent="0.2">
      <c r="R19" s="796"/>
    </row>
    <row r="20" spans="1:20" ht="12.75" customHeight="1" x14ac:dyDescent="0.2">
      <c r="E20" s="189" t="s">
        <v>8</v>
      </c>
      <c r="F20" s="190" t="s">
        <v>9</v>
      </c>
      <c r="G20" s="190" t="s">
        <v>10</v>
      </c>
      <c r="H20" s="190" t="s">
        <v>11</v>
      </c>
      <c r="I20" s="190" t="s">
        <v>12</v>
      </c>
      <c r="J20" s="190" t="s">
        <v>13</v>
      </c>
      <c r="K20" s="190" t="s">
        <v>14</v>
      </c>
      <c r="L20" s="190" t="s">
        <v>15</v>
      </c>
      <c r="M20" s="190" t="s">
        <v>16</v>
      </c>
      <c r="N20" s="190" t="s">
        <v>17</v>
      </c>
      <c r="O20" s="190" t="s">
        <v>18</v>
      </c>
      <c r="P20" s="191" t="s">
        <v>19</v>
      </c>
      <c r="R20" s="796"/>
    </row>
    <row r="21" spans="1:20" ht="3" customHeight="1" x14ac:dyDescent="0.2"/>
    <row r="22" spans="1:20" x14ac:dyDescent="0.2">
      <c r="A22" s="797" t="s">
        <v>58</v>
      </c>
      <c r="B22" s="799"/>
      <c r="C22" s="179" t="s">
        <v>83</v>
      </c>
      <c r="D22" s="192"/>
      <c r="E22" s="193">
        <f>IF(E24=0,0,E23/E24)</f>
        <v>49.139291686971525</v>
      </c>
      <c r="F22" s="194">
        <f t="shared" ref="F22:P22" si="1">IF(F24=0,0,F23/F24)</f>
        <v>28.489869211085701</v>
      </c>
      <c r="G22" s="194">
        <f t="shared" si="1"/>
        <v>32.25892543524224</v>
      </c>
      <c r="H22" s="194">
        <f t="shared" si="1"/>
        <v>32.289792672477802</v>
      </c>
      <c r="I22" s="194">
        <f t="shared" si="1"/>
        <v>0</v>
      </c>
      <c r="J22" s="194">
        <f t="shared" si="1"/>
        <v>0</v>
      </c>
      <c r="K22" s="194">
        <f t="shared" si="1"/>
        <v>0</v>
      </c>
      <c r="L22" s="194">
        <f t="shared" si="1"/>
        <v>0</v>
      </c>
      <c r="M22" s="194">
        <f t="shared" si="1"/>
        <v>0</v>
      </c>
      <c r="N22" s="194">
        <f t="shared" si="1"/>
        <v>0</v>
      </c>
      <c r="O22" s="194">
        <f t="shared" si="1"/>
        <v>0</v>
      </c>
      <c r="P22" s="195">
        <f t="shared" si="1"/>
        <v>0</v>
      </c>
      <c r="Q22" s="192"/>
      <c r="R22" s="195">
        <f>SUMIF($E$22:$P$22,"&lt;&gt;0",$E$23:$P$23)/R24</f>
        <v>227.96385032268952</v>
      </c>
      <c r="T22" s="196"/>
    </row>
    <row r="23" spans="1:20" x14ac:dyDescent="0.2">
      <c r="A23" s="798"/>
      <c r="B23" s="800"/>
      <c r="C23" s="197" t="s">
        <v>85</v>
      </c>
      <c r="D23" s="192"/>
      <c r="E23" s="198">
        <v>31</v>
      </c>
      <c r="F23" s="199">
        <v>28</v>
      </c>
      <c r="G23" s="199">
        <v>31</v>
      </c>
      <c r="H23" s="199">
        <v>30</v>
      </c>
      <c r="I23" s="199">
        <v>31</v>
      </c>
      <c r="J23" s="199">
        <v>30</v>
      </c>
      <c r="K23" s="199">
        <v>31</v>
      </c>
      <c r="L23" s="199">
        <v>31</v>
      </c>
      <c r="M23" s="199">
        <v>30</v>
      </c>
      <c r="N23" s="199">
        <v>31</v>
      </c>
      <c r="O23" s="199">
        <v>30</v>
      </c>
      <c r="P23" s="200">
        <v>31</v>
      </c>
      <c r="Q23" s="192"/>
      <c r="R23" s="195">
        <f>SUM(E23:P23)</f>
        <v>365</v>
      </c>
      <c r="T23" s="196"/>
    </row>
    <row r="24" spans="1:20" x14ac:dyDescent="0.2">
      <c r="A24" s="798"/>
      <c r="B24" s="800"/>
      <c r="C24" s="197" t="s">
        <v>86</v>
      </c>
      <c r="D24" s="192"/>
      <c r="E24" s="201">
        <f>'[6]Suivi Rotation de Stock Fer Nu'!G25</f>
        <v>0.63085972417911629</v>
      </c>
      <c r="F24" s="202">
        <f>'[6]Suivi Rotation de Stock Fer Nu'!H25</f>
        <v>0.98280549456172694</v>
      </c>
      <c r="G24" s="202">
        <f>'[6]Suivi Rotation de Stock Fer Nu'!I25</f>
        <v>0.96097435304317702</v>
      </c>
      <c r="H24" s="202">
        <f>'[6]Suivi Rotation de Stock Fer Nu'!J25</f>
        <v>0.92908617606487442</v>
      </c>
      <c r="I24" s="202">
        <f>'[6]Suivi Rotation de Stock Fer Nu'!K25</f>
        <v>0</v>
      </c>
      <c r="J24" s="202">
        <f>'[6]Suivi Rotation de Stock Fer Nu'!L25</f>
        <v>0</v>
      </c>
      <c r="K24" s="202">
        <f>'[6]Suivi Rotation de Stock Fer Nu'!M25</f>
        <v>0</v>
      </c>
      <c r="L24" s="202">
        <f>'[6]Suivi Rotation de Stock Fer Nu'!N25</f>
        <v>0</v>
      </c>
      <c r="M24" s="202">
        <f>'[6]Suivi Rotation de Stock Fer Nu'!O25</f>
        <v>0</v>
      </c>
      <c r="N24" s="202">
        <f>'[6]Suivi Rotation de Stock Fer Nu'!P25</f>
        <v>0</v>
      </c>
      <c r="O24" s="202">
        <f>'[6]Suivi Rotation de Stock Fer Nu'!Q25</f>
        <v>0</v>
      </c>
      <c r="P24" s="203">
        <f>'[6]Suivi Rotation de Stock Fer Nu'!R25</f>
        <v>0</v>
      </c>
      <c r="Q24" s="192"/>
      <c r="R24" s="204">
        <f>'[6]Suivi Rotation de Stock Fer Nu'!T25</f>
        <v>0.52639925071513083</v>
      </c>
      <c r="T24" s="196"/>
    </row>
    <row r="25" spans="1:20" hidden="1" outlineLevel="1" x14ac:dyDescent="0.2">
      <c r="A25" s="205"/>
      <c r="B25" s="206" t="s">
        <v>73</v>
      </c>
      <c r="C25" s="207" t="s">
        <v>83</v>
      </c>
      <c r="D25" s="61"/>
      <c r="E25" s="208">
        <f>IF(E26=0,0,E$23/E26)</f>
        <v>47.255916487415043</v>
      </c>
      <c r="F25" s="209">
        <f t="shared" ref="F25:P25" si="2">IF(F26=0,0,F$23/F26)</f>
        <v>28.16857313524374</v>
      </c>
      <c r="G25" s="209">
        <f t="shared" si="2"/>
        <v>32.794348684181223</v>
      </c>
      <c r="H25" s="209">
        <f t="shared" si="2"/>
        <v>37.405829256216826</v>
      </c>
      <c r="I25" s="209">
        <f t="shared" si="2"/>
        <v>0</v>
      </c>
      <c r="J25" s="209">
        <f t="shared" si="2"/>
        <v>0</v>
      </c>
      <c r="K25" s="209">
        <f t="shared" si="2"/>
        <v>0</v>
      </c>
      <c r="L25" s="209">
        <f t="shared" si="2"/>
        <v>0</v>
      </c>
      <c r="M25" s="209">
        <f t="shared" si="2"/>
        <v>0</v>
      </c>
      <c r="N25" s="209">
        <f t="shared" si="2"/>
        <v>0</v>
      </c>
      <c r="O25" s="209">
        <f t="shared" si="2"/>
        <v>0</v>
      </c>
      <c r="P25" s="210">
        <f t="shared" si="2"/>
        <v>0</v>
      </c>
      <c r="Q25" s="61"/>
      <c r="R25" s="211">
        <f>IF(R26=0,0,SUMIF($E$22:$P$22,"&lt;&gt;0",$E$23:$P$23)/R26)</f>
        <v>267.34069964916392</v>
      </c>
      <c r="T25" s="212"/>
    </row>
    <row r="26" spans="1:20" hidden="1" outlineLevel="1" x14ac:dyDescent="0.2">
      <c r="A26" s="205"/>
      <c r="B26" s="213" t="s">
        <v>73</v>
      </c>
      <c r="C26" s="214" t="s">
        <v>86</v>
      </c>
      <c r="D26" s="61"/>
      <c r="E26" s="215">
        <f>'[6]Suivi Rotation de Stock Fer Nu'!G27</f>
        <v>0.65600251363775297</v>
      </c>
      <c r="F26" s="216">
        <f>'[6]Suivi Rotation de Stock Fer Nu'!H27</f>
        <v>0.99401556002022595</v>
      </c>
      <c r="G26" s="216">
        <f>'[6]Suivi Rotation de Stock Fer Nu'!I27</f>
        <v>0.94528482021517479</v>
      </c>
      <c r="H26" s="216">
        <f>'[6]Suivi Rotation de Stock Fer Nu'!J27</f>
        <v>0.80201403354836776</v>
      </c>
      <c r="I26" s="216">
        <f>'[6]Suivi Rotation de Stock Fer Nu'!K27</f>
        <v>0</v>
      </c>
      <c r="J26" s="216">
        <f>'[6]Suivi Rotation de Stock Fer Nu'!L27</f>
        <v>0</v>
      </c>
      <c r="K26" s="216">
        <f>'[6]Suivi Rotation de Stock Fer Nu'!M27</f>
        <v>0</v>
      </c>
      <c r="L26" s="216">
        <f>'[6]Suivi Rotation de Stock Fer Nu'!N27</f>
        <v>0</v>
      </c>
      <c r="M26" s="216">
        <f>'[6]Suivi Rotation de Stock Fer Nu'!O27</f>
        <v>0</v>
      </c>
      <c r="N26" s="216">
        <f>'[6]Suivi Rotation de Stock Fer Nu'!P27</f>
        <v>0</v>
      </c>
      <c r="O26" s="216">
        <f>'[6]Suivi Rotation de Stock Fer Nu'!Q27</f>
        <v>0</v>
      </c>
      <c r="P26" s="217">
        <f>'[6]Suivi Rotation de Stock Fer Nu'!R27</f>
        <v>0</v>
      </c>
      <c r="Q26" s="192"/>
      <c r="R26" s="218">
        <f>'[6]Suivi Rotation de Stock Fer Nu'!T27</f>
        <v>0.44886543709011828</v>
      </c>
      <c r="T26" s="212"/>
    </row>
    <row r="27" spans="1:20" hidden="1" outlineLevel="1" x14ac:dyDescent="0.2">
      <c r="A27" s="205"/>
      <c r="B27" s="206" t="s">
        <v>47</v>
      </c>
      <c r="C27" s="207" t="s">
        <v>83</v>
      </c>
      <c r="D27" s="61"/>
      <c r="E27" s="208">
        <f>IF(E28=0,0,E$23/E28)</f>
        <v>47.392598713113252</v>
      </c>
      <c r="F27" s="209">
        <f t="shared" ref="F27:P27" si="3">IF(F28=0,0,F$23/F28)</f>
        <v>30.244588794593664</v>
      </c>
      <c r="G27" s="209">
        <f t="shared" si="3"/>
        <v>31.708514958185145</v>
      </c>
      <c r="H27" s="209">
        <f t="shared" si="3"/>
        <v>30</v>
      </c>
      <c r="I27" s="209">
        <f t="shared" si="3"/>
        <v>0</v>
      </c>
      <c r="J27" s="209">
        <f t="shared" si="3"/>
        <v>0</v>
      </c>
      <c r="K27" s="209">
        <f t="shared" si="3"/>
        <v>0</v>
      </c>
      <c r="L27" s="209">
        <f t="shared" si="3"/>
        <v>0</v>
      </c>
      <c r="M27" s="209">
        <f t="shared" si="3"/>
        <v>0</v>
      </c>
      <c r="N27" s="209">
        <f t="shared" si="3"/>
        <v>0</v>
      </c>
      <c r="O27" s="209">
        <f t="shared" si="3"/>
        <v>0</v>
      </c>
      <c r="P27" s="210">
        <f t="shared" si="3"/>
        <v>0</v>
      </c>
      <c r="Q27" s="61"/>
      <c r="R27" s="211">
        <f>IF(R28=0,0,SUMIF($E$22:$P$22,"&lt;&gt;0",$E$23:$P$23)/R28)</f>
        <v>209.79650313952783</v>
      </c>
      <c r="T27" s="219"/>
    </row>
    <row r="28" spans="1:20" hidden="1" outlineLevel="1" x14ac:dyDescent="0.2">
      <c r="A28" s="205"/>
      <c r="B28" s="213" t="s">
        <v>47</v>
      </c>
      <c r="C28" s="214" t="s">
        <v>86</v>
      </c>
      <c r="D28" s="61"/>
      <c r="E28" s="215">
        <f>'[6]Suivi Rotation de Stock Fer Nu'!G29</f>
        <v>0.65411057510594972</v>
      </c>
      <c r="F28" s="216">
        <f>'[6]Suivi Rotation de Stock Fer Nu'!H29</f>
        <v>0.9257854418243936</v>
      </c>
      <c r="G28" s="216">
        <f>'[6]Suivi Rotation de Stock Fer Nu'!I29</f>
        <v>0.9776553724096041</v>
      </c>
      <c r="H28" s="216">
        <f>'[6]Suivi Rotation de Stock Fer Nu'!J29</f>
        <v>1</v>
      </c>
      <c r="I28" s="216">
        <f>'[6]Suivi Rotation de Stock Fer Nu'!K29</f>
        <v>0</v>
      </c>
      <c r="J28" s="216">
        <f>'[6]Suivi Rotation de Stock Fer Nu'!L29</f>
        <v>0</v>
      </c>
      <c r="K28" s="216">
        <f>'[6]Suivi Rotation de Stock Fer Nu'!M29</f>
        <v>0</v>
      </c>
      <c r="L28" s="216">
        <f>'[6]Suivi Rotation de Stock Fer Nu'!N29</f>
        <v>0</v>
      </c>
      <c r="M28" s="216">
        <f>'[6]Suivi Rotation de Stock Fer Nu'!O29</f>
        <v>0</v>
      </c>
      <c r="N28" s="216">
        <f>'[6]Suivi Rotation de Stock Fer Nu'!P29</f>
        <v>0</v>
      </c>
      <c r="O28" s="216">
        <f>'[6]Suivi Rotation de Stock Fer Nu'!Q29</f>
        <v>0</v>
      </c>
      <c r="P28" s="217">
        <f>'[6]Suivi Rotation de Stock Fer Nu'!R29</f>
        <v>0</v>
      </c>
      <c r="Q28" s="192"/>
      <c r="R28" s="218">
        <f>'[6]Suivi Rotation de Stock Fer Nu'!T29</f>
        <v>0.57198284148803225</v>
      </c>
    </row>
    <row r="29" spans="1:20" hidden="1" outlineLevel="1" x14ac:dyDescent="0.2">
      <c r="A29" s="205"/>
      <c r="B29" s="206" t="s">
        <v>33</v>
      </c>
      <c r="C29" s="207" t="s">
        <v>83</v>
      </c>
      <c r="D29" s="61"/>
      <c r="E29" s="208">
        <f>IF(E30=0,0,E$23/E30)</f>
        <v>48.01490199829562</v>
      </c>
      <c r="F29" s="209">
        <f t="shared" ref="F29:P29" si="4">IF(F30=0,0,F$23/F30)</f>
        <v>25.532436796133059</v>
      </c>
      <c r="G29" s="209">
        <f t="shared" si="4"/>
        <v>31</v>
      </c>
      <c r="H29" s="209">
        <f t="shared" si="4"/>
        <v>30</v>
      </c>
      <c r="I29" s="209">
        <f t="shared" si="4"/>
        <v>0</v>
      </c>
      <c r="J29" s="209">
        <f t="shared" si="4"/>
        <v>0</v>
      </c>
      <c r="K29" s="209">
        <f t="shared" si="4"/>
        <v>0</v>
      </c>
      <c r="L29" s="209">
        <f t="shared" si="4"/>
        <v>0</v>
      </c>
      <c r="M29" s="209">
        <f t="shared" si="4"/>
        <v>0</v>
      </c>
      <c r="N29" s="209">
        <f t="shared" si="4"/>
        <v>0</v>
      </c>
      <c r="O29" s="209">
        <f t="shared" si="4"/>
        <v>0</v>
      </c>
      <c r="P29" s="210">
        <f t="shared" si="4"/>
        <v>0</v>
      </c>
      <c r="Q29" s="61"/>
      <c r="R29" s="211">
        <f>IF(R30=0,0,SUMIF($E$22:$P$22,"&lt;&gt;0",$E$23:$P$23)/R30)</f>
        <v>163.68001444086767</v>
      </c>
    </row>
    <row r="30" spans="1:20" hidden="1" outlineLevel="1" x14ac:dyDescent="0.2">
      <c r="A30" s="205"/>
      <c r="B30" s="213" t="s">
        <v>33</v>
      </c>
      <c r="C30" s="214" t="s">
        <v>86</v>
      </c>
      <c r="D30" s="61"/>
      <c r="E30" s="215">
        <f>'[6]Suivi Rotation de Stock Fer Nu'!G31</f>
        <v>0.64563289124489731</v>
      </c>
      <c r="F30" s="216">
        <f>'[6]Suivi Rotation de Stock Fer Nu'!H31</f>
        <v>1.0966442499620976</v>
      </c>
      <c r="G30" s="216">
        <f>'[6]Suivi Rotation de Stock Fer Nu'!I31</f>
        <v>1</v>
      </c>
      <c r="H30" s="216">
        <f>'[6]Suivi Rotation de Stock Fer Nu'!J31</f>
        <v>1</v>
      </c>
      <c r="I30" s="216">
        <f>'[6]Suivi Rotation de Stock Fer Nu'!K31</f>
        <v>0</v>
      </c>
      <c r="J30" s="216">
        <f>'[6]Suivi Rotation de Stock Fer Nu'!L31</f>
        <v>0</v>
      </c>
      <c r="K30" s="216">
        <f>'[6]Suivi Rotation de Stock Fer Nu'!M31</f>
        <v>0</v>
      </c>
      <c r="L30" s="216">
        <f>'[6]Suivi Rotation de Stock Fer Nu'!N31</f>
        <v>0</v>
      </c>
      <c r="M30" s="216">
        <f>'[6]Suivi Rotation de Stock Fer Nu'!O31</f>
        <v>0</v>
      </c>
      <c r="N30" s="216">
        <f>'[6]Suivi Rotation de Stock Fer Nu'!P31</f>
        <v>0</v>
      </c>
      <c r="O30" s="216">
        <f>'[6]Suivi Rotation de Stock Fer Nu'!Q31</f>
        <v>0</v>
      </c>
      <c r="P30" s="217">
        <f>'[6]Suivi Rotation de Stock Fer Nu'!R31</f>
        <v>0</v>
      </c>
      <c r="Q30" s="192"/>
      <c r="R30" s="218">
        <f>'[6]Suivi Rotation de Stock Fer Nu'!T31</f>
        <v>0.73313776523004981</v>
      </c>
    </row>
    <row r="31" spans="1:20" hidden="1" outlineLevel="1" x14ac:dyDescent="0.2">
      <c r="A31" s="205"/>
      <c r="B31" s="206" t="s">
        <v>76</v>
      </c>
      <c r="C31" s="207" t="s">
        <v>83</v>
      </c>
      <c r="D31" s="61"/>
      <c r="E31" s="208">
        <f>IF(E32=0,0,E$23/E32)</f>
        <v>62</v>
      </c>
      <c r="F31" s="209">
        <f t="shared" ref="F31:P31" si="5">IF(F32=0,0,F$23/F32)</f>
        <v>28</v>
      </c>
      <c r="G31" s="209">
        <f t="shared" si="5"/>
        <v>31</v>
      </c>
      <c r="H31" s="209">
        <f t="shared" si="5"/>
        <v>31.14615752206808</v>
      </c>
      <c r="I31" s="209">
        <f t="shared" si="5"/>
        <v>0</v>
      </c>
      <c r="J31" s="209">
        <f t="shared" si="5"/>
        <v>0</v>
      </c>
      <c r="K31" s="209">
        <f t="shared" si="5"/>
        <v>0</v>
      </c>
      <c r="L31" s="209">
        <f t="shared" si="5"/>
        <v>0</v>
      </c>
      <c r="M31" s="209">
        <f t="shared" si="5"/>
        <v>0</v>
      </c>
      <c r="N31" s="209">
        <f t="shared" si="5"/>
        <v>0</v>
      </c>
      <c r="O31" s="209">
        <f t="shared" si="5"/>
        <v>0</v>
      </c>
      <c r="P31" s="210">
        <f t="shared" si="5"/>
        <v>0</v>
      </c>
      <c r="Q31" s="61"/>
      <c r="R31" s="211">
        <f>IF(R32=0,0,SUMIF($E$22:$P$22,"&lt;&gt;0",$E$23:$P$23)/R32)</f>
        <v>253.75389026481699</v>
      </c>
    </row>
    <row r="32" spans="1:20" hidden="1" outlineLevel="1" x14ac:dyDescent="0.2">
      <c r="A32" s="205"/>
      <c r="B32" s="213" t="s">
        <v>76</v>
      </c>
      <c r="C32" s="214" t="s">
        <v>86</v>
      </c>
      <c r="D32" s="61"/>
      <c r="E32" s="215">
        <f>'[6]Suivi Rotation de Stock Fer Nu'!G33</f>
        <v>0.5</v>
      </c>
      <c r="F32" s="216">
        <f>'[6]Suivi Rotation de Stock Fer Nu'!H33</f>
        <v>1</v>
      </c>
      <c r="G32" s="216">
        <f>'[6]Suivi Rotation de Stock Fer Nu'!I33</f>
        <v>1</v>
      </c>
      <c r="H32" s="216">
        <f>'[6]Suivi Rotation de Stock Fer Nu'!J33</f>
        <v>0.96320067664025688</v>
      </c>
      <c r="I32" s="216">
        <f>'[6]Suivi Rotation de Stock Fer Nu'!K33</f>
        <v>0</v>
      </c>
      <c r="J32" s="216">
        <f>'[6]Suivi Rotation de Stock Fer Nu'!L33</f>
        <v>0</v>
      </c>
      <c r="K32" s="216">
        <f>'[6]Suivi Rotation de Stock Fer Nu'!M33</f>
        <v>0</v>
      </c>
      <c r="L32" s="216">
        <f>'[6]Suivi Rotation de Stock Fer Nu'!N33</f>
        <v>0</v>
      </c>
      <c r="M32" s="216">
        <f>'[6]Suivi Rotation de Stock Fer Nu'!O33</f>
        <v>0</v>
      </c>
      <c r="N32" s="216">
        <f>'[6]Suivi Rotation de Stock Fer Nu'!P33</f>
        <v>0</v>
      </c>
      <c r="O32" s="216">
        <f>'[6]Suivi Rotation de Stock Fer Nu'!Q33</f>
        <v>0</v>
      </c>
      <c r="P32" s="217">
        <f>'[6]Suivi Rotation de Stock Fer Nu'!R33</f>
        <v>0</v>
      </c>
      <c r="Q32" s="192"/>
      <c r="R32" s="218">
        <f>'[6]Suivi Rotation de Stock Fer Nu'!T33</f>
        <v>0.47289915388003811</v>
      </c>
    </row>
    <row r="33" spans="1:20" hidden="1" outlineLevel="1" x14ac:dyDescent="0.2">
      <c r="A33" s="205"/>
      <c r="B33" s="206" t="s">
        <v>32</v>
      </c>
      <c r="C33" s="207" t="s">
        <v>83</v>
      </c>
      <c r="D33" s="61"/>
      <c r="E33" s="208">
        <f>IF(E34=0,0,E$23/E34)</f>
        <v>27.903404930436906</v>
      </c>
      <c r="F33" s="209">
        <f t="shared" ref="F33:P33" si="6">IF(F34=0,0,F$23/F34)</f>
        <v>28</v>
      </c>
      <c r="G33" s="209">
        <f t="shared" si="6"/>
        <v>31</v>
      </c>
      <c r="H33" s="209">
        <f t="shared" si="6"/>
        <v>37.944315723588133</v>
      </c>
      <c r="I33" s="209">
        <f t="shared" si="6"/>
        <v>0</v>
      </c>
      <c r="J33" s="209">
        <f t="shared" si="6"/>
        <v>0</v>
      </c>
      <c r="K33" s="209">
        <f t="shared" si="6"/>
        <v>0</v>
      </c>
      <c r="L33" s="209">
        <f t="shared" si="6"/>
        <v>0</v>
      </c>
      <c r="M33" s="209">
        <f t="shared" si="6"/>
        <v>0</v>
      </c>
      <c r="N33" s="209">
        <f t="shared" si="6"/>
        <v>0</v>
      </c>
      <c r="O33" s="209">
        <f t="shared" si="6"/>
        <v>0</v>
      </c>
      <c r="P33" s="210">
        <f t="shared" si="6"/>
        <v>0</v>
      </c>
      <c r="Q33" s="61"/>
      <c r="R33" s="211">
        <f>IF(R34=0,0,SUMIF($E$22:$P$22,"&lt;&gt;0",$E$23:$P$23)/R34)</f>
        <v>133.44197129585908</v>
      </c>
      <c r="T33" s="196"/>
    </row>
    <row r="34" spans="1:20" hidden="1" outlineLevel="1" x14ac:dyDescent="0.2">
      <c r="A34" s="205"/>
      <c r="B34" s="213" t="s">
        <v>32</v>
      </c>
      <c r="C34" s="214" t="s">
        <v>86</v>
      </c>
      <c r="D34" s="61"/>
      <c r="E34" s="215">
        <f>'[6]Suivi Rotation de Stock Fer Nu'!G35</f>
        <v>1.1109755270829096</v>
      </c>
      <c r="F34" s="216">
        <f>'[6]Suivi Rotation de Stock Fer Nu'!H35</f>
        <v>1</v>
      </c>
      <c r="G34" s="216">
        <f>'[6]Suivi Rotation de Stock Fer Nu'!I35</f>
        <v>1</v>
      </c>
      <c r="H34" s="216">
        <f>'[6]Suivi Rotation de Stock Fer Nu'!J35</f>
        <v>0.79063225750439503</v>
      </c>
      <c r="I34" s="216">
        <f>'[6]Suivi Rotation de Stock Fer Nu'!K35</f>
        <v>0</v>
      </c>
      <c r="J34" s="216">
        <f>'[6]Suivi Rotation de Stock Fer Nu'!L35</f>
        <v>0</v>
      </c>
      <c r="K34" s="216">
        <f>'[6]Suivi Rotation de Stock Fer Nu'!M35</f>
        <v>0</v>
      </c>
      <c r="L34" s="216">
        <f>'[6]Suivi Rotation de Stock Fer Nu'!N35</f>
        <v>0</v>
      </c>
      <c r="M34" s="216">
        <f>'[6]Suivi Rotation de Stock Fer Nu'!O35</f>
        <v>0</v>
      </c>
      <c r="N34" s="216">
        <f>'[6]Suivi Rotation de Stock Fer Nu'!P35</f>
        <v>0</v>
      </c>
      <c r="O34" s="216">
        <f>'[6]Suivi Rotation de Stock Fer Nu'!Q35</f>
        <v>0</v>
      </c>
      <c r="P34" s="217">
        <f>'[6]Suivi Rotation de Stock Fer Nu'!R35</f>
        <v>0</v>
      </c>
      <c r="Q34" s="192"/>
      <c r="R34" s="218">
        <f>'[6]Suivi Rotation de Stock Fer Nu'!T35</f>
        <v>0.89926729075324885</v>
      </c>
      <c r="T34" s="219"/>
    </row>
    <row r="35" spans="1:20" hidden="1" outlineLevel="1" x14ac:dyDescent="0.2">
      <c r="A35" s="205"/>
      <c r="B35" s="206" t="s">
        <v>48</v>
      </c>
      <c r="C35" s="207" t="s">
        <v>83</v>
      </c>
      <c r="D35" s="61"/>
      <c r="E35" s="208">
        <f>IF(E36=0,0,E$23/E36)</f>
        <v>46.5</v>
      </c>
      <c r="F35" s="209">
        <f t="shared" ref="F35:P35" si="7">IF(F36=0,0,F$23/F36)</f>
        <v>28.374974615089545</v>
      </c>
      <c r="G35" s="209">
        <f t="shared" si="7"/>
        <v>47.039685333414958</v>
      </c>
      <c r="H35" s="209">
        <f t="shared" si="7"/>
        <v>30</v>
      </c>
      <c r="I35" s="209">
        <f t="shared" si="7"/>
        <v>0</v>
      </c>
      <c r="J35" s="209">
        <f t="shared" si="7"/>
        <v>0</v>
      </c>
      <c r="K35" s="209">
        <f t="shared" si="7"/>
        <v>0</v>
      </c>
      <c r="L35" s="209">
        <f t="shared" si="7"/>
        <v>0</v>
      </c>
      <c r="M35" s="209">
        <f t="shared" si="7"/>
        <v>0</v>
      </c>
      <c r="N35" s="209">
        <f t="shared" si="7"/>
        <v>0</v>
      </c>
      <c r="O35" s="209">
        <f t="shared" si="7"/>
        <v>0</v>
      </c>
      <c r="P35" s="210">
        <f t="shared" si="7"/>
        <v>0</v>
      </c>
      <c r="Q35" s="61"/>
      <c r="R35" s="211">
        <f>IF(R36=0,0,SUMIF($E$22:$P$22,"&lt;&gt;0",$E$23:$P$23)/R36)</f>
        <v>310.71825402898725</v>
      </c>
    </row>
    <row r="36" spans="1:20" hidden="1" outlineLevel="1" x14ac:dyDescent="0.2">
      <c r="A36" s="205"/>
      <c r="B36" s="213" t="s">
        <v>48</v>
      </c>
      <c r="C36" s="214" t="s">
        <v>86</v>
      </c>
      <c r="D36" s="61"/>
      <c r="E36" s="215">
        <f>'[6]Suivi Rotation de Stock Fer Nu'!G37</f>
        <v>0.66666666666666663</v>
      </c>
      <c r="F36" s="216">
        <f>'[6]Suivi Rotation de Stock Fer Nu'!H37</f>
        <v>0.98678502376914423</v>
      </c>
      <c r="G36" s="216">
        <f>'[6]Suivi Rotation de Stock Fer Nu'!I37</f>
        <v>0.65901801383817804</v>
      </c>
      <c r="H36" s="216">
        <f>'[6]Suivi Rotation de Stock Fer Nu'!J37</f>
        <v>1</v>
      </c>
      <c r="I36" s="216">
        <f>'[6]Suivi Rotation de Stock Fer Nu'!K37</f>
        <v>0</v>
      </c>
      <c r="J36" s="216">
        <f>'[6]Suivi Rotation de Stock Fer Nu'!L37</f>
        <v>0</v>
      </c>
      <c r="K36" s="216">
        <f>'[6]Suivi Rotation de Stock Fer Nu'!M37</f>
        <v>0</v>
      </c>
      <c r="L36" s="216">
        <f>'[6]Suivi Rotation de Stock Fer Nu'!N37</f>
        <v>0</v>
      </c>
      <c r="M36" s="216">
        <f>'[6]Suivi Rotation de Stock Fer Nu'!O37</f>
        <v>0</v>
      </c>
      <c r="N36" s="216">
        <f>'[6]Suivi Rotation de Stock Fer Nu'!P37</f>
        <v>0</v>
      </c>
      <c r="O36" s="216">
        <f>'[6]Suivi Rotation de Stock Fer Nu'!Q37</f>
        <v>0</v>
      </c>
      <c r="P36" s="217">
        <f>'[6]Suivi Rotation de Stock Fer Nu'!R37</f>
        <v>0</v>
      </c>
      <c r="Q36" s="192"/>
      <c r="R36" s="218">
        <f>'[6]Suivi Rotation de Stock Fer Nu'!T37</f>
        <v>0.38620196413952901</v>
      </c>
    </row>
    <row r="37" spans="1:20" hidden="1" outlineLevel="1" x14ac:dyDescent="0.2">
      <c r="A37" s="205"/>
      <c r="B37" s="206" t="s">
        <v>50</v>
      </c>
      <c r="C37" s="207" t="s">
        <v>83</v>
      </c>
      <c r="D37" s="61"/>
      <c r="E37" s="208">
        <f>IF(E38=0,0,E$23/E38)</f>
        <v>46.5</v>
      </c>
      <c r="F37" s="209">
        <f t="shared" ref="F37:P37" si="8">IF(F38=0,0,F$23/F38)</f>
        <v>28</v>
      </c>
      <c r="G37" s="209">
        <f t="shared" si="8"/>
        <v>31</v>
      </c>
      <c r="H37" s="209">
        <f t="shared" si="8"/>
        <v>30.797872340425528</v>
      </c>
      <c r="I37" s="209">
        <f t="shared" si="8"/>
        <v>0</v>
      </c>
      <c r="J37" s="209">
        <f t="shared" si="8"/>
        <v>0</v>
      </c>
      <c r="K37" s="209">
        <f t="shared" si="8"/>
        <v>0</v>
      </c>
      <c r="L37" s="209">
        <f t="shared" si="8"/>
        <v>0</v>
      </c>
      <c r="M37" s="209">
        <f t="shared" si="8"/>
        <v>0</v>
      </c>
      <c r="N37" s="209">
        <f t="shared" si="8"/>
        <v>0</v>
      </c>
      <c r="O37" s="209">
        <f t="shared" si="8"/>
        <v>0</v>
      </c>
      <c r="P37" s="210">
        <f t="shared" si="8"/>
        <v>0</v>
      </c>
      <c r="Q37" s="61"/>
      <c r="R37" s="211">
        <f>IF(R38=0,0,SUMIF($E$22:$P$22,"&lt;&gt;0",$E$23:$P$23)/R38)</f>
        <v>186.38297872340428</v>
      </c>
    </row>
    <row r="38" spans="1:20" hidden="1" outlineLevel="1" x14ac:dyDescent="0.2">
      <c r="A38" s="205"/>
      <c r="B38" s="213" t="s">
        <v>50</v>
      </c>
      <c r="C38" s="214" t="s">
        <v>86</v>
      </c>
      <c r="D38" s="61"/>
      <c r="E38" s="215">
        <f>'[6]Suivi Rotation de Stock Fer Nu'!G39</f>
        <v>0.66666666666666663</v>
      </c>
      <c r="F38" s="216">
        <f>'[6]Suivi Rotation de Stock Fer Nu'!H39</f>
        <v>1</v>
      </c>
      <c r="G38" s="216">
        <f>'[6]Suivi Rotation de Stock Fer Nu'!I39</f>
        <v>1</v>
      </c>
      <c r="H38" s="216">
        <f>'[6]Suivi Rotation de Stock Fer Nu'!J39</f>
        <v>0.97409326424870479</v>
      </c>
      <c r="I38" s="216">
        <f>'[6]Suivi Rotation de Stock Fer Nu'!K39</f>
        <v>0</v>
      </c>
      <c r="J38" s="216">
        <f>'[6]Suivi Rotation de Stock Fer Nu'!L39</f>
        <v>0</v>
      </c>
      <c r="K38" s="216">
        <f>'[6]Suivi Rotation de Stock Fer Nu'!M39</f>
        <v>0</v>
      </c>
      <c r="L38" s="216">
        <f>'[6]Suivi Rotation de Stock Fer Nu'!N39</f>
        <v>0</v>
      </c>
      <c r="M38" s="216">
        <f>'[6]Suivi Rotation de Stock Fer Nu'!O39</f>
        <v>0</v>
      </c>
      <c r="N38" s="216">
        <f>'[6]Suivi Rotation de Stock Fer Nu'!P39</f>
        <v>0</v>
      </c>
      <c r="O38" s="216">
        <f>'[6]Suivi Rotation de Stock Fer Nu'!Q39</f>
        <v>0</v>
      </c>
      <c r="P38" s="217">
        <f>'[6]Suivi Rotation de Stock Fer Nu'!R39</f>
        <v>0</v>
      </c>
      <c r="Q38" s="192"/>
      <c r="R38" s="218">
        <f>'[6]Suivi Rotation de Stock Fer Nu'!T39</f>
        <v>0.64383561643835607</v>
      </c>
    </row>
    <row r="39" spans="1:20" hidden="1" outlineLevel="1" x14ac:dyDescent="0.2">
      <c r="A39" s="205"/>
      <c r="B39" s="206" t="s">
        <v>51</v>
      </c>
      <c r="C39" s="207" t="s">
        <v>83</v>
      </c>
      <c r="D39" s="61"/>
      <c r="E39" s="208">
        <f>IF(E40=0,0,E$23/E40)</f>
        <v>50.11099823919816</v>
      </c>
      <c r="F39" s="209">
        <f t="shared" ref="F39:P39" si="9">IF(F40=0,0,F$23/F40)</f>
        <v>39.35992933902547</v>
      </c>
      <c r="G39" s="209">
        <f t="shared" si="9"/>
        <v>31.045769968994538</v>
      </c>
      <c r="H39" s="209">
        <f t="shared" si="9"/>
        <v>30</v>
      </c>
      <c r="I39" s="209">
        <f t="shared" si="9"/>
        <v>0</v>
      </c>
      <c r="J39" s="209">
        <f t="shared" si="9"/>
        <v>0</v>
      </c>
      <c r="K39" s="209">
        <f t="shared" si="9"/>
        <v>0</v>
      </c>
      <c r="L39" s="209">
        <f t="shared" si="9"/>
        <v>0</v>
      </c>
      <c r="M39" s="209">
        <f t="shared" si="9"/>
        <v>0</v>
      </c>
      <c r="N39" s="209">
        <f t="shared" si="9"/>
        <v>0</v>
      </c>
      <c r="O39" s="209">
        <f t="shared" si="9"/>
        <v>0</v>
      </c>
      <c r="P39" s="210">
        <f t="shared" si="9"/>
        <v>0</v>
      </c>
      <c r="Q39" s="61"/>
      <c r="R39" s="211">
        <f>IF(R40=0,0,SUMIF($E$22:$P$22,"&lt;&gt;0",$E$23:$P$23)/R40)</f>
        <v>303.40764801417396</v>
      </c>
    </row>
    <row r="40" spans="1:20" hidden="1" outlineLevel="1" x14ac:dyDescent="0.2">
      <c r="A40" s="205"/>
      <c r="B40" s="213" t="s">
        <v>51</v>
      </c>
      <c r="C40" s="214" t="s">
        <v>86</v>
      </c>
      <c r="D40" s="61"/>
      <c r="E40" s="215">
        <f>'[6]Suivi Rotation de Stock Fer Nu'!G41</f>
        <v>0.61862667057689891</v>
      </c>
      <c r="F40" s="216">
        <f>'[6]Suivi Rotation de Stock Fer Nu'!H41</f>
        <v>0.71138339093098746</v>
      </c>
      <c r="G40" s="216">
        <f>'[6]Suivi Rotation de Stock Fer Nu'!I41</f>
        <v>0.99852572607990564</v>
      </c>
      <c r="H40" s="216">
        <f>'[6]Suivi Rotation de Stock Fer Nu'!J41</f>
        <v>1</v>
      </c>
      <c r="I40" s="216">
        <f>'[6]Suivi Rotation de Stock Fer Nu'!K41</f>
        <v>0</v>
      </c>
      <c r="J40" s="216">
        <f>'[6]Suivi Rotation de Stock Fer Nu'!L41</f>
        <v>0</v>
      </c>
      <c r="K40" s="216">
        <f>'[6]Suivi Rotation de Stock Fer Nu'!M41</f>
        <v>0</v>
      </c>
      <c r="L40" s="216">
        <f>'[6]Suivi Rotation de Stock Fer Nu'!N41</f>
        <v>0</v>
      </c>
      <c r="M40" s="216">
        <f>'[6]Suivi Rotation de Stock Fer Nu'!O41</f>
        <v>0</v>
      </c>
      <c r="N40" s="216">
        <f>'[6]Suivi Rotation de Stock Fer Nu'!P41</f>
        <v>0</v>
      </c>
      <c r="O40" s="216">
        <f>'[6]Suivi Rotation de Stock Fer Nu'!Q41</f>
        <v>0</v>
      </c>
      <c r="P40" s="217">
        <f>'[6]Suivi Rotation de Stock Fer Nu'!R41</f>
        <v>0</v>
      </c>
      <c r="Q40" s="192"/>
      <c r="R40" s="218">
        <f>'[6]Suivi Rotation de Stock Fer Nu'!T41</f>
        <v>0.39550749885643655</v>
      </c>
    </row>
    <row r="41" spans="1:20" hidden="1" outlineLevel="1" x14ac:dyDescent="0.2">
      <c r="A41" s="205"/>
      <c r="B41" s="206" t="s">
        <v>34</v>
      </c>
      <c r="C41" s="207" t="s">
        <v>83</v>
      </c>
      <c r="D41" s="61"/>
      <c r="E41" s="208">
        <f>IF(E42=0,0,E$23/E42)</f>
        <v>46.499999999999993</v>
      </c>
      <c r="F41" s="209">
        <f t="shared" ref="F41:P41" si="10">IF(F42=0,0,F$23/F42)</f>
        <v>49.763333333333328</v>
      </c>
      <c r="G41" s="209">
        <f t="shared" si="10"/>
        <v>31</v>
      </c>
      <c r="H41" s="209">
        <f t="shared" si="10"/>
        <v>30</v>
      </c>
      <c r="I41" s="209">
        <f t="shared" si="10"/>
        <v>0</v>
      </c>
      <c r="J41" s="209">
        <f t="shared" si="10"/>
        <v>0</v>
      </c>
      <c r="K41" s="209">
        <f t="shared" si="10"/>
        <v>0</v>
      </c>
      <c r="L41" s="209">
        <f t="shared" si="10"/>
        <v>0</v>
      </c>
      <c r="M41" s="209">
        <f t="shared" si="10"/>
        <v>0</v>
      </c>
      <c r="N41" s="209">
        <f t="shared" si="10"/>
        <v>0</v>
      </c>
      <c r="O41" s="209">
        <f t="shared" si="10"/>
        <v>0</v>
      </c>
      <c r="P41" s="210">
        <f t="shared" si="10"/>
        <v>0</v>
      </c>
      <c r="Q41" s="61"/>
      <c r="R41" s="211">
        <f>IF(R42=0,0,SUMIF($E$22:$P$22,"&lt;&gt;0",$E$23:$P$23)/R42)</f>
        <v>366.5428571428572</v>
      </c>
    </row>
    <row r="42" spans="1:20" hidden="1" outlineLevel="1" x14ac:dyDescent="0.2">
      <c r="A42" s="205"/>
      <c r="B42" s="213" t="s">
        <v>34</v>
      </c>
      <c r="C42" s="214" t="s">
        <v>86</v>
      </c>
      <c r="D42" s="61"/>
      <c r="E42" s="215">
        <f>'[6]Suivi Rotation de Stock Fer Nu'!G43</f>
        <v>0.66666666666666674</v>
      </c>
      <c r="F42" s="216">
        <f>'[6]Suivi Rotation de Stock Fer Nu'!H43</f>
        <v>0.56266327282470363</v>
      </c>
      <c r="G42" s="216">
        <f>'[6]Suivi Rotation de Stock Fer Nu'!I43</f>
        <v>1</v>
      </c>
      <c r="H42" s="216">
        <f>'[6]Suivi Rotation de Stock Fer Nu'!J43</f>
        <v>1</v>
      </c>
      <c r="I42" s="216">
        <f>'[6]Suivi Rotation de Stock Fer Nu'!K43</f>
        <v>0</v>
      </c>
      <c r="J42" s="216">
        <f>'[6]Suivi Rotation de Stock Fer Nu'!L43</f>
        <v>0</v>
      </c>
      <c r="K42" s="216">
        <f>'[6]Suivi Rotation de Stock Fer Nu'!M43</f>
        <v>0</v>
      </c>
      <c r="L42" s="216">
        <f>'[6]Suivi Rotation de Stock Fer Nu'!N43</f>
        <v>0</v>
      </c>
      <c r="M42" s="216">
        <f>'[6]Suivi Rotation de Stock Fer Nu'!O43</f>
        <v>0</v>
      </c>
      <c r="N42" s="216">
        <f>'[6]Suivi Rotation de Stock Fer Nu'!P43</f>
        <v>0</v>
      </c>
      <c r="O42" s="216">
        <f>'[6]Suivi Rotation de Stock Fer Nu'!Q43</f>
        <v>0</v>
      </c>
      <c r="P42" s="217">
        <f>'[6]Suivi Rotation de Stock Fer Nu'!R43</f>
        <v>0</v>
      </c>
      <c r="Q42" s="192"/>
      <c r="R42" s="218">
        <f>'[6]Suivi Rotation de Stock Fer Nu'!T43</f>
        <v>0.32738327227375474</v>
      </c>
    </row>
    <row r="43" spans="1:20" hidden="1" outlineLevel="1" x14ac:dyDescent="0.2">
      <c r="A43" s="205"/>
      <c r="B43" s="206" t="s">
        <v>49</v>
      </c>
      <c r="C43" s="207" t="s">
        <v>83</v>
      </c>
      <c r="D43" s="61"/>
      <c r="E43" s="208">
        <f>IF(E44=0,0,E$23/E44)</f>
        <v>46.5</v>
      </c>
      <c r="F43" s="209">
        <f t="shared" ref="F43:P43" si="11">IF(F44=0,0,F$23/F44)</f>
        <v>28</v>
      </c>
      <c r="G43" s="209">
        <f t="shared" si="11"/>
        <v>31</v>
      </c>
      <c r="H43" s="209">
        <f t="shared" si="11"/>
        <v>30</v>
      </c>
      <c r="I43" s="209">
        <f t="shared" si="11"/>
        <v>0</v>
      </c>
      <c r="J43" s="209">
        <f t="shared" si="11"/>
        <v>0</v>
      </c>
      <c r="K43" s="209">
        <f t="shared" si="11"/>
        <v>0</v>
      </c>
      <c r="L43" s="209">
        <f t="shared" si="11"/>
        <v>0</v>
      </c>
      <c r="M43" s="209">
        <f t="shared" si="11"/>
        <v>0</v>
      </c>
      <c r="N43" s="209">
        <f t="shared" si="11"/>
        <v>0</v>
      </c>
      <c r="O43" s="209">
        <f t="shared" si="11"/>
        <v>0</v>
      </c>
      <c r="P43" s="210">
        <f t="shared" si="11"/>
        <v>0</v>
      </c>
      <c r="Q43" s="61"/>
      <c r="R43" s="211">
        <f>IF(R44=0,0,SUMIF($E$22:$P$22,"&lt;&gt;0",$E$23:$P$23)/R44)</f>
        <v>180</v>
      </c>
    </row>
    <row r="44" spans="1:20" hidden="1" outlineLevel="1" x14ac:dyDescent="0.2">
      <c r="A44" s="205"/>
      <c r="B44" s="213" t="s">
        <v>49</v>
      </c>
      <c r="C44" s="214" t="s">
        <v>86</v>
      </c>
      <c r="D44" s="61"/>
      <c r="E44" s="215">
        <f>'[6]Suivi Rotation de Stock Fer Nu'!G45</f>
        <v>0.66666666666666663</v>
      </c>
      <c r="F44" s="216">
        <f>'[6]Suivi Rotation de Stock Fer Nu'!H45</f>
        <v>1</v>
      </c>
      <c r="G44" s="216">
        <f>'[6]Suivi Rotation de Stock Fer Nu'!I45</f>
        <v>1</v>
      </c>
      <c r="H44" s="216">
        <f>'[6]Suivi Rotation de Stock Fer Nu'!J45</f>
        <v>1</v>
      </c>
      <c r="I44" s="216">
        <f>'[6]Suivi Rotation de Stock Fer Nu'!K45</f>
        <v>0</v>
      </c>
      <c r="J44" s="216">
        <f>'[6]Suivi Rotation de Stock Fer Nu'!L45</f>
        <v>0</v>
      </c>
      <c r="K44" s="216">
        <f>'[6]Suivi Rotation de Stock Fer Nu'!M45</f>
        <v>0</v>
      </c>
      <c r="L44" s="216">
        <f>'[6]Suivi Rotation de Stock Fer Nu'!N45</f>
        <v>0</v>
      </c>
      <c r="M44" s="216">
        <f>'[6]Suivi Rotation de Stock Fer Nu'!O45</f>
        <v>0</v>
      </c>
      <c r="N44" s="216">
        <f>'[6]Suivi Rotation de Stock Fer Nu'!P45</f>
        <v>0</v>
      </c>
      <c r="O44" s="216">
        <f>'[6]Suivi Rotation de Stock Fer Nu'!Q45</f>
        <v>0</v>
      </c>
      <c r="P44" s="217">
        <f>'[6]Suivi Rotation de Stock Fer Nu'!R45</f>
        <v>0</v>
      </c>
      <c r="Q44" s="192"/>
      <c r="R44" s="218">
        <f>'[6]Suivi Rotation de Stock Fer Nu'!T45</f>
        <v>0.66666666666666663</v>
      </c>
    </row>
    <row r="45" spans="1:20" hidden="1" outlineLevel="1" x14ac:dyDescent="0.2">
      <c r="A45" s="205"/>
      <c r="B45" s="206" t="s">
        <v>75</v>
      </c>
      <c r="C45" s="207" t="s">
        <v>83</v>
      </c>
      <c r="D45" s="61"/>
      <c r="E45" s="208">
        <f>IF(E46=0,0,E$23/E46)</f>
        <v>49.941662291506788</v>
      </c>
      <c r="F45" s="209">
        <f t="shared" ref="F45:P45" si="12">IF(F46=0,0,F$23/F46)</f>
        <v>28.909208206098661</v>
      </c>
      <c r="G45" s="209">
        <f t="shared" si="12"/>
        <v>46.699939399186221</v>
      </c>
      <c r="H45" s="209">
        <f t="shared" si="12"/>
        <v>35.236510161177293</v>
      </c>
      <c r="I45" s="209">
        <f t="shared" si="12"/>
        <v>0</v>
      </c>
      <c r="J45" s="209">
        <f t="shared" si="12"/>
        <v>0</v>
      </c>
      <c r="K45" s="209">
        <f t="shared" si="12"/>
        <v>0</v>
      </c>
      <c r="L45" s="209">
        <f t="shared" si="12"/>
        <v>0</v>
      </c>
      <c r="M45" s="209">
        <f t="shared" si="12"/>
        <v>0</v>
      </c>
      <c r="N45" s="209">
        <f t="shared" si="12"/>
        <v>0</v>
      </c>
      <c r="O45" s="209">
        <f t="shared" si="12"/>
        <v>0</v>
      </c>
      <c r="P45" s="210">
        <f t="shared" si="12"/>
        <v>0</v>
      </c>
      <c r="Q45" s="61"/>
      <c r="R45" s="211">
        <f>IF(R46=0,0,SUMIF($E$22:$P$22,"&lt;&gt;0",$E$23:$P$23)/R46)</f>
        <v>445.56412053258572</v>
      </c>
    </row>
    <row r="46" spans="1:20" hidden="1" outlineLevel="1" x14ac:dyDescent="0.2">
      <c r="A46" s="205"/>
      <c r="B46" s="213" t="s">
        <v>75</v>
      </c>
      <c r="C46" s="214" t="s">
        <v>86</v>
      </c>
      <c r="D46" s="61"/>
      <c r="E46" s="215">
        <f>'[6]Suivi Rotation de Stock Fer Nu'!G47</f>
        <v>0.62072423258670628</v>
      </c>
      <c r="F46" s="216">
        <f>'[6]Suivi Rotation de Stock Fer Nu'!H47</f>
        <v>0.96854952928434557</v>
      </c>
      <c r="G46" s="216">
        <f>'[6]Suivi Rotation de Stock Fer Nu'!I47</f>
        <v>0.66381242457330036</v>
      </c>
      <c r="H46" s="216">
        <f>'[6]Suivi Rotation de Stock Fer Nu'!J47</f>
        <v>0.85138964848605381</v>
      </c>
      <c r="I46" s="216">
        <f>'[6]Suivi Rotation de Stock Fer Nu'!K47</f>
        <v>0</v>
      </c>
      <c r="J46" s="216">
        <f>'[6]Suivi Rotation de Stock Fer Nu'!L47</f>
        <v>0</v>
      </c>
      <c r="K46" s="216">
        <f>'[6]Suivi Rotation de Stock Fer Nu'!M47</f>
        <v>0</v>
      </c>
      <c r="L46" s="216">
        <f>'[6]Suivi Rotation de Stock Fer Nu'!N47</f>
        <v>0</v>
      </c>
      <c r="M46" s="216">
        <f>'[6]Suivi Rotation de Stock Fer Nu'!O47</f>
        <v>0</v>
      </c>
      <c r="N46" s="216">
        <f>'[6]Suivi Rotation de Stock Fer Nu'!P47</f>
        <v>0</v>
      </c>
      <c r="O46" s="216">
        <f>'[6]Suivi Rotation de Stock Fer Nu'!Q47</f>
        <v>0</v>
      </c>
      <c r="P46" s="217">
        <f>'[6]Suivi Rotation de Stock Fer Nu'!R47</f>
        <v>0</v>
      </c>
      <c r="Q46" s="192"/>
      <c r="R46" s="218">
        <f>'[6]Suivi Rotation de Stock Fer Nu'!T47</f>
        <v>0.26932150608662836</v>
      </c>
    </row>
    <row r="47" spans="1:20" hidden="1" outlineLevel="1" x14ac:dyDescent="0.2">
      <c r="A47" s="205"/>
      <c r="B47" s="206" t="s">
        <v>74</v>
      </c>
      <c r="C47" s="207" t="s">
        <v>83</v>
      </c>
      <c r="D47" s="61"/>
      <c r="E47" s="208">
        <f>IF(E48=0,0,E$23/E48)</f>
        <v>133.67121848739495</v>
      </c>
      <c r="F47" s="209">
        <f t="shared" ref="F47:P49" si="13">IF(F48=0,0,F$23/F48)</f>
        <v>7418.4444444444434</v>
      </c>
      <c r="G47" s="209">
        <f t="shared" si="13"/>
        <v>0</v>
      </c>
      <c r="H47" s="209">
        <f t="shared" si="13"/>
        <v>0</v>
      </c>
      <c r="I47" s="209">
        <f t="shared" si="13"/>
        <v>0</v>
      </c>
      <c r="J47" s="209">
        <f t="shared" si="13"/>
        <v>0</v>
      </c>
      <c r="K47" s="209">
        <f t="shared" si="13"/>
        <v>0</v>
      </c>
      <c r="L47" s="209">
        <f t="shared" si="13"/>
        <v>0</v>
      </c>
      <c r="M47" s="209">
        <f t="shared" si="13"/>
        <v>0</v>
      </c>
      <c r="N47" s="209">
        <f t="shared" si="13"/>
        <v>0</v>
      </c>
      <c r="O47" s="209">
        <f t="shared" si="13"/>
        <v>0</v>
      </c>
      <c r="P47" s="210">
        <f t="shared" si="13"/>
        <v>0</v>
      </c>
      <c r="Q47" s="61"/>
      <c r="R47" s="211">
        <f>IF(R48=0,0,SUMIF($E$22:$P$22,"&lt;&gt;0",$E$23:$P$23)/R48)</f>
        <v>241993.33333333331</v>
      </c>
    </row>
    <row r="48" spans="1:20" hidden="1" outlineLevel="1" x14ac:dyDescent="0.2">
      <c r="A48" s="205"/>
      <c r="B48" s="213" t="s">
        <v>74</v>
      </c>
      <c r="C48" s="214" t="s">
        <v>86</v>
      </c>
      <c r="D48" s="61"/>
      <c r="E48" s="215">
        <f>'[6]Suivi Rotation de Stock Fer Nu'!G49</f>
        <v>0.23191230207064556</v>
      </c>
      <c r="F48" s="216">
        <f>'[6]Suivi Rotation de Stock Fer Nu'!H49</f>
        <v>3.7743761794925565E-3</v>
      </c>
      <c r="G48" s="216">
        <f>'[6]Suivi Rotation de Stock Fer Nu'!I49</f>
        <v>0</v>
      </c>
      <c r="H48" s="216">
        <f>'[6]Suivi Rotation de Stock Fer Nu'!J49</f>
        <v>0</v>
      </c>
      <c r="I48" s="216">
        <f>'[6]Suivi Rotation de Stock Fer Nu'!K49</f>
        <v>0</v>
      </c>
      <c r="J48" s="216">
        <f>'[6]Suivi Rotation de Stock Fer Nu'!L49</f>
        <v>0</v>
      </c>
      <c r="K48" s="216">
        <f>'[6]Suivi Rotation de Stock Fer Nu'!M49</f>
        <v>0</v>
      </c>
      <c r="L48" s="216">
        <f>'[6]Suivi Rotation de Stock Fer Nu'!N49</f>
        <v>0</v>
      </c>
      <c r="M48" s="216">
        <f>'[6]Suivi Rotation de Stock Fer Nu'!O49</f>
        <v>0</v>
      </c>
      <c r="N48" s="216">
        <f>'[6]Suivi Rotation de Stock Fer Nu'!P49</f>
        <v>0</v>
      </c>
      <c r="O48" s="216">
        <f>'[6]Suivi Rotation de Stock Fer Nu'!Q49</f>
        <v>0</v>
      </c>
      <c r="P48" s="217">
        <f>'[6]Suivi Rotation de Stock Fer Nu'!R49</f>
        <v>0</v>
      </c>
      <c r="Q48" s="192"/>
      <c r="R48" s="218">
        <f>'[6]Suivi Rotation de Stock Fer Nu'!T49</f>
        <v>4.9588142924047497E-4</v>
      </c>
    </row>
    <row r="49" spans="1:18" hidden="1" outlineLevel="1" x14ac:dyDescent="0.2">
      <c r="A49" s="205"/>
      <c r="B49" s="206" t="s">
        <v>54</v>
      </c>
      <c r="C49" s="207" t="s">
        <v>83</v>
      </c>
      <c r="D49" s="61"/>
      <c r="E49" s="208">
        <f>IF(E50=0,0,E$23/E50)</f>
        <v>46.5</v>
      </c>
      <c r="F49" s="209">
        <f t="shared" si="13"/>
        <v>28</v>
      </c>
      <c r="G49" s="209">
        <f t="shared" si="13"/>
        <v>31</v>
      </c>
      <c r="H49" s="209">
        <f t="shared" si="13"/>
        <v>30</v>
      </c>
      <c r="I49" s="209">
        <f t="shared" si="13"/>
        <v>0</v>
      </c>
      <c r="J49" s="209">
        <f t="shared" si="13"/>
        <v>0</v>
      </c>
      <c r="K49" s="209">
        <f t="shared" si="13"/>
        <v>0</v>
      </c>
      <c r="L49" s="209">
        <f t="shared" si="13"/>
        <v>0</v>
      </c>
      <c r="M49" s="209">
        <f t="shared" si="13"/>
        <v>0</v>
      </c>
      <c r="N49" s="209">
        <f t="shared" si="13"/>
        <v>0</v>
      </c>
      <c r="O49" s="209">
        <f t="shared" si="13"/>
        <v>0</v>
      </c>
      <c r="P49" s="210">
        <f t="shared" si="13"/>
        <v>0</v>
      </c>
      <c r="Q49" s="61"/>
      <c r="R49" s="211">
        <f>IF(R50=0,0,SUMIF($E$22:$P$22,"&lt;&gt;0",$E$23:$P$23)/R50)</f>
        <v>180</v>
      </c>
    </row>
    <row r="50" spans="1:18" hidden="1" outlineLevel="1" x14ac:dyDescent="0.2">
      <c r="A50" s="205"/>
      <c r="B50" s="213" t="s">
        <v>54</v>
      </c>
      <c r="C50" s="214" t="s">
        <v>86</v>
      </c>
      <c r="D50" s="61"/>
      <c r="E50" s="215">
        <f>'[6]Suivi Rotation de Stock Fer Nu'!G51</f>
        <v>0.66666666666666663</v>
      </c>
      <c r="F50" s="216">
        <f>'[6]Suivi Rotation de Stock Fer Nu'!H51</f>
        <v>1</v>
      </c>
      <c r="G50" s="216">
        <f>'[6]Suivi Rotation de Stock Fer Nu'!I51</f>
        <v>1</v>
      </c>
      <c r="H50" s="216">
        <f>'[6]Suivi Rotation de Stock Fer Nu'!J51</f>
        <v>1</v>
      </c>
      <c r="I50" s="216">
        <f>'[6]Suivi Rotation de Stock Fer Nu'!K51</f>
        <v>0</v>
      </c>
      <c r="J50" s="216">
        <f>'[6]Suivi Rotation de Stock Fer Nu'!L51</f>
        <v>0</v>
      </c>
      <c r="K50" s="216">
        <f>'[6]Suivi Rotation de Stock Fer Nu'!M51</f>
        <v>0</v>
      </c>
      <c r="L50" s="216">
        <f>'[6]Suivi Rotation de Stock Fer Nu'!N51</f>
        <v>0</v>
      </c>
      <c r="M50" s="216">
        <f>'[6]Suivi Rotation de Stock Fer Nu'!O51</f>
        <v>0</v>
      </c>
      <c r="N50" s="216">
        <f>'[6]Suivi Rotation de Stock Fer Nu'!P51</f>
        <v>0</v>
      </c>
      <c r="O50" s="216">
        <f>'[6]Suivi Rotation de Stock Fer Nu'!Q51</f>
        <v>0</v>
      </c>
      <c r="P50" s="217">
        <f>'[6]Suivi Rotation de Stock Fer Nu'!R51</f>
        <v>0</v>
      </c>
      <c r="Q50" s="192"/>
      <c r="R50" s="218">
        <f>'[6]Suivi Rotation de Stock Fer Nu'!T51</f>
        <v>0.66666666666666663</v>
      </c>
    </row>
    <row r="51" spans="1:18" hidden="1" outlineLevel="1" x14ac:dyDescent="0.2">
      <c r="A51" s="205"/>
      <c r="B51" s="206" t="s">
        <v>77</v>
      </c>
      <c r="C51" s="207" t="s">
        <v>83</v>
      </c>
      <c r="D51" s="61"/>
      <c r="E51" s="208">
        <f>IF(E52=0,0,E$23/E52)</f>
        <v>0</v>
      </c>
      <c r="F51" s="209">
        <f t="shared" ref="F51:P51" si="14">IF(F52=0,0,F$23/F52)</f>
        <v>0</v>
      </c>
      <c r="G51" s="209">
        <f t="shared" si="14"/>
        <v>0</v>
      </c>
      <c r="H51" s="209">
        <f t="shared" si="14"/>
        <v>0</v>
      </c>
      <c r="I51" s="209">
        <f t="shared" si="14"/>
        <v>0</v>
      </c>
      <c r="J51" s="209">
        <f t="shared" si="14"/>
        <v>0</v>
      </c>
      <c r="K51" s="209">
        <f t="shared" si="14"/>
        <v>0</v>
      </c>
      <c r="L51" s="209">
        <f t="shared" si="14"/>
        <v>0</v>
      </c>
      <c r="M51" s="209">
        <f t="shared" si="14"/>
        <v>0</v>
      </c>
      <c r="N51" s="209">
        <f t="shared" si="14"/>
        <v>0</v>
      </c>
      <c r="O51" s="209">
        <f t="shared" si="14"/>
        <v>0</v>
      </c>
      <c r="P51" s="210">
        <f t="shared" si="14"/>
        <v>0</v>
      </c>
      <c r="Q51" s="61"/>
      <c r="R51" s="211">
        <f>IF(R52=0,0,SUMIF($E$22:$P$22,"&lt;&gt;0",$E$23:$P$23)/R52)</f>
        <v>0</v>
      </c>
    </row>
    <row r="52" spans="1:18" hidden="1" outlineLevel="1" x14ac:dyDescent="0.2">
      <c r="A52" s="205"/>
      <c r="B52" s="206" t="s">
        <v>77</v>
      </c>
      <c r="C52" s="207" t="s">
        <v>86</v>
      </c>
      <c r="D52" s="61"/>
      <c r="E52" s="215">
        <f>'[6]Suivi Rotation de Stock Fer Nu'!G53</f>
        <v>0</v>
      </c>
      <c r="F52" s="216">
        <f>'[6]Suivi Rotation de Stock Fer Nu'!H53</f>
        <v>0</v>
      </c>
      <c r="G52" s="216">
        <f>'[6]Suivi Rotation de Stock Fer Nu'!I53</f>
        <v>0</v>
      </c>
      <c r="H52" s="216">
        <f>'[6]Suivi Rotation de Stock Fer Nu'!J53</f>
        <v>0</v>
      </c>
      <c r="I52" s="216">
        <f>'[6]Suivi Rotation de Stock Fer Nu'!K53</f>
        <v>0</v>
      </c>
      <c r="J52" s="216">
        <f>'[6]Suivi Rotation de Stock Fer Nu'!L53</f>
        <v>0</v>
      </c>
      <c r="K52" s="216">
        <f>'[6]Suivi Rotation de Stock Fer Nu'!M53</f>
        <v>0</v>
      </c>
      <c r="L52" s="216">
        <f>'[6]Suivi Rotation de Stock Fer Nu'!N53</f>
        <v>0</v>
      </c>
      <c r="M52" s="216">
        <f>'[6]Suivi Rotation de Stock Fer Nu'!O53</f>
        <v>0</v>
      </c>
      <c r="N52" s="216">
        <f>'[6]Suivi Rotation de Stock Fer Nu'!P53</f>
        <v>0</v>
      </c>
      <c r="O52" s="216">
        <f>'[6]Suivi Rotation de Stock Fer Nu'!Q53</f>
        <v>0</v>
      </c>
      <c r="P52" s="217">
        <f>'[6]Suivi Rotation de Stock Fer Nu'!R53</f>
        <v>0</v>
      </c>
      <c r="Q52" s="192"/>
      <c r="R52" s="218">
        <f>'[6]Suivi Rotation de Stock Fer Nu'!T53</f>
        <v>0</v>
      </c>
    </row>
    <row r="53" spans="1:18" collapsed="1" x14ac:dyDescent="0.2">
      <c r="A53" s="798" t="s">
        <v>63</v>
      </c>
      <c r="B53" s="799"/>
      <c r="C53" s="197" t="s">
        <v>83</v>
      </c>
      <c r="D53" s="192"/>
      <c r="E53" s="193">
        <f>IF(E55=0,0,E54/E55)</f>
        <v>60.900106389826796</v>
      </c>
      <c r="F53" s="194">
        <f t="shared" ref="F53:P53" si="15">IF(F55=0,0,F54/F55)</f>
        <v>28.694546361788721</v>
      </c>
      <c r="G53" s="194">
        <f t="shared" si="15"/>
        <v>32.992700322434246</v>
      </c>
      <c r="H53" s="194">
        <f t="shared" si="15"/>
        <v>31.142086869266347</v>
      </c>
      <c r="I53" s="194">
        <f t="shared" si="15"/>
        <v>0</v>
      </c>
      <c r="J53" s="194">
        <f t="shared" si="15"/>
        <v>0</v>
      </c>
      <c r="K53" s="194">
        <f t="shared" si="15"/>
        <v>0</v>
      </c>
      <c r="L53" s="194">
        <f t="shared" si="15"/>
        <v>0</v>
      </c>
      <c r="M53" s="194">
        <f t="shared" si="15"/>
        <v>0</v>
      </c>
      <c r="N53" s="194">
        <f t="shared" si="15"/>
        <v>0</v>
      </c>
      <c r="O53" s="194">
        <f t="shared" si="15"/>
        <v>0</v>
      </c>
      <c r="P53" s="195">
        <f t="shared" si="15"/>
        <v>0</v>
      </c>
      <c r="Q53" s="192"/>
      <c r="R53" s="195">
        <f>SUMIF(E53:P53,"&lt;&gt;0",E54:P54)/R55</f>
        <v>284.02585810717687</v>
      </c>
    </row>
    <row r="54" spans="1:18" x14ac:dyDescent="0.2">
      <c r="A54" s="798"/>
      <c r="B54" s="800"/>
      <c r="C54" s="197" t="s">
        <v>85</v>
      </c>
      <c r="D54" s="192"/>
      <c r="E54" s="198">
        <v>31</v>
      </c>
      <c r="F54" s="199">
        <v>28</v>
      </c>
      <c r="G54" s="199">
        <v>31</v>
      </c>
      <c r="H54" s="199">
        <v>30</v>
      </c>
      <c r="I54" s="199">
        <v>31</v>
      </c>
      <c r="J54" s="199">
        <v>30</v>
      </c>
      <c r="K54" s="199">
        <v>31</v>
      </c>
      <c r="L54" s="199">
        <v>31</v>
      </c>
      <c r="M54" s="199">
        <v>30</v>
      </c>
      <c r="N54" s="199">
        <v>31</v>
      </c>
      <c r="O54" s="199">
        <v>30</v>
      </c>
      <c r="P54" s="200">
        <v>31</v>
      </c>
      <c r="Q54" s="192"/>
      <c r="R54" s="195">
        <f>SUM(E54:P54)</f>
        <v>365</v>
      </c>
    </row>
    <row r="55" spans="1:18" x14ac:dyDescent="0.2">
      <c r="A55" s="798"/>
      <c r="B55" s="800"/>
      <c r="C55" s="197" t="s">
        <v>86</v>
      </c>
      <c r="D55" s="192"/>
      <c r="E55" s="201">
        <f>'[6]Suivi Rotation de Stock Fer Nu'!G55</f>
        <v>0.50903030943109273</v>
      </c>
      <c r="F55" s="202">
        <f>'[6]Suivi Rotation de Stock Fer Nu'!H55</f>
        <v>0.97579517888062461</v>
      </c>
      <c r="G55" s="202">
        <f>'[6]Suivi Rotation de Stock Fer Nu'!I55</f>
        <v>0.93960178151652363</v>
      </c>
      <c r="H55" s="202">
        <f>'[6]Suivi Rotation de Stock Fer Nu'!J55</f>
        <v>0.96332657878514061</v>
      </c>
      <c r="I55" s="202">
        <f>'[6]Suivi Rotation de Stock Fer Nu'!K55</f>
        <v>0</v>
      </c>
      <c r="J55" s="202">
        <f>'[6]Suivi Rotation de Stock Fer Nu'!L55</f>
        <v>0</v>
      </c>
      <c r="K55" s="202">
        <f>'[6]Suivi Rotation de Stock Fer Nu'!M55</f>
        <v>0</v>
      </c>
      <c r="L55" s="202">
        <f>'[6]Suivi Rotation de Stock Fer Nu'!N55</f>
        <v>0</v>
      </c>
      <c r="M55" s="202">
        <f>'[6]Suivi Rotation de Stock Fer Nu'!O55</f>
        <v>0</v>
      </c>
      <c r="N55" s="202">
        <f>'[6]Suivi Rotation de Stock Fer Nu'!P55</f>
        <v>0</v>
      </c>
      <c r="O55" s="202">
        <f>'[6]Suivi Rotation de Stock Fer Nu'!Q55</f>
        <v>0</v>
      </c>
      <c r="P55" s="203">
        <f>'[6]Suivi Rotation de Stock Fer Nu'!R55</f>
        <v>0</v>
      </c>
      <c r="Q55" s="192"/>
      <c r="R55" s="204">
        <f>'[6]Suivi Rotation de Stock Fer Nu'!T55</f>
        <v>0.42249674307723817</v>
      </c>
    </row>
    <row r="56" spans="1:18" hidden="1" outlineLevel="1" x14ac:dyDescent="0.2">
      <c r="A56" s="205"/>
      <c r="B56" s="206" t="s">
        <v>79</v>
      </c>
      <c r="C56" s="207" t="s">
        <v>83</v>
      </c>
      <c r="D56" s="61"/>
      <c r="E56" s="208">
        <f>IF(E57=0,0,E$23/E57)</f>
        <v>72.761336629606362</v>
      </c>
      <c r="F56" s="209">
        <f t="shared" ref="F56:P56" si="16">IF(F57=0,0,F$23/F57)</f>
        <v>27.079155785050144</v>
      </c>
      <c r="G56" s="209">
        <f t="shared" si="16"/>
        <v>31.071663590059138</v>
      </c>
      <c r="H56" s="209">
        <f t="shared" si="16"/>
        <v>30.120238797741244</v>
      </c>
      <c r="I56" s="209">
        <f t="shared" si="16"/>
        <v>0</v>
      </c>
      <c r="J56" s="209">
        <f t="shared" si="16"/>
        <v>0</v>
      </c>
      <c r="K56" s="209">
        <f t="shared" si="16"/>
        <v>0</v>
      </c>
      <c r="L56" s="209">
        <f t="shared" si="16"/>
        <v>0</v>
      </c>
      <c r="M56" s="209">
        <f t="shared" si="16"/>
        <v>0</v>
      </c>
      <c r="N56" s="209">
        <f t="shared" si="16"/>
        <v>0</v>
      </c>
      <c r="O56" s="209">
        <f t="shared" si="16"/>
        <v>0</v>
      </c>
      <c r="P56" s="210">
        <f t="shared" si="16"/>
        <v>0</v>
      </c>
      <c r="Q56" s="61"/>
      <c r="R56" s="211">
        <f>IF(R57=0,0,SUMIF($E$22:$P$22,"&lt;&gt;0",$E$23:$P$23)/R57)</f>
        <v>269.702407360346</v>
      </c>
    </row>
    <row r="57" spans="1:18" hidden="1" outlineLevel="1" x14ac:dyDescent="0.2">
      <c r="A57" s="205"/>
      <c r="B57" s="206" t="s">
        <v>79</v>
      </c>
      <c r="C57" s="207" t="s">
        <v>86</v>
      </c>
      <c r="D57" s="61"/>
      <c r="E57" s="215">
        <f>'[6]Suivi Rotation de Stock Fer Nu'!G57</f>
        <v>0.42605044706375278</v>
      </c>
      <c r="F57" s="216">
        <f>'[6]Suivi Rotation de Stock Fer Nu'!H57</f>
        <v>1.0340056470836596</v>
      </c>
      <c r="G57" s="216">
        <f>'[6]Suivi Rotation de Stock Fer Nu'!I57</f>
        <v>0.9976936030524588</v>
      </c>
      <c r="H57" s="216">
        <f>'[6]Suivi Rotation de Stock Fer Nu'!J57</f>
        <v>0.9960080396922264</v>
      </c>
      <c r="I57" s="216">
        <f>'[6]Suivi Rotation de Stock Fer Nu'!K57</f>
        <v>0</v>
      </c>
      <c r="J57" s="216">
        <f>'[6]Suivi Rotation de Stock Fer Nu'!L57</f>
        <v>0</v>
      </c>
      <c r="K57" s="216">
        <f>'[6]Suivi Rotation de Stock Fer Nu'!M57</f>
        <v>0</v>
      </c>
      <c r="L57" s="216">
        <f>'[6]Suivi Rotation de Stock Fer Nu'!N57</f>
        <v>0</v>
      </c>
      <c r="M57" s="216">
        <f>'[6]Suivi Rotation de Stock Fer Nu'!O57</f>
        <v>0</v>
      </c>
      <c r="N57" s="216">
        <f>'[6]Suivi Rotation de Stock Fer Nu'!P57</f>
        <v>0</v>
      </c>
      <c r="O57" s="216">
        <f>'[6]Suivi Rotation de Stock Fer Nu'!Q57</f>
        <v>0</v>
      </c>
      <c r="P57" s="217">
        <f>'[6]Suivi Rotation de Stock Fer Nu'!R57</f>
        <v>0</v>
      </c>
      <c r="Q57" s="192"/>
      <c r="R57" s="218">
        <f>'[6]Suivi Rotation de Stock Fer Nu'!T57</f>
        <v>0.44493484939372274</v>
      </c>
    </row>
    <row r="58" spans="1:18" hidden="1" outlineLevel="1" x14ac:dyDescent="0.2">
      <c r="A58" s="205"/>
      <c r="B58" s="206" t="s">
        <v>80</v>
      </c>
      <c r="C58" s="207" t="s">
        <v>83</v>
      </c>
      <c r="D58" s="61"/>
      <c r="E58" s="208">
        <f>IF(E59=0,0,E$23/E59)</f>
        <v>51.105805722107355</v>
      </c>
      <c r="F58" s="209">
        <f t="shared" ref="F58:P58" si="17">IF(F59=0,0,F$23/F59)</f>
        <v>28</v>
      </c>
      <c r="G58" s="209">
        <f t="shared" si="17"/>
        <v>31.421770902914435</v>
      </c>
      <c r="H58" s="209">
        <f t="shared" si="17"/>
        <v>31.920117168664447</v>
      </c>
      <c r="I58" s="209">
        <f t="shared" si="17"/>
        <v>0</v>
      </c>
      <c r="J58" s="209">
        <f t="shared" si="17"/>
        <v>0</v>
      </c>
      <c r="K58" s="209">
        <f t="shared" si="17"/>
        <v>0</v>
      </c>
      <c r="L58" s="209">
        <f t="shared" si="17"/>
        <v>0</v>
      </c>
      <c r="M58" s="209">
        <f t="shared" si="17"/>
        <v>0</v>
      </c>
      <c r="N58" s="209">
        <f t="shared" si="17"/>
        <v>0</v>
      </c>
      <c r="O58" s="209">
        <f t="shared" si="17"/>
        <v>0</v>
      </c>
      <c r="P58" s="210">
        <f t="shared" si="17"/>
        <v>0</v>
      </c>
      <c r="Q58" s="61"/>
      <c r="R58" s="211">
        <f>IF(R59=0,0,SUMIF($E$22:$P$22,"&lt;&gt;0",$E$23:$P$23)/R59)</f>
        <v>219.7026599147394</v>
      </c>
    </row>
    <row r="59" spans="1:18" hidden="1" outlineLevel="1" x14ac:dyDescent="0.2">
      <c r="A59" s="205"/>
      <c r="B59" s="213" t="s">
        <v>80</v>
      </c>
      <c r="C59" s="214" t="s">
        <v>86</v>
      </c>
      <c r="D59" s="61"/>
      <c r="E59" s="215">
        <f>'[6]Suivi Rotation de Stock Fer Nu'!G59</f>
        <v>0.60658470328333003</v>
      </c>
      <c r="F59" s="216">
        <f>'[6]Suivi Rotation de Stock Fer Nu'!H59</f>
        <v>1</v>
      </c>
      <c r="G59" s="216">
        <f>'[6]Suivi Rotation de Stock Fer Nu'!I59</f>
        <v>0.98657711227614753</v>
      </c>
      <c r="H59" s="216">
        <f>'[6]Suivi Rotation de Stock Fer Nu'!J59</f>
        <v>0.93984617416914118</v>
      </c>
      <c r="I59" s="216">
        <f>'[6]Suivi Rotation de Stock Fer Nu'!K59</f>
        <v>0</v>
      </c>
      <c r="J59" s="216">
        <f>'[6]Suivi Rotation de Stock Fer Nu'!L59</f>
        <v>0</v>
      </c>
      <c r="K59" s="216">
        <f>'[6]Suivi Rotation de Stock Fer Nu'!M59</f>
        <v>0</v>
      </c>
      <c r="L59" s="216">
        <f>'[6]Suivi Rotation de Stock Fer Nu'!N59</f>
        <v>0</v>
      </c>
      <c r="M59" s="216">
        <f>'[6]Suivi Rotation de Stock Fer Nu'!O59</f>
        <v>0</v>
      </c>
      <c r="N59" s="216">
        <f>'[6]Suivi Rotation de Stock Fer Nu'!P59</f>
        <v>0</v>
      </c>
      <c r="O59" s="216">
        <f>'[6]Suivi Rotation de Stock Fer Nu'!Q59</f>
        <v>0</v>
      </c>
      <c r="P59" s="217">
        <f>'[6]Suivi Rotation de Stock Fer Nu'!R59</f>
        <v>0</v>
      </c>
      <c r="Q59" s="192"/>
      <c r="R59" s="218">
        <f>'[6]Suivi Rotation de Stock Fer Nu'!T59</f>
        <v>0.54619274999478262</v>
      </c>
    </row>
    <row r="60" spans="1:18" hidden="1" outlineLevel="1" x14ac:dyDescent="0.2">
      <c r="A60" s="205"/>
      <c r="B60" s="206" t="s">
        <v>45</v>
      </c>
      <c r="C60" s="207" t="s">
        <v>83</v>
      </c>
      <c r="D60" s="61"/>
      <c r="E60" s="208">
        <f>IF(E61=0,0,E$23/E61)</f>
        <v>72.58439770267664</v>
      </c>
      <c r="F60" s="209">
        <f t="shared" ref="F60:P60" si="18">IF(F61=0,0,F$23/F61)</f>
        <v>29.43088624338624</v>
      </c>
      <c r="G60" s="209">
        <f t="shared" si="18"/>
        <v>38.696168189610987</v>
      </c>
      <c r="H60" s="209">
        <f t="shared" si="18"/>
        <v>35.411385555208156</v>
      </c>
      <c r="I60" s="209">
        <f t="shared" si="18"/>
        <v>0</v>
      </c>
      <c r="J60" s="209">
        <f t="shared" si="18"/>
        <v>0</v>
      </c>
      <c r="K60" s="209">
        <f t="shared" si="18"/>
        <v>0</v>
      </c>
      <c r="L60" s="209">
        <f t="shared" si="18"/>
        <v>0</v>
      </c>
      <c r="M60" s="209">
        <f t="shared" si="18"/>
        <v>0</v>
      </c>
      <c r="N60" s="209">
        <f t="shared" si="18"/>
        <v>0</v>
      </c>
      <c r="O60" s="209">
        <f t="shared" si="18"/>
        <v>0</v>
      </c>
      <c r="P60" s="210">
        <f t="shared" si="18"/>
        <v>0</v>
      </c>
      <c r="Q60" s="61"/>
      <c r="R60" s="211">
        <f>IF(R61=0,0,SUMIF($E$22:$P$22,"&lt;&gt;0",$E$23:$P$23)/R61)</f>
        <v>555.98162533971481</v>
      </c>
    </row>
    <row r="61" spans="1:18" hidden="1" outlineLevel="1" x14ac:dyDescent="0.2">
      <c r="A61" s="205"/>
      <c r="B61" s="213" t="s">
        <v>45</v>
      </c>
      <c r="C61" s="214" t="s">
        <v>86</v>
      </c>
      <c r="D61" s="61"/>
      <c r="E61" s="215">
        <f>'[6]Suivi Rotation de Stock Fer Nu'!G61</f>
        <v>0.42708902989019132</v>
      </c>
      <c r="F61" s="216">
        <f>'[6]Suivi Rotation de Stock Fer Nu'!H61</f>
        <v>0.95138147619636182</v>
      </c>
      <c r="G61" s="216">
        <f>'[6]Suivi Rotation de Stock Fer Nu'!I61</f>
        <v>0.80111291247495597</v>
      </c>
      <c r="H61" s="216">
        <f>'[6]Suivi Rotation de Stock Fer Nu'!J61</f>
        <v>0.84718515047168852</v>
      </c>
      <c r="I61" s="216">
        <f>'[6]Suivi Rotation de Stock Fer Nu'!K61</f>
        <v>0</v>
      </c>
      <c r="J61" s="216">
        <f>'[6]Suivi Rotation de Stock Fer Nu'!L61</f>
        <v>0</v>
      </c>
      <c r="K61" s="216">
        <f>'[6]Suivi Rotation de Stock Fer Nu'!M61</f>
        <v>0</v>
      </c>
      <c r="L61" s="216">
        <f>'[6]Suivi Rotation de Stock Fer Nu'!N61</f>
        <v>0</v>
      </c>
      <c r="M61" s="216">
        <f>'[6]Suivi Rotation de Stock Fer Nu'!O61</f>
        <v>0</v>
      </c>
      <c r="N61" s="216">
        <f>'[6]Suivi Rotation de Stock Fer Nu'!P61</f>
        <v>0</v>
      </c>
      <c r="O61" s="216">
        <f>'[6]Suivi Rotation de Stock Fer Nu'!Q61</f>
        <v>0</v>
      </c>
      <c r="P61" s="217">
        <f>'[6]Suivi Rotation de Stock Fer Nu'!R61</f>
        <v>0</v>
      </c>
      <c r="Q61" s="192"/>
      <c r="R61" s="218">
        <f>'[6]Suivi Rotation de Stock Fer Nu'!T61</f>
        <v>0.21583447101633588</v>
      </c>
    </row>
    <row r="62" spans="1:18" hidden="1" outlineLevel="1" x14ac:dyDescent="0.2">
      <c r="A62" s="205"/>
      <c r="B62" s="206" t="s">
        <v>38</v>
      </c>
      <c r="C62" s="207" t="s">
        <v>83</v>
      </c>
      <c r="D62" s="61"/>
      <c r="E62" s="208">
        <f>IF(E63=0,0,E$23/E63)</f>
        <v>15.5</v>
      </c>
      <c r="F62" s="209">
        <f t="shared" ref="F62:P62" si="19">IF(F63=0,0,F$23/F63)</f>
        <v>34.062342678783132</v>
      </c>
      <c r="G62" s="209">
        <f t="shared" si="19"/>
        <v>37.146291865069365</v>
      </c>
      <c r="H62" s="209">
        <f t="shared" si="19"/>
        <v>29.987571868858076</v>
      </c>
      <c r="I62" s="209">
        <f t="shared" si="19"/>
        <v>0</v>
      </c>
      <c r="J62" s="209">
        <f t="shared" si="19"/>
        <v>0</v>
      </c>
      <c r="K62" s="209">
        <f t="shared" si="19"/>
        <v>0</v>
      </c>
      <c r="L62" s="209">
        <f t="shared" si="19"/>
        <v>0</v>
      </c>
      <c r="M62" s="209">
        <f t="shared" si="19"/>
        <v>0</v>
      </c>
      <c r="N62" s="209">
        <f t="shared" si="19"/>
        <v>0</v>
      </c>
      <c r="O62" s="209">
        <f t="shared" si="19"/>
        <v>0</v>
      </c>
      <c r="P62" s="210">
        <f t="shared" si="19"/>
        <v>0</v>
      </c>
      <c r="Q62" s="61"/>
      <c r="R62" s="211">
        <f>IF(R63=0,0,SUMIF($E$22:$P$22,"&lt;&gt;0",$E$23:$P$23)/R63)</f>
        <v>60</v>
      </c>
    </row>
    <row r="63" spans="1:18" hidden="1" outlineLevel="1" x14ac:dyDescent="0.2">
      <c r="A63" s="205"/>
      <c r="B63" s="213" t="s">
        <v>38</v>
      </c>
      <c r="C63" s="214" t="s">
        <v>86</v>
      </c>
      <c r="D63" s="61"/>
      <c r="E63" s="215">
        <f>'[6]Suivi Rotation de Stock Fer Nu'!G63</f>
        <v>2</v>
      </c>
      <c r="F63" s="216">
        <f>'[6]Suivi Rotation de Stock Fer Nu'!H63</f>
        <v>0.82202214521905848</v>
      </c>
      <c r="G63" s="216">
        <f>'[6]Suivi Rotation de Stock Fer Nu'!I63</f>
        <v>0.83453821212100443</v>
      </c>
      <c r="H63" s="216">
        <f>'[6]Suivi Rotation de Stock Fer Nu'!J63</f>
        <v>1.0004144427296839</v>
      </c>
      <c r="I63" s="216">
        <f>'[6]Suivi Rotation de Stock Fer Nu'!K63</f>
        <v>0</v>
      </c>
      <c r="J63" s="216">
        <f>'[6]Suivi Rotation de Stock Fer Nu'!L63</f>
        <v>0</v>
      </c>
      <c r="K63" s="216">
        <f>'[6]Suivi Rotation de Stock Fer Nu'!M63</f>
        <v>0</v>
      </c>
      <c r="L63" s="216">
        <f>'[6]Suivi Rotation de Stock Fer Nu'!N63</f>
        <v>0</v>
      </c>
      <c r="M63" s="216">
        <f>'[6]Suivi Rotation de Stock Fer Nu'!O63</f>
        <v>0</v>
      </c>
      <c r="N63" s="216">
        <f>'[6]Suivi Rotation de Stock Fer Nu'!P63</f>
        <v>0</v>
      </c>
      <c r="O63" s="216">
        <f>'[6]Suivi Rotation de Stock Fer Nu'!Q63</f>
        <v>0</v>
      </c>
      <c r="P63" s="217">
        <f>'[6]Suivi Rotation de Stock Fer Nu'!R63</f>
        <v>0</v>
      </c>
      <c r="Q63" s="192"/>
      <c r="R63" s="218">
        <f>'[6]Suivi Rotation de Stock Fer Nu'!T63</f>
        <v>2</v>
      </c>
    </row>
    <row r="64" spans="1:18" hidden="1" outlineLevel="1" x14ac:dyDescent="0.2">
      <c r="A64" s="205"/>
      <c r="B64" s="206" t="s">
        <v>81</v>
      </c>
      <c r="C64" s="207" t="s">
        <v>83</v>
      </c>
      <c r="D64" s="61"/>
      <c r="E64" s="208">
        <f>IF(E65=0,0,E$23/E65)</f>
        <v>46.5</v>
      </c>
      <c r="F64" s="209">
        <f t="shared" ref="F64:P64" si="20">IF(F65=0,0,F$23/F65)</f>
        <v>29.056943056943059</v>
      </c>
      <c r="G64" s="209">
        <f t="shared" si="20"/>
        <v>42.951807228915662</v>
      </c>
      <c r="H64" s="209">
        <f t="shared" si="20"/>
        <v>30</v>
      </c>
      <c r="I64" s="209">
        <f t="shared" si="20"/>
        <v>0</v>
      </c>
      <c r="J64" s="209">
        <f t="shared" si="20"/>
        <v>0</v>
      </c>
      <c r="K64" s="209">
        <f t="shared" si="20"/>
        <v>0</v>
      </c>
      <c r="L64" s="209">
        <f t="shared" si="20"/>
        <v>0</v>
      </c>
      <c r="M64" s="209">
        <f t="shared" si="20"/>
        <v>0</v>
      </c>
      <c r="N64" s="209">
        <f t="shared" si="20"/>
        <v>0</v>
      </c>
      <c r="O64" s="209">
        <f t="shared" si="20"/>
        <v>0</v>
      </c>
      <c r="P64" s="210">
        <f t="shared" si="20"/>
        <v>0</v>
      </c>
      <c r="Q64" s="61"/>
      <c r="R64" s="211">
        <f>IF(R65=0,0,SUMIF($E$22:$P$22,"&lt;&gt;0",$E$23:$P$23)/R65)</f>
        <v>288.57528014154519</v>
      </c>
    </row>
    <row r="65" spans="1:18" hidden="1" outlineLevel="1" x14ac:dyDescent="0.2">
      <c r="A65" s="205"/>
      <c r="B65" s="213" t="s">
        <v>81</v>
      </c>
      <c r="C65" s="214" t="s">
        <v>86</v>
      </c>
      <c r="D65" s="61"/>
      <c r="E65" s="215">
        <f>'[6]Suivi Rotation de Stock Fer Nu'!G65</f>
        <v>0.66666666666666663</v>
      </c>
      <c r="F65" s="216">
        <f>'[6]Suivi Rotation de Stock Fer Nu'!H65</f>
        <v>0.96362511173760568</v>
      </c>
      <c r="G65" s="216">
        <f>'[6]Suivi Rotation de Stock Fer Nu'!I65</f>
        <v>0.72173913043478266</v>
      </c>
      <c r="H65" s="216">
        <f>'[6]Suivi Rotation de Stock Fer Nu'!J65</f>
        <v>1</v>
      </c>
      <c r="I65" s="216">
        <f>'[6]Suivi Rotation de Stock Fer Nu'!K65</f>
        <v>0</v>
      </c>
      <c r="J65" s="216">
        <f>'[6]Suivi Rotation de Stock Fer Nu'!L65</f>
        <v>0</v>
      </c>
      <c r="K65" s="216">
        <f>'[6]Suivi Rotation de Stock Fer Nu'!M65</f>
        <v>0</v>
      </c>
      <c r="L65" s="216">
        <f>'[6]Suivi Rotation de Stock Fer Nu'!N65</f>
        <v>0</v>
      </c>
      <c r="M65" s="216">
        <f>'[6]Suivi Rotation de Stock Fer Nu'!O65</f>
        <v>0</v>
      </c>
      <c r="N65" s="216">
        <f>'[6]Suivi Rotation de Stock Fer Nu'!P65</f>
        <v>0</v>
      </c>
      <c r="O65" s="216">
        <f>'[6]Suivi Rotation de Stock Fer Nu'!Q65</f>
        <v>0</v>
      </c>
      <c r="P65" s="217">
        <f>'[6]Suivi Rotation de Stock Fer Nu'!R65</f>
        <v>0</v>
      </c>
      <c r="Q65" s="192"/>
      <c r="R65" s="218">
        <f>'[6]Suivi Rotation de Stock Fer Nu'!T65</f>
        <v>0.41583603398440921</v>
      </c>
    </row>
    <row r="66" spans="1:18" hidden="1" outlineLevel="1" x14ac:dyDescent="0.2">
      <c r="A66" s="205"/>
      <c r="B66" s="206" t="s">
        <v>40</v>
      </c>
      <c r="C66" s="207" t="s">
        <v>83</v>
      </c>
      <c r="D66" s="61"/>
      <c r="E66" s="208">
        <f>IF(E67=0,0,E$23/E67)</f>
        <v>46.500000000000007</v>
      </c>
      <c r="F66" s="209">
        <f t="shared" ref="F66:P66" si="21">IF(F67=0,0,F$23/F67)</f>
        <v>51.985497692814761</v>
      </c>
      <c r="G66" s="209">
        <f t="shared" si="21"/>
        <v>31</v>
      </c>
      <c r="H66" s="209">
        <f t="shared" si="21"/>
        <v>0</v>
      </c>
      <c r="I66" s="209">
        <f t="shared" si="21"/>
        <v>0</v>
      </c>
      <c r="J66" s="209">
        <f t="shared" si="21"/>
        <v>0</v>
      </c>
      <c r="K66" s="209">
        <f t="shared" si="21"/>
        <v>0</v>
      </c>
      <c r="L66" s="209">
        <f t="shared" si="21"/>
        <v>0</v>
      </c>
      <c r="M66" s="209">
        <f t="shared" si="21"/>
        <v>0</v>
      </c>
      <c r="N66" s="209">
        <f t="shared" si="21"/>
        <v>0</v>
      </c>
      <c r="O66" s="209">
        <f t="shared" si="21"/>
        <v>0</v>
      </c>
      <c r="P66" s="210">
        <f t="shared" si="21"/>
        <v>0</v>
      </c>
      <c r="Q66" s="61"/>
      <c r="R66" s="211">
        <f>IF(R67=0,0,SUMIF($E$22:$P$22,"&lt;&gt;0",$E$23:$P$23)/R67)</f>
        <v>385.58998022412663</v>
      </c>
    </row>
    <row r="67" spans="1:18" hidden="1" outlineLevel="1" x14ac:dyDescent="0.2">
      <c r="A67" s="205"/>
      <c r="B67" s="213" t="s">
        <v>40</v>
      </c>
      <c r="C67" s="214" t="s">
        <v>86</v>
      </c>
      <c r="D67" s="61"/>
      <c r="E67" s="215">
        <f>'[6]Suivi Rotation de Stock Fer Nu'!G67</f>
        <v>0.66666666666666652</v>
      </c>
      <c r="F67" s="216">
        <f>'[6]Suivi Rotation de Stock Fer Nu'!H67</f>
        <v>0.53861175217468493</v>
      </c>
      <c r="G67" s="216">
        <f>'[6]Suivi Rotation de Stock Fer Nu'!I67</f>
        <v>1</v>
      </c>
      <c r="H67" s="216">
        <f>'[6]Suivi Rotation de Stock Fer Nu'!J67</f>
        <v>0</v>
      </c>
      <c r="I67" s="216">
        <f>'[6]Suivi Rotation de Stock Fer Nu'!K67</f>
        <v>0</v>
      </c>
      <c r="J67" s="216">
        <f>'[6]Suivi Rotation de Stock Fer Nu'!L67</f>
        <v>0</v>
      </c>
      <c r="K67" s="216">
        <f>'[6]Suivi Rotation de Stock Fer Nu'!M67</f>
        <v>0</v>
      </c>
      <c r="L67" s="216">
        <f>'[6]Suivi Rotation de Stock Fer Nu'!N67</f>
        <v>0</v>
      </c>
      <c r="M67" s="216">
        <f>'[6]Suivi Rotation de Stock Fer Nu'!O67</f>
        <v>0</v>
      </c>
      <c r="N67" s="216">
        <f>'[6]Suivi Rotation de Stock Fer Nu'!P67</f>
        <v>0</v>
      </c>
      <c r="O67" s="216">
        <f>'[6]Suivi Rotation de Stock Fer Nu'!Q67</f>
        <v>0</v>
      </c>
      <c r="P67" s="217">
        <f>'[6]Suivi Rotation de Stock Fer Nu'!R67</f>
        <v>0</v>
      </c>
      <c r="Q67" s="192"/>
      <c r="R67" s="218">
        <f>'[6]Suivi Rotation de Stock Fer Nu'!T67</f>
        <v>0.31121140629808181</v>
      </c>
    </row>
    <row r="68" spans="1:18" hidden="1" outlineLevel="1" x14ac:dyDescent="0.2">
      <c r="A68" s="205"/>
      <c r="B68" s="206" t="s">
        <v>41</v>
      </c>
      <c r="C68" s="207" t="s">
        <v>83</v>
      </c>
      <c r="D68" s="61"/>
      <c r="E68" s="208">
        <f>IF(E69=0,0,E$23/E69)</f>
        <v>185.72510231923602</v>
      </c>
      <c r="F68" s="209">
        <f t="shared" ref="F68:P68" si="22">IF(F69=0,0,F$23/F69)</f>
        <v>41.697705802968962</v>
      </c>
      <c r="G68" s="209">
        <f t="shared" si="22"/>
        <v>31</v>
      </c>
      <c r="H68" s="209">
        <f t="shared" si="22"/>
        <v>53.261617900172112</v>
      </c>
      <c r="I68" s="209">
        <f t="shared" si="22"/>
        <v>0</v>
      </c>
      <c r="J68" s="209">
        <f t="shared" si="22"/>
        <v>0</v>
      </c>
      <c r="K68" s="209">
        <f t="shared" si="22"/>
        <v>0</v>
      </c>
      <c r="L68" s="209">
        <f t="shared" si="22"/>
        <v>0</v>
      </c>
      <c r="M68" s="209">
        <f t="shared" si="22"/>
        <v>0</v>
      </c>
      <c r="N68" s="209">
        <f t="shared" si="22"/>
        <v>0</v>
      </c>
      <c r="O68" s="209">
        <f t="shared" si="22"/>
        <v>0</v>
      </c>
      <c r="P68" s="210">
        <f t="shared" si="22"/>
        <v>0</v>
      </c>
      <c r="Q68" s="61"/>
      <c r="R68" s="211">
        <f>IF(R69=0,0,SUMIF($E$22:$P$22,"&lt;&gt;0",$E$23:$P$23)/R69)</f>
        <v>3385.3012048192772</v>
      </c>
    </row>
    <row r="69" spans="1:18" hidden="1" outlineLevel="1" x14ac:dyDescent="0.2">
      <c r="A69" s="205"/>
      <c r="B69" s="213" t="s">
        <v>41</v>
      </c>
      <c r="C69" s="214" t="s">
        <v>86</v>
      </c>
      <c r="D69" s="61"/>
      <c r="E69" s="215">
        <f>'[6]Suivi Rotation de Stock Fer Nu'!G69</f>
        <v>0.1669133553455539</v>
      </c>
      <c r="F69" s="216">
        <f>'[6]Suivi Rotation de Stock Fer Nu'!H69</f>
        <v>0.67149977344811962</v>
      </c>
      <c r="G69" s="216">
        <f>'[6]Suivi Rotation de Stock Fer Nu'!I69</f>
        <v>1</v>
      </c>
      <c r="H69" s="216">
        <f>'[6]Suivi Rotation de Stock Fer Nu'!J69</f>
        <v>0.56325739214735826</v>
      </c>
      <c r="I69" s="216">
        <f>'[6]Suivi Rotation de Stock Fer Nu'!K69</f>
        <v>0</v>
      </c>
      <c r="J69" s="216">
        <f>'[6]Suivi Rotation de Stock Fer Nu'!L69</f>
        <v>0</v>
      </c>
      <c r="K69" s="216">
        <f>'[6]Suivi Rotation de Stock Fer Nu'!M69</f>
        <v>0</v>
      </c>
      <c r="L69" s="216">
        <f>'[6]Suivi Rotation de Stock Fer Nu'!N69</f>
        <v>0</v>
      </c>
      <c r="M69" s="216">
        <f>'[6]Suivi Rotation de Stock Fer Nu'!O69</f>
        <v>0</v>
      </c>
      <c r="N69" s="216">
        <f>'[6]Suivi Rotation de Stock Fer Nu'!P69</f>
        <v>0</v>
      </c>
      <c r="O69" s="216">
        <f>'[6]Suivi Rotation de Stock Fer Nu'!Q69</f>
        <v>0</v>
      </c>
      <c r="P69" s="217">
        <f>'[6]Suivi Rotation de Stock Fer Nu'!R69</f>
        <v>0</v>
      </c>
      <c r="Q69" s="192"/>
      <c r="R69" s="218">
        <f>'[6]Suivi Rotation de Stock Fer Nu'!T69</f>
        <v>3.5447362801622889E-2</v>
      </c>
    </row>
    <row r="70" spans="1:18" hidden="1" outlineLevel="1" x14ac:dyDescent="0.2">
      <c r="A70" s="205"/>
      <c r="B70" s="206" t="s">
        <v>39</v>
      </c>
      <c r="C70" s="207" t="s">
        <v>83</v>
      </c>
      <c r="D70" s="61"/>
      <c r="E70" s="208">
        <f>IF(E71=0,0,E$23/E71)</f>
        <v>91.062500000000014</v>
      </c>
      <c r="F70" s="209">
        <f t="shared" ref="F70:P70" si="23">IF(F71=0,0,F$23/F71)</f>
        <v>28</v>
      </c>
      <c r="G70" s="209">
        <f t="shared" si="23"/>
        <v>32.820451635432434</v>
      </c>
      <c r="H70" s="209">
        <f t="shared" si="23"/>
        <v>30</v>
      </c>
      <c r="I70" s="209">
        <f t="shared" si="23"/>
        <v>0</v>
      </c>
      <c r="J70" s="209">
        <f t="shared" si="23"/>
        <v>0</v>
      </c>
      <c r="K70" s="209">
        <f t="shared" si="23"/>
        <v>0</v>
      </c>
      <c r="L70" s="209">
        <f t="shared" si="23"/>
        <v>0</v>
      </c>
      <c r="M70" s="209">
        <f t="shared" si="23"/>
        <v>0</v>
      </c>
      <c r="N70" s="209">
        <f t="shared" si="23"/>
        <v>0</v>
      </c>
      <c r="O70" s="209">
        <f t="shared" si="23"/>
        <v>0</v>
      </c>
      <c r="P70" s="210">
        <f t="shared" si="23"/>
        <v>0</v>
      </c>
      <c r="Q70" s="61"/>
      <c r="R70" s="211">
        <f>IF(R71=0,0,SUMIF($E$22:$P$22,"&lt;&gt;0",$E$23:$P$23)/R71)</f>
        <v>386.85368408799906</v>
      </c>
    </row>
    <row r="71" spans="1:18" hidden="1" outlineLevel="1" x14ac:dyDescent="0.2">
      <c r="A71" s="205"/>
      <c r="B71" s="213" t="s">
        <v>39</v>
      </c>
      <c r="C71" s="214" t="s">
        <v>86</v>
      </c>
      <c r="D71" s="61"/>
      <c r="E71" s="215">
        <f>'[6]Suivi Rotation de Stock Fer Nu'!G71</f>
        <v>0.34042553191489355</v>
      </c>
      <c r="F71" s="216">
        <f>'[6]Suivi Rotation de Stock Fer Nu'!H71</f>
        <v>1</v>
      </c>
      <c r="G71" s="216">
        <f>'[6]Suivi Rotation de Stock Fer Nu'!I71</f>
        <v>0.94453301082953101</v>
      </c>
      <c r="H71" s="216">
        <f>'[6]Suivi Rotation de Stock Fer Nu'!J71</f>
        <v>1</v>
      </c>
      <c r="I71" s="216">
        <f>'[6]Suivi Rotation de Stock Fer Nu'!K71</f>
        <v>0</v>
      </c>
      <c r="J71" s="216">
        <f>'[6]Suivi Rotation de Stock Fer Nu'!L71</f>
        <v>0</v>
      </c>
      <c r="K71" s="216">
        <f>'[6]Suivi Rotation de Stock Fer Nu'!M71</f>
        <v>0</v>
      </c>
      <c r="L71" s="216">
        <f>'[6]Suivi Rotation de Stock Fer Nu'!N71</f>
        <v>0</v>
      </c>
      <c r="M71" s="216">
        <f>'[6]Suivi Rotation de Stock Fer Nu'!O71</f>
        <v>0</v>
      </c>
      <c r="N71" s="216">
        <f>'[6]Suivi Rotation de Stock Fer Nu'!P71</f>
        <v>0</v>
      </c>
      <c r="O71" s="216">
        <f>'[6]Suivi Rotation de Stock Fer Nu'!Q71</f>
        <v>0</v>
      </c>
      <c r="P71" s="217">
        <f>'[6]Suivi Rotation de Stock Fer Nu'!R71</f>
        <v>0</v>
      </c>
      <c r="Q71" s="192"/>
      <c r="R71" s="218">
        <f>'[6]Suivi Rotation de Stock Fer Nu'!T71</f>
        <v>0.31019479698868047</v>
      </c>
    </row>
    <row r="72" spans="1:18" hidden="1" outlineLevel="1" x14ac:dyDescent="0.2">
      <c r="A72" s="205"/>
      <c r="B72" s="206" t="s">
        <v>43</v>
      </c>
      <c r="C72" s="207" t="s">
        <v>83</v>
      </c>
      <c r="D72" s="61"/>
      <c r="E72" s="208">
        <f>IF(E73=0,0,E$23/E73)</f>
        <v>46.499999999999993</v>
      </c>
      <c r="F72" s="209">
        <f t="shared" ref="F72:P72" si="24">IF(F73=0,0,F$23/F73)</f>
        <v>28</v>
      </c>
      <c r="G72" s="209">
        <f t="shared" si="24"/>
        <v>31</v>
      </c>
      <c r="H72" s="209">
        <f t="shared" si="24"/>
        <v>30</v>
      </c>
      <c r="I72" s="209">
        <f t="shared" si="24"/>
        <v>0</v>
      </c>
      <c r="J72" s="209">
        <f t="shared" si="24"/>
        <v>0</v>
      </c>
      <c r="K72" s="209">
        <f t="shared" si="24"/>
        <v>0</v>
      </c>
      <c r="L72" s="209">
        <f t="shared" si="24"/>
        <v>0</v>
      </c>
      <c r="M72" s="209">
        <f t="shared" si="24"/>
        <v>0</v>
      </c>
      <c r="N72" s="209">
        <f t="shared" si="24"/>
        <v>0</v>
      </c>
      <c r="O72" s="209">
        <f t="shared" si="24"/>
        <v>0</v>
      </c>
      <c r="P72" s="210">
        <f t="shared" si="24"/>
        <v>0</v>
      </c>
      <c r="Q72" s="61"/>
      <c r="R72" s="211">
        <f>IF(R73=0,0,SUMIF($E$22:$P$22,"&lt;&gt;0",$E$23:$P$23)/R73)</f>
        <v>179.99999999999997</v>
      </c>
    </row>
    <row r="73" spans="1:18" hidden="1" outlineLevel="1" x14ac:dyDescent="0.2">
      <c r="A73" s="205"/>
      <c r="B73" s="213" t="s">
        <v>43</v>
      </c>
      <c r="C73" s="214" t="s">
        <v>86</v>
      </c>
      <c r="D73" s="61"/>
      <c r="E73" s="215">
        <f>'[6]Suivi Rotation de Stock Fer Nu'!G73</f>
        <v>0.66666666666666674</v>
      </c>
      <c r="F73" s="216">
        <f>'[6]Suivi Rotation de Stock Fer Nu'!H73</f>
        <v>1</v>
      </c>
      <c r="G73" s="216">
        <f>'[6]Suivi Rotation de Stock Fer Nu'!I73</f>
        <v>1</v>
      </c>
      <c r="H73" s="216">
        <f>'[6]Suivi Rotation de Stock Fer Nu'!J73</f>
        <v>1</v>
      </c>
      <c r="I73" s="216">
        <f>'[6]Suivi Rotation de Stock Fer Nu'!K73</f>
        <v>0</v>
      </c>
      <c r="J73" s="216">
        <f>'[6]Suivi Rotation de Stock Fer Nu'!L73</f>
        <v>0</v>
      </c>
      <c r="K73" s="216">
        <f>'[6]Suivi Rotation de Stock Fer Nu'!M73</f>
        <v>0</v>
      </c>
      <c r="L73" s="216">
        <f>'[6]Suivi Rotation de Stock Fer Nu'!N73</f>
        <v>0</v>
      </c>
      <c r="M73" s="216">
        <f>'[6]Suivi Rotation de Stock Fer Nu'!O73</f>
        <v>0</v>
      </c>
      <c r="N73" s="216">
        <f>'[6]Suivi Rotation de Stock Fer Nu'!P73</f>
        <v>0</v>
      </c>
      <c r="O73" s="216">
        <f>'[6]Suivi Rotation de Stock Fer Nu'!Q73</f>
        <v>0</v>
      </c>
      <c r="P73" s="217">
        <f>'[6]Suivi Rotation de Stock Fer Nu'!R73</f>
        <v>0</v>
      </c>
      <c r="Q73" s="192"/>
      <c r="R73" s="218">
        <f>'[6]Suivi Rotation de Stock Fer Nu'!T73</f>
        <v>0.66666666666666674</v>
      </c>
    </row>
    <row r="74" spans="1:18" hidden="1" outlineLevel="1" x14ac:dyDescent="0.2">
      <c r="A74" s="205"/>
      <c r="B74" s="206" t="s">
        <v>82</v>
      </c>
      <c r="C74" s="207" t="s">
        <v>83</v>
      </c>
      <c r="D74" s="61"/>
      <c r="E74" s="208">
        <f>IF(E75=0,0,E$23/E75)</f>
        <v>0</v>
      </c>
      <c r="F74" s="209">
        <f t="shared" ref="F74:P74" si="25">IF(F75=0,0,F$23/F75)</f>
        <v>14</v>
      </c>
      <c r="G74" s="209">
        <f t="shared" si="25"/>
        <v>31</v>
      </c>
      <c r="H74" s="209">
        <f t="shared" si="25"/>
        <v>0</v>
      </c>
      <c r="I74" s="209">
        <f t="shared" si="25"/>
        <v>0</v>
      </c>
      <c r="J74" s="209">
        <f t="shared" si="25"/>
        <v>0</v>
      </c>
      <c r="K74" s="209">
        <f t="shared" si="25"/>
        <v>0</v>
      </c>
      <c r="L74" s="209">
        <f t="shared" si="25"/>
        <v>0</v>
      </c>
      <c r="M74" s="209">
        <f t="shared" si="25"/>
        <v>0</v>
      </c>
      <c r="N74" s="209">
        <f t="shared" si="25"/>
        <v>0</v>
      </c>
      <c r="O74" s="209">
        <f t="shared" si="25"/>
        <v>0</v>
      </c>
      <c r="P74" s="210">
        <f t="shared" si="25"/>
        <v>0</v>
      </c>
      <c r="Q74" s="61"/>
      <c r="R74" s="211">
        <f>IF(R75=0,0,SUMIF($E$22:$P$22,"&lt;&gt;0",$E$23:$P$23)/R75)</f>
        <v>0</v>
      </c>
    </row>
    <row r="75" spans="1:18" hidden="1" outlineLevel="1" x14ac:dyDescent="0.2">
      <c r="A75" s="205"/>
      <c r="B75" s="213" t="s">
        <v>82</v>
      </c>
      <c r="C75" s="214" t="s">
        <v>86</v>
      </c>
      <c r="D75" s="61"/>
      <c r="E75" s="215">
        <f>'[6]Suivi Rotation de Stock Fer Nu'!G75</f>
        <v>0</v>
      </c>
      <c r="F75" s="216">
        <f>'[6]Suivi Rotation de Stock Fer Nu'!H75</f>
        <v>2</v>
      </c>
      <c r="G75" s="216">
        <f>'[6]Suivi Rotation de Stock Fer Nu'!I75</f>
        <v>1</v>
      </c>
      <c r="H75" s="216">
        <f>'[6]Suivi Rotation de Stock Fer Nu'!J75</f>
        <v>0</v>
      </c>
      <c r="I75" s="216">
        <f>'[6]Suivi Rotation de Stock Fer Nu'!K75</f>
        <v>0</v>
      </c>
      <c r="J75" s="216">
        <f>'[6]Suivi Rotation de Stock Fer Nu'!L75</f>
        <v>0</v>
      </c>
      <c r="K75" s="216">
        <f>'[6]Suivi Rotation de Stock Fer Nu'!M75</f>
        <v>0</v>
      </c>
      <c r="L75" s="216">
        <f>'[6]Suivi Rotation de Stock Fer Nu'!N75</f>
        <v>0</v>
      </c>
      <c r="M75" s="216">
        <f>'[6]Suivi Rotation de Stock Fer Nu'!O75</f>
        <v>0</v>
      </c>
      <c r="N75" s="216">
        <f>'[6]Suivi Rotation de Stock Fer Nu'!P75</f>
        <v>0</v>
      </c>
      <c r="O75" s="216">
        <f>'[6]Suivi Rotation de Stock Fer Nu'!Q75</f>
        <v>0</v>
      </c>
      <c r="P75" s="217">
        <f>'[6]Suivi Rotation de Stock Fer Nu'!R75</f>
        <v>0</v>
      </c>
      <c r="Q75" s="220"/>
      <c r="R75" s="218">
        <f>'[6]Suivi Rotation de Stock Fer Nu'!T75</f>
        <v>0</v>
      </c>
    </row>
    <row r="76" spans="1:18" hidden="1" outlineLevel="1" x14ac:dyDescent="0.2">
      <c r="A76" s="205"/>
      <c r="B76" s="206" t="s">
        <v>35</v>
      </c>
      <c r="C76" s="207" t="s">
        <v>83</v>
      </c>
      <c r="D76" s="61"/>
      <c r="E76" s="208">
        <f>IF(E77=0,0,E$23/E77)</f>
        <v>62</v>
      </c>
      <c r="F76" s="209">
        <f t="shared" ref="F76:P76" si="26">IF(F77=0,0,F$23/F77)</f>
        <v>527.63636363636374</v>
      </c>
      <c r="G76" s="209">
        <f t="shared" si="26"/>
        <v>31.413333333333334</v>
      </c>
      <c r="H76" s="209">
        <f t="shared" si="26"/>
        <v>0</v>
      </c>
      <c r="I76" s="209">
        <f t="shared" si="26"/>
        <v>0</v>
      </c>
      <c r="J76" s="209">
        <f t="shared" si="26"/>
        <v>0</v>
      </c>
      <c r="K76" s="209">
        <f t="shared" si="26"/>
        <v>0</v>
      </c>
      <c r="L76" s="209">
        <f t="shared" si="26"/>
        <v>0</v>
      </c>
      <c r="M76" s="209">
        <f t="shared" si="26"/>
        <v>0</v>
      </c>
      <c r="N76" s="209">
        <f t="shared" si="26"/>
        <v>0</v>
      </c>
      <c r="O76" s="209">
        <f t="shared" si="26"/>
        <v>0</v>
      </c>
      <c r="P76" s="210">
        <f t="shared" si="26"/>
        <v>0</v>
      </c>
      <c r="Q76" s="221"/>
      <c r="R76" s="211">
        <f>IF(R77=0,0,SUMIF($E$22:$P$22,"&lt;&gt;0",$E$23:$P$23)/R77)</f>
        <v>6840</v>
      </c>
    </row>
    <row r="77" spans="1:18" hidden="1" outlineLevel="1" x14ac:dyDescent="0.2">
      <c r="A77" s="205"/>
      <c r="B77" s="213" t="s">
        <v>35</v>
      </c>
      <c r="C77" s="214" t="s">
        <v>86</v>
      </c>
      <c r="D77" s="61"/>
      <c r="E77" s="215">
        <f>'[6]Suivi Rotation de Stock Fer Nu'!G77</f>
        <v>0.5</v>
      </c>
      <c r="F77" s="216">
        <f>'[6]Suivi Rotation de Stock Fer Nu'!H77</f>
        <v>5.3066850447966912E-2</v>
      </c>
      <c r="G77" s="216">
        <f>'[6]Suivi Rotation de Stock Fer Nu'!I77</f>
        <v>0.98684210526315785</v>
      </c>
      <c r="H77" s="216">
        <f>'[6]Suivi Rotation de Stock Fer Nu'!J77</f>
        <v>0</v>
      </c>
      <c r="I77" s="216">
        <f>'[6]Suivi Rotation de Stock Fer Nu'!K77</f>
        <v>0</v>
      </c>
      <c r="J77" s="216">
        <f>'[6]Suivi Rotation de Stock Fer Nu'!L77</f>
        <v>0</v>
      </c>
      <c r="K77" s="216">
        <f>'[6]Suivi Rotation de Stock Fer Nu'!M77</f>
        <v>0</v>
      </c>
      <c r="L77" s="216">
        <f>'[6]Suivi Rotation de Stock Fer Nu'!N77</f>
        <v>0</v>
      </c>
      <c r="M77" s="216">
        <f>'[6]Suivi Rotation de Stock Fer Nu'!O77</f>
        <v>0</v>
      </c>
      <c r="N77" s="216">
        <f>'[6]Suivi Rotation de Stock Fer Nu'!P77</f>
        <v>0</v>
      </c>
      <c r="O77" s="216">
        <f>'[6]Suivi Rotation de Stock Fer Nu'!Q77</f>
        <v>0</v>
      </c>
      <c r="P77" s="217">
        <f>'[6]Suivi Rotation de Stock Fer Nu'!R77</f>
        <v>0</v>
      </c>
      <c r="Q77" s="192"/>
      <c r="R77" s="218">
        <f>'[6]Suivi Rotation de Stock Fer Nu'!T77</f>
        <v>1.7543859649122806E-2</v>
      </c>
    </row>
    <row r="78" spans="1:18" hidden="1" outlineLevel="1" x14ac:dyDescent="0.2">
      <c r="A78" s="205"/>
      <c r="B78" s="206" t="s">
        <v>37</v>
      </c>
      <c r="C78" s="207" t="s">
        <v>83</v>
      </c>
      <c r="D78" s="61"/>
      <c r="E78" s="208">
        <f>IF(E79=0,0,E$23/E79)</f>
        <v>46.463675929025783</v>
      </c>
      <c r="F78" s="209">
        <f t="shared" ref="F78:P78" si="27">IF(F79=0,0,F$23/F79)</f>
        <v>28</v>
      </c>
      <c r="G78" s="209">
        <f t="shared" si="27"/>
        <v>0</v>
      </c>
      <c r="H78" s="209">
        <f t="shared" si="27"/>
        <v>0</v>
      </c>
      <c r="I78" s="209">
        <f t="shared" si="27"/>
        <v>0</v>
      </c>
      <c r="J78" s="209">
        <f t="shared" si="27"/>
        <v>0</v>
      </c>
      <c r="K78" s="209">
        <f t="shared" si="27"/>
        <v>0</v>
      </c>
      <c r="L78" s="209">
        <f t="shared" si="27"/>
        <v>0</v>
      </c>
      <c r="M78" s="209">
        <f t="shared" si="27"/>
        <v>0</v>
      </c>
      <c r="N78" s="209">
        <f t="shared" si="27"/>
        <v>0</v>
      </c>
      <c r="O78" s="209">
        <f t="shared" si="27"/>
        <v>0</v>
      </c>
      <c r="P78" s="210">
        <f t="shared" si="27"/>
        <v>0</v>
      </c>
      <c r="Q78" s="61"/>
      <c r="R78" s="211">
        <f>IF(R79=0,0,SUMIF($E$22:$P$22,"&lt;&gt;0",$E$23:$P$23)/R79)</f>
        <v>179.85939069300304</v>
      </c>
    </row>
    <row r="79" spans="1:18" hidden="1" outlineLevel="1" x14ac:dyDescent="0.2">
      <c r="A79" s="205"/>
      <c r="B79" s="213" t="s">
        <v>37</v>
      </c>
      <c r="C79" s="214" t="s">
        <v>86</v>
      </c>
      <c r="D79" s="61"/>
      <c r="E79" s="215">
        <f>'[6]Suivi Rotation de Stock Fer Nu'!G79</f>
        <v>0.66718784900603079</v>
      </c>
      <c r="F79" s="216">
        <f>'[6]Suivi Rotation de Stock Fer Nu'!H79</f>
        <v>1</v>
      </c>
      <c r="G79" s="216">
        <f>'[6]Suivi Rotation de Stock Fer Nu'!I79</f>
        <v>0</v>
      </c>
      <c r="H79" s="216">
        <f>'[6]Suivi Rotation de Stock Fer Nu'!J79</f>
        <v>0</v>
      </c>
      <c r="I79" s="216">
        <f>'[6]Suivi Rotation de Stock Fer Nu'!K79</f>
        <v>0</v>
      </c>
      <c r="J79" s="216">
        <f>'[6]Suivi Rotation de Stock Fer Nu'!L79</f>
        <v>0</v>
      </c>
      <c r="K79" s="216">
        <f>'[6]Suivi Rotation de Stock Fer Nu'!M79</f>
        <v>0</v>
      </c>
      <c r="L79" s="216">
        <f>'[6]Suivi Rotation de Stock Fer Nu'!N79</f>
        <v>0</v>
      </c>
      <c r="M79" s="216">
        <f>'[6]Suivi Rotation de Stock Fer Nu'!O79</f>
        <v>0</v>
      </c>
      <c r="N79" s="216">
        <f>'[6]Suivi Rotation de Stock Fer Nu'!P79</f>
        <v>0</v>
      </c>
      <c r="O79" s="216">
        <f>'[6]Suivi Rotation de Stock Fer Nu'!Q79</f>
        <v>0</v>
      </c>
      <c r="P79" s="217">
        <f>'[6]Suivi Rotation de Stock Fer Nu'!R79</f>
        <v>0</v>
      </c>
      <c r="Q79" s="192"/>
      <c r="R79" s="218">
        <f>'[6]Suivi Rotation de Stock Fer Nu'!T79</f>
        <v>0.66718784900603079</v>
      </c>
    </row>
    <row r="80" spans="1:18" hidden="1" outlineLevel="1" x14ac:dyDescent="0.2">
      <c r="A80" s="205"/>
      <c r="B80" s="206" t="s">
        <v>44</v>
      </c>
      <c r="C80" s="207" t="s">
        <v>83</v>
      </c>
      <c r="D80" s="61"/>
      <c r="E80" s="208">
        <f>IF(E81=0,0,E$23/E81)</f>
        <v>62</v>
      </c>
      <c r="F80" s="209">
        <f t="shared" ref="F80:P80" si="28">IF(F81=0,0,F$23/F81)</f>
        <v>39.083333333333329</v>
      </c>
      <c r="G80" s="209">
        <f t="shared" si="28"/>
        <v>31</v>
      </c>
      <c r="H80" s="209">
        <f t="shared" si="28"/>
        <v>0</v>
      </c>
      <c r="I80" s="209">
        <f t="shared" si="28"/>
        <v>0</v>
      </c>
      <c r="J80" s="209">
        <f t="shared" si="28"/>
        <v>0</v>
      </c>
      <c r="K80" s="209">
        <f t="shared" si="28"/>
        <v>0</v>
      </c>
      <c r="L80" s="209">
        <f t="shared" si="28"/>
        <v>0</v>
      </c>
      <c r="M80" s="209">
        <f t="shared" si="28"/>
        <v>0</v>
      </c>
      <c r="N80" s="209">
        <f t="shared" si="28"/>
        <v>0</v>
      </c>
      <c r="O80" s="209">
        <f t="shared" si="28"/>
        <v>0</v>
      </c>
      <c r="P80" s="210">
        <f t="shared" si="28"/>
        <v>0</v>
      </c>
      <c r="Q80" s="61"/>
      <c r="R80" s="211">
        <f>IF(R81=0,0,SUMIF($E$22:$P$22,"&lt;&gt;0",$E$23:$P$23)/R81)</f>
        <v>382.49999999999994</v>
      </c>
    </row>
    <row r="81" spans="1:18" hidden="1" outlineLevel="1" x14ac:dyDescent="0.2">
      <c r="A81" s="205"/>
      <c r="B81" s="213" t="s">
        <v>44</v>
      </c>
      <c r="C81" s="214" t="s">
        <v>86</v>
      </c>
      <c r="D81" s="61"/>
      <c r="E81" s="215">
        <f>'[6]Suivi Rotation de Stock Fer Nu'!G81</f>
        <v>0.5</v>
      </c>
      <c r="F81" s="216">
        <f>'[6]Suivi Rotation de Stock Fer Nu'!H81</f>
        <v>0.71641791044776126</v>
      </c>
      <c r="G81" s="216">
        <f>'[6]Suivi Rotation de Stock Fer Nu'!I81</f>
        <v>1</v>
      </c>
      <c r="H81" s="216">
        <f>'[6]Suivi Rotation de Stock Fer Nu'!J81</f>
        <v>0</v>
      </c>
      <c r="I81" s="216">
        <f>'[6]Suivi Rotation de Stock Fer Nu'!K81</f>
        <v>0</v>
      </c>
      <c r="J81" s="216">
        <f>'[6]Suivi Rotation de Stock Fer Nu'!L81</f>
        <v>0</v>
      </c>
      <c r="K81" s="216">
        <f>'[6]Suivi Rotation de Stock Fer Nu'!M81</f>
        <v>0</v>
      </c>
      <c r="L81" s="216">
        <f>'[6]Suivi Rotation de Stock Fer Nu'!N81</f>
        <v>0</v>
      </c>
      <c r="M81" s="216">
        <f>'[6]Suivi Rotation de Stock Fer Nu'!O81</f>
        <v>0</v>
      </c>
      <c r="N81" s="216">
        <f>'[6]Suivi Rotation de Stock Fer Nu'!P81</f>
        <v>0</v>
      </c>
      <c r="O81" s="216">
        <f>'[6]Suivi Rotation de Stock Fer Nu'!Q81</f>
        <v>0</v>
      </c>
      <c r="P81" s="217">
        <f>'[6]Suivi Rotation de Stock Fer Nu'!R81</f>
        <v>0</v>
      </c>
      <c r="Q81" s="192"/>
      <c r="R81" s="218">
        <f>'[6]Suivi Rotation de Stock Fer Nu'!T81</f>
        <v>0.31372549019607848</v>
      </c>
    </row>
    <row r="82" spans="1:18" hidden="1" outlineLevel="1" x14ac:dyDescent="0.2">
      <c r="A82" s="205"/>
      <c r="B82" s="206" t="s">
        <v>42</v>
      </c>
      <c r="C82" s="207" t="s">
        <v>83</v>
      </c>
      <c r="D82" s="61"/>
      <c r="E82" s="208">
        <f>IF(E83=0,0,E$23/E83)</f>
        <v>0</v>
      </c>
      <c r="F82" s="209">
        <f t="shared" ref="F82:P82" si="29">IF(F83=0,0,F$23/F83)</f>
        <v>0</v>
      </c>
      <c r="G82" s="209">
        <f t="shared" si="29"/>
        <v>0</v>
      </c>
      <c r="H82" s="209">
        <f t="shared" si="29"/>
        <v>0</v>
      </c>
      <c r="I82" s="209">
        <f t="shared" si="29"/>
        <v>0</v>
      </c>
      <c r="J82" s="209">
        <f t="shared" si="29"/>
        <v>0</v>
      </c>
      <c r="K82" s="209">
        <f t="shared" si="29"/>
        <v>0</v>
      </c>
      <c r="L82" s="209">
        <f t="shared" si="29"/>
        <v>0</v>
      </c>
      <c r="M82" s="209">
        <f t="shared" si="29"/>
        <v>0</v>
      </c>
      <c r="N82" s="209">
        <f t="shared" si="29"/>
        <v>0</v>
      </c>
      <c r="O82" s="209">
        <f t="shared" si="29"/>
        <v>0</v>
      </c>
      <c r="P82" s="210">
        <f t="shared" si="29"/>
        <v>0</v>
      </c>
      <c r="Q82" s="61"/>
      <c r="R82" s="211">
        <f>IF(R83=0,0,SUMIF($E$22:$P$22,"&lt;&gt;0",$E$23:$P$23)/R83)</f>
        <v>0</v>
      </c>
    </row>
    <row r="83" spans="1:18" hidden="1" outlineLevel="1" x14ac:dyDescent="0.2">
      <c r="A83" s="222"/>
      <c r="B83" s="223" t="s">
        <v>42</v>
      </c>
      <c r="C83" s="224" t="s">
        <v>86</v>
      </c>
      <c r="D83" s="61"/>
      <c r="E83" s="225">
        <f>'[6]Suivi Rotation de Stock Fer Nu'!G83</f>
        <v>0</v>
      </c>
      <c r="F83" s="226">
        <f>'[6]Suivi Rotation de Stock Fer Nu'!H83</f>
        <v>0</v>
      </c>
      <c r="G83" s="226">
        <f>'[6]Suivi Rotation de Stock Fer Nu'!I83</f>
        <v>0</v>
      </c>
      <c r="H83" s="226">
        <f>'[6]Suivi Rotation de Stock Fer Nu'!J83</f>
        <v>0</v>
      </c>
      <c r="I83" s="226">
        <f>'[6]Suivi Rotation de Stock Fer Nu'!K83</f>
        <v>0</v>
      </c>
      <c r="J83" s="226">
        <f>'[6]Suivi Rotation de Stock Fer Nu'!L83</f>
        <v>0</v>
      </c>
      <c r="K83" s="226">
        <f>'[6]Suivi Rotation de Stock Fer Nu'!M83</f>
        <v>0</v>
      </c>
      <c r="L83" s="226">
        <f>'[6]Suivi Rotation de Stock Fer Nu'!N83</f>
        <v>0</v>
      </c>
      <c r="M83" s="226">
        <f>'[6]Suivi Rotation de Stock Fer Nu'!O83</f>
        <v>0</v>
      </c>
      <c r="N83" s="226">
        <f>'[6]Suivi Rotation de Stock Fer Nu'!P83</f>
        <v>0</v>
      </c>
      <c r="O83" s="226">
        <f>'[6]Suivi Rotation de Stock Fer Nu'!Q83</f>
        <v>0</v>
      </c>
      <c r="P83" s="227">
        <f>'[6]Suivi Rotation de Stock Fer Nu'!R83</f>
        <v>0</v>
      </c>
      <c r="Q83" s="192"/>
      <c r="R83" s="228">
        <f>'[6]Suivi Rotation de Stock Fer Nu'!T83</f>
        <v>0</v>
      </c>
    </row>
    <row r="84" spans="1:18" collapsed="1" x14ac:dyDescent="0.2"/>
  </sheetData>
  <mergeCells count="6">
    <mergeCell ref="A1:B1"/>
    <mergeCell ref="R16:R20"/>
    <mergeCell ref="A22:A24"/>
    <mergeCell ref="B22:B24"/>
    <mergeCell ref="A53:A55"/>
    <mergeCell ref="B53:B55"/>
  </mergeCells>
  <conditionalFormatting sqref="E18:P18"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{F9FBB262-3D92-43C9-BE49-81CA7AAEB86F}</x14:id>
        </ext>
      </extLst>
    </cfRule>
  </conditionalFormatting>
  <conditionalFormatting sqref="E16:P16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{A72E4F6D-5265-4AEF-A07D-A22F91AAA9D0}</x14:id>
        </ext>
      </extLst>
    </cfRule>
  </conditionalFormatting>
  <conditionalFormatting sqref="C18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{1DBB710B-F8AA-4F26-967A-32A4B52A78FB}</x14:id>
        </ext>
      </extLst>
    </cfRule>
  </conditionalFormatting>
  <conditionalFormatting sqref="C16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{1138263F-8C87-4F8F-BA5E-1577ACB14A24}</x14:id>
        </ext>
      </extLst>
    </cfRule>
  </conditionalFormatting>
  <conditionalFormatting sqref="E18:P18 C18">
    <cfRule type="dataBar" priority="5">
      <dataBar>
        <cfvo type="min"/>
        <cfvo type="max"/>
        <color theme="6"/>
      </dataBar>
      <extLst>
        <ext xmlns:x14="http://schemas.microsoft.com/office/spreadsheetml/2009/9/main" uri="{B025F937-C7B1-47D3-B67F-A62EFF666E3E}">
          <x14:id>{F132E079-4115-46D5-A178-D1F2E575B648}</x14:id>
        </ext>
      </extLst>
    </cfRule>
  </conditionalFormatting>
  <conditionalFormatting sqref="E16:P16 C16">
    <cfRule type="dataBar" priority="6">
      <dataBar>
        <cfvo type="min"/>
        <cfvo type="max"/>
        <color theme="7" tint="-0.249977111117893"/>
      </dataBar>
      <extLst>
        <ext xmlns:x14="http://schemas.microsoft.com/office/spreadsheetml/2009/9/main" uri="{B025F937-C7B1-47D3-B67F-A62EFF666E3E}">
          <x14:id>{FB32D05D-48EC-4135-BED2-C7972556A2EF}</x14:id>
        </ext>
      </extLst>
    </cfRule>
  </conditionalFormatting>
  <hyperlinks>
    <hyperlink ref="A1:B1" r:id="rId1" location="Récapitulatif!A1" display="TBD CCE" xr:uid="{CFDA3577-3E64-4064-973A-1E1508EC48EB}"/>
  </hyperlinks>
  <pageMargins left="0.7" right="0.7" top="0.75" bottom="0.75" header="0.3" footer="0.3"/>
  <ignoredErrors>
    <ignoredError sqref="E26:R83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9FBB262-3D92-43C9-BE49-81CA7AAEB8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E18:P18</xm:sqref>
        </x14:conditionalFormatting>
        <x14:conditionalFormatting xmlns:xm="http://schemas.microsoft.com/office/excel/2006/main">
          <x14:cfRule type="dataBar" id="{A72E4F6D-5265-4AEF-A07D-A22F91AAA9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E16:P16</xm:sqref>
        </x14:conditionalFormatting>
        <x14:conditionalFormatting xmlns:xm="http://schemas.microsoft.com/office/excel/2006/main">
          <x14:cfRule type="dataBar" id="{1DBB710B-F8AA-4F26-967A-32A4B52A78F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C18</xm:sqref>
        </x14:conditionalFormatting>
        <x14:conditionalFormatting xmlns:xm="http://schemas.microsoft.com/office/excel/2006/main">
          <x14:cfRule type="dataBar" id="{1138263F-8C87-4F8F-BA5E-1577ACB14A2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C16</xm:sqref>
        </x14:conditionalFormatting>
        <x14:conditionalFormatting xmlns:xm="http://schemas.microsoft.com/office/excel/2006/main">
          <x14:cfRule type="dataBar" id="{F132E079-4115-46D5-A178-D1F2E575B648}">
            <x14:dataBar minLength="0" maxLength="100" border="1" direction="leftToRight" negativeBarBorderColorSameAsPositive="0">
              <x14:cfvo type="autoMin"/>
              <x14:cfvo type="autoMax"/>
              <x14:borderColor theme="6" tint="0.79998168889431442"/>
              <x14:negativeFillColor rgb="FFFF0000"/>
              <x14:negativeBorderColor rgb="FFFF0000"/>
              <x14:axisColor rgb="FF000000"/>
            </x14:dataBar>
          </x14:cfRule>
          <xm:sqref>E18:P18 C18</xm:sqref>
        </x14:conditionalFormatting>
        <x14:conditionalFormatting xmlns:xm="http://schemas.microsoft.com/office/excel/2006/main">
          <x14:cfRule type="dataBar" id="{FB32D05D-48EC-4135-BED2-C7972556A2EF}">
            <x14:dataBar minLength="0" maxLength="100" border="1" negativeBarBorderColorSameAsPositive="0">
              <x14:cfvo type="autoMin"/>
              <x14:cfvo type="autoMax"/>
              <x14:borderColor theme="7" tint="-0.249977111117893"/>
              <x14:negativeFillColor rgb="FFFF0000"/>
              <x14:negativeBorderColor rgb="FFFF0000"/>
              <x14:axisColor rgb="FF000000"/>
            </x14:dataBar>
          </x14:cfRule>
          <xm:sqref>E16:P16 C16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714BF-02D4-44A4-A279-02A1676A00C7}">
  <sheetPr>
    <tabColor theme="5" tint="-0.249977111117893"/>
    <pageSetUpPr fitToPage="1"/>
  </sheetPr>
  <dimension ref="A1:V84"/>
  <sheetViews>
    <sheetView showGridLines="0" zoomScale="80" zoomScaleNormal="80" workbookViewId="0">
      <selection activeCell="B5" sqref="B5:H6"/>
    </sheetView>
  </sheetViews>
  <sheetFormatPr baseColWidth="10" defaultRowHeight="12.75" outlineLevelRow="2" x14ac:dyDescent="0.2"/>
  <cols>
    <col min="1" max="1" width="11.42578125" style="17" customWidth="1"/>
    <col min="2" max="2" width="22.85546875" style="17" bestFit="1" customWidth="1"/>
    <col min="3" max="3" width="22.85546875" style="17" customWidth="1"/>
    <col min="4" max="4" width="0.85546875" style="17" customWidth="1"/>
    <col min="5" max="5" width="8.85546875" style="176" bestFit="1" customWidth="1"/>
    <col min="6" max="6" width="0.85546875" style="17" customWidth="1"/>
    <col min="7" max="18" width="11.7109375" style="17" customWidth="1"/>
    <col min="19" max="19" width="0.85546875" style="17" customWidth="1"/>
    <col min="20" max="20" width="10.42578125" style="17" bestFit="1" customWidth="1"/>
    <col min="21" max="16384" width="11.42578125" style="17"/>
  </cols>
  <sheetData>
    <row r="1" spans="1:2" ht="15" x14ac:dyDescent="0.25">
      <c r="A1" s="760" t="s">
        <v>66</v>
      </c>
      <c r="B1" s="760"/>
    </row>
    <row r="2" spans="1:2" x14ac:dyDescent="0.2">
      <c r="A2" s="174"/>
      <c r="B2" s="174"/>
    </row>
    <row r="3" spans="1:2" x14ac:dyDescent="0.2">
      <c r="A3" s="174"/>
      <c r="B3" s="174"/>
    </row>
    <row r="4" spans="1:2" x14ac:dyDescent="0.2">
      <c r="A4" s="174"/>
      <c r="B4" s="174"/>
    </row>
    <row r="5" spans="1:2" x14ac:dyDescent="0.2">
      <c r="A5" s="174"/>
      <c r="B5" s="174"/>
    </row>
    <row r="6" spans="1:2" x14ac:dyDescent="0.2">
      <c r="A6" s="174"/>
      <c r="B6" s="174"/>
    </row>
    <row r="7" spans="1:2" x14ac:dyDescent="0.2">
      <c r="A7" s="174"/>
      <c r="B7" s="174"/>
    </row>
    <row r="8" spans="1:2" x14ac:dyDescent="0.2">
      <c r="A8" s="174"/>
      <c r="B8" s="174"/>
    </row>
    <row r="9" spans="1:2" x14ac:dyDescent="0.2">
      <c r="A9" s="174"/>
      <c r="B9" s="174"/>
    </row>
    <row r="10" spans="1:2" x14ac:dyDescent="0.2">
      <c r="A10" s="174"/>
      <c r="B10" s="174"/>
    </row>
    <row r="11" spans="1:2" x14ac:dyDescent="0.2">
      <c r="A11" s="174"/>
      <c r="B11" s="174"/>
    </row>
    <row r="12" spans="1:2" x14ac:dyDescent="0.2">
      <c r="A12" s="174"/>
      <c r="B12" s="174"/>
    </row>
    <row r="13" spans="1:2" x14ac:dyDescent="0.2">
      <c r="A13" s="174"/>
      <c r="B13" s="174"/>
    </row>
    <row r="14" spans="1:2" x14ac:dyDescent="0.2">
      <c r="A14" s="174"/>
      <c r="B14" s="174"/>
    </row>
    <row r="15" spans="1:2" x14ac:dyDescent="0.2">
      <c r="A15" s="174"/>
      <c r="B15" s="174"/>
    </row>
    <row r="16" spans="1:2" x14ac:dyDescent="0.2">
      <c r="A16" s="174"/>
      <c r="B16" s="174"/>
    </row>
    <row r="18" spans="1:22" x14ac:dyDescent="0.2">
      <c r="C18" s="803" t="s">
        <v>84</v>
      </c>
      <c r="D18" s="803"/>
      <c r="E18" s="229">
        <f>+$E$20/(($E$20+$E$22)/2)</f>
        <v>0.50341810781618856</v>
      </c>
      <c r="G18" s="230">
        <f>IF(G20=0,0,G20/((G20+E22)/2))</f>
        <v>0.60427085527854862</v>
      </c>
      <c r="H18" s="231">
        <f>IF(H20=0,0,H20/((G20+H20)/2))</f>
        <v>0.98152386854801821</v>
      </c>
      <c r="I18" s="231">
        <f t="shared" ref="I18:R18" si="0">IF(I20=0,0,I20/((H20+I20)/2))</f>
        <v>0.95715412349227624</v>
      </c>
      <c r="J18" s="231">
        <f t="shared" si="0"/>
        <v>0.93525690359216707</v>
      </c>
      <c r="K18" s="231">
        <f t="shared" si="0"/>
        <v>0</v>
      </c>
      <c r="L18" s="231">
        <f t="shared" si="0"/>
        <v>0</v>
      </c>
      <c r="M18" s="231">
        <f t="shared" si="0"/>
        <v>0</v>
      </c>
      <c r="N18" s="231">
        <f t="shared" si="0"/>
        <v>0</v>
      </c>
      <c r="O18" s="231">
        <f t="shared" si="0"/>
        <v>0</v>
      </c>
      <c r="P18" s="231">
        <f t="shared" si="0"/>
        <v>0</v>
      </c>
      <c r="Q18" s="231">
        <f t="shared" si="0"/>
        <v>0</v>
      </c>
      <c r="R18" s="232">
        <f t="shared" si="0"/>
        <v>0</v>
      </c>
      <c r="T18" s="804">
        <f t="shared" ref="T18:T22" si="1">+$E$20/(($E$20+$E$22)/2)</f>
        <v>0.50341810781618856</v>
      </c>
    </row>
    <row r="19" spans="1:22" ht="5.25" customHeight="1" x14ac:dyDescent="0.2">
      <c r="T19" s="804">
        <f t="shared" si="1"/>
        <v>0.50341810781618856</v>
      </c>
    </row>
    <row r="20" spans="1:22" x14ac:dyDescent="0.2">
      <c r="C20" s="803" t="s">
        <v>87</v>
      </c>
      <c r="D20" s="803"/>
      <c r="E20" s="233">
        <f>INDEX(G20:R20,MATCH(0,G20:R20,0)-1)</f>
        <v>4576.9940507476549</v>
      </c>
      <c r="G20" s="234">
        <f>G24+G54</f>
        <v>5890.9115515440626</v>
      </c>
      <c r="H20" s="235">
        <f t="shared" ref="H20:R20" si="2">H24+H54</f>
        <v>5677.1780081901161</v>
      </c>
      <c r="I20" s="235">
        <f t="shared" si="2"/>
        <v>5210.6782629624677</v>
      </c>
      <c r="J20" s="235">
        <f t="shared" si="2"/>
        <v>4576.9940507476549</v>
      </c>
      <c r="K20" s="235">
        <f t="shared" si="2"/>
        <v>0</v>
      </c>
      <c r="L20" s="235">
        <f t="shared" si="2"/>
        <v>0</v>
      </c>
      <c r="M20" s="235">
        <f t="shared" si="2"/>
        <v>0</v>
      </c>
      <c r="N20" s="235">
        <f t="shared" si="2"/>
        <v>0</v>
      </c>
      <c r="O20" s="235">
        <f t="shared" si="2"/>
        <v>0</v>
      </c>
      <c r="P20" s="235">
        <f t="shared" si="2"/>
        <v>0</v>
      </c>
      <c r="Q20" s="235">
        <f t="shared" si="2"/>
        <v>0</v>
      </c>
      <c r="R20" s="236">
        <f t="shared" si="2"/>
        <v>0</v>
      </c>
      <c r="T20" s="804">
        <f t="shared" si="1"/>
        <v>0.50341810781618856</v>
      </c>
    </row>
    <row r="21" spans="1:22" ht="5.25" customHeight="1" x14ac:dyDescent="0.2">
      <c r="T21" s="804">
        <f t="shared" si="1"/>
        <v>0.50341810781618856</v>
      </c>
    </row>
    <row r="22" spans="1:22" ht="13.5" thickBot="1" x14ac:dyDescent="0.25">
      <c r="C22" s="237" t="s">
        <v>88</v>
      </c>
      <c r="D22" s="238"/>
      <c r="E22" s="239">
        <f>SUM(E24,E54)</f>
        <v>13606.674671867457</v>
      </c>
      <c r="G22" s="240" t="s">
        <v>8</v>
      </c>
      <c r="H22" s="241" t="s">
        <v>9</v>
      </c>
      <c r="I22" s="241" t="s">
        <v>10</v>
      </c>
      <c r="J22" s="241" t="s">
        <v>11</v>
      </c>
      <c r="K22" s="241" t="s">
        <v>12</v>
      </c>
      <c r="L22" s="241" t="s">
        <v>13</v>
      </c>
      <c r="M22" s="241" t="s">
        <v>14</v>
      </c>
      <c r="N22" s="241" t="s">
        <v>15</v>
      </c>
      <c r="O22" s="241" t="s">
        <v>16</v>
      </c>
      <c r="P22" s="241" t="s">
        <v>17</v>
      </c>
      <c r="Q22" s="241" t="s">
        <v>18</v>
      </c>
      <c r="R22" s="242" t="s">
        <v>19</v>
      </c>
      <c r="T22" s="804">
        <f t="shared" si="1"/>
        <v>0.50341810781618856</v>
      </c>
    </row>
    <row r="23" spans="1:22" ht="5.25" customHeight="1" thickTop="1" x14ac:dyDescent="0.2"/>
    <row r="24" spans="1:22" x14ac:dyDescent="0.2">
      <c r="A24" s="801" t="s">
        <v>58</v>
      </c>
      <c r="B24" s="802"/>
      <c r="C24" s="243" t="s">
        <v>89</v>
      </c>
      <c r="D24" s="192"/>
      <c r="E24" s="244">
        <f>SUM(E26,E28,E30,E32,E34,E36,E38,E40,E42,E44,E46,E48,E50,E52)</f>
        <v>10434.424908939429</v>
      </c>
      <c r="F24" s="192"/>
      <c r="G24" s="245">
        <f>SUM(G26,G28,G30,G32,G34,G36,G38,G40,G42,G44,G46,G48,G50,G52)</f>
        <v>4807.8772761794044</v>
      </c>
      <c r="H24" s="245">
        <f t="shared" ref="H24:R24" si="3">SUM(H26,H28,H30,H32,H34,H36,H38,H40,H42,H44,H46,H48,H50,H52)</f>
        <v>4645.3339837612102</v>
      </c>
      <c r="I24" s="245">
        <f t="shared" si="3"/>
        <v>4296.3778928740139</v>
      </c>
      <c r="J24" s="245">
        <f t="shared" si="3"/>
        <v>3727.3823702753812</v>
      </c>
      <c r="K24" s="245">
        <f t="shared" si="3"/>
        <v>0</v>
      </c>
      <c r="L24" s="245">
        <f t="shared" si="3"/>
        <v>0</v>
      </c>
      <c r="M24" s="245">
        <f t="shared" si="3"/>
        <v>0</v>
      </c>
      <c r="N24" s="245">
        <f t="shared" si="3"/>
        <v>0</v>
      </c>
      <c r="O24" s="245">
        <f t="shared" si="3"/>
        <v>0</v>
      </c>
      <c r="P24" s="245">
        <f t="shared" si="3"/>
        <v>0</v>
      </c>
      <c r="Q24" s="245">
        <f t="shared" si="3"/>
        <v>0</v>
      </c>
      <c r="R24" s="246">
        <f t="shared" si="3"/>
        <v>0</v>
      </c>
      <c r="S24" s="192"/>
      <c r="T24" s="247">
        <f>INDEX(G24:R24,MATCH(0,G24:R24,0)-1)</f>
        <v>3727.3823702753812</v>
      </c>
    </row>
    <row r="25" spans="1:22" x14ac:dyDescent="0.2">
      <c r="A25" s="801"/>
      <c r="B25" s="802"/>
      <c r="C25" s="248" t="s">
        <v>86</v>
      </c>
      <c r="D25" s="192"/>
      <c r="E25" s="249"/>
      <c r="F25" s="192"/>
      <c r="G25" s="250">
        <f>IF(G24=0,0,G24/((G24+E24)/2))</f>
        <v>0.63085972417911629</v>
      </c>
      <c r="H25" s="251">
        <f>IF(H24=0,0,H24/((H24+G24)/2))</f>
        <v>0.98280549456172694</v>
      </c>
      <c r="I25" s="251">
        <f t="shared" ref="I25:R25" si="4">IF(I24=0,0,I24/((I24+H24)/2))</f>
        <v>0.96097435304317702</v>
      </c>
      <c r="J25" s="251">
        <f t="shared" si="4"/>
        <v>0.92908617606487442</v>
      </c>
      <c r="K25" s="251">
        <f t="shared" si="4"/>
        <v>0</v>
      </c>
      <c r="L25" s="251">
        <f t="shared" si="4"/>
        <v>0</v>
      </c>
      <c r="M25" s="251">
        <f t="shared" si="4"/>
        <v>0</v>
      </c>
      <c r="N25" s="251">
        <f t="shared" si="4"/>
        <v>0</v>
      </c>
      <c r="O25" s="251">
        <f t="shared" si="4"/>
        <v>0</v>
      </c>
      <c r="P25" s="251">
        <f t="shared" si="4"/>
        <v>0</v>
      </c>
      <c r="Q25" s="251">
        <f t="shared" si="4"/>
        <v>0</v>
      </c>
      <c r="R25" s="252">
        <f t="shared" si="4"/>
        <v>0</v>
      </c>
      <c r="S25" s="192"/>
      <c r="T25" s="253">
        <f>IF(T24=0,0,T24/((T24+$E24)/2))</f>
        <v>0.52639925071513083</v>
      </c>
    </row>
    <row r="26" spans="1:22" hidden="1" outlineLevel="1" x14ac:dyDescent="0.2">
      <c r="A26" s="254"/>
      <c r="C26" s="255" t="s">
        <v>89</v>
      </c>
      <c r="D26" s="61"/>
      <c r="E26" s="256">
        <f>'[6]Suivi Rotation de Stock Fer Nu'!$E26</f>
        <v>3158.7387224343483</v>
      </c>
      <c r="F26" s="61"/>
      <c r="G26" s="257">
        <f>'[6]Suivi Rotation de Stock Fer Nu'!G26</f>
        <v>1541.7741200174639</v>
      </c>
      <c r="H26" s="258">
        <f>'[6]Suivi Rotation de Stock Fer Nu'!H26</f>
        <v>1523.4305864260321</v>
      </c>
      <c r="I26" s="258">
        <f>'[6]Suivi Rotation de Stock Fer Nu'!I26</f>
        <v>1365.36937706142</v>
      </c>
      <c r="J26" s="258">
        <f>'[6]Suivi Rotation de Stock Fer Nu'!J26</f>
        <v>914.071977507312</v>
      </c>
      <c r="K26" s="258">
        <f>'[6]Suivi Rotation de Stock Fer Nu'!K26</f>
        <v>0</v>
      </c>
      <c r="L26" s="258">
        <f>'[6]Suivi Rotation de Stock Fer Nu'!L26</f>
        <v>0</v>
      </c>
      <c r="M26" s="258">
        <f>'[6]Suivi Rotation de Stock Fer Nu'!M26</f>
        <v>0</v>
      </c>
      <c r="N26" s="258">
        <f>'[6]Suivi Rotation de Stock Fer Nu'!N26</f>
        <v>0</v>
      </c>
      <c r="O26" s="258">
        <f>'[6]Suivi Rotation de Stock Fer Nu'!O26</f>
        <v>0</v>
      </c>
      <c r="P26" s="258">
        <f>'[6]Suivi Rotation de Stock Fer Nu'!P26</f>
        <v>0</v>
      </c>
      <c r="Q26" s="258">
        <f>'[6]Suivi Rotation de Stock Fer Nu'!Q26</f>
        <v>0</v>
      </c>
      <c r="R26" s="259">
        <f>'[6]Suivi Rotation de Stock Fer Nu'!R26</f>
        <v>0</v>
      </c>
      <c r="S26" s="61"/>
      <c r="T26" s="260">
        <f>INDEX(G26:R26,MATCH(0,G26:R26,0)-1)</f>
        <v>914.071977507312</v>
      </c>
      <c r="V26" s="212"/>
    </row>
    <row r="27" spans="1:22" hidden="1" outlineLevel="1" x14ac:dyDescent="0.2">
      <c r="A27" s="254"/>
      <c r="C27" s="255" t="s">
        <v>86</v>
      </c>
      <c r="D27" s="61"/>
      <c r="E27" s="261"/>
      <c r="F27" s="61"/>
      <c r="G27" s="262">
        <f>IF(G26=0,0,G26/((G26+E26)/2))</f>
        <v>0.65600251363775297</v>
      </c>
      <c r="H27" s="263">
        <f>IF(H26=0,0,H26/((H26+G26)/2))</f>
        <v>0.99401556002022595</v>
      </c>
      <c r="I27" s="263">
        <f t="shared" ref="I27:R27" si="5">IF(I26=0,0,I26/((I26+H26)/2))</f>
        <v>0.94528482021517479</v>
      </c>
      <c r="J27" s="263">
        <f t="shared" si="5"/>
        <v>0.80201403354836776</v>
      </c>
      <c r="K27" s="263">
        <f t="shared" si="5"/>
        <v>0</v>
      </c>
      <c r="L27" s="263">
        <f t="shared" si="5"/>
        <v>0</v>
      </c>
      <c r="M27" s="263">
        <f t="shared" si="5"/>
        <v>0</v>
      </c>
      <c r="N27" s="263">
        <f t="shared" si="5"/>
        <v>0</v>
      </c>
      <c r="O27" s="263">
        <f t="shared" si="5"/>
        <v>0</v>
      </c>
      <c r="P27" s="263">
        <f t="shared" si="5"/>
        <v>0</v>
      </c>
      <c r="Q27" s="263">
        <f t="shared" si="5"/>
        <v>0</v>
      </c>
      <c r="R27" s="264">
        <f t="shared" si="5"/>
        <v>0</v>
      </c>
      <c r="S27" s="61"/>
      <c r="T27" s="265">
        <f>IF(T26=0,0,T26/((T26+$E26)/2))</f>
        <v>0.44886543709011828</v>
      </c>
      <c r="V27" s="212"/>
    </row>
    <row r="28" spans="1:22" hidden="1" outlineLevel="1" x14ac:dyDescent="0.2">
      <c r="A28" s="254"/>
      <c r="B28" s="266"/>
      <c r="C28" s="267" t="s">
        <v>89</v>
      </c>
      <c r="D28" s="61"/>
      <c r="E28" s="268">
        <f>'[6]Suivi Rotation de Stock Fer Nu'!$E28</f>
        <v>2446.6796002487999</v>
      </c>
      <c r="F28" s="61"/>
      <c r="G28" s="269">
        <f>'[6]Suivi Rotation de Stock Fer Nu'!G28</f>
        <v>1189.1014007667998</v>
      </c>
      <c r="H28" s="270">
        <f>'[6]Suivi Rotation de Stock Fer Nu'!H28</f>
        <v>1024.7978463003999</v>
      </c>
      <c r="I28" s="270">
        <f>'[6]Suivi Rotation de Stock Fer Nu'!I28</f>
        <v>980.0013547591999</v>
      </c>
      <c r="J28" s="270">
        <f>'[6]Suivi Rotation de Stock Fer Nu'!J28</f>
        <v>980.0013547591999</v>
      </c>
      <c r="K28" s="270">
        <f>'[6]Suivi Rotation de Stock Fer Nu'!K28</f>
        <v>0</v>
      </c>
      <c r="L28" s="270">
        <f>'[6]Suivi Rotation de Stock Fer Nu'!L28</f>
        <v>0</v>
      </c>
      <c r="M28" s="270">
        <f>'[6]Suivi Rotation de Stock Fer Nu'!M28</f>
        <v>0</v>
      </c>
      <c r="N28" s="270">
        <f>'[6]Suivi Rotation de Stock Fer Nu'!N28</f>
        <v>0</v>
      </c>
      <c r="O28" s="270">
        <f>'[6]Suivi Rotation de Stock Fer Nu'!O28</f>
        <v>0</v>
      </c>
      <c r="P28" s="270">
        <f>'[6]Suivi Rotation de Stock Fer Nu'!P28</f>
        <v>0</v>
      </c>
      <c r="Q28" s="270">
        <f>'[6]Suivi Rotation de Stock Fer Nu'!Q28</f>
        <v>0</v>
      </c>
      <c r="R28" s="271">
        <f>'[6]Suivi Rotation de Stock Fer Nu'!R28</f>
        <v>0</v>
      </c>
      <c r="S28" s="61"/>
      <c r="T28" s="260">
        <f>INDEX(G28:R28,MATCH(0,G28:R28,0)-1)</f>
        <v>980.0013547591999</v>
      </c>
      <c r="V28" s="219"/>
    </row>
    <row r="29" spans="1:22" hidden="1" outlineLevel="1" x14ac:dyDescent="0.2">
      <c r="A29" s="254"/>
      <c r="B29" s="272"/>
      <c r="C29" s="273" t="s">
        <v>86</v>
      </c>
      <c r="D29" s="61"/>
      <c r="E29" s="261"/>
      <c r="F29" s="61"/>
      <c r="G29" s="262">
        <f>IF(G28=0,0,G28/((G28+E28)/2))</f>
        <v>0.65411057510594972</v>
      </c>
      <c r="H29" s="263">
        <f>IF(H28=0,0,H28/((H28+G28)/2))</f>
        <v>0.9257854418243936</v>
      </c>
      <c r="I29" s="263">
        <f t="shared" ref="I29:R29" si="6">IF(I28=0,0,I28/((I28+H28)/2))</f>
        <v>0.9776553724096041</v>
      </c>
      <c r="J29" s="263">
        <f t="shared" si="6"/>
        <v>1</v>
      </c>
      <c r="K29" s="263">
        <f t="shared" si="6"/>
        <v>0</v>
      </c>
      <c r="L29" s="263">
        <f t="shared" si="6"/>
        <v>0</v>
      </c>
      <c r="M29" s="263">
        <f t="shared" si="6"/>
        <v>0</v>
      </c>
      <c r="N29" s="263">
        <f t="shared" si="6"/>
        <v>0</v>
      </c>
      <c r="O29" s="263">
        <f t="shared" si="6"/>
        <v>0</v>
      </c>
      <c r="P29" s="263">
        <f t="shared" si="6"/>
        <v>0</v>
      </c>
      <c r="Q29" s="263">
        <f t="shared" si="6"/>
        <v>0</v>
      </c>
      <c r="R29" s="264">
        <f t="shared" si="6"/>
        <v>0</v>
      </c>
      <c r="S29" s="61"/>
      <c r="T29" s="265">
        <f>IF(T28=0,0,T28/((T28+$E28)/2))</f>
        <v>0.57198284148803225</v>
      </c>
    </row>
    <row r="30" spans="1:22" hidden="1" outlineLevel="1" x14ac:dyDescent="0.2">
      <c r="A30" s="254"/>
      <c r="B30" s="266"/>
      <c r="C30" s="267" t="s">
        <v>89</v>
      </c>
      <c r="D30" s="61"/>
      <c r="E30" s="268">
        <f>'[6]Suivi Rotation de Stock Fer Nu'!$E30</f>
        <v>1206.1770000000001</v>
      </c>
      <c r="F30" s="61"/>
      <c r="G30" s="269">
        <f>'[6]Suivi Rotation de Stock Fer Nu'!G30</f>
        <v>574.99</v>
      </c>
      <c r="H30" s="270">
        <f>'[6]Suivi Rotation de Stock Fer Nu'!H30</f>
        <v>698.01900000000001</v>
      </c>
      <c r="I30" s="270">
        <f>'[6]Suivi Rotation de Stock Fer Nu'!I30</f>
        <v>698.01900000000001</v>
      </c>
      <c r="J30" s="270">
        <f>'[6]Suivi Rotation de Stock Fer Nu'!J30</f>
        <v>698.01900000000001</v>
      </c>
      <c r="K30" s="270">
        <f>'[6]Suivi Rotation de Stock Fer Nu'!K30</f>
        <v>0</v>
      </c>
      <c r="L30" s="270">
        <f>'[6]Suivi Rotation de Stock Fer Nu'!L30</f>
        <v>0</v>
      </c>
      <c r="M30" s="270">
        <f>'[6]Suivi Rotation de Stock Fer Nu'!M30</f>
        <v>0</v>
      </c>
      <c r="N30" s="270">
        <f>'[6]Suivi Rotation de Stock Fer Nu'!N30</f>
        <v>0</v>
      </c>
      <c r="O30" s="270">
        <f>'[6]Suivi Rotation de Stock Fer Nu'!O30</f>
        <v>0</v>
      </c>
      <c r="P30" s="270">
        <f>'[6]Suivi Rotation de Stock Fer Nu'!P30</f>
        <v>0</v>
      </c>
      <c r="Q30" s="270">
        <f>'[6]Suivi Rotation de Stock Fer Nu'!Q30</f>
        <v>0</v>
      </c>
      <c r="R30" s="271">
        <f>'[6]Suivi Rotation de Stock Fer Nu'!R30</f>
        <v>0</v>
      </c>
      <c r="S30" s="61"/>
      <c r="T30" s="260">
        <f>INDEX(G30:R30,MATCH(0,G30:R30,0)-1)</f>
        <v>698.01900000000001</v>
      </c>
    </row>
    <row r="31" spans="1:22" hidden="1" outlineLevel="1" x14ac:dyDescent="0.2">
      <c r="A31" s="254"/>
      <c r="B31" s="272"/>
      <c r="C31" s="273" t="s">
        <v>86</v>
      </c>
      <c r="D31" s="61"/>
      <c r="E31" s="261"/>
      <c r="F31" s="61"/>
      <c r="G31" s="262">
        <f>IF(G30=0,0,G30/((G30+E30)/2))</f>
        <v>0.64563289124489731</v>
      </c>
      <c r="H31" s="263">
        <f>IF(H30=0,0,H30/((H30+G30)/2))</f>
        <v>1.0966442499620976</v>
      </c>
      <c r="I31" s="263">
        <f t="shared" ref="I31:R31" si="7">IF(I30=0,0,I30/((I30+H30)/2))</f>
        <v>1</v>
      </c>
      <c r="J31" s="263">
        <f t="shared" si="7"/>
        <v>1</v>
      </c>
      <c r="K31" s="263">
        <f t="shared" si="7"/>
        <v>0</v>
      </c>
      <c r="L31" s="263">
        <f t="shared" si="7"/>
        <v>0</v>
      </c>
      <c r="M31" s="263">
        <f t="shared" si="7"/>
        <v>0</v>
      </c>
      <c r="N31" s="263">
        <f t="shared" si="7"/>
        <v>0</v>
      </c>
      <c r="O31" s="263">
        <f t="shared" si="7"/>
        <v>0</v>
      </c>
      <c r="P31" s="263">
        <f t="shared" si="7"/>
        <v>0</v>
      </c>
      <c r="Q31" s="263">
        <f t="shared" si="7"/>
        <v>0</v>
      </c>
      <c r="R31" s="264">
        <f t="shared" si="7"/>
        <v>0</v>
      </c>
      <c r="S31" s="61"/>
      <c r="T31" s="265">
        <f>IF(T30=0,0,T30/((T30+$E30)/2))</f>
        <v>0.73313776523004981</v>
      </c>
    </row>
    <row r="32" spans="1:22" hidden="1" outlineLevel="1" x14ac:dyDescent="0.2">
      <c r="A32" s="254"/>
      <c r="B32" s="266"/>
      <c r="C32" s="267" t="s">
        <v>89</v>
      </c>
      <c r="D32" s="61"/>
      <c r="E32" s="268">
        <f>'[6]Suivi Rotation de Stock Fer Nu'!$E32</f>
        <v>2006.5699570586669</v>
      </c>
      <c r="F32" s="61"/>
      <c r="G32" s="269">
        <f>'[6]Suivi Rotation de Stock Fer Nu'!G32</f>
        <v>668.85665235288889</v>
      </c>
      <c r="H32" s="270">
        <f>'[6]Suivi Rotation de Stock Fer Nu'!H32</f>
        <v>668.85665235288889</v>
      </c>
      <c r="I32" s="270">
        <f>'[6]Suivi Rotation de Stock Fer Nu'!I32</f>
        <v>668.85665235288889</v>
      </c>
      <c r="J32" s="270">
        <f>'[6]Suivi Rotation de Stock Fer Nu'!J32</f>
        <v>621.37692956238891</v>
      </c>
      <c r="K32" s="270">
        <f>'[6]Suivi Rotation de Stock Fer Nu'!K32</f>
        <v>0</v>
      </c>
      <c r="L32" s="270">
        <f>'[6]Suivi Rotation de Stock Fer Nu'!L32</f>
        <v>0</v>
      </c>
      <c r="M32" s="270">
        <f>'[6]Suivi Rotation de Stock Fer Nu'!M32</f>
        <v>0</v>
      </c>
      <c r="N32" s="270">
        <f>'[6]Suivi Rotation de Stock Fer Nu'!N32</f>
        <v>0</v>
      </c>
      <c r="O32" s="270">
        <f>'[6]Suivi Rotation de Stock Fer Nu'!O32</f>
        <v>0</v>
      </c>
      <c r="P32" s="270">
        <f>'[6]Suivi Rotation de Stock Fer Nu'!P32</f>
        <v>0</v>
      </c>
      <c r="Q32" s="270">
        <f>'[6]Suivi Rotation de Stock Fer Nu'!Q32</f>
        <v>0</v>
      </c>
      <c r="R32" s="271">
        <f>'[6]Suivi Rotation de Stock Fer Nu'!R32</f>
        <v>0</v>
      </c>
      <c r="S32" s="61"/>
      <c r="T32" s="260">
        <f>INDEX(G32:R32,MATCH(0,G32:R32,0)-1)</f>
        <v>621.37692956238891</v>
      </c>
    </row>
    <row r="33" spans="1:22" hidden="1" outlineLevel="1" x14ac:dyDescent="0.2">
      <c r="A33" s="254"/>
      <c r="B33" s="272"/>
      <c r="C33" s="273" t="s">
        <v>86</v>
      </c>
      <c r="D33" s="61"/>
      <c r="E33" s="261"/>
      <c r="F33" s="61"/>
      <c r="G33" s="262">
        <f>IF(G32=0,0,G32/((G32+E32)/2))</f>
        <v>0.5</v>
      </c>
      <c r="H33" s="263">
        <f>IF(H32=0,0,H32/((H32+G32)/2))</f>
        <v>1</v>
      </c>
      <c r="I33" s="263">
        <f t="shared" ref="I33:R33" si="8">IF(I32=0,0,I32/((I32+H32)/2))</f>
        <v>1</v>
      </c>
      <c r="J33" s="263">
        <f t="shared" si="8"/>
        <v>0.96320067664025688</v>
      </c>
      <c r="K33" s="263">
        <f t="shared" si="8"/>
        <v>0</v>
      </c>
      <c r="L33" s="263">
        <f t="shared" si="8"/>
        <v>0</v>
      </c>
      <c r="M33" s="263">
        <f t="shared" si="8"/>
        <v>0</v>
      </c>
      <c r="N33" s="263">
        <f t="shared" si="8"/>
        <v>0</v>
      </c>
      <c r="O33" s="263">
        <f t="shared" si="8"/>
        <v>0</v>
      </c>
      <c r="P33" s="263">
        <f t="shared" si="8"/>
        <v>0</v>
      </c>
      <c r="Q33" s="263">
        <f t="shared" si="8"/>
        <v>0</v>
      </c>
      <c r="R33" s="264">
        <f t="shared" si="8"/>
        <v>0</v>
      </c>
      <c r="S33" s="61"/>
      <c r="T33" s="265">
        <f>IF(T32=0,0,T32/((T32+$E32)/2))</f>
        <v>0.47289915388003811</v>
      </c>
    </row>
    <row r="34" spans="1:22" hidden="1" outlineLevel="1" x14ac:dyDescent="0.2">
      <c r="A34" s="254"/>
      <c r="B34" s="266"/>
      <c r="C34" s="267" t="s">
        <v>89</v>
      </c>
      <c r="D34" s="61"/>
      <c r="E34" s="268">
        <f>'[6]Suivi Rotation de Stock Fer Nu'!$E34</f>
        <v>131.92082159197997</v>
      </c>
      <c r="F34" s="61"/>
      <c r="G34" s="269">
        <f>'[6]Suivi Rotation de Stock Fer Nu'!G34</f>
        <v>164.85575905516001</v>
      </c>
      <c r="H34" s="270">
        <f>'[6]Suivi Rotation de Stock Fer Nu'!H34</f>
        <v>164.85575905516001</v>
      </c>
      <c r="I34" s="270">
        <f>'[6]Suivi Rotation de Stock Fer Nu'!I34</f>
        <v>164.85575905516001</v>
      </c>
      <c r="J34" s="270">
        <f>'[6]Suivi Rotation de Stock Fer Nu'!J34</f>
        <v>107.77555607313998</v>
      </c>
      <c r="K34" s="270">
        <f>'[6]Suivi Rotation de Stock Fer Nu'!K34</f>
        <v>0</v>
      </c>
      <c r="L34" s="270">
        <f>'[6]Suivi Rotation de Stock Fer Nu'!L34</f>
        <v>0</v>
      </c>
      <c r="M34" s="270">
        <f>'[6]Suivi Rotation de Stock Fer Nu'!M34</f>
        <v>0</v>
      </c>
      <c r="N34" s="270">
        <f>'[6]Suivi Rotation de Stock Fer Nu'!N34</f>
        <v>0</v>
      </c>
      <c r="O34" s="270">
        <f>'[6]Suivi Rotation de Stock Fer Nu'!O34</f>
        <v>0</v>
      </c>
      <c r="P34" s="270">
        <f>'[6]Suivi Rotation de Stock Fer Nu'!P34</f>
        <v>0</v>
      </c>
      <c r="Q34" s="270">
        <f>'[6]Suivi Rotation de Stock Fer Nu'!Q34</f>
        <v>0</v>
      </c>
      <c r="R34" s="271">
        <f>'[6]Suivi Rotation de Stock Fer Nu'!R34</f>
        <v>0</v>
      </c>
      <c r="S34" s="61"/>
      <c r="T34" s="260">
        <f>INDEX(G34:R34,MATCH(0,G34:R34,0)-1)</f>
        <v>107.77555607313998</v>
      </c>
      <c r="V34" s="196"/>
    </row>
    <row r="35" spans="1:22" hidden="1" outlineLevel="1" x14ac:dyDescent="0.2">
      <c r="A35" s="254"/>
      <c r="B35" s="272"/>
      <c r="C35" s="273" t="s">
        <v>86</v>
      </c>
      <c r="D35" s="61"/>
      <c r="E35" s="261"/>
      <c r="F35" s="61"/>
      <c r="G35" s="262">
        <f>IF(G34=0,0,G34/((G34+E34)/2))</f>
        <v>1.1109755270829096</v>
      </c>
      <c r="H35" s="263">
        <f>IF(H34=0,0,H34/((H34+G34)/2))</f>
        <v>1</v>
      </c>
      <c r="I35" s="263">
        <f t="shared" ref="I35:R35" si="9">IF(I34=0,0,I34/((I34+H34)/2))</f>
        <v>1</v>
      </c>
      <c r="J35" s="263">
        <f t="shared" si="9"/>
        <v>0.79063225750439503</v>
      </c>
      <c r="K35" s="263">
        <f t="shared" si="9"/>
        <v>0</v>
      </c>
      <c r="L35" s="263">
        <f t="shared" si="9"/>
        <v>0</v>
      </c>
      <c r="M35" s="263">
        <f t="shared" si="9"/>
        <v>0</v>
      </c>
      <c r="N35" s="263">
        <f t="shared" si="9"/>
        <v>0</v>
      </c>
      <c r="O35" s="263">
        <f t="shared" si="9"/>
        <v>0</v>
      </c>
      <c r="P35" s="263">
        <f t="shared" si="9"/>
        <v>0</v>
      </c>
      <c r="Q35" s="263">
        <f t="shared" si="9"/>
        <v>0</v>
      </c>
      <c r="R35" s="264">
        <f t="shared" si="9"/>
        <v>0</v>
      </c>
      <c r="S35" s="61"/>
      <c r="T35" s="265">
        <f>IF(T34=0,0,T34/((T34+$E34)/2))</f>
        <v>0.89926729075324885</v>
      </c>
      <c r="V35" s="219"/>
    </row>
    <row r="36" spans="1:22" hidden="1" outlineLevel="1" x14ac:dyDescent="0.2">
      <c r="A36" s="254"/>
      <c r="B36" s="266"/>
      <c r="C36" s="267" t="s">
        <v>89</v>
      </c>
      <c r="D36" s="61"/>
      <c r="E36" s="268">
        <f>'[6]Suivi Rotation de Stock Fer Nu'!$E36</f>
        <v>495.49140005904002</v>
      </c>
      <c r="F36" s="61"/>
      <c r="G36" s="269">
        <f>'[6]Suivi Rotation de Stock Fer Nu'!G36</f>
        <v>247.74570002952001</v>
      </c>
      <c r="H36" s="270">
        <f>'[6]Suivi Rotation de Stock Fer Nu'!H36</f>
        <v>241.28319480804001</v>
      </c>
      <c r="I36" s="270">
        <f>'[6]Suivi Rotation de Stock Fer Nu'!I36</f>
        <v>118.57726163052001</v>
      </c>
      <c r="J36" s="270">
        <f>'[6]Suivi Rotation de Stock Fer Nu'!J36</f>
        <v>118.57726163052001</v>
      </c>
      <c r="K36" s="270">
        <f>'[6]Suivi Rotation de Stock Fer Nu'!K36</f>
        <v>0</v>
      </c>
      <c r="L36" s="270">
        <f>'[6]Suivi Rotation de Stock Fer Nu'!L36</f>
        <v>0</v>
      </c>
      <c r="M36" s="270">
        <f>'[6]Suivi Rotation de Stock Fer Nu'!M36</f>
        <v>0</v>
      </c>
      <c r="N36" s="270">
        <f>'[6]Suivi Rotation de Stock Fer Nu'!N36</f>
        <v>0</v>
      </c>
      <c r="O36" s="270">
        <f>'[6]Suivi Rotation de Stock Fer Nu'!O36</f>
        <v>0</v>
      </c>
      <c r="P36" s="270">
        <f>'[6]Suivi Rotation de Stock Fer Nu'!P36</f>
        <v>0</v>
      </c>
      <c r="Q36" s="270">
        <f>'[6]Suivi Rotation de Stock Fer Nu'!Q36</f>
        <v>0</v>
      </c>
      <c r="R36" s="271">
        <f>'[6]Suivi Rotation de Stock Fer Nu'!R36</f>
        <v>0</v>
      </c>
      <c r="S36" s="61"/>
      <c r="T36" s="260">
        <f>INDEX(G36:R36,MATCH(0,G36:R36,0)-1)</f>
        <v>118.57726163052001</v>
      </c>
    </row>
    <row r="37" spans="1:22" hidden="1" outlineLevel="1" x14ac:dyDescent="0.2">
      <c r="A37" s="254"/>
      <c r="B37" s="272"/>
      <c r="C37" s="273" t="s">
        <v>86</v>
      </c>
      <c r="D37" s="61"/>
      <c r="E37" s="261"/>
      <c r="F37" s="61"/>
      <c r="G37" s="262">
        <f>IF(G36=0,0,G36/((G36+E36)/2))</f>
        <v>0.66666666666666663</v>
      </c>
      <c r="H37" s="263">
        <f>IF(H36=0,0,H36/((H36+G36)/2))</f>
        <v>0.98678502376914423</v>
      </c>
      <c r="I37" s="263">
        <f t="shared" ref="I37:R37" si="10">IF(I36=0,0,I36/((I36+H36)/2))</f>
        <v>0.65901801383817804</v>
      </c>
      <c r="J37" s="263">
        <f t="shared" si="10"/>
        <v>1</v>
      </c>
      <c r="K37" s="263">
        <f t="shared" si="10"/>
        <v>0</v>
      </c>
      <c r="L37" s="263">
        <f t="shared" si="10"/>
        <v>0</v>
      </c>
      <c r="M37" s="263">
        <f t="shared" si="10"/>
        <v>0</v>
      </c>
      <c r="N37" s="263">
        <f t="shared" si="10"/>
        <v>0</v>
      </c>
      <c r="O37" s="263">
        <f t="shared" si="10"/>
        <v>0</v>
      </c>
      <c r="P37" s="263">
        <f t="shared" si="10"/>
        <v>0</v>
      </c>
      <c r="Q37" s="263">
        <f t="shared" si="10"/>
        <v>0</v>
      </c>
      <c r="R37" s="264">
        <f t="shared" si="10"/>
        <v>0</v>
      </c>
      <c r="S37" s="61"/>
      <c r="T37" s="265">
        <f>IF(T36=0,0,T36/((T36+$E36)/2))</f>
        <v>0.38620196413952901</v>
      </c>
    </row>
    <row r="38" spans="1:22" hidden="1" outlineLevel="1" x14ac:dyDescent="0.2">
      <c r="A38" s="254"/>
      <c r="B38" s="266"/>
      <c r="C38" s="267" t="s">
        <v>89</v>
      </c>
      <c r="D38" s="61"/>
      <c r="E38" s="268">
        <f>'[6]Suivi Rotation de Stock Fer Nu'!$E38</f>
        <v>285.50444297759998</v>
      </c>
      <c r="F38" s="61"/>
      <c r="G38" s="269">
        <f>'[6]Suivi Rotation de Stock Fer Nu'!G38</f>
        <v>142.75222148879999</v>
      </c>
      <c r="H38" s="270">
        <f>'[6]Suivi Rotation de Stock Fer Nu'!H38</f>
        <v>142.75222148879999</v>
      </c>
      <c r="I38" s="270">
        <f>'[6]Suivi Rotation de Stock Fer Nu'!I38</f>
        <v>142.75222148879999</v>
      </c>
      <c r="J38" s="270">
        <f>'[6]Suivi Rotation de Stock Fer Nu'!J38</f>
        <v>135.54251333279998</v>
      </c>
      <c r="K38" s="270">
        <f>'[6]Suivi Rotation de Stock Fer Nu'!K38</f>
        <v>0</v>
      </c>
      <c r="L38" s="270">
        <f>'[6]Suivi Rotation de Stock Fer Nu'!L38</f>
        <v>0</v>
      </c>
      <c r="M38" s="270">
        <f>'[6]Suivi Rotation de Stock Fer Nu'!M38</f>
        <v>0</v>
      </c>
      <c r="N38" s="270">
        <f>'[6]Suivi Rotation de Stock Fer Nu'!N38</f>
        <v>0</v>
      </c>
      <c r="O38" s="270">
        <f>'[6]Suivi Rotation de Stock Fer Nu'!O38</f>
        <v>0</v>
      </c>
      <c r="P38" s="270">
        <f>'[6]Suivi Rotation de Stock Fer Nu'!P38</f>
        <v>0</v>
      </c>
      <c r="Q38" s="270">
        <f>'[6]Suivi Rotation de Stock Fer Nu'!Q38</f>
        <v>0</v>
      </c>
      <c r="R38" s="271">
        <f>'[6]Suivi Rotation de Stock Fer Nu'!R38</f>
        <v>0</v>
      </c>
      <c r="S38" s="61"/>
      <c r="T38" s="260">
        <f>INDEX(G38:R38,MATCH(0,G38:R38,0)-1)</f>
        <v>135.54251333279998</v>
      </c>
    </row>
    <row r="39" spans="1:22" hidden="1" outlineLevel="1" x14ac:dyDescent="0.2">
      <c r="A39" s="254"/>
      <c r="B39" s="272"/>
      <c r="C39" s="273" t="s">
        <v>86</v>
      </c>
      <c r="D39" s="61"/>
      <c r="E39" s="261"/>
      <c r="F39" s="61"/>
      <c r="G39" s="262">
        <f>IF(G38=0,0,G38/((G38+E38)/2))</f>
        <v>0.66666666666666663</v>
      </c>
      <c r="H39" s="263">
        <f>IF(H38=0,0,H38/((H38+G38)/2))</f>
        <v>1</v>
      </c>
      <c r="I39" s="263">
        <f t="shared" ref="I39:R39" si="11">IF(I38=0,0,I38/((I38+H38)/2))</f>
        <v>1</v>
      </c>
      <c r="J39" s="263">
        <f t="shared" si="11"/>
        <v>0.97409326424870479</v>
      </c>
      <c r="K39" s="263">
        <f t="shared" si="11"/>
        <v>0</v>
      </c>
      <c r="L39" s="263">
        <f t="shared" si="11"/>
        <v>0</v>
      </c>
      <c r="M39" s="263">
        <f t="shared" si="11"/>
        <v>0</v>
      </c>
      <c r="N39" s="263">
        <f t="shared" si="11"/>
        <v>0</v>
      </c>
      <c r="O39" s="263">
        <f t="shared" si="11"/>
        <v>0</v>
      </c>
      <c r="P39" s="263">
        <f t="shared" si="11"/>
        <v>0</v>
      </c>
      <c r="Q39" s="263">
        <f t="shared" si="11"/>
        <v>0</v>
      </c>
      <c r="R39" s="264">
        <f t="shared" si="11"/>
        <v>0</v>
      </c>
      <c r="S39" s="61"/>
      <c r="T39" s="265">
        <f>IF(T38=0,0,T38/((T38+$E38)/2))</f>
        <v>0.64383561643835607</v>
      </c>
    </row>
    <row r="40" spans="1:22" hidden="1" outlineLevel="1" x14ac:dyDescent="0.2">
      <c r="A40" s="254"/>
      <c r="B40" s="266"/>
      <c r="C40" s="267" t="s">
        <v>89</v>
      </c>
      <c r="D40" s="61"/>
      <c r="E40" s="268">
        <f>'[6]Suivi Rotation de Stock Fer Nu'!$E40</f>
        <v>202.44414446207998</v>
      </c>
      <c r="F40" s="61"/>
      <c r="G40" s="269">
        <f>'[6]Suivi Rotation de Stock Fer Nu'!G40</f>
        <v>90.661477530239992</v>
      </c>
      <c r="H40" s="270">
        <f>'[6]Suivi Rotation de Stock Fer Nu'!H40</f>
        <v>50.049851025023997</v>
      </c>
      <c r="I40" s="270">
        <f>'[6]Suivi Rotation de Stock Fer Nu'!I40</f>
        <v>49.902493889663994</v>
      </c>
      <c r="J40" s="270">
        <f>'[6]Suivi Rotation de Stock Fer Nu'!J40</f>
        <v>49.902493889663994</v>
      </c>
      <c r="K40" s="270">
        <f>'[6]Suivi Rotation de Stock Fer Nu'!K40</f>
        <v>0</v>
      </c>
      <c r="L40" s="270">
        <f>'[6]Suivi Rotation de Stock Fer Nu'!L40</f>
        <v>0</v>
      </c>
      <c r="M40" s="270">
        <f>'[6]Suivi Rotation de Stock Fer Nu'!M40</f>
        <v>0</v>
      </c>
      <c r="N40" s="270">
        <f>'[6]Suivi Rotation de Stock Fer Nu'!N40</f>
        <v>0</v>
      </c>
      <c r="O40" s="270">
        <f>'[6]Suivi Rotation de Stock Fer Nu'!O40</f>
        <v>0</v>
      </c>
      <c r="P40" s="270">
        <f>'[6]Suivi Rotation de Stock Fer Nu'!P40</f>
        <v>0</v>
      </c>
      <c r="Q40" s="270">
        <f>'[6]Suivi Rotation de Stock Fer Nu'!Q40</f>
        <v>0</v>
      </c>
      <c r="R40" s="271">
        <f>'[6]Suivi Rotation de Stock Fer Nu'!R40</f>
        <v>0</v>
      </c>
      <c r="S40" s="61"/>
      <c r="T40" s="260">
        <f>INDEX(G40:R40,MATCH(0,G40:R40,0)-1)</f>
        <v>49.902493889663994</v>
      </c>
    </row>
    <row r="41" spans="1:22" hidden="1" outlineLevel="1" x14ac:dyDescent="0.2">
      <c r="A41" s="254"/>
      <c r="B41" s="272"/>
      <c r="C41" s="273" t="s">
        <v>86</v>
      </c>
      <c r="D41" s="61"/>
      <c r="E41" s="261"/>
      <c r="F41" s="61"/>
      <c r="G41" s="262">
        <f>IF(G40=0,0,G40/((G40+E40)/2))</f>
        <v>0.61862667057689891</v>
      </c>
      <c r="H41" s="263">
        <f>IF(H40=0,0,H40/((H40+G40)/2))</f>
        <v>0.71138339093098746</v>
      </c>
      <c r="I41" s="263">
        <f t="shared" ref="I41:R41" si="12">IF(I40=0,0,I40/((I40+H40)/2))</f>
        <v>0.99852572607990564</v>
      </c>
      <c r="J41" s="263">
        <f t="shared" si="12"/>
        <v>1</v>
      </c>
      <c r="K41" s="263">
        <f t="shared" si="12"/>
        <v>0</v>
      </c>
      <c r="L41" s="263">
        <f t="shared" si="12"/>
        <v>0</v>
      </c>
      <c r="M41" s="263">
        <f t="shared" si="12"/>
        <v>0</v>
      </c>
      <c r="N41" s="263">
        <f t="shared" si="12"/>
        <v>0</v>
      </c>
      <c r="O41" s="263">
        <f t="shared" si="12"/>
        <v>0</v>
      </c>
      <c r="P41" s="263">
        <f t="shared" si="12"/>
        <v>0</v>
      </c>
      <c r="Q41" s="263">
        <f t="shared" si="12"/>
        <v>0</v>
      </c>
      <c r="R41" s="264">
        <f t="shared" si="12"/>
        <v>0</v>
      </c>
      <c r="S41" s="61"/>
      <c r="T41" s="265">
        <f>IF(T40=0,0,T40/((T40+$E40)/2))</f>
        <v>0.39550749885643655</v>
      </c>
    </row>
    <row r="42" spans="1:22" hidden="1" outlineLevel="1" x14ac:dyDescent="0.2">
      <c r="A42" s="254"/>
      <c r="B42" s="266"/>
      <c r="C42" s="267" t="s">
        <v>89</v>
      </c>
      <c r="D42" s="61"/>
      <c r="E42" s="268">
        <f>'[6]Suivi Rotation de Stock Fer Nu'!$E42</f>
        <v>106.22110084410001</v>
      </c>
      <c r="F42" s="61"/>
      <c r="G42" s="269">
        <f>'[6]Suivi Rotation de Stock Fer Nu'!G42</f>
        <v>53.110550422050004</v>
      </c>
      <c r="H42" s="270">
        <f>'[6]Suivi Rotation de Stock Fer Nu'!H42</f>
        <v>20.790783090000001</v>
      </c>
      <c r="I42" s="270">
        <f>'[6]Suivi Rotation de Stock Fer Nu'!I42</f>
        <v>20.790783090000001</v>
      </c>
      <c r="J42" s="270">
        <f>'[6]Suivi Rotation de Stock Fer Nu'!J42</f>
        <v>20.790783090000001</v>
      </c>
      <c r="K42" s="270">
        <f>'[6]Suivi Rotation de Stock Fer Nu'!K42</f>
        <v>0</v>
      </c>
      <c r="L42" s="270">
        <f>'[6]Suivi Rotation de Stock Fer Nu'!L42</f>
        <v>0</v>
      </c>
      <c r="M42" s="270">
        <f>'[6]Suivi Rotation de Stock Fer Nu'!M42</f>
        <v>0</v>
      </c>
      <c r="N42" s="270">
        <f>'[6]Suivi Rotation de Stock Fer Nu'!N42</f>
        <v>0</v>
      </c>
      <c r="O42" s="270">
        <f>'[6]Suivi Rotation de Stock Fer Nu'!O42</f>
        <v>0</v>
      </c>
      <c r="P42" s="270">
        <f>'[6]Suivi Rotation de Stock Fer Nu'!P42</f>
        <v>0</v>
      </c>
      <c r="Q42" s="270">
        <f>'[6]Suivi Rotation de Stock Fer Nu'!Q42</f>
        <v>0</v>
      </c>
      <c r="R42" s="271">
        <f>'[6]Suivi Rotation de Stock Fer Nu'!R42</f>
        <v>0</v>
      </c>
      <c r="S42" s="61"/>
      <c r="T42" s="260">
        <f>INDEX(G42:R42,MATCH(0,G42:R42,0)-1)</f>
        <v>20.790783090000001</v>
      </c>
    </row>
    <row r="43" spans="1:22" hidden="1" outlineLevel="1" x14ac:dyDescent="0.2">
      <c r="A43" s="254"/>
      <c r="B43" s="272"/>
      <c r="C43" s="273" t="s">
        <v>86</v>
      </c>
      <c r="D43" s="61"/>
      <c r="E43" s="261"/>
      <c r="F43" s="61"/>
      <c r="G43" s="262">
        <f>IF(G42=0,0,G42/((G42+E42)/2))</f>
        <v>0.66666666666666674</v>
      </c>
      <c r="H43" s="263">
        <f>IF(H42=0,0,H42/((H42+G42)/2))</f>
        <v>0.56266327282470363</v>
      </c>
      <c r="I43" s="263">
        <f t="shared" ref="I43:R43" si="13">IF(I42=0,0,I42/((I42+H42)/2))</f>
        <v>1</v>
      </c>
      <c r="J43" s="263">
        <f t="shared" si="13"/>
        <v>1</v>
      </c>
      <c r="K43" s="263">
        <f t="shared" si="13"/>
        <v>0</v>
      </c>
      <c r="L43" s="263">
        <f t="shared" si="13"/>
        <v>0</v>
      </c>
      <c r="M43" s="263">
        <f t="shared" si="13"/>
        <v>0</v>
      </c>
      <c r="N43" s="263">
        <f t="shared" si="13"/>
        <v>0</v>
      </c>
      <c r="O43" s="263">
        <f t="shared" si="13"/>
        <v>0</v>
      </c>
      <c r="P43" s="263">
        <f t="shared" si="13"/>
        <v>0</v>
      </c>
      <c r="Q43" s="263">
        <f t="shared" si="13"/>
        <v>0</v>
      </c>
      <c r="R43" s="264">
        <f t="shared" si="13"/>
        <v>0</v>
      </c>
      <c r="S43" s="61"/>
      <c r="T43" s="265">
        <f>IF(T42=0,0,T42/((T42+$E42)/2))</f>
        <v>0.32738327227375474</v>
      </c>
    </row>
    <row r="44" spans="1:22" hidden="1" outlineLevel="1" x14ac:dyDescent="0.2">
      <c r="A44" s="254"/>
      <c r="B44" s="266"/>
      <c r="C44" s="267" t="s">
        <v>89</v>
      </c>
      <c r="D44" s="61"/>
      <c r="E44" s="268">
        <f>'[6]Suivi Rotation de Stock Fer Nu'!$E44</f>
        <v>94.956352170750009</v>
      </c>
      <c r="F44" s="61"/>
      <c r="G44" s="269">
        <f>'[6]Suivi Rotation de Stock Fer Nu'!G44</f>
        <v>47.478176085375004</v>
      </c>
      <c r="H44" s="270">
        <f>'[6]Suivi Rotation de Stock Fer Nu'!H44</f>
        <v>47.478176085375004</v>
      </c>
      <c r="I44" s="270">
        <f>'[6]Suivi Rotation de Stock Fer Nu'!I44</f>
        <v>47.478176085375004</v>
      </c>
      <c r="J44" s="270">
        <f>'[6]Suivi Rotation de Stock Fer Nu'!J44</f>
        <v>47.478176085375004</v>
      </c>
      <c r="K44" s="270">
        <f>'[6]Suivi Rotation de Stock Fer Nu'!K44</f>
        <v>0</v>
      </c>
      <c r="L44" s="270">
        <f>'[6]Suivi Rotation de Stock Fer Nu'!L44</f>
        <v>0</v>
      </c>
      <c r="M44" s="270">
        <f>'[6]Suivi Rotation de Stock Fer Nu'!M44</f>
        <v>0</v>
      </c>
      <c r="N44" s="270">
        <f>'[6]Suivi Rotation de Stock Fer Nu'!N44</f>
        <v>0</v>
      </c>
      <c r="O44" s="270">
        <f>'[6]Suivi Rotation de Stock Fer Nu'!O44</f>
        <v>0</v>
      </c>
      <c r="P44" s="270">
        <f>'[6]Suivi Rotation de Stock Fer Nu'!P44</f>
        <v>0</v>
      </c>
      <c r="Q44" s="270">
        <f>'[6]Suivi Rotation de Stock Fer Nu'!Q44</f>
        <v>0</v>
      </c>
      <c r="R44" s="271">
        <f>'[6]Suivi Rotation de Stock Fer Nu'!R44</f>
        <v>0</v>
      </c>
      <c r="S44" s="61"/>
      <c r="T44" s="260">
        <f>INDEX(G44:R44,MATCH(0,G44:R44,0)-1)</f>
        <v>47.478176085375004</v>
      </c>
    </row>
    <row r="45" spans="1:22" hidden="1" outlineLevel="1" x14ac:dyDescent="0.2">
      <c r="A45" s="254"/>
      <c r="B45" s="272"/>
      <c r="C45" s="273" t="s">
        <v>86</v>
      </c>
      <c r="D45" s="61"/>
      <c r="E45" s="261"/>
      <c r="F45" s="61"/>
      <c r="G45" s="262">
        <f>IF(G44=0,0,G44/((G44+E44)/2))</f>
        <v>0.66666666666666663</v>
      </c>
      <c r="H45" s="263">
        <f>IF(H44=0,0,H44/((H44+G44)/2))</f>
        <v>1</v>
      </c>
      <c r="I45" s="263">
        <f t="shared" ref="I45:R45" si="14">IF(I44=0,0,I44/((I44+H44)/2))</f>
        <v>1</v>
      </c>
      <c r="J45" s="263">
        <f t="shared" si="14"/>
        <v>1</v>
      </c>
      <c r="K45" s="263">
        <f t="shared" si="14"/>
        <v>0</v>
      </c>
      <c r="L45" s="263">
        <f t="shared" si="14"/>
        <v>0</v>
      </c>
      <c r="M45" s="263">
        <f t="shared" si="14"/>
        <v>0</v>
      </c>
      <c r="N45" s="263">
        <f t="shared" si="14"/>
        <v>0</v>
      </c>
      <c r="O45" s="263">
        <f t="shared" si="14"/>
        <v>0</v>
      </c>
      <c r="P45" s="263">
        <f t="shared" si="14"/>
        <v>0</v>
      </c>
      <c r="Q45" s="263">
        <f t="shared" si="14"/>
        <v>0</v>
      </c>
      <c r="R45" s="264">
        <f t="shared" si="14"/>
        <v>0</v>
      </c>
      <c r="S45" s="61"/>
      <c r="T45" s="265">
        <f>IF(T44=0,0,T44/((T44+$E44)/2))</f>
        <v>0.66666666666666663</v>
      </c>
    </row>
    <row r="46" spans="1:22" hidden="1" outlineLevel="1" x14ac:dyDescent="0.2">
      <c r="A46" s="254"/>
      <c r="B46" s="266"/>
      <c r="C46" s="267" t="s">
        <v>89</v>
      </c>
      <c r="D46" s="61"/>
      <c r="E46" s="268">
        <f>'[6]Suivi Rotation de Stock Fer Nu'!$E46</f>
        <v>109.12862869271999</v>
      </c>
      <c r="F46" s="61"/>
      <c r="G46" s="269">
        <f>'[6]Suivi Rotation de Stock Fer Nu'!G46</f>
        <v>49.111849782996003</v>
      </c>
      <c r="H46" s="270">
        <f>'[6]Suivi Rotation de Stock Fer Nu'!H46</f>
        <v>46.116861972636002</v>
      </c>
      <c r="I46" s="270">
        <f>'[6]Suivi Rotation de Stock Fer Nu'!I46</f>
        <v>22.910665031436</v>
      </c>
      <c r="J46" s="270">
        <f>'[6]Suivi Rotation de Stock Fer Nu'!J46</f>
        <v>16.982175915432002</v>
      </c>
      <c r="K46" s="270">
        <f>'[6]Suivi Rotation de Stock Fer Nu'!K46</f>
        <v>0</v>
      </c>
      <c r="L46" s="270">
        <f>'[6]Suivi Rotation de Stock Fer Nu'!L46</f>
        <v>0</v>
      </c>
      <c r="M46" s="270">
        <f>'[6]Suivi Rotation de Stock Fer Nu'!M46</f>
        <v>0</v>
      </c>
      <c r="N46" s="270">
        <f>'[6]Suivi Rotation de Stock Fer Nu'!N46</f>
        <v>0</v>
      </c>
      <c r="O46" s="270">
        <f>'[6]Suivi Rotation de Stock Fer Nu'!O46</f>
        <v>0</v>
      </c>
      <c r="P46" s="270">
        <f>'[6]Suivi Rotation de Stock Fer Nu'!P46</f>
        <v>0</v>
      </c>
      <c r="Q46" s="270">
        <f>'[6]Suivi Rotation de Stock Fer Nu'!Q46</f>
        <v>0</v>
      </c>
      <c r="R46" s="271">
        <f>'[6]Suivi Rotation de Stock Fer Nu'!R46</f>
        <v>0</v>
      </c>
      <c r="S46" s="61"/>
      <c r="T46" s="260">
        <f>INDEX(G46:R46,MATCH(0,G46:R46,0)-1)</f>
        <v>16.982175915432002</v>
      </c>
    </row>
    <row r="47" spans="1:22" hidden="1" outlineLevel="1" x14ac:dyDescent="0.2">
      <c r="A47" s="254"/>
      <c r="B47" s="272"/>
      <c r="C47" s="273" t="s">
        <v>86</v>
      </c>
      <c r="D47" s="61"/>
      <c r="E47" s="261"/>
      <c r="F47" s="61"/>
      <c r="G47" s="262">
        <f>IF(G46=0,0,G46/((G46+E46)/2))</f>
        <v>0.62072423258670628</v>
      </c>
      <c r="H47" s="263">
        <f>IF(H46=0,0,H46/((H46+G46)/2))</f>
        <v>0.96854952928434557</v>
      </c>
      <c r="I47" s="263">
        <f t="shared" ref="I47:R47" si="15">IF(I46=0,0,I46/((I46+H46)/2))</f>
        <v>0.66381242457330036</v>
      </c>
      <c r="J47" s="263">
        <f t="shared" si="15"/>
        <v>0.85138964848605381</v>
      </c>
      <c r="K47" s="263">
        <f t="shared" si="15"/>
        <v>0</v>
      </c>
      <c r="L47" s="263">
        <f t="shared" si="15"/>
        <v>0</v>
      </c>
      <c r="M47" s="263">
        <f t="shared" si="15"/>
        <v>0</v>
      </c>
      <c r="N47" s="263">
        <f t="shared" si="15"/>
        <v>0</v>
      </c>
      <c r="O47" s="263">
        <f t="shared" si="15"/>
        <v>0</v>
      </c>
      <c r="P47" s="263">
        <f t="shared" si="15"/>
        <v>0</v>
      </c>
      <c r="Q47" s="263">
        <f t="shared" si="15"/>
        <v>0</v>
      </c>
      <c r="R47" s="264">
        <f t="shared" si="15"/>
        <v>0</v>
      </c>
      <c r="S47" s="61"/>
      <c r="T47" s="265">
        <f>IF(T46=0,0,T46/((T46+$E46)/2))</f>
        <v>0.26932150608662836</v>
      </c>
    </row>
    <row r="48" spans="1:22" hidden="1" outlineLevel="1" x14ac:dyDescent="0.2">
      <c r="A48" s="254"/>
      <c r="B48" s="266"/>
      <c r="C48" s="267" t="s">
        <v>89</v>
      </c>
      <c r="D48" s="61"/>
      <c r="E48" s="268">
        <f>'[6]Suivi Rotation de Stock Fer Nu'!$E48</f>
        <v>156.86444154023999</v>
      </c>
      <c r="F48" s="61"/>
      <c r="G48" s="269">
        <f>'[6]Suivi Rotation de Stock Fer Nu'!G48</f>
        <v>20.575220218559998</v>
      </c>
      <c r="H48" s="270">
        <f>'[6]Suivi Rotation de Stock Fer Nu'!H48</f>
        <v>3.8902727303999997E-2</v>
      </c>
      <c r="I48" s="270">
        <f>'[6]Suivi Rotation de Stock Fer Nu'!I48</f>
        <v>0</v>
      </c>
      <c r="J48" s="270">
        <f>'[6]Suivi Rotation de Stock Fer Nu'!J48</f>
        <v>0</v>
      </c>
      <c r="K48" s="270">
        <f>'[6]Suivi Rotation de Stock Fer Nu'!K48</f>
        <v>0</v>
      </c>
      <c r="L48" s="270">
        <f>'[6]Suivi Rotation de Stock Fer Nu'!L48</f>
        <v>0</v>
      </c>
      <c r="M48" s="270">
        <f>'[6]Suivi Rotation de Stock Fer Nu'!M48</f>
        <v>0</v>
      </c>
      <c r="N48" s="270">
        <f>'[6]Suivi Rotation de Stock Fer Nu'!N48</f>
        <v>0</v>
      </c>
      <c r="O48" s="270">
        <f>'[6]Suivi Rotation de Stock Fer Nu'!O48</f>
        <v>0</v>
      </c>
      <c r="P48" s="270">
        <f>'[6]Suivi Rotation de Stock Fer Nu'!P48</f>
        <v>0</v>
      </c>
      <c r="Q48" s="270">
        <f>'[6]Suivi Rotation de Stock Fer Nu'!Q48</f>
        <v>0</v>
      </c>
      <c r="R48" s="271">
        <f>'[6]Suivi Rotation de Stock Fer Nu'!R48</f>
        <v>0</v>
      </c>
      <c r="S48" s="61"/>
      <c r="T48" s="260">
        <f>INDEX(G48:R48,MATCH(0,G48:R48,0)-1)</f>
        <v>3.8902727303999997E-2</v>
      </c>
    </row>
    <row r="49" spans="1:20" hidden="1" outlineLevel="1" x14ac:dyDescent="0.2">
      <c r="A49" s="254"/>
      <c r="B49" s="272"/>
      <c r="C49" s="273" t="s">
        <v>86</v>
      </c>
      <c r="D49" s="61"/>
      <c r="E49" s="261"/>
      <c r="F49" s="61"/>
      <c r="G49" s="262">
        <f>IF(G48=0,0,G48/((G48+E48)/2))</f>
        <v>0.23191230207064556</v>
      </c>
      <c r="H49" s="263">
        <f>IF(H48=0,0,H48/((H48+G48)/2))</f>
        <v>3.7743761794925565E-3</v>
      </c>
      <c r="I49" s="263">
        <f t="shared" ref="I49:R49" si="16">IF(I48=0,0,I48/((I48+H48)/2))</f>
        <v>0</v>
      </c>
      <c r="J49" s="263">
        <f t="shared" si="16"/>
        <v>0</v>
      </c>
      <c r="K49" s="263">
        <f t="shared" si="16"/>
        <v>0</v>
      </c>
      <c r="L49" s="263">
        <f t="shared" si="16"/>
        <v>0</v>
      </c>
      <c r="M49" s="263">
        <f t="shared" si="16"/>
        <v>0</v>
      </c>
      <c r="N49" s="263">
        <f t="shared" si="16"/>
        <v>0</v>
      </c>
      <c r="O49" s="263">
        <f t="shared" si="16"/>
        <v>0</v>
      </c>
      <c r="P49" s="263">
        <f t="shared" si="16"/>
        <v>0</v>
      </c>
      <c r="Q49" s="263">
        <f t="shared" si="16"/>
        <v>0</v>
      </c>
      <c r="R49" s="264">
        <f t="shared" si="16"/>
        <v>0</v>
      </c>
      <c r="S49" s="61"/>
      <c r="T49" s="265">
        <f>IF(T48=0,0,T48/((T48+$E48)/2))</f>
        <v>4.9588142924047497E-4</v>
      </c>
    </row>
    <row r="50" spans="1:20" hidden="1" outlineLevel="1" x14ac:dyDescent="0.2">
      <c r="A50" s="254"/>
      <c r="B50" s="266"/>
      <c r="C50" s="267" t="s">
        <v>89</v>
      </c>
      <c r="D50" s="61"/>
      <c r="E50" s="268">
        <f>'[6]Suivi Rotation de Stock Fer Nu'!$E50</f>
        <v>33.728296859099999</v>
      </c>
      <c r="F50" s="61"/>
      <c r="G50" s="269">
        <f>'[6]Suivi Rotation de Stock Fer Nu'!G50</f>
        <v>16.864148429549999</v>
      </c>
      <c r="H50" s="270">
        <f>'[6]Suivi Rotation de Stock Fer Nu'!H50</f>
        <v>16.864148429549999</v>
      </c>
      <c r="I50" s="270">
        <f>'[6]Suivi Rotation de Stock Fer Nu'!I50</f>
        <v>16.864148429549999</v>
      </c>
      <c r="J50" s="270">
        <f>'[6]Suivi Rotation de Stock Fer Nu'!J50</f>
        <v>16.864148429549999</v>
      </c>
      <c r="K50" s="270">
        <f>'[6]Suivi Rotation de Stock Fer Nu'!K50</f>
        <v>0</v>
      </c>
      <c r="L50" s="270">
        <f>'[6]Suivi Rotation de Stock Fer Nu'!L50</f>
        <v>0</v>
      </c>
      <c r="M50" s="270">
        <f>'[6]Suivi Rotation de Stock Fer Nu'!M50</f>
        <v>0</v>
      </c>
      <c r="N50" s="270">
        <f>'[6]Suivi Rotation de Stock Fer Nu'!N50</f>
        <v>0</v>
      </c>
      <c r="O50" s="270">
        <f>'[6]Suivi Rotation de Stock Fer Nu'!O50</f>
        <v>0</v>
      </c>
      <c r="P50" s="270">
        <f>'[6]Suivi Rotation de Stock Fer Nu'!P50</f>
        <v>0</v>
      </c>
      <c r="Q50" s="270">
        <f>'[6]Suivi Rotation de Stock Fer Nu'!Q50</f>
        <v>0</v>
      </c>
      <c r="R50" s="271">
        <f>'[6]Suivi Rotation de Stock Fer Nu'!R50</f>
        <v>0</v>
      </c>
      <c r="S50" s="61"/>
      <c r="T50" s="260">
        <f>INDEX(G50:R50,MATCH(0,G50:R50,0)-1)</f>
        <v>16.864148429549999</v>
      </c>
    </row>
    <row r="51" spans="1:20" hidden="1" outlineLevel="1" x14ac:dyDescent="0.2">
      <c r="A51" s="254"/>
      <c r="B51" s="272"/>
      <c r="C51" s="273" t="s">
        <v>86</v>
      </c>
      <c r="D51" s="61"/>
      <c r="E51" s="261"/>
      <c r="F51" s="61"/>
      <c r="G51" s="262">
        <f>IF(G50=0,0,G50/((G50+E50)/2))</f>
        <v>0.66666666666666663</v>
      </c>
      <c r="H51" s="263">
        <f>IF(H50=0,0,H50/((H50+G50)/2))</f>
        <v>1</v>
      </c>
      <c r="I51" s="263">
        <f t="shared" ref="I51:R51" si="17">IF(I50=0,0,I50/((I50+H50)/2))</f>
        <v>1</v>
      </c>
      <c r="J51" s="263">
        <f t="shared" si="17"/>
        <v>1</v>
      </c>
      <c r="K51" s="263">
        <f t="shared" si="17"/>
        <v>0</v>
      </c>
      <c r="L51" s="263">
        <f t="shared" si="17"/>
        <v>0</v>
      </c>
      <c r="M51" s="263">
        <f t="shared" si="17"/>
        <v>0</v>
      </c>
      <c r="N51" s="263">
        <f t="shared" si="17"/>
        <v>0</v>
      </c>
      <c r="O51" s="263">
        <f t="shared" si="17"/>
        <v>0</v>
      </c>
      <c r="P51" s="263">
        <f t="shared" si="17"/>
        <v>0</v>
      </c>
      <c r="Q51" s="263">
        <f t="shared" si="17"/>
        <v>0</v>
      </c>
      <c r="R51" s="264">
        <f t="shared" si="17"/>
        <v>0</v>
      </c>
      <c r="S51" s="61"/>
      <c r="T51" s="265">
        <f>IF(T50=0,0,T50/((T50+$E50)/2))</f>
        <v>0.66666666666666663</v>
      </c>
    </row>
    <row r="52" spans="1:20" hidden="1" outlineLevel="1" x14ac:dyDescent="0.2">
      <c r="A52" s="254"/>
      <c r="C52" s="255" t="s">
        <v>89</v>
      </c>
      <c r="D52" s="61"/>
      <c r="E52" s="268">
        <f>'[6]Suivi Rotation de Stock Fer Nu'!$E52</f>
        <v>0</v>
      </c>
      <c r="F52" s="61"/>
      <c r="G52" s="274">
        <f>'[6]Suivi Rotation de Stock Fer Nu'!G52</f>
        <v>0</v>
      </c>
      <c r="H52" s="209">
        <f>'[6]Suivi Rotation de Stock Fer Nu'!H52</f>
        <v>0</v>
      </c>
      <c r="I52" s="209">
        <f>'[6]Suivi Rotation de Stock Fer Nu'!I52</f>
        <v>0</v>
      </c>
      <c r="J52" s="209">
        <f>'[6]Suivi Rotation de Stock Fer Nu'!J52</f>
        <v>0</v>
      </c>
      <c r="K52" s="209">
        <f>'[6]Suivi Rotation de Stock Fer Nu'!K52</f>
        <v>0</v>
      </c>
      <c r="L52" s="209">
        <f>'[6]Suivi Rotation de Stock Fer Nu'!L52</f>
        <v>0</v>
      </c>
      <c r="M52" s="209">
        <f>'[6]Suivi Rotation de Stock Fer Nu'!M52</f>
        <v>0</v>
      </c>
      <c r="N52" s="209">
        <f>'[6]Suivi Rotation de Stock Fer Nu'!N52</f>
        <v>0</v>
      </c>
      <c r="O52" s="209">
        <f>'[6]Suivi Rotation de Stock Fer Nu'!O52</f>
        <v>0</v>
      </c>
      <c r="P52" s="209">
        <f>'[6]Suivi Rotation de Stock Fer Nu'!P52</f>
        <v>0</v>
      </c>
      <c r="Q52" s="209">
        <f>'[6]Suivi Rotation de Stock Fer Nu'!Q52</f>
        <v>0</v>
      </c>
      <c r="R52" s="275">
        <f>'[6]Suivi Rotation de Stock Fer Nu'!R52</f>
        <v>0</v>
      </c>
      <c r="S52" s="61"/>
      <c r="T52" s="260">
        <v>0</v>
      </c>
    </row>
    <row r="53" spans="1:20" hidden="1" outlineLevel="1" x14ac:dyDescent="0.2">
      <c r="A53" s="254"/>
      <c r="B53" s="276"/>
      <c r="C53" s="277" t="s">
        <v>86</v>
      </c>
      <c r="D53" s="61"/>
      <c r="E53" s="261"/>
      <c r="F53" s="61"/>
      <c r="G53" s="278">
        <f>IF(G52=0,0,G52/((G52+E52)/2))</f>
        <v>0</v>
      </c>
      <c r="H53" s="216">
        <f>IF(H52=0,0,H52/((H52+G52)/2))</f>
        <v>0</v>
      </c>
      <c r="I53" s="216">
        <f t="shared" ref="I53:R53" si="18">IF(I52=0,0,I52/((I52+H52)/2))</f>
        <v>0</v>
      </c>
      <c r="J53" s="216">
        <f t="shared" si="18"/>
        <v>0</v>
      </c>
      <c r="K53" s="216">
        <f t="shared" si="18"/>
        <v>0</v>
      </c>
      <c r="L53" s="216">
        <f t="shared" si="18"/>
        <v>0</v>
      </c>
      <c r="M53" s="216">
        <f t="shared" si="18"/>
        <v>0</v>
      </c>
      <c r="N53" s="216">
        <f t="shared" si="18"/>
        <v>0</v>
      </c>
      <c r="O53" s="216">
        <f t="shared" si="18"/>
        <v>0</v>
      </c>
      <c r="P53" s="216">
        <f t="shared" si="18"/>
        <v>0</v>
      </c>
      <c r="Q53" s="216">
        <f t="shared" si="18"/>
        <v>0</v>
      </c>
      <c r="R53" s="279">
        <f t="shared" si="18"/>
        <v>0</v>
      </c>
      <c r="S53" s="61"/>
      <c r="T53" s="265">
        <f>IF(T52=0,0,T52/((T52+$E52)/2))</f>
        <v>0</v>
      </c>
    </row>
    <row r="54" spans="1:20" collapsed="1" x14ac:dyDescent="0.2">
      <c r="A54" s="801" t="s">
        <v>63</v>
      </c>
      <c r="B54" s="802"/>
      <c r="C54" s="248" t="s">
        <v>89</v>
      </c>
      <c r="D54" s="192"/>
      <c r="E54" s="244">
        <f>SUM(E56,E58,E60,E62,E64,E66,E68,E70,E72,E74,E76,E78,E80,E82)</f>
        <v>3172.2497629280278</v>
      </c>
      <c r="F54" s="192"/>
      <c r="G54" s="245">
        <f>SUM(G56,G58,G60,G62,G64,G66,G68,G70,G72,G74,G76,G78,G80,G82)</f>
        <v>1083.034275364658</v>
      </c>
      <c r="H54" s="245">
        <f t="shared" ref="H54:R54" si="19">SUM(H56,H58,H60,H62,H64,H66,H68,H70,H72,H74,H76,H78,H80,H82)</f>
        <v>1031.8440244289061</v>
      </c>
      <c r="I54" s="245">
        <f t="shared" si="19"/>
        <v>914.30037008845386</v>
      </c>
      <c r="J54" s="245">
        <f t="shared" si="19"/>
        <v>849.61168047227375</v>
      </c>
      <c r="K54" s="245">
        <f t="shared" si="19"/>
        <v>0</v>
      </c>
      <c r="L54" s="245">
        <f t="shared" si="19"/>
        <v>0</v>
      </c>
      <c r="M54" s="245">
        <f t="shared" si="19"/>
        <v>0</v>
      </c>
      <c r="N54" s="245">
        <f t="shared" si="19"/>
        <v>0</v>
      </c>
      <c r="O54" s="245">
        <f t="shared" si="19"/>
        <v>0</v>
      </c>
      <c r="P54" s="245">
        <f t="shared" si="19"/>
        <v>0</v>
      </c>
      <c r="Q54" s="245">
        <f t="shared" si="19"/>
        <v>0</v>
      </c>
      <c r="R54" s="246">
        <f t="shared" si="19"/>
        <v>0</v>
      </c>
      <c r="S54" s="192"/>
      <c r="T54" s="247">
        <f>INDEX(G54:R54,MATCH(0,G54:R54,0)-1)</f>
        <v>849.61168047227375</v>
      </c>
    </row>
    <row r="55" spans="1:20" x14ac:dyDescent="0.2">
      <c r="A55" s="801"/>
      <c r="B55" s="802"/>
      <c r="C55" s="248" t="s">
        <v>86</v>
      </c>
      <c r="D55" s="192"/>
      <c r="E55" s="280"/>
      <c r="F55" s="192"/>
      <c r="G55" s="250">
        <f>IF(G54=0,0,G54/((G54+E54)/2))</f>
        <v>0.50903030943109273</v>
      </c>
      <c r="H55" s="251">
        <f>IF(H54=0,0,H54/((H54+G54)/2))</f>
        <v>0.97579517888062461</v>
      </c>
      <c r="I55" s="251">
        <f t="shared" ref="I55:R55" si="20">IF(I54=0,0,I54/((I54+H54)/2))</f>
        <v>0.93960178151652363</v>
      </c>
      <c r="J55" s="251">
        <f t="shared" si="20"/>
        <v>0.96332657878514061</v>
      </c>
      <c r="K55" s="251">
        <f t="shared" si="20"/>
        <v>0</v>
      </c>
      <c r="L55" s="251">
        <f t="shared" si="20"/>
        <v>0</v>
      </c>
      <c r="M55" s="251">
        <f t="shared" si="20"/>
        <v>0</v>
      </c>
      <c r="N55" s="251">
        <f t="shared" si="20"/>
        <v>0</v>
      </c>
      <c r="O55" s="251">
        <f t="shared" si="20"/>
        <v>0</v>
      </c>
      <c r="P55" s="251">
        <f t="shared" si="20"/>
        <v>0</v>
      </c>
      <c r="Q55" s="251">
        <f t="shared" si="20"/>
        <v>0</v>
      </c>
      <c r="R55" s="252">
        <f t="shared" si="20"/>
        <v>0</v>
      </c>
      <c r="S55" s="192"/>
      <c r="T55" s="253">
        <f>IF(T54=0,0,T54/((T54+$E54)/2))</f>
        <v>0.42249674307723817</v>
      </c>
    </row>
    <row r="56" spans="1:20" hidden="1" outlineLevel="2" x14ac:dyDescent="0.2">
      <c r="A56" s="254"/>
      <c r="B56" s="281" t="s">
        <v>79</v>
      </c>
      <c r="C56" s="282" t="s">
        <v>89</v>
      </c>
      <c r="D56" s="61"/>
      <c r="E56" s="256">
        <f>'[6]Suivi Rotation de Stock Fer Nu'!$E56</f>
        <v>1754.1756912090596</v>
      </c>
      <c r="F56" s="61"/>
      <c r="G56" s="274">
        <f>'[6]Suivi Rotation de Stock Fer Nu'!G56</f>
        <v>474.83563629707987</v>
      </c>
      <c r="H56" s="209">
        <f>'[6]Suivi Rotation de Stock Fer Nu'!H56</f>
        <v>508.26666624443988</v>
      </c>
      <c r="I56" s="209">
        <f>'[6]Suivi Rotation de Stock Fer Nu'!I56</f>
        <v>505.9275318417599</v>
      </c>
      <c r="J56" s="209">
        <f>'[6]Suivi Rotation de Stock Fer Nu'!J56</f>
        <v>501.90430714361986</v>
      </c>
      <c r="K56" s="209">
        <f>'[6]Suivi Rotation de Stock Fer Nu'!K56</f>
        <v>0</v>
      </c>
      <c r="L56" s="209">
        <f>'[6]Suivi Rotation de Stock Fer Nu'!L56</f>
        <v>0</v>
      </c>
      <c r="M56" s="209">
        <f>'[6]Suivi Rotation de Stock Fer Nu'!M56</f>
        <v>0</v>
      </c>
      <c r="N56" s="209">
        <f>'[6]Suivi Rotation de Stock Fer Nu'!N56</f>
        <v>0</v>
      </c>
      <c r="O56" s="209">
        <f>'[6]Suivi Rotation de Stock Fer Nu'!O56</f>
        <v>0</v>
      </c>
      <c r="P56" s="209">
        <f>'[6]Suivi Rotation de Stock Fer Nu'!P56</f>
        <v>0</v>
      </c>
      <c r="Q56" s="209">
        <f>'[6]Suivi Rotation de Stock Fer Nu'!Q56</f>
        <v>0</v>
      </c>
      <c r="R56" s="275">
        <f>'[6]Suivi Rotation de Stock Fer Nu'!R56</f>
        <v>0</v>
      </c>
      <c r="S56" s="61"/>
      <c r="T56" s="260">
        <f>INDEX(G56:R56,MATCH(0,G56:R56,0)-1)</f>
        <v>501.90430714361986</v>
      </c>
    </row>
    <row r="57" spans="1:20" hidden="1" outlineLevel="2" x14ac:dyDescent="0.2">
      <c r="A57" s="254"/>
      <c r="B57" s="272" t="s">
        <v>79</v>
      </c>
      <c r="C57" s="273" t="s">
        <v>86</v>
      </c>
      <c r="D57" s="61"/>
      <c r="E57" s="261"/>
      <c r="F57" s="61"/>
      <c r="G57" s="278">
        <f>IF(G56=0,0,G56/((G56+E56)/2))</f>
        <v>0.42605044706375278</v>
      </c>
      <c r="H57" s="216">
        <f>IF(H56=0,0,H56/((H56+G56)/2))</f>
        <v>1.0340056470836596</v>
      </c>
      <c r="I57" s="216">
        <f t="shared" ref="I57:R57" si="21">IF(I56=0,0,I56/((I56+H56)/2))</f>
        <v>0.9976936030524588</v>
      </c>
      <c r="J57" s="216">
        <f t="shared" si="21"/>
        <v>0.9960080396922264</v>
      </c>
      <c r="K57" s="216">
        <f t="shared" si="21"/>
        <v>0</v>
      </c>
      <c r="L57" s="216">
        <f t="shared" si="21"/>
        <v>0</v>
      </c>
      <c r="M57" s="216">
        <f t="shared" si="21"/>
        <v>0</v>
      </c>
      <c r="N57" s="216">
        <f t="shared" si="21"/>
        <v>0</v>
      </c>
      <c r="O57" s="216">
        <f t="shared" si="21"/>
        <v>0</v>
      </c>
      <c r="P57" s="216">
        <f t="shared" si="21"/>
        <v>0</v>
      </c>
      <c r="Q57" s="216">
        <f t="shared" si="21"/>
        <v>0</v>
      </c>
      <c r="R57" s="279">
        <f t="shared" si="21"/>
        <v>0</v>
      </c>
      <c r="S57" s="61"/>
      <c r="T57" s="265">
        <f>IF(T56=0,0,T56/((T56+$E56)/2))</f>
        <v>0.44493484939372274</v>
      </c>
    </row>
    <row r="58" spans="1:20" hidden="1" outlineLevel="2" x14ac:dyDescent="0.2">
      <c r="A58" s="254"/>
      <c r="B58" s="17" t="s">
        <v>80</v>
      </c>
      <c r="C58" s="255" t="s">
        <v>89</v>
      </c>
      <c r="D58" s="61"/>
      <c r="E58" s="268">
        <f>'[6]Suivi Rotation de Stock Fer Nu'!$E58</f>
        <v>376.31961079622397</v>
      </c>
      <c r="F58" s="61"/>
      <c r="G58" s="269">
        <f>'[6]Suivi Rotation de Stock Fer Nu'!G58</f>
        <v>163.820305398112</v>
      </c>
      <c r="H58" s="270">
        <f>'[6]Suivi Rotation de Stock Fer Nu'!H58</f>
        <v>163.820305398112</v>
      </c>
      <c r="I58" s="270">
        <f>'[6]Suivi Rotation de Stock Fer Nu'!I58</f>
        <v>159.480672668512</v>
      </c>
      <c r="J58" s="270">
        <f>'[6]Suivi Rotation de Stock Fer Nu'!J58</f>
        <v>141.38259600577601</v>
      </c>
      <c r="K58" s="270">
        <f>'[6]Suivi Rotation de Stock Fer Nu'!K58</f>
        <v>0</v>
      </c>
      <c r="L58" s="270">
        <f>'[6]Suivi Rotation de Stock Fer Nu'!L58</f>
        <v>0</v>
      </c>
      <c r="M58" s="270">
        <f>'[6]Suivi Rotation de Stock Fer Nu'!M58</f>
        <v>0</v>
      </c>
      <c r="N58" s="270">
        <f>'[6]Suivi Rotation de Stock Fer Nu'!N58</f>
        <v>0</v>
      </c>
      <c r="O58" s="270">
        <f>'[6]Suivi Rotation de Stock Fer Nu'!O58</f>
        <v>0</v>
      </c>
      <c r="P58" s="270">
        <f>'[6]Suivi Rotation de Stock Fer Nu'!P58</f>
        <v>0</v>
      </c>
      <c r="Q58" s="270">
        <f>'[6]Suivi Rotation de Stock Fer Nu'!Q58</f>
        <v>0</v>
      </c>
      <c r="R58" s="271">
        <f>'[6]Suivi Rotation de Stock Fer Nu'!R58</f>
        <v>0</v>
      </c>
      <c r="S58" s="61"/>
      <c r="T58" s="260">
        <f>INDEX(G58:R58,MATCH(0,G58:R58,0)-1)</f>
        <v>141.38259600577601</v>
      </c>
    </row>
    <row r="59" spans="1:20" hidden="1" outlineLevel="2" x14ac:dyDescent="0.2">
      <c r="A59" s="254"/>
      <c r="B59" s="272" t="s">
        <v>80</v>
      </c>
      <c r="C59" s="273" t="s">
        <v>86</v>
      </c>
      <c r="D59" s="61"/>
      <c r="E59" s="261"/>
      <c r="F59" s="61"/>
      <c r="G59" s="262">
        <f>IF(G58=0,0,G58/((G58+E58)/2))</f>
        <v>0.60658470328333003</v>
      </c>
      <c r="H59" s="263">
        <f>IF(H58=0,0,H58/((H58+G58)/2))</f>
        <v>1</v>
      </c>
      <c r="I59" s="263">
        <f t="shared" ref="I59:R59" si="22">IF(I58=0,0,I58/((I58+H58)/2))</f>
        <v>0.98657711227614753</v>
      </c>
      <c r="J59" s="263">
        <f t="shared" si="22"/>
        <v>0.93984617416914118</v>
      </c>
      <c r="K59" s="263">
        <f t="shared" si="22"/>
        <v>0</v>
      </c>
      <c r="L59" s="263">
        <f t="shared" si="22"/>
        <v>0</v>
      </c>
      <c r="M59" s="263">
        <f t="shared" si="22"/>
        <v>0</v>
      </c>
      <c r="N59" s="263">
        <f t="shared" si="22"/>
        <v>0</v>
      </c>
      <c r="O59" s="263">
        <f t="shared" si="22"/>
        <v>0</v>
      </c>
      <c r="P59" s="263">
        <f t="shared" si="22"/>
        <v>0</v>
      </c>
      <c r="Q59" s="263">
        <f t="shared" si="22"/>
        <v>0</v>
      </c>
      <c r="R59" s="264">
        <f t="shared" si="22"/>
        <v>0</v>
      </c>
      <c r="S59" s="61"/>
      <c r="T59" s="265">
        <f>IF(T58=0,0,T58/((T58+$E58)/2))</f>
        <v>0.54619274999478262</v>
      </c>
    </row>
    <row r="60" spans="1:20" hidden="1" outlineLevel="2" x14ac:dyDescent="0.2">
      <c r="A60" s="254"/>
      <c r="B60" s="266" t="s">
        <v>45</v>
      </c>
      <c r="C60" s="267" t="s">
        <v>89</v>
      </c>
      <c r="D60" s="61"/>
      <c r="E60" s="268">
        <f>'[6]Suivi Rotation de Stock Fer Nu'!$E60</f>
        <v>513.53573099938205</v>
      </c>
      <c r="F60" s="61"/>
      <c r="G60" s="269">
        <f>'[6]Suivi Rotation de Stock Fer Nu'!G60</f>
        <v>139.43921896047601</v>
      </c>
      <c r="H60" s="270">
        <f>'[6]Suivi Rotation de Stock Fer Nu'!H60</f>
        <v>126.50919944947199</v>
      </c>
      <c r="I60" s="270">
        <f>'[6]Suivi Rotation de Stock Fer Nu'!I60</f>
        <v>84.535194582054004</v>
      </c>
      <c r="J60" s="270">
        <f>'[6]Suivi Rotation de Stock Fer Nu'!J60</f>
        <v>62.123559192053996</v>
      </c>
      <c r="K60" s="270">
        <f>'[6]Suivi Rotation de Stock Fer Nu'!K60</f>
        <v>0</v>
      </c>
      <c r="L60" s="270">
        <f>'[6]Suivi Rotation de Stock Fer Nu'!L60</f>
        <v>0</v>
      </c>
      <c r="M60" s="270">
        <f>'[6]Suivi Rotation de Stock Fer Nu'!M60</f>
        <v>0</v>
      </c>
      <c r="N60" s="270">
        <f>'[6]Suivi Rotation de Stock Fer Nu'!N60</f>
        <v>0</v>
      </c>
      <c r="O60" s="270">
        <f>'[6]Suivi Rotation de Stock Fer Nu'!O60</f>
        <v>0</v>
      </c>
      <c r="P60" s="270">
        <f>'[6]Suivi Rotation de Stock Fer Nu'!P60</f>
        <v>0</v>
      </c>
      <c r="Q60" s="270">
        <f>'[6]Suivi Rotation de Stock Fer Nu'!Q60</f>
        <v>0</v>
      </c>
      <c r="R60" s="271">
        <f>'[6]Suivi Rotation de Stock Fer Nu'!R60</f>
        <v>0</v>
      </c>
      <c r="S60" s="61"/>
      <c r="T60" s="260">
        <f>INDEX(G60:R60,MATCH(0,G60:R60,0)-1)</f>
        <v>62.123559192053996</v>
      </c>
    </row>
    <row r="61" spans="1:20" hidden="1" outlineLevel="2" x14ac:dyDescent="0.2">
      <c r="A61" s="254"/>
      <c r="B61" s="272" t="s">
        <v>45</v>
      </c>
      <c r="C61" s="273" t="s">
        <v>86</v>
      </c>
      <c r="D61" s="61"/>
      <c r="E61" s="261"/>
      <c r="F61" s="61"/>
      <c r="G61" s="262">
        <f>IF(G60=0,0,G60/((G60+E60)/2))</f>
        <v>0.42708902989019132</v>
      </c>
      <c r="H61" s="263">
        <f>IF(H60=0,0,H60/((H60+G60)/2))</f>
        <v>0.95138147619636182</v>
      </c>
      <c r="I61" s="263">
        <f t="shared" ref="I61:R61" si="23">IF(I60=0,0,I60/((I60+H60)/2))</f>
        <v>0.80111291247495597</v>
      </c>
      <c r="J61" s="263">
        <f t="shared" si="23"/>
        <v>0.84718515047168852</v>
      </c>
      <c r="K61" s="263">
        <f t="shared" si="23"/>
        <v>0</v>
      </c>
      <c r="L61" s="263">
        <f t="shared" si="23"/>
        <v>0</v>
      </c>
      <c r="M61" s="263">
        <f t="shared" si="23"/>
        <v>0</v>
      </c>
      <c r="N61" s="263">
        <f t="shared" si="23"/>
        <v>0</v>
      </c>
      <c r="O61" s="263">
        <f t="shared" si="23"/>
        <v>0</v>
      </c>
      <c r="P61" s="263">
        <f t="shared" si="23"/>
        <v>0</v>
      </c>
      <c r="Q61" s="263">
        <f t="shared" si="23"/>
        <v>0</v>
      </c>
      <c r="R61" s="264">
        <f t="shared" si="23"/>
        <v>0</v>
      </c>
      <c r="S61" s="61"/>
      <c r="T61" s="265">
        <f>IF(T60=0,0,T60/((T60+$E60)/2))</f>
        <v>0.21583447101633588</v>
      </c>
    </row>
    <row r="62" spans="1:20" hidden="1" outlineLevel="2" x14ac:dyDescent="0.2">
      <c r="A62" s="254"/>
      <c r="B62" s="266" t="s">
        <v>38</v>
      </c>
      <c r="C62" s="267" t="s">
        <v>89</v>
      </c>
      <c r="D62" s="61"/>
      <c r="E62" s="268">
        <f>'[6]Suivi Rotation de Stock Fer Nu'!$E62</f>
        <v>0</v>
      </c>
      <c r="F62" s="61"/>
      <c r="G62" s="269">
        <f>'[6]Suivi Rotation de Stock Fer Nu'!G62</f>
        <v>113.64805144252</v>
      </c>
      <c r="H62" s="270">
        <f>'[6]Suivi Rotation de Stock Fer Nu'!H62</f>
        <v>79.306427253777997</v>
      </c>
      <c r="I62" s="270">
        <f>'[6]Suivi Rotation de Stock Fer Nu'!I62</f>
        <v>56.787999999999997</v>
      </c>
      <c r="J62" s="270">
        <f>'[6]Suivi Rotation de Stock Fer Nu'!J62</f>
        <v>56.835090263684002</v>
      </c>
      <c r="K62" s="270">
        <f>'[6]Suivi Rotation de Stock Fer Nu'!K62</f>
        <v>0</v>
      </c>
      <c r="L62" s="270">
        <f>'[6]Suivi Rotation de Stock Fer Nu'!L62</f>
        <v>0</v>
      </c>
      <c r="M62" s="270">
        <f>'[6]Suivi Rotation de Stock Fer Nu'!M62</f>
        <v>0</v>
      </c>
      <c r="N62" s="270">
        <f>'[6]Suivi Rotation de Stock Fer Nu'!N62</f>
        <v>0</v>
      </c>
      <c r="O62" s="270">
        <f>'[6]Suivi Rotation de Stock Fer Nu'!O62</f>
        <v>0</v>
      </c>
      <c r="P62" s="270">
        <f>'[6]Suivi Rotation de Stock Fer Nu'!P62</f>
        <v>0</v>
      </c>
      <c r="Q62" s="270">
        <f>'[6]Suivi Rotation de Stock Fer Nu'!Q62</f>
        <v>0</v>
      </c>
      <c r="R62" s="271">
        <f>'[6]Suivi Rotation de Stock Fer Nu'!R62</f>
        <v>0</v>
      </c>
      <c r="S62" s="61"/>
      <c r="T62" s="260">
        <f>INDEX(G62:R62,MATCH(0,G62:R62,0)-1)</f>
        <v>56.835090263684002</v>
      </c>
    </row>
    <row r="63" spans="1:20" hidden="1" outlineLevel="2" x14ac:dyDescent="0.2">
      <c r="A63" s="254"/>
      <c r="B63" s="272" t="s">
        <v>38</v>
      </c>
      <c r="C63" s="273" t="s">
        <v>86</v>
      </c>
      <c r="D63" s="61"/>
      <c r="E63" s="261"/>
      <c r="F63" s="61"/>
      <c r="G63" s="262">
        <f>IF(G62=0,0,G62/((G62+E62)/2))</f>
        <v>2</v>
      </c>
      <c r="H63" s="263">
        <f>IF(H62=0,0,H62/((H62+G62)/2))</f>
        <v>0.82202214521905848</v>
      </c>
      <c r="I63" s="263">
        <f t="shared" ref="I63:R63" si="24">IF(I62=0,0,I62/((I62+H62)/2))</f>
        <v>0.83453821212100443</v>
      </c>
      <c r="J63" s="263">
        <f t="shared" si="24"/>
        <v>1.0004144427296839</v>
      </c>
      <c r="K63" s="263">
        <f t="shared" si="24"/>
        <v>0</v>
      </c>
      <c r="L63" s="263">
        <f t="shared" si="24"/>
        <v>0</v>
      </c>
      <c r="M63" s="263">
        <f t="shared" si="24"/>
        <v>0</v>
      </c>
      <c r="N63" s="263">
        <f t="shared" si="24"/>
        <v>0</v>
      </c>
      <c r="O63" s="263">
        <f t="shared" si="24"/>
        <v>0</v>
      </c>
      <c r="P63" s="263">
        <f t="shared" si="24"/>
        <v>0</v>
      </c>
      <c r="Q63" s="263">
        <f t="shared" si="24"/>
        <v>0</v>
      </c>
      <c r="R63" s="264">
        <f t="shared" si="24"/>
        <v>0</v>
      </c>
      <c r="S63" s="61"/>
      <c r="T63" s="265">
        <f>IF(T62=0,0,T62/((T62+$E62)/2))</f>
        <v>2</v>
      </c>
    </row>
    <row r="64" spans="1:20" hidden="1" outlineLevel="2" x14ac:dyDescent="0.2">
      <c r="A64" s="254"/>
      <c r="B64" s="266" t="s">
        <v>81</v>
      </c>
      <c r="C64" s="267" t="s">
        <v>89</v>
      </c>
      <c r="D64" s="61"/>
      <c r="E64" s="268">
        <f>'[6]Suivi Rotation de Stock Fer Nu'!$E64</f>
        <v>203.05202565311998</v>
      </c>
      <c r="F64" s="61"/>
      <c r="G64" s="269">
        <f>'[6]Suivi Rotation de Stock Fer Nu'!G64</f>
        <v>101.52601282655999</v>
      </c>
      <c r="H64" s="270">
        <f>'[6]Suivi Rotation de Stock Fer Nu'!H64</f>
        <v>94.399253168219985</v>
      </c>
      <c r="I64" s="270">
        <f>'[6]Suivi Rotation de Stock Fer Nu'!I64</f>
        <v>53.300258591579997</v>
      </c>
      <c r="J64" s="270">
        <f>'[6]Suivi Rotation de Stock Fer Nu'!J64</f>
        <v>53.300258591579997</v>
      </c>
      <c r="K64" s="270">
        <f>'[6]Suivi Rotation de Stock Fer Nu'!K64</f>
        <v>0</v>
      </c>
      <c r="L64" s="270">
        <f>'[6]Suivi Rotation de Stock Fer Nu'!L64</f>
        <v>0</v>
      </c>
      <c r="M64" s="270">
        <f>'[6]Suivi Rotation de Stock Fer Nu'!M64</f>
        <v>0</v>
      </c>
      <c r="N64" s="270">
        <f>'[6]Suivi Rotation de Stock Fer Nu'!N64</f>
        <v>0</v>
      </c>
      <c r="O64" s="270">
        <f>'[6]Suivi Rotation de Stock Fer Nu'!O64</f>
        <v>0</v>
      </c>
      <c r="P64" s="270">
        <f>'[6]Suivi Rotation de Stock Fer Nu'!P64</f>
        <v>0</v>
      </c>
      <c r="Q64" s="270">
        <f>'[6]Suivi Rotation de Stock Fer Nu'!Q64</f>
        <v>0</v>
      </c>
      <c r="R64" s="271">
        <f>'[6]Suivi Rotation de Stock Fer Nu'!R64</f>
        <v>0</v>
      </c>
      <c r="S64" s="61"/>
      <c r="T64" s="260">
        <f>INDEX(G64:R64,MATCH(0,G64:R64,0)-1)</f>
        <v>53.300258591579997</v>
      </c>
    </row>
    <row r="65" spans="1:20" hidden="1" outlineLevel="2" x14ac:dyDescent="0.2">
      <c r="A65" s="254"/>
      <c r="B65" s="272" t="s">
        <v>81</v>
      </c>
      <c r="C65" s="273" t="s">
        <v>86</v>
      </c>
      <c r="D65" s="61"/>
      <c r="E65" s="261"/>
      <c r="F65" s="61"/>
      <c r="G65" s="262">
        <f>IF(G64=0,0,G64/((G64+E64)/2))</f>
        <v>0.66666666666666663</v>
      </c>
      <c r="H65" s="263">
        <f>IF(H64=0,0,H64/((H64+G64)/2))</f>
        <v>0.96362511173760568</v>
      </c>
      <c r="I65" s="263">
        <f t="shared" ref="I65:R65" si="25">IF(I64=0,0,I64/((I64+H64)/2))</f>
        <v>0.72173913043478266</v>
      </c>
      <c r="J65" s="263">
        <f t="shared" si="25"/>
        <v>1</v>
      </c>
      <c r="K65" s="263">
        <f t="shared" si="25"/>
        <v>0</v>
      </c>
      <c r="L65" s="263">
        <f t="shared" si="25"/>
        <v>0</v>
      </c>
      <c r="M65" s="263">
        <f t="shared" si="25"/>
        <v>0</v>
      </c>
      <c r="N65" s="263">
        <f t="shared" si="25"/>
        <v>0</v>
      </c>
      <c r="O65" s="263">
        <f t="shared" si="25"/>
        <v>0</v>
      </c>
      <c r="P65" s="263">
        <f t="shared" si="25"/>
        <v>0</v>
      </c>
      <c r="Q65" s="263">
        <f t="shared" si="25"/>
        <v>0</v>
      </c>
      <c r="R65" s="264">
        <f t="shared" si="25"/>
        <v>0</v>
      </c>
      <c r="S65" s="61"/>
      <c r="T65" s="265">
        <f>IF(T64=0,0,T64/((T64+$E64)/2))</f>
        <v>0.41583603398440921</v>
      </c>
    </row>
    <row r="66" spans="1:20" hidden="1" outlineLevel="2" x14ac:dyDescent="0.2">
      <c r="A66" s="254"/>
      <c r="B66" s="266" t="s">
        <v>40</v>
      </c>
      <c r="C66" s="267" t="s">
        <v>89</v>
      </c>
      <c r="D66" s="61"/>
      <c r="E66" s="268">
        <f>'[6]Suivi Rotation de Stock Fer Nu'!$E66</f>
        <v>49.41683973072</v>
      </c>
      <c r="F66" s="61"/>
      <c r="G66" s="269">
        <f>'[6]Suivi Rotation de Stock Fer Nu'!G66</f>
        <v>24.708419865359996</v>
      </c>
      <c r="H66" s="270">
        <f>'[6]Suivi Rotation de Stock Fer Nu'!H66</f>
        <v>9.1065774868199991</v>
      </c>
      <c r="I66" s="270">
        <f>'[6]Suivi Rotation de Stock Fer Nu'!I66</f>
        <v>9.1065774868199991</v>
      </c>
      <c r="J66" s="270">
        <f>'[6]Suivi Rotation de Stock Fer Nu'!J66</f>
        <v>0</v>
      </c>
      <c r="K66" s="270">
        <f>'[6]Suivi Rotation de Stock Fer Nu'!K66</f>
        <v>0</v>
      </c>
      <c r="L66" s="270">
        <f>'[6]Suivi Rotation de Stock Fer Nu'!L66</f>
        <v>0</v>
      </c>
      <c r="M66" s="270">
        <f>'[6]Suivi Rotation de Stock Fer Nu'!M66</f>
        <v>0</v>
      </c>
      <c r="N66" s="270">
        <f>'[6]Suivi Rotation de Stock Fer Nu'!N66</f>
        <v>0</v>
      </c>
      <c r="O66" s="270">
        <f>'[6]Suivi Rotation de Stock Fer Nu'!O66</f>
        <v>0</v>
      </c>
      <c r="P66" s="270">
        <f>'[6]Suivi Rotation de Stock Fer Nu'!P66</f>
        <v>0</v>
      </c>
      <c r="Q66" s="270">
        <f>'[6]Suivi Rotation de Stock Fer Nu'!Q66</f>
        <v>0</v>
      </c>
      <c r="R66" s="271">
        <f>'[6]Suivi Rotation de Stock Fer Nu'!R66</f>
        <v>0</v>
      </c>
      <c r="S66" s="61"/>
      <c r="T66" s="260">
        <f>INDEX(G66:R66,MATCH(0,G66:R66,0)-1)</f>
        <v>9.1065774868199991</v>
      </c>
    </row>
    <row r="67" spans="1:20" hidden="1" outlineLevel="2" x14ac:dyDescent="0.2">
      <c r="A67" s="254"/>
      <c r="B67" s="272" t="s">
        <v>40</v>
      </c>
      <c r="C67" s="273" t="s">
        <v>86</v>
      </c>
      <c r="D67" s="61"/>
      <c r="E67" s="261"/>
      <c r="F67" s="61"/>
      <c r="G67" s="262">
        <f>IF(G66=0,0,G66/((G66+E66)/2))</f>
        <v>0.66666666666666652</v>
      </c>
      <c r="H67" s="263">
        <f>IF(H66=0,0,H66/((H66+G66)/2))</f>
        <v>0.53861175217468493</v>
      </c>
      <c r="I67" s="263">
        <f t="shared" ref="I67:R67" si="26">IF(I66=0,0,I66/((I66+H66)/2))</f>
        <v>1</v>
      </c>
      <c r="J67" s="263">
        <f t="shared" si="26"/>
        <v>0</v>
      </c>
      <c r="K67" s="263">
        <f t="shared" si="26"/>
        <v>0</v>
      </c>
      <c r="L67" s="263">
        <f t="shared" si="26"/>
        <v>0</v>
      </c>
      <c r="M67" s="263">
        <f t="shared" si="26"/>
        <v>0</v>
      </c>
      <c r="N67" s="263">
        <f t="shared" si="26"/>
        <v>0</v>
      </c>
      <c r="O67" s="263">
        <f t="shared" si="26"/>
        <v>0</v>
      </c>
      <c r="P67" s="263">
        <f t="shared" si="26"/>
        <v>0</v>
      </c>
      <c r="Q67" s="263">
        <f t="shared" si="26"/>
        <v>0</v>
      </c>
      <c r="R67" s="264">
        <f t="shared" si="26"/>
        <v>0</v>
      </c>
      <c r="S67" s="61"/>
      <c r="T67" s="265">
        <f>IF(T66=0,0,T66/((T66+$E66)/2))</f>
        <v>0.31121140629808181</v>
      </c>
    </row>
    <row r="68" spans="1:20" hidden="1" outlineLevel="2" x14ac:dyDescent="0.2">
      <c r="A68" s="254"/>
      <c r="B68" s="266" t="s">
        <v>41</v>
      </c>
      <c r="C68" s="267" t="s">
        <v>89</v>
      </c>
      <c r="D68" s="61"/>
      <c r="E68" s="268">
        <f>'[6]Suivi Rotation de Stock Fer Nu'!$E68</f>
        <v>73.890090388800004</v>
      </c>
      <c r="F68" s="61"/>
      <c r="G68" s="269">
        <f>'[6]Suivi Rotation de Stock Fer Nu'!G68</f>
        <v>6.7281287273280004</v>
      </c>
      <c r="H68" s="270">
        <f>'[6]Suivi Rotation de Stock Fer Nu'!H68</f>
        <v>3.400779936528</v>
      </c>
      <c r="I68" s="270">
        <f>'[6]Suivi Rotation de Stock Fer Nu'!I68</f>
        <v>3.400779936528</v>
      </c>
      <c r="J68" s="270">
        <f>'[6]Suivi Rotation de Stock Fer Nu'!J68</f>
        <v>1.333234239624</v>
      </c>
      <c r="K68" s="270">
        <f>'[6]Suivi Rotation de Stock Fer Nu'!K68</f>
        <v>0</v>
      </c>
      <c r="L68" s="270">
        <f>'[6]Suivi Rotation de Stock Fer Nu'!L68</f>
        <v>0</v>
      </c>
      <c r="M68" s="270">
        <f>'[6]Suivi Rotation de Stock Fer Nu'!M68</f>
        <v>0</v>
      </c>
      <c r="N68" s="270">
        <f>'[6]Suivi Rotation de Stock Fer Nu'!N68</f>
        <v>0</v>
      </c>
      <c r="O68" s="270">
        <f>'[6]Suivi Rotation de Stock Fer Nu'!O68</f>
        <v>0</v>
      </c>
      <c r="P68" s="270">
        <f>'[6]Suivi Rotation de Stock Fer Nu'!P68</f>
        <v>0</v>
      </c>
      <c r="Q68" s="270">
        <f>'[6]Suivi Rotation de Stock Fer Nu'!Q68</f>
        <v>0</v>
      </c>
      <c r="R68" s="271">
        <f>'[6]Suivi Rotation de Stock Fer Nu'!R68</f>
        <v>0</v>
      </c>
      <c r="S68" s="61"/>
      <c r="T68" s="260">
        <f>INDEX(G68:R68,MATCH(0,G68:R68,0)-1)</f>
        <v>1.333234239624</v>
      </c>
    </row>
    <row r="69" spans="1:20" hidden="1" outlineLevel="2" x14ac:dyDescent="0.2">
      <c r="A69" s="254"/>
      <c r="B69" s="272" t="s">
        <v>41</v>
      </c>
      <c r="C69" s="273" t="s">
        <v>86</v>
      </c>
      <c r="D69" s="61"/>
      <c r="E69" s="261"/>
      <c r="F69" s="61"/>
      <c r="G69" s="262">
        <f>IF(G68=0,0,G68/((G68+E68)/2))</f>
        <v>0.1669133553455539</v>
      </c>
      <c r="H69" s="263">
        <f>IF(H68=0,0,H68/((H68+G68)/2))</f>
        <v>0.67149977344811962</v>
      </c>
      <c r="I69" s="263">
        <f t="shared" ref="I69:R69" si="27">IF(I68=0,0,I68/((I68+H68)/2))</f>
        <v>1</v>
      </c>
      <c r="J69" s="263">
        <f t="shared" si="27"/>
        <v>0.56325739214735826</v>
      </c>
      <c r="K69" s="263">
        <f t="shared" si="27"/>
        <v>0</v>
      </c>
      <c r="L69" s="263">
        <f t="shared" si="27"/>
        <v>0</v>
      </c>
      <c r="M69" s="263">
        <f t="shared" si="27"/>
        <v>0</v>
      </c>
      <c r="N69" s="263">
        <f t="shared" si="27"/>
        <v>0</v>
      </c>
      <c r="O69" s="263">
        <f t="shared" si="27"/>
        <v>0</v>
      </c>
      <c r="P69" s="263">
        <f t="shared" si="27"/>
        <v>0</v>
      </c>
      <c r="Q69" s="263">
        <f t="shared" si="27"/>
        <v>0</v>
      </c>
      <c r="R69" s="264">
        <f t="shared" si="27"/>
        <v>0</v>
      </c>
      <c r="S69" s="61"/>
      <c r="T69" s="265">
        <f>IF(T68=0,0,T68/((T68+$E68)/2))</f>
        <v>3.5447362801622889E-2</v>
      </c>
    </row>
    <row r="70" spans="1:20" hidden="1" outlineLevel="2" x14ac:dyDescent="0.2">
      <c r="A70" s="254"/>
      <c r="B70" s="266" t="s">
        <v>39</v>
      </c>
      <c r="C70" s="267" t="s">
        <v>89</v>
      </c>
      <c r="D70" s="61"/>
      <c r="E70" s="268">
        <f>'[6]Suivi Rotation de Stock Fer Nu'!$E70</f>
        <v>110.00803207680003</v>
      </c>
      <c r="F70" s="61"/>
      <c r="G70" s="269">
        <f>'[6]Suivi Rotation de Stock Fer Nu'!G70</f>
        <v>22.565750169600005</v>
      </c>
      <c r="H70" s="270">
        <f>'[6]Suivi Rotation de Stock Fer Nu'!H70</f>
        <v>22.565750169600005</v>
      </c>
      <c r="I70" s="270">
        <f>'[6]Suivi Rotation de Stock Fer Nu'!I70</f>
        <v>20.193995802816005</v>
      </c>
      <c r="J70" s="270">
        <f>'[6]Suivi Rotation de Stock Fer Nu'!J70</f>
        <v>20.193995802816005</v>
      </c>
      <c r="K70" s="270">
        <f>'[6]Suivi Rotation de Stock Fer Nu'!K70</f>
        <v>0</v>
      </c>
      <c r="L70" s="270">
        <f>'[6]Suivi Rotation de Stock Fer Nu'!L70</f>
        <v>0</v>
      </c>
      <c r="M70" s="270">
        <f>'[6]Suivi Rotation de Stock Fer Nu'!M70</f>
        <v>0</v>
      </c>
      <c r="N70" s="270">
        <f>'[6]Suivi Rotation de Stock Fer Nu'!N70</f>
        <v>0</v>
      </c>
      <c r="O70" s="270">
        <f>'[6]Suivi Rotation de Stock Fer Nu'!O70</f>
        <v>0</v>
      </c>
      <c r="P70" s="270">
        <f>'[6]Suivi Rotation de Stock Fer Nu'!P70</f>
        <v>0</v>
      </c>
      <c r="Q70" s="270">
        <f>'[6]Suivi Rotation de Stock Fer Nu'!Q70</f>
        <v>0</v>
      </c>
      <c r="R70" s="271">
        <f>'[6]Suivi Rotation de Stock Fer Nu'!R70</f>
        <v>0</v>
      </c>
      <c r="S70" s="61"/>
      <c r="T70" s="260">
        <f>INDEX(G70:R70,MATCH(0,G70:R70,0)-1)</f>
        <v>20.193995802816005</v>
      </c>
    </row>
    <row r="71" spans="1:20" hidden="1" outlineLevel="2" x14ac:dyDescent="0.2">
      <c r="A71" s="254"/>
      <c r="B71" s="272" t="s">
        <v>39</v>
      </c>
      <c r="C71" s="273" t="s">
        <v>86</v>
      </c>
      <c r="D71" s="61"/>
      <c r="E71" s="261"/>
      <c r="F71" s="61"/>
      <c r="G71" s="262">
        <f>IF(G70=0,0,G70/((G70+E70)/2))</f>
        <v>0.34042553191489355</v>
      </c>
      <c r="H71" s="263">
        <f>IF(H70=0,0,H70/((H70+G70)/2))</f>
        <v>1</v>
      </c>
      <c r="I71" s="263">
        <f t="shared" ref="I71:R71" si="28">IF(I70=0,0,I70/((I70+H70)/2))</f>
        <v>0.94453301082953101</v>
      </c>
      <c r="J71" s="263">
        <f t="shared" si="28"/>
        <v>1</v>
      </c>
      <c r="K71" s="263">
        <f t="shared" si="28"/>
        <v>0</v>
      </c>
      <c r="L71" s="263">
        <f t="shared" si="28"/>
        <v>0</v>
      </c>
      <c r="M71" s="263">
        <f t="shared" si="28"/>
        <v>0</v>
      </c>
      <c r="N71" s="263">
        <f t="shared" si="28"/>
        <v>0</v>
      </c>
      <c r="O71" s="263">
        <f t="shared" si="28"/>
        <v>0</v>
      </c>
      <c r="P71" s="263">
        <f t="shared" si="28"/>
        <v>0</v>
      </c>
      <c r="Q71" s="263">
        <f t="shared" si="28"/>
        <v>0</v>
      </c>
      <c r="R71" s="264">
        <f t="shared" si="28"/>
        <v>0</v>
      </c>
      <c r="S71" s="61"/>
      <c r="T71" s="265">
        <f>IF(T70=0,0,T70/((T70+$E70)/2))</f>
        <v>0.31019479698868047</v>
      </c>
    </row>
    <row r="72" spans="1:20" hidden="1" outlineLevel="2" x14ac:dyDescent="0.2">
      <c r="A72" s="254"/>
      <c r="B72" s="266" t="s">
        <v>43</v>
      </c>
      <c r="C72" s="267" t="s">
        <v>89</v>
      </c>
      <c r="D72" s="61"/>
      <c r="E72" s="268">
        <f>'[6]Suivi Rotation de Stock Fer Nu'!$E72</f>
        <v>25.077278466239999</v>
      </c>
      <c r="F72" s="61"/>
      <c r="G72" s="269">
        <f>'[6]Suivi Rotation de Stock Fer Nu'!G72</f>
        <v>12.53863923312</v>
      </c>
      <c r="H72" s="270">
        <f>'[6]Suivi Rotation de Stock Fer Nu'!H72</f>
        <v>12.53863923312</v>
      </c>
      <c r="I72" s="270">
        <f>'[6]Suivi Rotation de Stock Fer Nu'!I72</f>
        <v>12.53863923312</v>
      </c>
      <c r="J72" s="270">
        <f>'[6]Suivi Rotation de Stock Fer Nu'!J72</f>
        <v>12.53863923312</v>
      </c>
      <c r="K72" s="270">
        <f>'[6]Suivi Rotation de Stock Fer Nu'!K72</f>
        <v>0</v>
      </c>
      <c r="L72" s="270">
        <f>'[6]Suivi Rotation de Stock Fer Nu'!L72</f>
        <v>0</v>
      </c>
      <c r="M72" s="270">
        <f>'[6]Suivi Rotation de Stock Fer Nu'!M72</f>
        <v>0</v>
      </c>
      <c r="N72" s="270">
        <f>'[6]Suivi Rotation de Stock Fer Nu'!N72</f>
        <v>0</v>
      </c>
      <c r="O72" s="270">
        <f>'[6]Suivi Rotation de Stock Fer Nu'!O72</f>
        <v>0</v>
      </c>
      <c r="P72" s="270">
        <f>'[6]Suivi Rotation de Stock Fer Nu'!P72</f>
        <v>0</v>
      </c>
      <c r="Q72" s="270">
        <f>'[6]Suivi Rotation de Stock Fer Nu'!Q72</f>
        <v>0</v>
      </c>
      <c r="R72" s="271">
        <f>'[6]Suivi Rotation de Stock Fer Nu'!R72</f>
        <v>0</v>
      </c>
      <c r="S72" s="61"/>
      <c r="T72" s="260">
        <f>INDEX(G72:R72,MATCH(0,G72:R72,0)-1)</f>
        <v>12.53863923312</v>
      </c>
    </row>
    <row r="73" spans="1:20" hidden="1" outlineLevel="2" x14ac:dyDescent="0.2">
      <c r="A73" s="254"/>
      <c r="B73" s="272" t="s">
        <v>43</v>
      </c>
      <c r="C73" s="273" t="s">
        <v>86</v>
      </c>
      <c r="D73" s="61"/>
      <c r="E73" s="261"/>
      <c r="F73" s="61"/>
      <c r="G73" s="262">
        <f>IF(G72=0,0,G72/((G72+E72)/2))</f>
        <v>0.66666666666666674</v>
      </c>
      <c r="H73" s="263">
        <f>IF(H72=0,0,H72/((H72+G72)/2))</f>
        <v>1</v>
      </c>
      <c r="I73" s="263">
        <f t="shared" ref="I73:R73" si="29">IF(I72=0,0,I72/((I72+H72)/2))</f>
        <v>1</v>
      </c>
      <c r="J73" s="263">
        <f t="shared" si="29"/>
        <v>1</v>
      </c>
      <c r="K73" s="263">
        <f t="shared" si="29"/>
        <v>0</v>
      </c>
      <c r="L73" s="263">
        <f t="shared" si="29"/>
        <v>0</v>
      </c>
      <c r="M73" s="263">
        <f t="shared" si="29"/>
        <v>0</v>
      </c>
      <c r="N73" s="263">
        <f t="shared" si="29"/>
        <v>0</v>
      </c>
      <c r="O73" s="263">
        <f t="shared" si="29"/>
        <v>0</v>
      </c>
      <c r="P73" s="263">
        <f t="shared" si="29"/>
        <v>0</v>
      </c>
      <c r="Q73" s="263">
        <f t="shared" si="29"/>
        <v>0</v>
      </c>
      <c r="R73" s="264">
        <f t="shared" si="29"/>
        <v>0</v>
      </c>
      <c r="S73" s="61"/>
      <c r="T73" s="265">
        <f>IF(T72=0,0,T72/((T72+$E72)/2))</f>
        <v>0.66666666666666674</v>
      </c>
    </row>
    <row r="74" spans="1:20" hidden="1" outlineLevel="2" x14ac:dyDescent="0.2">
      <c r="A74" s="254"/>
      <c r="B74" s="266" t="s">
        <v>82</v>
      </c>
      <c r="C74" s="267" t="s">
        <v>89</v>
      </c>
      <c r="D74" s="61"/>
      <c r="E74" s="268">
        <f>'[6]Suivi Rotation de Stock Fer Nu'!$E74</f>
        <v>0</v>
      </c>
      <c r="F74" s="61"/>
      <c r="G74" s="269">
        <f>'[6]Suivi Rotation de Stock Fer Nu'!G74</f>
        <v>0</v>
      </c>
      <c r="H74" s="270">
        <f>'[6]Suivi Rotation de Stock Fer Nu'!H74</f>
        <v>5.6450670608640001</v>
      </c>
      <c r="I74" s="270">
        <f>'[6]Suivi Rotation de Stock Fer Nu'!I74</f>
        <v>5.6450670608640001</v>
      </c>
      <c r="J74" s="270">
        <f>'[6]Suivi Rotation de Stock Fer Nu'!J74</f>
        <v>0</v>
      </c>
      <c r="K74" s="270">
        <f>'[6]Suivi Rotation de Stock Fer Nu'!K74</f>
        <v>0</v>
      </c>
      <c r="L74" s="270">
        <f>'[6]Suivi Rotation de Stock Fer Nu'!L74</f>
        <v>0</v>
      </c>
      <c r="M74" s="270">
        <f>'[6]Suivi Rotation de Stock Fer Nu'!M74</f>
        <v>0</v>
      </c>
      <c r="N74" s="270">
        <f>'[6]Suivi Rotation de Stock Fer Nu'!N74</f>
        <v>0</v>
      </c>
      <c r="O74" s="270">
        <f>'[6]Suivi Rotation de Stock Fer Nu'!O74</f>
        <v>0</v>
      </c>
      <c r="P74" s="270">
        <f>'[6]Suivi Rotation de Stock Fer Nu'!P74</f>
        <v>0</v>
      </c>
      <c r="Q74" s="270">
        <f>'[6]Suivi Rotation de Stock Fer Nu'!Q74</f>
        <v>0</v>
      </c>
      <c r="R74" s="271">
        <f>'[6]Suivi Rotation de Stock Fer Nu'!R74</f>
        <v>0</v>
      </c>
      <c r="S74" s="61"/>
      <c r="T74" s="260">
        <v>0</v>
      </c>
    </row>
    <row r="75" spans="1:20" hidden="1" outlineLevel="2" x14ac:dyDescent="0.2">
      <c r="A75" s="254"/>
      <c r="B75" s="272" t="s">
        <v>82</v>
      </c>
      <c r="C75" s="273" t="s">
        <v>86</v>
      </c>
      <c r="D75" s="61"/>
      <c r="E75" s="261"/>
      <c r="F75" s="61"/>
      <c r="G75" s="262">
        <f>IF(G74=0,0,G74/((G74+E74)/2))</f>
        <v>0</v>
      </c>
      <c r="H75" s="263">
        <f>IF(H74=0,0,H74/((H74+G74)/2))</f>
        <v>2</v>
      </c>
      <c r="I75" s="263">
        <f t="shared" ref="I75:R75" si="30">IF(I74=0,0,I74/((I74+H74)/2))</f>
        <v>1</v>
      </c>
      <c r="J75" s="263">
        <f t="shared" si="30"/>
        <v>0</v>
      </c>
      <c r="K75" s="263">
        <f t="shared" si="30"/>
        <v>0</v>
      </c>
      <c r="L75" s="263">
        <f t="shared" si="30"/>
        <v>0</v>
      </c>
      <c r="M75" s="263">
        <f t="shared" si="30"/>
        <v>0</v>
      </c>
      <c r="N75" s="263">
        <f t="shared" si="30"/>
        <v>0</v>
      </c>
      <c r="O75" s="263">
        <f t="shared" si="30"/>
        <v>0</v>
      </c>
      <c r="P75" s="263">
        <f t="shared" si="30"/>
        <v>0</v>
      </c>
      <c r="Q75" s="263">
        <f t="shared" si="30"/>
        <v>0</v>
      </c>
      <c r="R75" s="264">
        <f t="shared" si="30"/>
        <v>0</v>
      </c>
      <c r="S75" s="283"/>
      <c r="T75" s="265">
        <f>IF(T74=0,0,T74/((T74+$E74)/2))</f>
        <v>0</v>
      </c>
    </row>
    <row r="76" spans="1:20" hidden="1" outlineLevel="2" x14ac:dyDescent="0.2">
      <c r="A76" s="254"/>
      <c r="B76" s="266" t="s">
        <v>35</v>
      </c>
      <c r="C76" s="267" t="s">
        <v>89</v>
      </c>
      <c r="D76" s="61"/>
      <c r="E76" s="268">
        <f>'[6]Suivi Rotation de Stock Fer Nu'!$E76</f>
        <v>44.950016880000007</v>
      </c>
      <c r="F76" s="61"/>
      <c r="G76" s="269">
        <f>'[6]Suivi Rotation de Stock Fer Nu'!G76</f>
        <v>14.983338960000001</v>
      </c>
      <c r="H76" s="270">
        <f>'[6]Suivi Rotation de Stock Fer Nu'!H76</f>
        <v>0.40839543360000002</v>
      </c>
      <c r="I76" s="270">
        <f>'[6]Suivi Rotation de Stock Fer Nu'!I76</f>
        <v>0.39778776000000005</v>
      </c>
      <c r="J76" s="270">
        <f>'[6]Suivi Rotation de Stock Fer Nu'!J76</f>
        <v>0</v>
      </c>
      <c r="K76" s="270">
        <f>'[6]Suivi Rotation de Stock Fer Nu'!K76</f>
        <v>0</v>
      </c>
      <c r="L76" s="270">
        <f>'[6]Suivi Rotation de Stock Fer Nu'!L76</f>
        <v>0</v>
      </c>
      <c r="M76" s="270">
        <f>'[6]Suivi Rotation de Stock Fer Nu'!M76</f>
        <v>0</v>
      </c>
      <c r="N76" s="270">
        <f>'[6]Suivi Rotation de Stock Fer Nu'!N76</f>
        <v>0</v>
      </c>
      <c r="O76" s="270">
        <f>'[6]Suivi Rotation de Stock Fer Nu'!O76</f>
        <v>0</v>
      </c>
      <c r="P76" s="270">
        <f>'[6]Suivi Rotation de Stock Fer Nu'!P76</f>
        <v>0</v>
      </c>
      <c r="Q76" s="270">
        <f>'[6]Suivi Rotation de Stock Fer Nu'!Q76</f>
        <v>0</v>
      </c>
      <c r="R76" s="271">
        <f>'[6]Suivi Rotation de Stock Fer Nu'!R76</f>
        <v>0</v>
      </c>
      <c r="S76" s="221"/>
      <c r="T76" s="260">
        <f>INDEX(G76:R76,MATCH(0,G76:R76,0)-1)</f>
        <v>0.39778776000000005</v>
      </c>
    </row>
    <row r="77" spans="1:20" hidden="1" outlineLevel="2" x14ac:dyDescent="0.2">
      <c r="A77" s="254"/>
      <c r="B77" s="272" t="s">
        <v>35</v>
      </c>
      <c r="C77" s="273" t="s">
        <v>86</v>
      </c>
      <c r="D77" s="61"/>
      <c r="E77" s="261"/>
      <c r="F77" s="61"/>
      <c r="G77" s="262">
        <f>IF(G76=0,0,G76/((G76+E76)/2))</f>
        <v>0.5</v>
      </c>
      <c r="H77" s="263">
        <f>IF(H76=0,0,H76/((H76+G76)/2))</f>
        <v>5.3066850447966912E-2</v>
      </c>
      <c r="I77" s="263">
        <f t="shared" ref="I77:R77" si="31">IF(I76=0,0,I76/((I76+H76)/2))</f>
        <v>0.98684210526315785</v>
      </c>
      <c r="J77" s="263">
        <f t="shared" si="31"/>
        <v>0</v>
      </c>
      <c r="K77" s="263">
        <f t="shared" si="31"/>
        <v>0</v>
      </c>
      <c r="L77" s="263">
        <f t="shared" si="31"/>
        <v>0</v>
      </c>
      <c r="M77" s="263">
        <f t="shared" si="31"/>
        <v>0</v>
      </c>
      <c r="N77" s="263">
        <f t="shared" si="31"/>
        <v>0</v>
      </c>
      <c r="O77" s="263">
        <f t="shared" si="31"/>
        <v>0</v>
      </c>
      <c r="P77" s="263">
        <f t="shared" si="31"/>
        <v>0</v>
      </c>
      <c r="Q77" s="263">
        <f t="shared" si="31"/>
        <v>0</v>
      </c>
      <c r="R77" s="264">
        <f t="shared" si="31"/>
        <v>0</v>
      </c>
      <c r="S77" s="61"/>
      <c r="T77" s="265">
        <f>IF(T76=0,0,T76/((T76+$E76)/2))</f>
        <v>1.7543859649122806E-2</v>
      </c>
    </row>
    <row r="78" spans="1:20" hidden="1" outlineLevel="2" x14ac:dyDescent="0.2">
      <c r="A78" s="254"/>
      <c r="B78" s="266" t="s">
        <v>37</v>
      </c>
      <c r="C78" s="267" t="s">
        <v>89</v>
      </c>
      <c r="D78" s="61"/>
      <c r="E78" s="268">
        <f>'[6]Suivi Rotation de Stock Fer Nu'!$E78</f>
        <v>5.7754216840320005</v>
      </c>
      <c r="F78" s="61"/>
      <c r="G78" s="269">
        <f>'[6]Suivi Rotation de Stock Fer Nu'!G78</f>
        <v>2.8910984699519999</v>
      </c>
      <c r="H78" s="270">
        <f>'[6]Suivi Rotation de Stock Fer Nu'!H78</f>
        <v>2.8910984699519999</v>
      </c>
      <c r="I78" s="270">
        <f>'[6]Suivi Rotation de Stock Fer Nu'!I78</f>
        <v>0</v>
      </c>
      <c r="J78" s="270">
        <f>'[6]Suivi Rotation de Stock Fer Nu'!J78</f>
        <v>0</v>
      </c>
      <c r="K78" s="270">
        <f>'[6]Suivi Rotation de Stock Fer Nu'!K78</f>
        <v>0</v>
      </c>
      <c r="L78" s="270">
        <f>'[6]Suivi Rotation de Stock Fer Nu'!L78</f>
        <v>0</v>
      </c>
      <c r="M78" s="270">
        <f>'[6]Suivi Rotation de Stock Fer Nu'!M78</f>
        <v>0</v>
      </c>
      <c r="N78" s="270">
        <f>'[6]Suivi Rotation de Stock Fer Nu'!N78</f>
        <v>0</v>
      </c>
      <c r="O78" s="270">
        <f>'[6]Suivi Rotation de Stock Fer Nu'!O78</f>
        <v>0</v>
      </c>
      <c r="P78" s="270">
        <f>'[6]Suivi Rotation de Stock Fer Nu'!P78</f>
        <v>0</v>
      </c>
      <c r="Q78" s="270">
        <f>'[6]Suivi Rotation de Stock Fer Nu'!Q78</f>
        <v>0</v>
      </c>
      <c r="R78" s="271">
        <f>'[6]Suivi Rotation de Stock Fer Nu'!R78</f>
        <v>0</v>
      </c>
      <c r="S78" s="61"/>
      <c r="T78" s="260">
        <f>INDEX(G78:R78,MATCH(0,G78:R78,0)-1)</f>
        <v>2.8910984699519999</v>
      </c>
    </row>
    <row r="79" spans="1:20" hidden="1" outlineLevel="2" x14ac:dyDescent="0.2">
      <c r="A79" s="254"/>
      <c r="B79" s="272" t="s">
        <v>37</v>
      </c>
      <c r="C79" s="273" t="s">
        <v>86</v>
      </c>
      <c r="D79" s="61"/>
      <c r="E79" s="261"/>
      <c r="F79" s="61"/>
      <c r="G79" s="262">
        <f>IF(G78=0,0,G78/((G78+E78)/2))</f>
        <v>0.66718784900603079</v>
      </c>
      <c r="H79" s="263">
        <f>IF(H78=0,0,H78/((H78+G78)/2))</f>
        <v>1</v>
      </c>
      <c r="I79" s="263">
        <f t="shared" ref="I79:R79" si="32">IF(I78=0,0,I78/((I78+H78)/2))</f>
        <v>0</v>
      </c>
      <c r="J79" s="263">
        <f t="shared" si="32"/>
        <v>0</v>
      </c>
      <c r="K79" s="263">
        <f t="shared" si="32"/>
        <v>0</v>
      </c>
      <c r="L79" s="263">
        <f t="shared" si="32"/>
        <v>0</v>
      </c>
      <c r="M79" s="263">
        <f t="shared" si="32"/>
        <v>0</v>
      </c>
      <c r="N79" s="263">
        <f t="shared" si="32"/>
        <v>0</v>
      </c>
      <c r="O79" s="263">
        <f t="shared" si="32"/>
        <v>0</v>
      </c>
      <c r="P79" s="263">
        <f t="shared" si="32"/>
        <v>0</v>
      </c>
      <c r="Q79" s="263">
        <f t="shared" si="32"/>
        <v>0</v>
      </c>
      <c r="R79" s="264">
        <f t="shared" si="32"/>
        <v>0</v>
      </c>
      <c r="S79" s="61"/>
      <c r="T79" s="265">
        <f>IF(T78=0,0,T78/((T78+$E78)/2))</f>
        <v>0.66718784900603079</v>
      </c>
    </row>
    <row r="80" spans="1:20" hidden="1" outlineLevel="2" x14ac:dyDescent="0.2">
      <c r="A80" s="254"/>
      <c r="B80" s="266" t="s">
        <v>44</v>
      </c>
      <c r="C80" s="267" t="s">
        <v>89</v>
      </c>
      <c r="D80" s="61"/>
      <c r="E80" s="268">
        <f>'[6]Suivi Rotation de Stock Fer Nu'!$E80</f>
        <v>16.049025043649998</v>
      </c>
      <c r="F80" s="61"/>
      <c r="G80" s="269">
        <f>'[6]Suivi Rotation de Stock Fer Nu'!G80</f>
        <v>5.3496750145499998</v>
      </c>
      <c r="H80" s="270">
        <f>'[6]Suivi Rotation de Stock Fer Nu'!H80</f>
        <v>2.9858651244000001</v>
      </c>
      <c r="I80" s="270">
        <f>'[6]Suivi Rotation de Stock Fer Nu'!I80</f>
        <v>2.9858651244000001</v>
      </c>
      <c r="J80" s="270">
        <f>'[6]Suivi Rotation de Stock Fer Nu'!J80</f>
        <v>0</v>
      </c>
      <c r="K80" s="270">
        <f>'[6]Suivi Rotation de Stock Fer Nu'!K80</f>
        <v>0</v>
      </c>
      <c r="L80" s="270">
        <f>'[6]Suivi Rotation de Stock Fer Nu'!L80</f>
        <v>0</v>
      </c>
      <c r="M80" s="270">
        <f>'[6]Suivi Rotation de Stock Fer Nu'!M80</f>
        <v>0</v>
      </c>
      <c r="N80" s="270">
        <f>'[6]Suivi Rotation de Stock Fer Nu'!N80</f>
        <v>0</v>
      </c>
      <c r="O80" s="270">
        <f>'[6]Suivi Rotation de Stock Fer Nu'!O80</f>
        <v>0</v>
      </c>
      <c r="P80" s="270">
        <f>'[6]Suivi Rotation de Stock Fer Nu'!P80</f>
        <v>0</v>
      </c>
      <c r="Q80" s="270">
        <f>'[6]Suivi Rotation de Stock Fer Nu'!Q80</f>
        <v>0</v>
      </c>
      <c r="R80" s="271">
        <f>'[6]Suivi Rotation de Stock Fer Nu'!R80</f>
        <v>0</v>
      </c>
      <c r="S80" s="61"/>
      <c r="T80" s="260">
        <f>INDEX(G80:R80,MATCH(0,G80:R80,0)-1)</f>
        <v>2.9858651244000001</v>
      </c>
    </row>
    <row r="81" spans="1:20" hidden="1" outlineLevel="2" x14ac:dyDescent="0.2">
      <c r="A81" s="254"/>
      <c r="B81" s="272" t="s">
        <v>44</v>
      </c>
      <c r="C81" s="273" t="s">
        <v>86</v>
      </c>
      <c r="D81" s="61"/>
      <c r="E81" s="261"/>
      <c r="F81" s="61"/>
      <c r="G81" s="262">
        <f>IF(G80=0,0,G80/((G80+E80)/2))</f>
        <v>0.5</v>
      </c>
      <c r="H81" s="263">
        <f>IF(H80=0,0,H80/((H80+G80)/2))</f>
        <v>0.71641791044776126</v>
      </c>
      <c r="I81" s="263">
        <f t="shared" ref="I81:R81" si="33">IF(I80=0,0,I80/((I80+H80)/2))</f>
        <v>1</v>
      </c>
      <c r="J81" s="263">
        <f t="shared" si="33"/>
        <v>0</v>
      </c>
      <c r="K81" s="263">
        <f t="shared" si="33"/>
        <v>0</v>
      </c>
      <c r="L81" s="263">
        <f t="shared" si="33"/>
        <v>0</v>
      </c>
      <c r="M81" s="263">
        <f t="shared" si="33"/>
        <v>0</v>
      </c>
      <c r="N81" s="263">
        <f t="shared" si="33"/>
        <v>0</v>
      </c>
      <c r="O81" s="263">
        <f t="shared" si="33"/>
        <v>0</v>
      </c>
      <c r="P81" s="263">
        <f t="shared" si="33"/>
        <v>0</v>
      </c>
      <c r="Q81" s="263">
        <f t="shared" si="33"/>
        <v>0</v>
      </c>
      <c r="R81" s="264">
        <f t="shared" si="33"/>
        <v>0</v>
      </c>
      <c r="S81" s="61"/>
      <c r="T81" s="265">
        <f>IF(T80=0,0,T80/((T80+$E80)/2))</f>
        <v>0.31372549019607848</v>
      </c>
    </row>
    <row r="82" spans="1:20" hidden="1" outlineLevel="2" x14ac:dyDescent="0.2">
      <c r="A82" s="254"/>
      <c r="B82" s="17" t="s">
        <v>42</v>
      </c>
      <c r="C82" s="255" t="s">
        <v>89</v>
      </c>
      <c r="D82" s="61"/>
      <c r="E82" s="268">
        <f>'[6]Suivi Rotation de Stock Fer Nu'!$E82</f>
        <v>0</v>
      </c>
      <c r="F82" s="61"/>
      <c r="G82" s="274">
        <f>'[6]Suivi Rotation de Stock Fer Nu'!G82</f>
        <v>0</v>
      </c>
      <c r="H82" s="209">
        <f>'[6]Suivi Rotation de Stock Fer Nu'!H82</f>
        <v>0</v>
      </c>
      <c r="I82" s="209">
        <f>'[6]Suivi Rotation de Stock Fer Nu'!I82</f>
        <v>0</v>
      </c>
      <c r="J82" s="209">
        <f>'[6]Suivi Rotation de Stock Fer Nu'!J82</f>
        <v>0</v>
      </c>
      <c r="K82" s="209">
        <f>'[6]Suivi Rotation de Stock Fer Nu'!K82</f>
        <v>0</v>
      </c>
      <c r="L82" s="209">
        <f>'[6]Suivi Rotation de Stock Fer Nu'!L82</f>
        <v>0</v>
      </c>
      <c r="M82" s="209">
        <f>'[6]Suivi Rotation de Stock Fer Nu'!M82</f>
        <v>0</v>
      </c>
      <c r="N82" s="209">
        <f>'[6]Suivi Rotation de Stock Fer Nu'!N82</f>
        <v>0</v>
      </c>
      <c r="O82" s="209">
        <f>'[6]Suivi Rotation de Stock Fer Nu'!O82</f>
        <v>0</v>
      </c>
      <c r="P82" s="209">
        <f>'[6]Suivi Rotation de Stock Fer Nu'!P82</f>
        <v>0</v>
      </c>
      <c r="Q82" s="209">
        <f>'[6]Suivi Rotation de Stock Fer Nu'!Q82</f>
        <v>0</v>
      </c>
      <c r="R82" s="275">
        <f>'[6]Suivi Rotation de Stock Fer Nu'!R82</f>
        <v>0</v>
      </c>
      <c r="S82" s="61"/>
      <c r="T82" s="260">
        <v>0</v>
      </c>
    </row>
    <row r="83" spans="1:20" hidden="1" outlineLevel="2" x14ac:dyDescent="0.2">
      <c r="A83" s="284"/>
      <c r="B83" s="276" t="s">
        <v>42</v>
      </c>
      <c r="C83" s="277" t="s">
        <v>86</v>
      </c>
      <c r="D83" s="61"/>
      <c r="E83" s="285"/>
      <c r="F83" s="61"/>
      <c r="G83" s="286">
        <f>IF(G82=0,0,G82/((G82+E82)/2))</f>
        <v>0</v>
      </c>
      <c r="H83" s="287">
        <f>IF(H82=0,0,H82/((H82+G82)/2))</f>
        <v>0</v>
      </c>
      <c r="I83" s="287">
        <f t="shared" ref="I83:R83" si="34">IF(I82=0,0,I82/((I82+H82)/2))</f>
        <v>0</v>
      </c>
      <c r="J83" s="287">
        <f t="shared" si="34"/>
        <v>0</v>
      </c>
      <c r="K83" s="287">
        <f t="shared" si="34"/>
        <v>0</v>
      </c>
      <c r="L83" s="287">
        <f t="shared" si="34"/>
        <v>0</v>
      </c>
      <c r="M83" s="287">
        <f t="shared" si="34"/>
        <v>0</v>
      </c>
      <c r="N83" s="287">
        <f t="shared" si="34"/>
        <v>0</v>
      </c>
      <c r="O83" s="287">
        <f t="shared" si="34"/>
        <v>0</v>
      </c>
      <c r="P83" s="287">
        <f t="shared" si="34"/>
        <v>0</v>
      </c>
      <c r="Q83" s="287">
        <f t="shared" si="34"/>
        <v>0</v>
      </c>
      <c r="R83" s="288">
        <f t="shared" si="34"/>
        <v>0</v>
      </c>
      <c r="S83" s="61"/>
      <c r="T83" s="289">
        <f>IF(T82=0,0,T82/((T82+$E82)/2))</f>
        <v>0</v>
      </c>
    </row>
    <row r="84" spans="1:20" collapsed="1" x14ac:dyDescent="0.2"/>
  </sheetData>
  <mergeCells count="8">
    <mergeCell ref="A54:A55"/>
    <mergeCell ref="B54:B55"/>
    <mergeCell ref="A1:B1"/>
    <mergeCell ref="C18:D18"/>
    <mergeCell ref="T18:T22"/>
    <mergeCell ref="C20:D20"/>
    <mergeCell ref="A24:A25"/>
    <mergeCell ref="B24:B25"/>
  </mergeCells>
  <conditionalFormatting sqref="E20:R20">
    <cfRule type="dataBar" priority="6">
      <dataBar>
        <cfvo type="min"/>
        <cfvo type="max"/>
        <color theme="6"/>
      </dataBar>
      <extLst>
        <ext xmlns:x14="http://schemas.microsoft.com/office/spreadsheetml/2009/9/main" uri="{B025F937-C7B1-47D3-B67F-A62EFF666E3E}">
          <x14:id>{EA395246-9519-48DA-9CC2-5DF43858C5AB}</x14:id>
        </ext>
      </extLst>
    </cfRule>
  </conditionalFormatting>
  <conditionalFormatting sqref="E18:R18">
    <cfRule type="dataBar" priority="5">
      <dataBar>
        <cfvo type="min"/>
        <cfvo type="max"/>
        <color theme="7" tint="-0.249977111117893"/>
      </dataBar>
      <extLst>
        <ext xmlns:x14="http://schemas.microsoft.com/office/spreadsheetml/2009/9/main" uri="{B025F937-C7B1-47D3-B67F-A62EFF666E3E}">
          <x14:id>{FCA83E3C-E4D2-41B4-B4E4-014759B0E16D}</x14:id>
        </ext>
      </extLst>
    </cfRule>
  </conditionalFormatting>
  <conditionalFormatting sqref="G20:R20"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{C58BBC0A-566B-4034-9F3F-89B6A8D0D9AD}</x14:id>
        </ext>
      </extLst>
    </cfRule>
  </conditionalFormatting>
  <conditionalFormatting sqref="G18:R18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{C818B5BC-3108-431E-873F-ED0DEFDCC442}</x14:id>
        </ext>
      </extLst>
    </cfRule>
  </conditionalFormatting>
  <conditionalFormatting sqref="E20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{14B1BA57-64CD-4241-8DC6-4747BC6A4C09}</x14:id>
        </ext>
      </extLst>
    </cfRule>
  </conditionalFormatting>
  <conditionalFormatting sqref="E18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{2A0E7B06-A723-4663-80CC-C5A8F72FF225}</x14:id>
        </ext>
      </extLst>
    </cfRule>
  </conditionalFormatting>
  <hyperlinks>
    <hyperlink ref="A1:B1" r:id="rId1" location="Récapitulatif!A1" display="TBD CCE" xr:uid="{F84680DD-E2C6-4796-A39B-141969A59F7E}"/>
  </hyperlinks>
  <pageMargins left="0.70866141732283472" right="0.70866141732283472" top="0.74803149606299213" bottom="0.74803149606299213" header="0.31496062992125984" footer="0.31496062992125984"/>
  <pageSetup paperSize="9" scale="48" orientation="landscape" verticalDpi="0" r:id="rId2"/>
  <ignoredErrors>
    <ignoredError sqref="G26:T83 T25" formula="1"/>
  </ignoredErrors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395246-9519-48DA-9CC2-5DF43858C5AB}">
            <x14:dataBar minLength="0" maxLength="100" border="1" direction="leftToRight" negativeBarBorderColorSameAsPositive="0">
              <x14:cfvo type="autoMin"/>
              <x14:cfvo type="autoMax"/>
              <x14:borderColor theme="6" tint="0.79998168889431442"/>
              <x14:negativeFillColor rgb="FFFF0000"/>
              <x14:negativeBorderColor rgb="FFFF0000"/>
              <x14:axisColor rgb="FF000000"/>
            </x14:dataBar>
          </x14:cfRule>
          <xm:sqref>E20:R20</xm:sqref>
        </x14:conditionalFormatting>
        <x14:conditionalFormatting xmlns:xm="http://schemas.microsoft.com/office/excel/2006/main">
          <x14:cfRule type="dataBar" id="{FCA83E3C-E4D2-41B4-B4E4-014759B0E16D}">
            <x14:dataBar minLength="0" maxLength="100" border="1" negativeBarBorderColorSameAsPositive="0">
              <x14:cfvo type="autoMin"/>
              <x14:cfvo type="autoMax"/>
              <x14:borderColor theme="7" tint="-0.249977111117893"/>
              <x14:negativeFillColor rgb="FFFF0000"/>
              <x14:negativeBorderColor rgb="FFFF0000"/>
              <x14:axisColor rgb="FF000000"/>
            </x14:dataBar>
          </x14:cfRule>
          <xm:sqref>E18:R18</xm:sqref>
        </x14:conditionalFormatting>
        <x14:conditionalFormatting xmlns:xm="http://schemas.microsoft.com/office/excel/2006/main">
          <x14:cfRule type="dataBar" id="{C58BBC0A-566B-4034-9F3F-89B6A8D0D9A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G20:R20</xm:sqref>
        </x14:conditionalFormatting>
        <x14:conditionalFormatting xmlns:xm="http://schemas.microsoft.com/office/excel/2006/main">
          <x14:cfRule type="dataBar" id="{C818B5BC-3108-431E-873F-ED0DEFDCC4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G18:R18</xm:sqref>
        </x14:conditionalFormatting>
        <x14:conditionalFormatting xmlns:xm="http://schemas.microsoft.com/office/excel/2006/main">
          <x14:cfRule type="dataBar" id="{14B1BA57-64CD-4241-8DC6-4747BC6A4C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E20</xm:sqref>
        </x14:conditionalFormatting>
        <x14:conditionalFormatting xmlns:xm="http://schemas.microsoft.com/office/excel/2006/main">
          <x14:cfRule type="dataBar" id="{2A0E7B06-A723-4663-80CC-C5A8F72FF2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6FE74-655D-4F76-914C-40FA4CE13C46}">
  <sheetPr>
    <tabColor theme="9" tint="-0.249977111117893"/>
  </sheetPr>
  <dimension ref="A1:T71"/>
  <sheetViews>
    <sheetView showGridLines="0" zoomScale="85" zoomScaleNormal="85" workbookViewId="0">
      <selection activeCell="B5" sqref="B5:H6"/>
    </sheetView>
  </sheetViews>
  <sheetFormatPr baseColWidth="10" defaultRowHeight="12.75" outlineLevelRow="1" x14ac:dyDescent="0.2"/>
  <cols>
    <col min="1" max="1" width="63.5703125" style="292" customWidth="1"/>
    <col min="2" max="2" width="10.28515625" style="291" hidden="1" customWidth="1"/>
    <col min="3" max="3" width="15.5703125" style="292" bestFit="1" customWidth="1"/>
    <col min="4" max="4" width="20.5703125" style="292" bestFit="1" customWidth="1"/>
    <col min="5" max="5" width="0.85546875" style="292" customWidth="1"/>
    <col min="6" max="6" width="12.85546875" style="291" customWidth="1"/>
    <col min="7" max="7" width="12.42578125" style="291" customWidth="1"/>
    <col min="8" max="8" width="10.7109375" style="291" customWidth="1"/>
    <col min="9" max="9" width="10.140625" style="291" customWidth="1"/>
    <col min="10" max="10" width="9.28515625" style="291" customWidth="1"/>
    <col min="11" max="11" width="11.42578125" style="291"/>
    <col min="12" max="12" width="11.5703125" style="291" customWidth="1"/>
    <col min="13" max="13" width="10.28515625" style="291" customWidth="1"/>
    <col min="14" max="14" width="16.140625" style="291" customWidth="1"/>
    <col min="15" max="15" width="13.42578125" style="291" customWidth="1"/>
    <col min="16" max="16" width="15.42578125" style="291" customWidth="1"/>
    <col min="17" max="17" width="9.140625" style="291" customWidth="1"/>
    <col min="18" max="18" width="0.85546875" style="292" customWidth="1"/>
    <col min="19" max="19" width="11.42578125" style="293"/>
    <col min="20" max="20" width="11.42578125" style="346"/>
    <col min="21" max="16384" width="11.42578125" style="292"/>
  </cols>
  <sheetData>
    <row r="1" spans="1:20" ht="15" x14ac:dyDescent="0.25">
      <c r="A1" s="175" t="s">
        <v>66</v>
      </c>
    </row>
    <row r="2" spans="1:20" ht="15" x14ac:dyDescent="0.25">
      <c r="A2" s="290"/>
    </row>
    <row r="3" spans="1:20" ht="15" x14ac:dyDescent="0.25">
      <c r="A3" s="290"/>
    </row>
    <row r="5" spans="1:20" ht="5.0999999999999996" customHeight="1" x14ac:dyDescent="0.2">
      <c r="C5" s="177"/>
      <c r="D5" s="177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</row>
    <row r="6" spans="1:20" ht="12.75" customHeight="1" x14ac:dyDescent="0.2">
      <c r="C6" s="294" t="s">
        <v>90</v>
      </c>
      <c r="D6" s="295">
        <f>SUMIFS(F6:Q6,F8:Q8,"&lt;&gt;0")</f>
        <v>35680</v>
      </c>
      <c r="E6" s="296"/>
      <c r="F6" s="297">
        <f>F14+F43</f>
        <v>8920</v>
      </c>
      <c r="G6" s="298">
        <f t="shared" ref="G6:Q6" si="0">G14+G43</f>
        <v>8920</v>
      </c>
      <c r="H6" s="298">
        <f t="shared" si="0"/>
        <v>8920</v>
      </c>
      <c r="I6" s="298">
        <f t="shared" si="0"/>
        <v>8920</v>
      </c>
      <c r="J6" s="298">
        <f t="shared" si="0"/>
        <v>8920</v>
      </c>
      <c r="K6" s="298">
        <f t="shared" si="0"/>
        <v>8920</v>
      </c>
      <c r="L6" s="298">
        <f t="shared" si="0"/>
        <v>8920</v>
      </c>
      <c r="M6" s="298">
        <f t="shared" si="0"/>
        <v>8920</v>
      </c>
      <c r="N6" s="298">
        <f t="shared" si="0"/>
        <v>8920</v>
      </c>
      <c r="O6" s="298">
        <f t="shared" si="0"/>
        <v>8920</v>
      </c>
      <c r="P6" s="298">
        <f t="shared" si="0"/>
        <v>8920</v>
      </c>
      <c r="Q6" s="299">
        <f t="shared" si="0"/>
        <v>8920</v>
      </c>
      <c r="S6" s="805">
        <f>SUM(F8:Q8)/SUMIFS(F6:Q6,F8:Q8,"&lt;&gt;0")</f>
        <v>0.49352578475336323</v>
      </c>
    </row>
    <row r="7" spans="1:20" ht="3" customHeight="1" x14ac:dyDescent="0.2">
      <c r="D7" s="296"/>
      <c r="E7" s="296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S7" s="805"/>
    </row>
    <row r="8" spans="1:20" ht="12.75" customHeight="1" x14ac:dyDescent="0.2">
      <c r="C8" s="301" t="s">
        <v>91</v>
      </c>
      <c r="D8" s="295">
        <f>SUM(F8:Q8)</f>
        <v>17609</v>
      </c>
      <c r="E8" s="296"/>
      <c r="F8" s="302">
        <f t="shared" ref="F8:Q8" si="1">F15+F44</f>
        <v>3782</v>
      </c>
      <c r="G8" s="303">
        <f t="shared" si="1"/>
        <v>4077</v>
      </c>
      <c r="H8" s="303">
        <f t="shared" si="1"/>
        <v>4543</v>
      </c>
      <c r="I8" s="303">
        <f t="shared" si="1"/>
        <v>5207</v>
      </c>
      <c r="J8" s="303">
        <f t="shared" si="1"/>
        <v>0</v>
      </c>
      <c r="K8" s="303">
        <f t="shared" si="1"/>
        <v>0</v>
      </c>
      <c r="L8" s="303">
        <f t="shared" si="1"/>
        <v>0</v>
      </c>
      <c r="M8" s="303">
        <f t="shared" si="1"/>
        <v>0</v>
      </c>
      <c r="N8" s="303">
        <f t="shared" si="1"/>
        <v>0</v>
      </c>
      <c r="O8" s="303">
        <f t="shared" si="1"/>
        <v>0</v>
      </c>
      <c r="P8" s="303">
        <f t="shared" si="1"/>
        <v>0</v>
      </c>
      <c r="Q8" s="304">
        <f t="shared" si="1"/>
        <v>0</v>
      </c>
      <c r="S8" s="805"/>
    </row>
    <row r="9" spans="1:20" ht="3" customHeight="1" x14ac:dyDescent="0.2">
      <c r="D9" s="293"/>
      <c r="F9" s="305"/>
      <c r="G9" s="305"/>
      <c r="H9" s="305"/>
      <c r="I9" s="305"/>
      <c r="J9" s="305"/>
      <c r="K9" s="305"/>
      <c r="L9" s="305"/>
      <c r="M9" s="305"/>
      <c r="N9" s="305"/>
      <c r="O9" s="305"/>
      <c r="P9" s="305"/>
      <c r="Q9" s="305"/>
      <c r="S9" s="805"/>
    </row>
    <row r="10" spans="1:20" ht="12.75" customHeight="1" x14ac:dyDescent="0.2">
      <c r="C10" s="306" t="s">
        <v>92</v>
      </c>
      <c r="D10" s="307">
        <f t="shared" ref="D10:Q10" si="2">D8/D6</f>
        <v>0.49352578475336323</v>
      </c>
      <c r="F10" s="308">
        <f t="shared" si="2"/>
        <v>0.42399103139013455</v>
      </c>
      <c r="G10" s="309">
        <f t="shared" si="2"/>
        <v>0.45706278026905828</v>
      </c>
      <c r="H10" s="309">
        <f t="shared" si="2"/>
        <v>0.50930493273542599</v>
      </c>
      <c r="I10" s="309">
        <f t="shared" si="2"/>
        <v>0.58374439461883409</v>
      </c>
      <c r="J10" s="309">
        <f t="shared" si="2"/>
        <v>0</v>
      </c>
      <c r="K10" s="309">
        <f t="shared" si="2"/>
        <v>0</v>
      </c>
      <c r="L10" s="309">
        <f t="shared" si="2"/>
        <v>0</v>
      </c>
      <c r="M10" s="309">
        <f t="shared" si="2"/>
        <v>0</v>
      </c>
      <c r="N10" s="309">
        <f t="shared" si="2"/>
        <v>0</v>
      </c>
      <c r="O10" s="309">
        <f t="shared" si="2"/>
        <v>0</v>
      </c>
      <c r="P10" s="309">
        <f t="shared" si="2"/>
        <v>0</v>
      </c>
      <c r="Q10" s="310">
        <f t="shared" si="2"/>
        <v>0</v>
      </c>
      <c r="S10" s="805"/>
    </row>
    <row r="11" spans="1:20" ht="9.9499999999999993" customHeight="1" x14ac:dyDescent="0.2">
      <c r="C11" s="177"/>
      <c r="D11" s="177"/>
      <c r="F11" s="305"/>
      <c r="G11" s="305"/>
      <c r="H11" s="305"/>
      <c r="I11" s="305"/>
      <c r="J11" s="305"/>
      <c r="K11" s="305"/>
      <c r="L11" s="305"/>
      <c r="M11" s="305"/>
      <c r="N11" s="305"/>
      <c r="O11" s="305"/>
      <c r="P11" s="305"/>
      <c r="Q11" s="305"/>
      <c r="S11" s="805"/>
    </row>
    <row r="12" spans="1:20" x14ac:dyDescent="0.2">
      <c r="C12" s="177"/>
      <c r="D12" s="177"/>
      <c r="F12" s="311" t="s">
        <v>8</v>
      </c>
      <c r="G12" s="312" t="s">
        <v>9</v>
      </c>
      <c r="H12" s="312" t="s">
        <v>10</v>
      </c>
      <c r="I12" s="312" t="s">
        <v>11</v>
      </c>
      <c r="J12" s="312" t="s">
        <v>12</v>
      </c>
      <c r="K12" s="312" t="s">
        <v>13</v>
      </c>
      <c r="L12" s="312" t="s">
        <v>14</v>
      </c>
      <c r="M12" s="312" t="s">
        <v>15</v>
      </c>
      <c r="N12" s="312" t="s">
        <v>16</v>
      </c>
      <c r="O12" s="312" t="s">
        <v>17</v>
      </c>
      <c r="P12" s="312" t="s">
        <v>18</v>
      </c>
      <c r="Q12" s="313" t="s">
        <v>19</v>
      </c>
      <c r="S12" s="805"/>
    </row>
    <row r="13" spans="1:20" ht="9.9499999999999993" customHeight="1" x14ac:dyDescent="0.2">
      <c r="C13" s="177"/>
      <c r="D13" s="177"/>
      <c r="F13" s="305"/>
      <c r="G13" s="305"/>
      <c r="H13" s="305"/>
      <c r="I13" s="305"/>
      <c r="J13" s="305"/>
      <c r="K13" s="305"/>
      <c r="L13" s="305"/>
      <c r="M13" s="305"/>
      <c r="N13" s="305"/>
      <c r="O13" s="305"/>
      <c r="P13" s="305"/>
      <c r="Q13" s="305"/>
    </row>
    <row r="14" spans="1:20" x14ac:dyDescent="0.2">
      <c r="B14" s="806" t="s">
        <v>58</v>
      </c>
      <c r="C14" s="809" t="s">
        <v>93</v>
      </c>
      <c r="D14" s="348" t="s">
        <v>94</v>
      </c>
      <c r="F14" s="315">
        <v>3320</v>
      </c>
      <c r="G14" s="316">
        <v>3320</v>
      </c>
      <c r="H14" s="316">
        <v>3320</v>
      </c>
      <c r="I14" s="316">
        <v>3320</v>
      </c>
      <c r="J14" s="316">
        <v>3320</v>
      </c>
      <c r="K14" s="316">
        <v>3320</v>
      </c>
      <c r="L14" s="316">
        <v>3320</v>
      </c>
      <c r="M14" s="316">
        <v>3320</v>
      </c>
      <c r="N14" s="316">
        <v>3320</v>
      </c>
      <c r="O14" s="316">
        <v>3320</v>
      </c>
      <c r="P14" s="316">
        <v>3320</v>
      </c>
      <c r="Q14" s="317">
        <v>3320</v>
      </c>
      <c r="S14" s="318">
        <f>SUMIFS(F14:Q14,F15:Q15,"&lt;&gt;0")</f>
        <v>13280</v>
      </c>
    </row>
    <row r="15" spans="1:20" x14ac:dyDescent="0.2">
      <c r="B15" s="807"/>
      <c r="C15" s="807"/>
      <c r="D15" s="319" t="s">
        <v>95</v>
      </c>
      <c r="F15" s="320">
        <f t="shared" ref="F15:Q15" si="3">SUM(F17:F42)</f>
        <v>1789</v>
      </c>
      <c r="G15" s="321">
        <f t="shared" si="3"/>
        <v>1872</v>
      </c>
      <c r="H15" s="321">
        <f t="shared" si="3"/>
        <v>2345</v>
      </c>
      <c r="I15" s="321">
        <f t="shared" si="3"/>
        <v>3055</v>
      </c>
      <c r="J15" s="321">
        <f t="shared" si="3"/>
        <v>0</v>
      </c>
      <c r="K15" s="321">
        <f t="shared" si="3"/>
        <v>0</v>
      </c>
      <c r="L15" s="321">
        <f t="shared" si="3"/>
        <v>0</v>
      </c>
      <c r="M15" s="321">
        <f t="shared" si="3"/>
        <v>0</v>
      </c>
      <c r="N15" s="321">
        <f t="shared" si="3"/>
        <v>0</v>
      </c>
      <c r="O15" s="321">
        <f t="shared" si="3"/>
        <v>0</v>
      </c>
      <c r="P15" s="321">
        <f t="shared" si="3"/>
        <v>0</v>
      </c>
      <c r="Q15" s="322">
        <f t="shared" si="3"/>
        <v>0</v>
      </c>
      <c r="S15" s="323">
        <f>+SUM(F15:Q15)</f>
        <v>9061</v>
      </c>
    </row>
    <row r="16" spans="1:20" x14ac:dyDescent="0.2">
      <c r="B16" s="808"/>
      <c r="C16" s="808"/>
      <c r="D16" s="324" t="s">
        <v>92</v>
      </c>
      <c r="F16" s="325">
        <f>F15/F14</f>
        <v>0.53885542168674694</v>
      </c>
      <c r="G16" s="326">
        <f t="shared" ref="G16:S16" si="4">G15/G14</f>
        <v>0.56385542168674696</v>
      </c>
      <c r="H16" s="326">
        <f t="shared" si="4"/>
        <v>0.70632530120481929</v>
      </c>
      <c r="I16" s="326">
        <f t="shared" si="4"/>
        <v>0.92018072289156627</v>
      </c>
      <c r="J16" s="326">
        <f t="shared" si="4"/>
        <v>0</v>
      </c>
      <c r="K16" s="326">
        <f t="shared" si="4"/>
        <v>0</v>
      </c>
      <c r="L16" s="326">
        <f t="shared" si="4"/>
        <v>0</v>
      </c>
      <c r="M16" s="326">
        <f t="shared" si="4"/>
        <v>0</v>
      </c>
      <c r="N16" s="326">
        <f t="shared" si="4"/>
        <v>0</v>
      </c>
      <c r="O16" s="326">
        <f t="shared" si="4"/>
        <v>0</v>
      </c>
      <c r="P16" s="326">
        <f t="shared" si="4"/>
        <v>0</v>
      </c>
      <c r="Q16" s="327">
        <f t="shared" si="4"/>
        <v>0</v>
      </c>
      <c r="S16" s="328">
        <f t="shared" si="4"/>
        <v>0.68230421686746989</v>
      </c>
      <c r="T16" s="347">
        <f>100%-S16</f>
        <v>0.31769578313253011</v>
      </c>
    </row>
    <row r="17" spans="2:19" hidden="1" outlineLevel="1" x14ac:dyDescent="0.2">
      <c r="B17" s="329"/>
      <c r="C17" s="349" t="str">
        <f>INDEX([7]Analyse!L5:L55,1)</f>
        <v>BT1/2</v>
      </c>
      <c r="D17" s="331"/>
      <c r="E17" s="330"/>
      <c r="F17" s="332">
        <f>'[7]Taux de Remplissage Magasin PF'!F15</f>
        <v>150</v>
      </c>
      <c r="G17" s="333">
        <f>'[7]Taux de Remplissage Magasin PF'!G15</f>
        <v>184</v>
      </c>
      <c r="H17" s="333">
        <f>'[7]Taux de Remplissage Magasin PF'!H15</f>
        <v>441</v>
      </c>
      <c r="I17" s="333">
        <f>'[7]Taux de Remplissage Magasin PF'!I15</f>
        <v>680</v>
      </c>
      <c r="J17" s="333">
        <f>'[7]Taux de Remplissage Magasin PF'!J15</f>
        <v>0</v>
      </c>
      <c r="K17" s="333">
        <f>'[7]Taux de Remplissage Magasin PF'!K15</f>
        <v>0</v>
      </c>
      <c r="L17" s="333">
        <f>'[7]Taux de Remplissage Magasin PF'!L15</f>
        <v>0</v>
      </c>
      <c r="M17" s="333">
        <f>'[7]Taux de Remplissage Magasin PF'!M15</f>
        <v>0</v>
      </c>
      <c r="N17" s="333">
        <f>'[7]Taux de Remplissage Magasin PF'!N15</f>
        <v>0</v>
      </c>
      <c r="O17" s="333">
        <f>'[7]Taux de Remplissage Magasin PF'!O15</f>
        <v>0</v>
      </c>
      <c r="P17" s="333">
        <f>'[7]Taux de Remplissage Magasin PF'!P15</f>
        <v>0</v>
      </c>
      <c r="Q17" s="334">
        <f>'[7]Taux de Remplissage Magasin PF'!Q15</f>
        <v>0</v>
      </c>
      <c r="R17" s="330"/>
      <c r="S17" s="335">
        <f t="shared" ref="S17:S42" si="5">+SUM(F17:Q17)</f>
        <v>1455</v>
      </c>
    </row>
    <row r="18" spans="2:19" hidden="1" outlineLevel="1" x14ac:dyDescent="0.2">
      <c r="B18" s="329"/>
      <c r="C18" s="349" t="str">
        <f>INDEX([7]Analyse!L6:L56,1)</f>
        <v>BT1/5EMB</v>
      </c>
      <c r="D18" s="331"/>
      <c r="E18" s="330"/>
      <c r="F18" s="332">
        <f>'[7]Taux de Remplissage Magasin PF'!F16</f>
        <v>67</v>
      </c>
      <c r="G18" s="333">
        <f>'[7]Taux de Remplissage Magasin PF'!G16</f>
        <v>126</v>
      </c>
      <c r="H18" s="333">
        <f>'[7]Taux de Remplissage Magasin PF'!H16</f>
        <v>123</v>
      </c>
      <c r="I18" s="333">
        <f>'[7]Taux de Remplissage Magasin PF'!I16</f>
        <v>206</v>
      </c>
      <c r="J18" s="333">
        <f>'[7]Taux de Remplissage Magasin PF'!J16</f>
        <v>0</v>
      </c>
      <c r="K18" s="333">
        <f>'[7]Taux de Remplissage Magasin PF'!K16</f>
        <v>0</v>
      </c>
      <c r="L18" s="333">
        <f>'[7]Taux de Remplissage Magasin PF'!L16</f>
        <v>0</v>
      </c>
      <c r="M18" s="333">
        <f>'[7]Taux de Remplissage Magasin PF'!M16</f>
        <v>0</v>
      </c>
      <c r="N18" s="333">
        <f>'[7]Taux de Remplissage Magasin PF'!N16</f>
        <v>0</v>
      </c>
      <c r="O18" s="333">
        <f>'[7]Taux de Remplissage Magasin PF'!O16</f>
        <v>0</v>
      </c>
      <c r="P18" s="333">
        <f>'[7]Taux de Remplissage Magasin PF'!P16</f>
        <v>0</v>
      </c>
      <c r="Q18" s="334">
        <f>'[7]Taux de Remplissage Magasin PF'!Q16</f>
        <v>0</v>
      </c>
      <c r="R18" s="330"/>
      <c r="S18" s="335">
        <f t="shared" si="5"/>
        <v>522</v>
      </c>
    </row>
    <row r="19" spans="2:19" hidden="1" outlineLevel="1" x14ac:dyDescent="0.2">
      <c r="B19" s="329"/>
      <c r="C19" s="349" t="str">
        <f>INDEX([7]Analyse!L7:L57,1)</f>
        <v>BT1/6</v>
      </c>
      <c r="D19" s="331"/>
      <c r="E19" s="330"/>
      <c r="F19" s="332">
        <f>'[7]Taux de Remplissage Magasin PF'!F17</f>
        <v>74</v>
      </c>
      <c r="G19" s="333">
        <f>'[7]Taux de Remplissage Magasin PF'!G17</f>
        <v>74</v>
      </c>
      <c r="H19" s="333">
        <f>'[7]Taux de Remplissage Magasin PF'!H17</f>
        <v>120</v>
      </c>
      <c r="I19" s="333">
        <f>'[7]Taux de Remplissage Magasin PF'!I17</f>
        <v>98</v>
      </c>
      <c r="J19" s="333">
        <f>'[7]Taux de Remplissage Magasin PF'!J17</f>
        <v>0</v>
      </c>
      <c r="K19" s="333">
        <f>'[7]Taux de Remplissage Magasin PF'!K17</f>
        <v>0</v>
      </c>
      <c r="L19" s="333">
        <f>'[7]Taux de Remplissage Magasin PF'!L17</f>
        <v>0</v>
      </c>
      <c r="M19" s="333">
        <f>'[7]Taux de Remplissage Magasin PF'!M17</f>
        <v>0</v>
      </c>
      <c r="N19" s="333">
        <f>'[7]Taux de Remplissage Magasin PF'!N17</f>
        <v>0</v>
      </c>
      <c r="O19" s="333">
        <f>'[7]Taux de Remplissage Magasin PF'!O17</f>
        <v>0</v>
      </c>
      <c r="P19" s="333">
        <f>'[7]Taux de Remplissage Magasin PF'!P17</f>
        <v>0</v>
      </c>
      <c r="Q19" s="334">
        <f>'[7]Taux de Remplissage Magasin PF'!Q17</f>
        <v>0</v>
      </c>
      <c r="R19" s="330"/>
      <c r="S19" s="335">
        <f t="shared" si="5"/>
        <v>366</v>
      </c>
    </row>
    <row r="20" spans="2:19" hidden="1" outlineLevel="1" x14ac:dyDescent="0.2">
      <c r="B20" s="329"/>
      <c r="C20" s="349" t="str">
        <f>INDEX([7]Analyse!L8:L58,1)</f>
        <v>BT1/6PC</v>
      </c>
      <c r="D20" s="331"/>
      <c r="E20" s="330"/>
      <c r="F20" s="332">
        <f>'[7]Taux de Remplissage Magasin PF'!F18</f>
        <v>108</v>
      </c>
      <c r="G20" s="333">
        <f>'[7]Taux de Remplissage Magasin PF'!G18</f>
        <v>137</v>
      </c>
      <c r="H20" s="333">
        <f>'[7]Taux de Remplissage Magasin PF'!H18</f>
        <v>138</v>
      </c>
      <c r="I20" s="333">
        <f>'[7]Taux de Remplissage Magasin PF'!I18</f>
        <v>138</v>
      </c>
      <c r="J20" s="333">
        <f>'[7]Taux de Remplissage Magasin PF'!J18</f>
        <v>0</v>
      </c>
      <c r="K20" s="333">
        <f>'[7]Taux de Remplissage Magasin PF'!K18</f>
        <v>0</v>
      </c>
      <c r="L20" s="333">
        <f>'[7]Taux de Remplissage Magasin PF'!L18</f>
        <v>0</v>
      </c>
      <c r="M20" s="333">
        <f>'[7]Taux de Remplissage Magasin PF'!M18</f>
        <v>0</v>
      </c>
      <c r="N20" s="333">
        <f>'[7]Taux de Remplissage Magasin PF'!N18</f>
        <v>0</v>
      </c>
      <c r="O20" s="333">
        <f>'[7]Taux de Remplissage Magasin PF'!O18</f>
        <v>0</v>
      </c>
      <c r="P20" s="333">
        <f>'[7]Taux de Remplissage Magasin PF'!P18</f>
        <v>0</v>
      </c>
      <c r="Q20" s="334">
        <f>'[7]Taux de Remplissage Magasin PF'!Q18</f>
        <v>0</v>
      </c>
      <c r="R20" s="330"/>
      <c r="S20" s="335">
        <f t="shared" si="5"/>
        <v>521</v>
      </c>
    </row>
    <row r="21" spans="2:19" hidden="1" outlineLevel="1" x14ac:dyDescent="0.2">
      <c r="B21" s="329"/>
      <c r="C21" s="349" t="str">
        <f>INDEX([7]Analyse!L9:L59,1)</f>
        <v>BT185GCHAMIA</v>
      </c>
      <c r="D21" s="331"/>
      <c r="E21" s="330"/>
      <c r="F21" s="332">
        <f>'[7]Taux de Remplissage Magasin PF'!F19</f>
        <v>26</v>
      </c>
      <c r="G21" s="333">
        <f>'[7]Taux de Remplissage Magasin PF'!G19</f>
        <v>38</v>
      </c>
      <c r="H21" s="333">
        <f>'[7]Taux de Remplissage Magasin PF'!H19</f>
        <v>35</v>
      </c>
      <c r="I21" s="333">
        <f>'[7]Taux de Remplissage Magasin PF'!I19</f>
        <v>35</v>
      </c>
      <c r="J21" s="333">
        <f>'[7]Taux de Remplissage Magasin PF'!J19</f>
        <v>0</v>
      </c>
      <c r="K21" s="333">
        <f>'[7]Taux de Remplissage Magasin PF'!K19</f>
        <v>0</v>
      </c>
      <c r="L21" s="333">
        <f>'[7]Taux de Remplissage Magasin PF'!L19</f>
        <v>0</v>
      </c>
      <c r="M21" s="333">
        <f>'[7]Taux de Remplissage Magasin PF'!M19</f>
        <v>0</v>
      </c>
      <c r="N21" s="333">
        <f>'[7]Taux de Remplissage Magasin PF'!N19</f>
        <v>0</v>
      </c>
      <c r="O21" s="333">
        <f>'[7]Taux de Remplissage Magasin PF'!O19</f>
        <v>0</v>
      </c>
      <c r="P21" s="333">
        <f>'[7]Taux de Remplissage Magasin PF'!P19</f>
        <v>0</v>
      </c>
      <c r="Q21" s="334">
        <f>'[7]Taux de Remplissage Magasin PF'!Q19</f>
        <v>0</v>
      </c>
      <c r="R21" s="330"/>
      <c r="S21" s="335">
        <f t="shared" si="5"/>
        <v>134</v>
      </c>
    </row>
    <row r="22" spans="2:19" hidden="1" outlineLevel="1" x14ac:dyDescent="0.2">
      <c r="B22" s="329"/>
      <c r="C22" s="349" t="str">
        <f>INDEX([7]Analyse!L10:L60,1)</f>
        <v>BT1-9KGTHON</v>
      </c>
      <c r="D22" s="331"/>
      <c r="E22" s="330"/>
      <c r="F22" s="332">
        <f>'[7]Taux de Remplissage Magasin PF'!F20</f>
        <v>13</v>
      </c>
      <c r="G22" s="333">
        <f>'[7]Taux de Remplissage Magasin PF'!G20</f>
        <v>7</v>
      </c>
      <c r="H22" s="333">
        <f>'[7]Taux de Remplissage Magasin PF'!H20</f>
        <v>8</v>
      </c>
      <c r="I22" s="333">
        <f>'[7]Taux de Remplissage Magasin PF'!I20</f>
        <v>35</v>
      </c>
      <c r="J22" s="333">
        <f>'[7]Taux de Remplissage Magasin PF'!J20</f>
        <v>0</v>
      </c>
      <c r="K22" s="333">
        <f>'[7]Taux de Remplissage Magasin PF'!K20</f>
        <v>0</v>
      </c>
      <c r="L22" s="333">
        <f>'[7]Taux de Remplissage Magasin PF'!L20</f>
        <v>0</v>
      </c>
      <c r="M22" s="333">
        <f>'[7]Taux de Remplissage Magasin PF'!M20</f>
        <v>0</v>
      </c>
      <c r="N22" s="333">
        <f>'[7]Taux de Remplissage Magasin PF'!N20</f>
        <v>0</v>
      </c>
      <c r="O22" s="333">
        <f>'[7]Taux de Remplissage Magasin PF'!O20</f>
        <v>0</v>
      </c>
      <c r="P22" s="333">
        <f>'[7]Taux de Remplissage Magasin PF'!P20</f>
        <v>0</v>
      </c>
      <c r="Q22" s="334">
        <f>'[7]Taux de Remplissage Magasin PF'!Q20</f>
        <v>0</v>
      </c>
      <c r="R22" s="330"/>
      <c r="S22" s="335">
        <f t="shared" si="5"/>
        <v>63</v>
      </c>
    </row>
    <row r="23" spans="2:19" hidden="1" outlineLevel="1" x14ac:dyDescent="0.2">
      <c r="B23" s="329"/>
      <c r="C23" s="349" t="str">
        <f>INDEX([7]Analyse!L11:L61,1)</f>
        <v>BT1KGTHON</v>
      </c>
      <c r="D23" s="331"/>
      <c r="E23" s="330"/>
      <c r="F23" s="332">
        <f>'[7]Taux de Remplissage Magasin PF'!F21</f>
        <v>36</v>
      </c>
      <c r="G23" s="333">
        <f>'[7]Taux de Remplissage Magasin PF'!G21</f>
        <v>60</v>
      </c>
      <c r="H23" s="333">
        <f>'[7]Taux de Remplissage Magasin PF'!H21</f>
        <v>10</v>
      </c>
      <c r="I23" s="333">
        <f>'[7]Taux de Remplissage Magasin PF'!I21</f>
        <v>10</v>
      </c>
      <c r="J23" s="333">
        <f>'[7]Taux de Remplissage Magasin PF'!J21</f>
        <v>0</v>
      </c>
      <c r="K23" s="333">
        <f>'[7]Taux de Remplissage Magasin PF'!K21</f>
        <v>0</v>
      </c>
      <c r="L23" s="333">
        <f>'[7]Taux de Remplissage Magasin PF'!L21</f>
        <v>0</v>
      </c>
      <c r="M23" s="333">
        <f>'[7]Taux de Remplissage Magasin PF'!M21</f>
        <v>0</v>
      </c>
      <c r="N23" s="333">
        <f>'[7]Taux de Remplissage Magasin PF'!N21</f>
        <v>0</v>
      </c>
      <c r="O23" s="333">
        <f>'[7]Taux de Remplissage Magasin PF'!O21</f>
        <v>0</v>
      </c>
      <c r="P23" s="333">
        <f>'[7]Taux de Remplissage Magasin PF'!P21</f>
        <v>0</v>
      </c>
      <c r="Q23" s="334">
        <f>'[7]Taux de Remplissage Magasin PF'!Q21</f>
        <v>0</v>
      </c>
      <c r="R23" s="330"/>
      <c r="S23" s="335">
        <f t="shared" si="5"/>
        <v>116</v>
      </c>
    </row>
    <row r="24" spans="2:19" hidden="1" outlineLevel="1" x14ac:dyDescent="0.2">
      <c r="B24" s="329"/>
      <c r="C24" s="349" t="str">
        <f>INDEX([7]Analyse!L12:L62,1)</f>
        <v>BT1LRD</v>
      </c>
      <c r="D24" s="331"/>
      <c r="E24" s="330"/>
      <c r="F24" s="332">
        <f>'[7]Taux de Remplissage Magasin PF'!F22</f>
        <v>2</v>
      </c>
      <c r="G24" s="333">
        <f>'[7]Taux de Remplissage Magasin PF'!G22</f>
        <v>0</v>
      </c>
      <c r="H24" s="333">
        <f>'[7]Taux de Remplissage Magasin PF'!H22</f>
        <v>11</v>
      </c>
      <c r="I24" s="333">
        <f>'[7]Taux de Remplissage Magasin PF'!I22</f>
        <v>1</v>
      </c>
      <c r="J24" s="333">
        <f>'[7]Taux de Remplissage Magasin PF'!J22</f>
        <v>0</v>
      </c>
      <c r="K24" s="333">
        <f>'[7]Taux de Remplissage Magasin PF'!K22</f>
        <v>0</v>
      </c>
      <c r="L24" s="333">
        <f>'[7]Taux de Remplissage Magasin PF'!L22</f>
        <v>0</v>
      </c>
      <c r="M24" s="333">
        <f>'[7]Taux de Remplissage Magasin PF'!M22</f>
        <v>0</v>
      </c>
      <c r="N24" s="333">
        <f>'[7]Taux de Remplissage Magasin PF'!N22</f>
        <v>0</v>
      </c>
      <c r="O24" s="333">
        <f>'[7]Taux de Remplissage Magasin PF'!O22</f>
        <v>0</v>
      </c>
      <c r="P24" s="333">
        <f>'[7]Taux de Remplissage Magasin PF'!P22</f>
        <v>0</v>
      </c>
      <c r="Q24" s="334">
        <f>'[7]Taux de Remplissage Magasin PF'!Q22</f>
        <v>0</v>
      </c>
      <c r="R24" s="330"/>
      <c r="S24" s="335">
        <f t="shared" si="5"/>
        <v>14</v>
      </c>
    </row>
    <row r="25" spans="2:19" hidden="1" outlineLevel="1" x14ac:dyDescent="0.2">
      <c r="B25" s="329"/>
      <c r="C25" s="349" t="str">
        <f>INDEX([7]Analyse!L13:L63,1)</f>
        <v>BT2K5HARISSA</v>
      </c>
      <c r="D25" s="331"/>
      <c r="E25" s="330"/>
      <c r="F25" s="332">
        <f>'[7]Taux de Remplissage Magasin PF'!F23</f>
        <v>394</v>
      </c>
      <c r="G25" s="333">
        <f>'[7]Taux de Remplissage Magasin PF'!G23</f>
        <v>229</v>
      </c>
      <c r="H25" s="333">
        <f>'[7]Taux de Remplissage Magasin PF'!H23</f>
        <v>228</v>
      </c>
      <c r="I25" s="333">
        <f>'[7]Taux de Remplissage Magasin PF'!I23</f>
        <v>230</v>
      </c>
      <c r="J25" s="333">
        <f>'[7]Taux de Remplissage Magasin PF'!J23</f>
        <v>0</v>
      </c>
      <c r="K25" s="333">
        <f>'[7]Taux de Remplissage Magasin PF'!K23</f>
        <v>0</v>
      </c>
      <c r="L25" s="333">
        <f>'[7]Taux de Remplissage Magasin PF'!L23</f>
        <v>0</v>
      </c>
      <c r="M25" s="333">
        <f>'[7]Taux de Remplissage Magasin PF'!M23</f>
        <v>0</v>
      </c>
      <c r="N25" s="333">
        <f>'[7]Taux de Remplissage Magasin PF'!N23</f>
        <v>0</v>
      </c>
      <c r="O25" s="333">
        <f>'[7]Taux de Remplissage Magasin PF'!O23</f>
        <v>0</v>
      </c>
      <c r="P25" s="333">
        <f>'[7]Taux de Remplissage Magasin PF'!P23</f>
        <v>0</v>
      </c>
      <c r="Q25" s="334">
        <f>'[7]Taux de Remplissage Magasin PF'!Q23</f>
        <v>0</v>
      </c>
      <c r="R25" s="330"/>
      <c r="S25" s="335">
        <f t="shared" si="5"/>
        <v>1081</v>
      </c>
    </row>
    <row r="26" spans="2:19" hidden="1" outlineLevel="1" x14ac:dyDescent="0.2">
      <c r="B26" s="329"/>
      <c r="C26" s="349" t="str">
        <f>INDEX([7]Analyse!L14:L64,1)</f>
        <v>BT2K5THON</v>
      </c>
      <c r="D26" s="331"/>
      <c r="E26" s="330"/>
      <c r="F26" s="332">
        <f>'[7]Taux de Remplissage Magasin PF'!F24</f>
        <v>64</v>
      </c>
      <c r="G26" s="333">
        <f>'[7]Taux de Remplissage Magasin PF'!G24</f>
        <v>264</v>
      </c>
      <c r="H26" s="333">
        <f>'[7]Taux de Remplissage Magasin PF'!H24</f>
        <v>218</v>
      </c>
      <c r="I26" s="333">
        <f>'[7]Taux de Remplissage Magasin PF'!I24</f>
        <v>197</v>
      </c>
      <c r="J26" s="333">
        <f>'[7]Taux de Remplissage Magasin PF'!J24</f>
        <v>0</v>
      </c>
      <c r="K26" s="333">
        <f>'[7]Taux de Remplissage Magasin PF'!K24</f>
        <v>0</v>
      </c>
      <c r="L26" s="333">
        <f>'[7]Taux de Remplissage Magasin PF'!L24</f>
        <v>0</v>
      </c>
      <c r="M26" s="333">
        <f>'[7]Taux de Remplissage Magasin PF'!M24</f>
        <v>0</v>
      </c>
      <c r="N26" s="333">
        <f>'[7]Taux de Remplissage Magasin PF'!N24</f>
        <v>0</v>
      </c>
      <c r="O26" s="333">
        <f>'[7]Taux de Remplissage Magasin PF'!O24</f>
        <v>0</v>
      </c>
      <c r="P26" s="333">
        <f>'[7]Taux de Remplissage Magasin PF'!P24</f>
        <v>0</v>
      </c>
      <c r="Q26" s="334">
        <f>'[7]Taux de Remplissage Magasin PF'!Q24</f>
        <v>0</v>
      </c>
      <c r="R26" s="330"/>
      <c r="S26" s="335">
        <f t="shared" si="5"/>
        <v>743</v>
      </c>
    </row>
    <row r="27" spans="2:19" hidden="1" outlineLevel="1" x14ac:dyDescent="0.2">
      <c r="B27" s="329"/>
      <c r="C27" s="349" t="str">
        <f>INDEX([7]Analyse!L15:L65,1)</f>
        <v>BT2KGCHAMIA</v>
      </c>
      <c r="D27" s="331"/>
      <c r="E27" s="330"/>
      <c r="F27" s="332">
        <f>'[7]Taux de Remplissage Magasin PF'!F25</f>
        <v>55</v>
      </c>
      <c r="G27" s="333">
        <f>'[7]Taux de Remplissage Magasin PF'!G25</f>
        <v>55</v>
      </c>
      <c r="H27" s="333">
        <f>'[7]Taux de Remplissage Magasin PF'!H25</f>
        <v>59</v>
      </c>
      <c r="I27" s="333">
        <f>'[7]Taux de Remplissage Magasin PF'!I25</f>
        <v>54</v>
      </c>
      <c r="J27" s="333">
        <f>'[7]Taux de Remplissage Magasin PF'!J25</f>
        <v>0</v>
      </c>
      <c r="K27" s="333">
        <f>'[7]Taux de Remplissage Magasin PF'!K25</f>
        <v>0</v>
      </c>
      <c r="L27" s="333">
        <f>'[7]Taux de Remplissage Magasin PF'!L25</f>
        <v>0</v>
      </c>
      <c r="M27" s="333">
        <f>'[7]Taux de Remplissage Magasin PF'!M25</f>
        <v>0</v>
      </c>
      <c r="N27" s="333">
        <f>'[7]Taux de Remplissage Magasin PF'!N25</f>
        <v>0</v>
      </c>
      <c r="O27" s="333">
        <f>'[7]Taux de Remplissage Magasin PF'!O25</f>
        <v>0</v>
      </c>
      <c r="P27" s="333">
        <f>'[7]Taux de Remplissage Magasin PF'!P25</f>
        <v>0</v>
      </c>
      <c r="Q27" s="334">
        <f>'[7]Taux de Remplissage Magasin PF'!Q25</f>
        <v>0</v>
      </c>
      <c r="R27" s="330"/>
      <c r="S27" s="335">
        <f t="shared" si="5"/>
        <v>223</v>
      </c>
    </row>
    <row r="28" spans="2:19" hidden="1" outlineLevel="1" x14ac:dyDescent="0.2">
      <c r="B28" s="329"/>
      <c r="C28" s="349" t="str">
        <f>INDEX([7]Analyse!L16:L66,1)</f>
        <v>BT2LRECT</v>
      </c>
      <c r="D28" s="331"/>
      <c r="E28" s="330"/>
      <c r="F28" s="332">
        <f>'[7]Taux de Remplissage Magasin PF'!F26</f>
        <v>3</v>
      </c>
      <c r="G28" s="333">
        <f>'[7]Taux de Remplissage Magasin PF'!G26</f>
        <v>0</v>
      </c>
      <c r="H28" s="333">
        <f>'[7]Taux de Remplissage Magasin PF'!H26</f>
        <v>1</v>
      </c>
      <c r="I28" s="333">
        <f>'[7]Taux de Remplissage Magasin PF'!I26</f>
        <v>4</v>
      </c>
      <c r="J28" s="333">
        <f>'[7]Taux de Remplissage Magasin PF'!J26</f>
        <v>0</v>
      </c>
      <c r="K28" s="333">
        <f>'[7]Taux de Remplissage Magasin PF'!K26</f>
        <v>0</v>
      </c>
      <c r="L28" s="333">
        <f>'[7]Taux de Remplissage Magasin PF'!L26</f>
        <v>0</v>
      </c>
      <c r="M28" s="333">
        <f>'[7]Taux de Remplissage Magasin PF'!M26</f>
        <v>0</v>
      </c>
      <c r="N28" s="333">
        <f>'[7]Taux de Remplissage Magasin PF'!N26</f>
        <v>0</v>
      </c>
      <c r="O28" s="333">
        <f>'[7]Taux de Remplissage Magasin PF'!O26</f>
        <v>0</v>
      </c>
      <c r="P28" s="333">
        <f>'[7]Taux de Remplissage Magasin PF'!P26</f>
        <v>0</v>
      </c>
      <c r="Q28" s="334">
        <f>'[7]Taux de Remplissage Magasin PF'!Q26</f>
        <v>0</v>
      </c>
      <c r="R28" s="330"/>
      <c r="S28" s="335">
        <f t="shared" si="5"/>
        <v>8</v>
      </c>
    </row>
    <row r="29" spans="2:19" hidden="1" outlineLevel="1" x14ac:dyDescent="0.2">
      <c r="B29" s="329"/>
      <c r="C29" s="349" t="str">
        <f>INDEX([7]Analyse!L17:L67,1)</f>
        <v>BT3/1</v>
      </c>
      <c r="D29" s="331"/>
      <c r="E29" s="330"/>
      <c r="F29" s="332">
        <f>'[7]Taux de Remplissage Magasin PF'!F27</f>
        <v>2</v>
      </c>
      <c r="G29" s="333">
        <f>'[7]Taux de Remplissage Magasin PF'!G27</f>
        <v>2</v>
      </c>
      <c r="H29" s="333">
        <f>'[7]Taux de Remplissage Magasin PF'!H27</f>
        <v>2</v>
      </c>
      <c r="I29" s="333">
        <f>'[7]Taux de Remplissage Magasin PF'!I27</f>
        <v>2</v>
      </c>
      <c r="J29" s="333">
        <f>'[7]Taux de Remplissage Magasin PF'!J27</f>
        <v>0</v>
      </c>
      <c r="K29" s="333">
        <f>'[7]Taux de Remplissage Magasin PF'!K27</f>
        <v>0</v>
      </c>
      <c r="L29" s="333">
        <f>'[7]Taux de Remplissage Magasin PF'!L27</f>
        <v>0</v>
      </c>
      <c r="M29" s="333">
        <f>'[7]Taux de Remplissage Magasin PF'!M27</f>
        <v>0</v>
      </c>
      <c r="N29" s="333">
        <f>'[7]Taux de Remplissage Magasin PF'!N27</f>
        <v>0</v>
      </c>
      <c r="O29" s="333">
        <f>'[7]Taux de Remplissage Magasin PF'!O27</f>
        <v>0</v>
      </c>
      <c r="P29" s="333">
        <f>'[7]Taux de Remplissage Magasin PF'!P27</f>
        <v>0</v>
      </c>
      <c r="Q29" s="334">
        <f>'[7]Taux de Remplissage Magasin PF'!Q27</f>
        <v>0</v>
      </c>
      <c r="R29" s="330"/>
      <c r="S29" s="335">
        <f t="shared" si="5"/>
        <v>8</v>
      </c>
    </row>
    <row r="30" spans="2:19" hidden="1" outlineLevel="1" x14ac:dyDescent="0.2">
      <c r="B30" s="329"/>
      <c r="C30" s="349" t="str">
        <f>INDEX([7]Analyse!L18:L68,1)</f>
        <v>BT3LRECT</v>
      </c>
      <c r="D30" s="331"/>
      <c r="E30" s="330"/>
      <c r="F30" s="332">
        <f>'[7]Taux de Remplissage Magasin PF'!F28</f>
        <v>15</v>
      </c>
      <c r="G30" s="333">
        <f>'[7]Taux de Remplissage Magasin PF'!G28</f>
        <v>4</v>
      </c>
      <c r="H30" s="333">
        <f>'[7]Taux de Remplissage Magasin PF'!H28</f>
        <v>3</v>
      </c>
      <c r="I30" s="333">
        <f>'[7]Taux de Remplissage Magasin PF'!I28</f>
        <v>3</v>
      </c>
      <c r="J30" s="333">
        <f>'[7]Taux de Remplissage Magasin PF'!J28</f>
        <v>0</v>
      </c>
      <c r="K30" s="333">
        <f>'[7]Taux de Remplissage Magasin PF'!K28</f>
        <v>0</v>
      </c>
      <c r="L30" s="333">
        <f>'[7]Taux de Remplissage Magasin PF'!L28</f>
        <v>0</v>
      </c>
      <c r="M30" s="333">
        <f>'[7]Taux de Remplissage Magasin PF'!M28</f>
        <v>0</v>
      </c>
      <c r="N30" s="333">
        <f>'[7]Taux de Remplissage Magasin PF'!N28</f>
        <v>0</v>
      </c>
      <c r="O30" s="333">
        <f>'[7]Taux de Remplissage Magasin PF'!O28</f>
        <v>0</v>
      </c>
      <c r="P30" s="333">
        <f>'[7]Taux de Remplissage Magasin PF'!P28</f>
        <v>0</v>
      </c>
      <c r="Q30" s="334">
        <f>'[7]Taux de Remplissage Magasin PF'!Q28</f>
        <v>0</v>
      </c>
      <c r="R30" s="330"/>
      <c r="S30" s="335">
        <f t="shared" si="5"/>
        <v>25</v>
      </c>
    </row>
    <row r="31" spans="2:19" hidden="1" outlineLevel="1" x14ac:dyDescent="0.2">
      <c r="B31" s="329"/>
      <c r="C31" s="349" t="str">
        <f>INDEX([7]Analyse!L19:L69,1)</f>
        <v>BT4/4</v>
      </c>
      <c r="D31" s="331"/>
      <c r="E31" s="330"/>
      <c r="F31" s="332">
        <f>'[7]Taux de Remplissage Magasin PF'!F29</f>
        <v>174</v>
      </c>
      <c r="G31" s="333">
        <f>'[7]Taux de Remplissage Magasin PF'!G29</f>
        <v>173</v>
      </c>
      <c r="H31" s="333">
        <f>'[7]Taux de Remplissage Magasin PF'!H29</f>
        <v>303</v>
      </c>
      <c r="I31" s="333">
        <f>'[7]Taux de Remplissage Magasin PF'!I29</f>
        <v>632</v>
      </c>
      <c r="J31" s="333">
        <f>'[7]Taux de Remplissage Magasin PF'!J29</f>
        <v>0</v>
      </c>
      <c r="K31" s="333">
        <f>'[7]Taux de Remplissage Magasin PF'!K29</f>
        <v>0</v>
      </c>
      <c r="L31" s="333">
        <f>'[7]Taux de Remplissage Magasin PF'!L29</f>
        <v>0</v>
      </c>
      <c r="M31" s="333">
        <f>'[7]Taux de Remplissage Magasin PF'!M29</f>
        <v>0</v>
      </c>
      <c r="N31" s="333">
        <f>'[7]Taux de Remplissage Magasin PF'!N29</f>
        <v>0</v>
      </c>
      <c r="O31" s="333">
        <f>'[7]Taux de Remplissage Magasin PF'!O29</f>
        <v>0</v>
      </c>
      <c r="P31" s="333">
        <f>'[7]Taux de Remplissage Magasin PF'!P29</f>
        <v>0</v>
      </c>
      <c r="Q31" s="334">
        <f>'[7]Taux de Remplissage Magasin PF'!Q29</f>
        <v>0</v>
      </c>
      <c r="R31" s="330"/>
      <c r="S31" s="335">
        <f t="shared" si="5"/>
        <v>1282</v>
      </c>
    </row>
    <row r="32" spans="2:19" hidden="1" outlineLevel="1" x14ac:dyDescent="0.2">
      <c r="B32" s="329"/>
      <c r="C32" s="349" t="str">
        <f>INDEX([7]Analyse!L20:L70,1)</f>
        <v>BT400GCHAM</v>
      </c>
      <c r="D32" s="331"/>
      <c r="E32" s="330"/>
      <c r="F32" s="332">
        <f>'[7]Taux de Remplissage Magasin PF'!F30</f>
        <v>183</v>
      </c>
      <c r="G32" s="333">
        <f>'[7]Taux de Remplissage Magasin PF'!G30</f>
        <v>174</v>
      </c>
      <c r="H32" s="333">
        <f>'[7]Taux de Remplissage Magasin PF'!H30</f>
        <v>274</v>
      </c>
      <c r="I32" s="333">
        <f>'[7]Taux de Remplissage Magasin PF'!I30</f>
        <v>292</v>
      </c>
      <c r="J32" s="333">
        <f>'[7]Taux de Remplissage Magasin PF'!J30</f>
        <v>0</v>
      </c>
      <c r="K32" s="333">
        <f>'[7]Taux de Remplissage Magasin PF'!K30</f>
        <v>0</v>
      </c>
      <c r="L32" s="333">
        <f>'[7]Taux de Remplissage Magasin PF'!L30</f>
        <v>0</v>
      </c>
      <c r="M32" s="333">
        <f>'[7]Taux de Remplissage Magasin PF'!M30</f>
        <v>0</v>
      </c>
      <c r="N32" s="333">
        <f>'[7]Taux de Remplissage Magasin PF'!N30</f>
        <v>0</v>
      </c>
      <c r="O32" s="333">
        <f>'[7]Taux de Remplissage Magasin PF'!O30</f>
        <v>0</v>
      </c>
      <c r="P32" s="333">
        <f>'[7]Taux de Remplissage Magasin PF'!P30</f>
        <v>0</v>
      </c>
      <c r="Q32" s="334">
        <f>'[7]Taux de Remplissage Magasin PF'!Q30</f>
        <v>0</v>
      </c>
      <c r="R32" s="330"/>
      <c r="S32" s="335">
        <f t="shared" si="5"/>
        <v>923</v>
      </c>
    </row>
    <row r="33" spans="2:20" hidden="1" outlineLevel="1" x14ac:dyDescent="0.2">
      <c r="B33" s="329"/>
      <c r="C33" s="349" t="str">
        <f>INDEX([7]Analyse!L21:L71,1)</f>
        <v>BT400GTHON</v>
      </c>
      <c r="D33" s="331"/>
      <c r="E33" s="330"/>
      <c r="F33" s="332">
        <f>'[7]Taux de Remplissage Magasin PF'!F31</f>
        <v>149</v>
      </c>
      <c r="G33" s="333">
        <f>'[7]Taux de Remplissage Magasin PF'!G31</f>
        <v>123</v>
      </c>
      <c r="H33" s="333">
        <f>'[7]Taux de Remplissage Magasin PF'!H31</f>
        <v>57</v>
      </c>
      <c r="I33" s="333">
        <f>'[7]Taux de Remplissage Magasin PF'!I31</f>
        <v>128</v>
      </c>
      <c r="J33" s="333">
        <f>'[7]Taux de Remplissage Magasin PF'!J31</f>
        <v>0</v>
      </c>
      <c r="K33" s="333">
        <f>'[7]Taux de Remplissage Magasin PF'!K31</f>
        <v>0</v>
      </c>
      <c r="L33" s="333">
        <f>'[7]Taux de Remplissage Magasin PF'!L31</f>
        <v>0</v>
      </c>
      <c r="M33" s="333">
        <f>'[7]Taux de Remplissage Magasin PF'!M31</f>
        <v>0</v>
      </c>
      <c r="N33" s="333">
        <f>'[7]Taux de Remplissage Magasin PF'!N31</f>
        <v>0</v>
      </c>
      <c r="O33" s="333">
        <f>'[7]Taux de Remplissage Magasin PF'!O31</f>
        <v>0</v>
      </c>
      <c r="P33" s="333">
        <f>'[7]Taux de Remplissage Magasin PF'!P31</f>
        <v>0</v>
      </c>
      <c r="Q33" s="334">
        <f>'[7]Taux de Remplissage Magasin PF'!Q31</f>
        <v>0</v>
      </c>
      <c r="R33" s="330"/>
      <c r="S33" s="335">
        <f t="shared" si="5"/>
        <v>457</v>
      </c>
    </row>
    <row r="34" spans="2:20" hidden="1" outlineLevel="1" x14ac:dyDescent="0.2">
      <c r="B34" s="329"/>
      <c r="C34" s="349" t="str">
        <f>INDEX([7]Analyse!L22:L72,1)</f>
        <v>BT4LRECT</v>
      </c>
      <c r="D34" s="331"/>
      <c r="E34" s="330"/>
      <c r="F34" s="332">
        <f>'[7]Taux de Remplissage Magasin PF'!F32</f>
        <v>10</v>
      </c>
      <c r="G34" s="333">
        <f>'[7]Taux de Remplissage Magasin PF'!G32</f>
        <v>3</v>
      </c>
      <c r="H34" s="333">
        <f>'[7]Taux de Remplissage Magasin PF'!H32</f>
        <v>3</v>
      </c>
      <c r="I34" s="333">
        <f>'[7]Taux de Remplissage Magasin PF'!I32</f>
        <v>9</v>
      </c>
      <c r="J34" s="333">
        <f>'[7]Taux de Remplissage Magasin PF'!J32</f>
        <v>0</v>
      </c>
      <c r="K34" s="333">
        <f>'[7]Taux de Remplissage Magasin PF'!K32</f>
        <v>0</v>
      </c>
      <c r="L34" s="333">
        <f>'[7]Taux de Remplissage Magasin PF'!L32</f>
        <v>0</v>
      </c>
      <c r="M34" s="333">
        <f>'[7]Taux de Remplissage Magasin PF'!M32</f>
        <v>0</v>
      </c>
      <c r="N34" s="333">
        <f>'[7]Taux de Remplissage Magasin PF'!N32</f>
        <v>0</v>
      </c>
      <c r="O34" s="333">
        <f>'[7]Taux de Remplissage Magasin PF'!O32</f>
        <v>0</v>
      </c>
      <c r="P34" s="333">
        <f>'[7]Taux de Remplissage Magasin PF'!P32</f>
        <v>0</v>
      </c>
      <c r="Q34" s="334">
        <f>'[7]Taux de Remplissage Magasin PF'!Q32</f>
        <v>0</v>
      </c>
      <c r="R34" s="330"/>
      <c r="S34" s="335">
        <f t="shared" si="5"/>
        <v>25</v>
      </c>
    </row>
    <row r="35" spans="2:20" hidden="1" outlineLevel="1" x14ac:dyDescent="0.2">
      <c r="B35" s="329"/>
      <c r="C35" s="349" t="str">
        <f>INDEX([7]Analyse!L23:L73,1)</f>
        <v>BT5/1</v>
      </c>
      <c r="D35" s="331"/>
      <c r="E35" s="330"/>
      <c r="F35" s="332">
        <f>'[7]Taux de Remplissage Magasin PF'!F33</f>
        <v>58</v>
      </c>
      <c r="G35" s="333">
        <f>'[7]Taux de Remplissage Magasin PF'!G33</f>
        <v>53</v>
      </c>
      <c r="H35" s="333">
        <f>'[7]Taux de Remplissage Magasin PF'!H33</f>
        <v>43</v>
      </c>
      <c r="I35" s="333">
        <f>'[7]Taux de Remplissage Magasin PF'!I33</f>
        <v>43</v>
      </c>
      <c r="J35" s="333">
        <f>'[7]Taux de Remplissage Magasin PF'!J33</f>
        <v>0</v>
      </c>
      <c r="K35" s="333">
        <f>'[7]Taux de Remplissage Magasin PF'!K33</f>
        <v>0</v>
      </c>
      <c r="L35" s="333">
        <f>'[7]Taux de Remplissage Magasin PF'!L33</f>
        <v>0</v>
      </c>
      <c r="M35" s="333">
        <f>'[7]Taux de Remplissage Magasin PF'!M33</f>
        <v>0</v>
      </c>
      <c r="N35" s="333">
        <f>'[7]Taux de Remplissage Magasin PF'!N33</f>
        <v>0</v>
      </c>
      <c r="O35" s="333">
        <f>'[7]Taux de Remplissage Magasin PF'!O33</f>
        <v>0</v>
      </c>
      <c r="P35" s="333">
        <f>'[7]Taux de Remplissage Magasin PF'!P33</f>
        <v>0</v>
      </c>
      <c r="Q35" s="334">
        <f>'[7]Taux de Remplissage Magasin PF'!Q33</f>
        <v>0</v>
      </c>
      <c r="R35" s="330"/>
      <c r="S35" s="335">
        <f t="shared" si="5"/>
        <v>197</v>
      </c>
    </row>
    <row r="36" spans="2:20" hidden="1" outlineLevel="1" x14ac:dyDescent="0.2">
      <c r="B36" s="329"/>
      <c r="C36" s="349" t="str">
        <f>INDEX([7]Analyse!L24:L74,1)</f>
        <v>BT500GCHAMIA</v>
      </c>
      <c r="D36" s="331"/>
      <c r="E36" s="330"/>
      <c r="F36" s="332">
        <f>'[7]Taux de Remplissage Magasin PF'!F34</f>
        <v>8</v>
      </c>
      <c r="G36" s="333">
        <f>'[7]Taux de Remplissage Magasin PF'!G34</f>
        <v>8</v>
      </c>
      <c r="H36" s="333">
        <f>'[7]Taux de Remplissage Magasin PF'!H34</f>
        <v>0</v>
      </c>
      <c r="I36" s="333">
        <f>'[7]Taux de Remplissage Magasin PF'!I34</f>
        <v>0</v>
      </c>
      <c r="J36" s="333">
        <f>'[7]Taux de Remplissage Magasin PF'!J34</f>
        <v>0</v>
      </c>
      <c r="K36" s="333">
        <f>'[7]Taux de Remplissage Magasin PF'!K34</f>
        <v>0</v>
      </c>
      <c r="L36" s="333">
        <f>'[7]Taux de Remplissage Magasin PF'!L34</f>
        <v>0</v>
      </c>
      <c r="M36" s="333">
        <f>'[7]Taux de Remplissage Magasin PF'!M34</f>
        <v>0</v>
      </c>
      <c r="N36" s="333">
        <f>'[7]Taux de Remplissage Magasin PF'!N34</f>
        <v>0</v>
      </c>
      <c r="O36" s="333">
        <f>'[7]Taux de Remplissage Magasin PF'!O34</f>
        <v>0</v>
      </c>
      <c r="P36" s="333">
        <f>'[7]Taux de Remplissage Magasin PF'!P34</f>
        <v>0</v>
      </c>
      <c r="Q36" s="334">
        <f>'[7]Taux de Remplissage Magasin PF'!Q34</f>
        <v>0</v>
      </c>
      <c r="R36" s="330"/>
      <c r="S36" s="335">
        <f t="shared" si="5"/>
        <v>16</v>
      </c>
    </row>
    <row r="37" spans="2:20" hidden="1" outlineLevel="1" x14ac:dyDescent="0.2">
      <c r="B37" s="329"/>
      <c r="C37" s="349" t="str">
        <f>INDEX([7]Analyse!L25:L75,1)</f>
        <v>BT5KGCHAMIA</v>
      </c>
      <c r="D37" s="331"/>
      <c r="E37" s="330"/>
      <c r="F37" s="332">
        <f>'[7]Taux de Remplissage Magasin PF'!F35</f>
        <v>2</v>
      </c>
      <c r="G37" s="333">
        <f>'[7]Taux de Remplissage Magasin PF'!G35</f>
        <v>2</v>
      </c>
      <c r="H37" s="333">
        <f>'[7]Taux de Remplissage Magasin PF'!H35</f>
        <v>33</v>
      </c>
      <c r="I37" s="333">
        <f>'[7]Taux de Remplissage Magasin PF'!I35</f>
        <v>63</v>
      </c>
      <c r="J37" s="333">
        <f>'[7]Taux de Remplissage Magasin PF'!J35</f>
        <v>0</v>
      </c>
      <c r="K37" s="333">
        <f>'[7]Taux de Remplissage Magasin PF'!K35</f>
        <v>0</v>
      </c>
      <c r="L37" s="333">
        <f>'[7]Taux de Remplissage Magasin PF'!L35</f>
        <v>0</v>
      </c>
      <c r="M37" s="333">
        <f>'[7]Taux de Remplissage Magasin PF'!M35</f>
        <v>0</v>
      </c>
      <c r="N37" s="333">
        <f>'[7]Taux de Remplissage Magasin PF'!N35</f>
        <v>0</v>
      </c>
      <c r="O37" s="333">
        <f>'[7]Taux de Remplissage Magasin PF'!O35</f>
        <v>0</v>
      </c>
      <c r="P37" s="333">
        <f>'[7]Taux de Remplissage Magasin PF'!P35</f>
        <v>0</v>
      </c>
      <c r="Q37" s="334">
        <f>'[7]Taux de Remplissage Magasin PF'!Q35</f>
        <v>0</v>
      </c>
      <c r="R37" s="330"/>
      <c r="S37" s="335">
        <f t="shared" si="5"/>
        <v>100</v>
      </c>
    </row>
    <row r="38" spans="2:20" hidden="1" outlineLevel="1" x14ac:dyDescent="0.2">
      <c r="B38" s="329"/>
      <c r="C38" s="349" t="str">
        <f>INDEX([7]Analyse!L26:L76,1)</f>
        <v>BT5LRECT</v>
      </c>
      <c r="D38" s="331"/>
      <c r="E38" s="330"/>
      <c r="F38" s="332">
        <f>'[7]Taux de Remplissage Magasin PF'!F36</f>
        <v>18</v>
      </c>
      <c r="G38" s="333">
        <f>'[7]Taux de Remplissage Magasin PF'!G36</f>
        <v>19</v>
      </c>
      <c r="H38" s="333">
        <f>'[7]Taux de Remplissage Magasin PF'!H36</f>
        <v>41</v>
      </c>
      <c r="I38" s="333">
        <f>'[7]Taux de Remplissage Magasin PF'!I36</f>
        <v>25</v>
      </c>
      <c r="J38" s="333">
        <f>'[7]Taux de Remplissage Magasin PF'!J36</f>
        <v>0</v>
      </c>
      <c r="K38" s="333">
        <f>'[7]Taux de Remplissage Magasin PF'!K36</f>
        <v>0</v>
      </c>
      <c r="L38" s="333">
        <f>'[7]Taux de Remplissage Magasin PF'!L36</f>
        <v>0</v>
      </c>
      <c r="M38" s="333">
        <f>'[7]Taux de Remplissage Magasin PF'!M36</f>
        <v>0</v>
      </c>
      <c r="N38" s="333">
        <f>'[7]Taux de Remplissage Magasin PF'!N36</f>
        <v>0</v>
      </c>
      <c r="O38" s="333">
        <f>'[7]Taux de Remplissage Magasin PF'!O36</f>
        <v>0</v>
      </c>
      <c r="P38" s="333">
        <f>'[7]Taux de Remplissage Magasin PF'!P36</f>
        <v>0</v>
      </c>
      <c r="Q38" s="334">
        <f>'[7]Taux de Remplissage Magasin PF'!Q36</f>
        <v>0</v>
      </c>
      <c r="R38" s="330"/>
      <c r="S38" s="335">
        <f t="shared" si="5"/>
        <v>103</v>
      </c>
    </row>
    <row r="39" spans="2:20" hidden="1" outlineLevel="1" x14ac:dyDescent="0.2">
      <c r="B39" s="329"/>
      <c r="C39" s="349" t="str">
        <f>INDEX([7]Analyse!L27:L77,1)</f>
        <v>BT620GTHON</v>
      </c>
      <c r="D39" s="331"/>
      <c r="E39" s="330"/>
      <c r="F39" s="332">
        <f>'[7]Taux de Remplissage Magasin PF'!F37</f>
        <v>15</v>
      </c>
      <c r="G39" s="333">
        <f>'[7]Taux de Remplissage Magasin PF'!G37</f>
        <v>37</v>
      </c>
      <c r="H39" s="333">
        <f>'[7]Taux de Remplissage Magasin PF'!H37</f>
        <v>16</v>
      </c>
      <c r="I39" s="333">
        <f>'[7]Taux de Remplissage Magasin PF'!I37</f>
        <v>16</v>
      </c>
      <c r="J39" s="333">
        <f>'[7]Taux de Remplissage Magasin PF'!J37</f>
        <v>0</v>
      </c>
      <c r="K39" s="333">
        <f>'[7]Taux de Remplissage Magasin PF'!K37</f>
        <v>0</v>
      </c>
      <c r="L39" s="333">
        <f>'[7]Taux de Remplissage Magasin PF'!L37</f>
        <v>0</v>
      </c>
      <c r="M39" s="333">
        <f>'[7]Taux de Remplissage Magasin PF'!M37</f>
        <v>0</v>
      </c>
      <c r="N39" s="333">
        <f>'[7]Taux de Remplissage Magasin PF'!N37</f>
        <v>0</v>
      </c>
      <c r="O39" s="333">
        <f>'[7]Taux de Remplissage Magasin PF'!O37</f>
        <v>0</v>
      </c>
      <c r="P39" s="333">
        <f>'[7]Taux de Remplissage Magasin PF'!P37</f>
        <v>0</v>
      </c>
      <c r="Q39" s="334">
        <f>'[7]Taux de Remplissage Magasin PF'!Q37</f>
        <v>0</v>
      </c>
      <c r="R39" s="330"/>
      <c r="S39" s="335">
        <f t="shared" si="5"/>
        <v>84</v>
      </c>
    </row>
    <row r="40" spans="2:20" hidden="1" outlineLevel="1" x14ac:dyDescent="0.2">
      <c r="B40" s="329"/>
      <c r="C40" s="349" t="str">
        <f>INDEX([7]Analyse!L28:L78,1)</f>
        <v>BT700GTHON</v>
      </c>
      <c r="D40" s="331"/>
      <c r="E40" s="330"/>
      <c r="F40" s="332">
        <f>'[7]Taux de Remplissage Magasin PF'!F38</f>
        <v>42</v>
      </c>
      <c r="G40" s="333">
        <f>'[7]Taux de Remplissage Magasin PF'!G38</f>
        <v>47</v>
      </c>
      <c r="H40" s="333">
        <f>'[7]Taux de Remplissage Magasin PF'!H38</f>
        <v>47</v>
      </c>
      <c r="I40" s="333">
        <f>'[7]Taux de Remplissage Magasin PF'!I38</f>
        <v>47</v>
      </c>
      <c r="J40" s="333">
        <f>'[7]Taux de Remplissage Magasin PF'!J38</f>
        <v>0</v>
      </c>
      <c r="K40" s="333">
        <f>'[7]Taux de Remplissage Magasin PF'!K38</f>
        <v>0</v>
      </c>
      <c r="L40" s="333">
        <f>'[7]Taux de Remplissage Magasin PF'!L38</f>
        <v>0</v>
      </c>
      <c r="M40" s="333">
        <f>'[7]Taux de Remplissage Magasin PF'!M38</f>
        <v>0</v>
      </c>
      <c r="N40" s="333">
        <f>'[7]Taux de Remplissage Magasin PF'!N38</f>
        <v>0</v>
      </c>
      <c r="O40" s="333">
        <f>'[7]Taux de Remplissage Magasin PF'!O38</f>
        <v>0</v>
      </c>
      <c r="P40" s="333">
        <f>'[7]Taux de Remplissage Magasin PF'!P38</f>
        <v>0</v>
      </c>
      <c r="Q40" s="334">
        <f>'[7]Taux de Remplissage Magasin PF'!Q38</f>
        <v>0</v>
      </c>
      <c r="R40" s="330"/>
      <c r="S40" s="335">
        <f t="shared" si="5"/>
        <v>183</v>
      </c>
    </row>
    <row r="41" spans="2:20" hidden="1" outlineLevel="1" x14ac:dyDescent="0.2">
      <c r="B41" s="329"/>
      <c r="C41" s="349" t="str">
        <f>INDEX([7]Analyse!L29:L79,1)</f>
        <v>BT800GCHAM</v>
      </c>
      <c r="D41" s="331"/>
      <c r="E41" s="330"/>
      <c r="F41" s="332">
        <f>'[7]Taux de Remplissage Magasin PF'!F39</f>
        <v>104</v>
      </c>
      <c r="G41" s="333">
        <f>'[7]Taux de Remplissage Magasin PF'!G39</f>
        <v>36</v>
      </c>
      <c r="H41" s="333">
        <f>'[7]Taux de Remplissage Magasin PF'!H39</f>
        <v>114</v>
      </c>
      <c r="I41" s="333">
        <f>'[7]Taux de Remplissage Magasin PF'!I39</f>
        <v>90</v>
      </c>
      <c r="J41" s="333">
        <f>'[7]Taux de Remplissage Magasin PF'!J39</f>
        <v>0</v>
      </c>
      <c r="K41" s="333">
        <f>'[7]Taux de Remplissage Magasin PF'!K39</f>
        <v>0</v>
      </c>
      <c r="L41" s="333">
        <f>'[7]Taux de Remplissage Magasin PF'!L39</f>
        <v>0</v>
      </c>
      <c r="M41" s="333">
        <f>'[7]Taux de Remplissage Magasin PF'!M39</f>
        <v>0</v>
      </c>
      <c r="N41" s="333">
        <f>'[7]Taux de Remplissage Magasin PF'!N39</f>
        <v>0</v>
      </c>
      <c r="O41" s="333">
        <f>'[7]Taux de Remplissage Magasin PF'!O39</f>
        <v>0</v>
      </c>
      <c r="P41" s="333">
        <f>'[7]Taux de Remplissage Magasin PF'!P39</f>
        <v>0</v>
      </c>
      <c r="Q41" s="334">
        <f>'[7]Taux de Remplissage Magasin PF'!Q39</f>
        <v>0</v>
      </c>
      <c r="R41" s="330"/>
      <c r="S41" s="335">
        <f t="shared" si="5"/>
        <v>344</v>
      </c>
    </row>
    <row r="42" spans="2:20" hidden="1" outlineLevel="1" x14ac:dyDescent="0.2">
      <c r="B42" s="329"/>
      <c r="C42" s="349" t="str">
        <f>INDEX([7]Analyse!L30:L80,1)</f>
        <v>BT850GTHON</v>
      </c>
      <c r="D42" s="331"/>
      <c r="E42" s="330"/>
      <c r="F42" s="332">
        <f>'[7]Taux de Remplissage Magasin PF'!F40</f>
        <v>17</v>
      </c>
      <c r="G42" s="333">
        <f>'[7]Taux de Remplissage Magasin PF'!G40</f>
        <v>17</v>
      </c>
      <c r="H42" s="333">
        <f>'[7]Taux de Remplissage Magasin PF'!H40</f>
        <v>17</v>
      </c>
      <c r="I42" s="333">
        <f>'[7]Taux de Remplissage Magasin PF'!I40</f>
        <v>17</v>
      </c>
      <c r="J42" s="333">
        <f>'[7]Taux de Remplissage Magasin PF'!J40</f>
        <v>0</v>
      </c>
      <c r="K42" s="333">
        <f>'[7]Taux de Remplissage Magasin PF'!K40</f>
        <v>0</v>
      </c>
      <c r="L42" s="333">
        <f>'[7]Taux de Remplissage Magasin PF'!L40</f>
        <v>0</v>
      </c>
      <c r="M42" s="333">
        <f>'[7]Taux de Remplissage Magasin PF'!M40</f>
        <v>0</v>
      </c>
      <c r="N42" s="333">
        <f>'[7]Taux de Remplissage Magasin PF'!N40</f>
        <v>0</v>
      </c>
      <c r="O42" s="333">
        <f>'[7]Taux de Remplissage Magasin PF'!O40</f>
        <v>0</v>
      </c>
      <c r="P42" s="333">
        <f>'[7]Taux de Remplissage Magasin PF'!P40</f>
        <v>0</v>
      </c>
      <c r="Q42" s="334">
        <f>'[7]Taux de Remplissage Magasin PF'!Q40</f>
        <v>0</v>
      </c>
      <c r="R42" s="330"/>
      <c r="S42" s="335">
        <f t="shared" si="5"/>
        <v>68</v>
      </c>
    </row>
    <row r="43" spans="2:20" collapsed="1" x14ac:dyDescent="0.2">
      <c r="B43" s="806" t="s">
        <v>63</v>
      </c>
      <c r="C43" s="806" t="s">
        <v>96</v>
      </c>
      <c r="D43" s="314" t="s">
        <v>94</v>
      </c>
      <c r="F43" s="315">
        <v>5600</v>
      </c>
      <c r="G43" s="316">
        <v>5600</v>
      </c>
      <c r="H43" s="316">
        <v>5600</v>
      </c>
      <c r="I43" s="316">
        <v>5600</v>
      </c>
      <c r="J43" s="316">
        <v>5600</v>
      </c>
      <c r="K43" s="316">
        <v>5600</v>
      </c>
      <c r="L43" s="316">
        <v>5600</v>
      </c>
      <c r="M43" s="316">
        <v>5600</v>
      </c>
      <c r="N43" s="316">
        <v>5600</v>
      </c>
      <c r="O43" s="316">
        <v>5600</v>
      </c>
      <c r="P43" s="316">
        <v>5600</v>
      </c>
      <c r="Q43" s="317">
        <v>5600</v>
      </c>
      <c r="S43" s="318">
        <f>SUMIFS(F43:Q43,F44:Q44,"&lt;&gt;0")</f>
        <v>22400</v>
      </c>
    </row>
    <row r="44" spans="2:20" x14ac:dyDescent="0.2">
      <c r="B44" s="807"/>
      <c r="C44" s="807"/>
      <c r="D44" s="319" t="s">
        <v>95</v>
      </c>
      <c r="F44" s="336">
        <f t="shared" ref="F44:Q44" si="6">SUM(F46:F70)</f>
        <v>1993</v>
      </c>
      <c r="G44" s="337">
        <f t="shared" si="6"/>
        <v>2205</v>
      </c>
      <c r="H44" s="337">
        <f t="shared" si="6"/>
        <v>2198</v>
      </c>
      <c r="I44" s="337">
        <f t="shared" si="6"/>
        <v>2152</v>
      </c>
      <c r="J44" s="337">
        <f t="shared" si="6"/>
        <v>0</v>
      </c>
      <c r="K44" s="337">
        <f t="shared" si="6"/>
        <v>0</v>
      </c>
      <c r="L44" s="337">
        <f t="shared" si="6"/>
        <v>0</v>
      </c>
      <c r="M44" s="337">
        <f t="shared" si="6"/>
        <v>0</v>
      </c>
      <c r="N44" s="337">
        <f t="shared" si="6"/>
        <v>0</v>
      </c>
      <c r="O44" s="337">
        <f t="shared" si="6"/>
        <v>0</v>
      </c>
      <c r="P44" s="337">
        <f t="shared" si="6"/>
        <v>0</v>
      </c>
      <c r="Q44" s="338">
        <f t="shared" si="6"/>
        <v>0</v>
      </c>
      <c r="S44" s="323">
        <f>+SUM(F44:Q44)</f>
        <v>8548</v>
      </c>
    </row>
    <row r="45" spans="2:20" x14ac:dyDescent="0.2">
      <c r="B45" s="808"/>
      <c r="C45" s="808"/>
      <c r="D45" s="324" t="s">
        <v>92</v>
      </c>
      <c r="F45" s="325">
        <f>F44/F43</f>
        <v>0.35589285714285712</v>
      </c>
      <c r="G45" s="326">
        <f t="shared" ref="G45:Q45" si="7">G44/G43</f>
        <v>0.39374999999999999</v>
      </c>
      <c r="H45" s="326">
        <f t="shared" si="7"/>
        <v>0.39250000000000002</v>
      </c>
      <c r="I45" s="326">
        <f t="shared" si="7"/>
        <v>0.38428571428571429</v>
      </c>
      <c r="J45" s="326">
        <f t="shared" si="7"/>
        <v>0</v>
      </c>
      <c r="K45" s="326">
        <f t="shared" si="7"/>
        <v>0</v>
      </c>
      <c r="L45" s="326">
        <f t="shared" si="7"/>
        <v>0</v>
      </c>
      <c r="M45" s="326">
        <f t="shared" si="7"/>
        <v>0</v>
      </c>
      <c r="N45" s="326">
        <f t="shared" si="7"/>
        <v>0</v>
      </c>
      <c r="O45" s="326">
        <f t="shared" si="7"/>
        <v>0</v>
      </c>
      <c r="P45" s="326">
        <f t="shared" si="7"/>
        <v>0</v>
      </c>
      <c r="Q45" s="327">
        <f t="shared" si="7"/>
        <v>0</v>
      </c>
      <c r="S45" s="328">
        <f t="shared" ref="S45" si="8">S44/S43</f>
        <v>0.38160714285714287</v>
      </c>
      <c r="T45" s="347">
        <f>100%-S45</f>
        <v>0.61839285714285719</v>
      </c>
    </row>
    <row r="46" spans="2:20" hidden="1" outlineLevel="1" x14ac:dyDescent="0.2">
      <c r="B46" s="339"/>
      <c r="C46" s="349" t="str">
        <f>INDEX([7]Analyse!L31:L81,1)</f>
        <v>BD18L</v>
      </c>
      <c r="D46" s="331"/>
      <c r="E46" s="330"/>
      <c r="F46" s="332">
        <f>'[7]Taux de Remplissage Magasin PF'!F44</f>
        <v>47</v>
      </c>
      <c r="G46" s="333">
        <f>'[7]Taux de Remplissage Magasin PF'!G44</f>
        <v>47</v>
      </c>
      <c r="H46" s="333">
        <f>'[7]Taux de Remplissage Magasin PF'!H44</f>
        <v>47</v>
      </c>
      <c r="I46" s="333">
        <f>'[7]Taux de Remplissage Magasin PF'!I44</f>
        <v>47</v>
      </c>
      <c r="J46" s="333">
        <f>'[7]Taux de Remplissage Magasin PF'!J44</f>
        <v>0</v>
      </c>
      <c r="K46" s="333">
        <f>'[7]Taux de Remplissage Magasin PF'!K44</f>
        <v>0</v>
      </c>
      <c r="L46" s="333">
        <f>'[7]Taux de Remplissage Magasin PF'!L44</f>
        <v>0</v>
      </c>
      <c r="M46" s="333">
        <f>'[7]Taux de Remplissage Magasin PF'!M44</f>
        <v>0</v>
      </c>
      <c r="N46" s="333">
        <f>'[7]Taux de Remplissage Magasin PF'!N44</f>
        <v>0</v>
      </c>
      <c r="O46" s="333">
        <f>'[7]Taux de Remplissage Magasin PF'!O44</f>
        <v>0</v>
      </c>
      <c r="P46" s="333">
        <f>'[7]Taux de Remplissage Magasin PF'!P44</f>
        <v>0</v>
      </c>
      <c r="Q46" s="334">
        <f>'[7]Taux de Remplissage Magasin PF'!Q44</f>
        <v>0</v>
      </c>
      <c r="R46" s="330"/>
      <c r="S46" s="335">
        <f t="shared" ref="S46:S70" si="9">+SUM(F46:Q46)</f>
        <v>188</v>
      </c>
    </row>
    <row r="47" spans="2:20" hidden="1" outlineLevel="1" x14ac:dyDescent="0.2">
      <c r="B47" s="329"/>
      <c r="C47" s="349" t="str">
        <f>INDEX([7]Analyse!L32:L82,1)</f>
        <v>BD20L</v>
      </c>
      <c r="D47" s="331"/>
      <c r="E47" s="330"/>
      <c r="F47" s="332">
        <f>'[7]Taux de Remplissage Magasin PF'!F45</f>
        <v>36</v>
      </c>
      <c r="G47" s="333">
        <f>'[7]Taux de Remplissage Magasin PF'!G45</f>
        <v>36</v>
      </c>
      <c r="H47" s="333">
        <f>'[7]Taux de Remplissage Magasin PF'!H45</f>
        <v>35</v>
      </c>
      <c r="I47" s="333">
        <f>'[7]Taux de Remplissage Magasin PF'!I45</f>
        <v>34</v>
      </c>
      <c r="J47" s="333">
        <f>'[7]Taux de Remplissage Magasin PF'!J45</f>
        <v>0</v>
      </c>
      <c r="K47" s="333">
        <f>'[7]Taux de Remplissage Magasin PF'!K45</f>
        <v>0</v>
      </c>
      <c r="L47" s="333">
        <f>'[7]Taux de Remplissage Magasin PF'!L45</f>
        <v>0</v>
      </c>
      <c r="M47" s="333">
        <f>'[7]Taux de Remplissage Magasin PF'!M45</f>
        <v>0</v>
      </c>
      <c r="N47" s="333">
        <f>'[7]Taux de Remplissage Magasin PF'!N45</f>
        <v>0</v>
      </c>
      <c r="O47" s="333">
        <f>'[7]Taux de Remplissage Magasin PF'!O45</f>
        <v>0</v>
      </c>
      <c r="P47" s="333">
        <f>'[7]Taux de Remplissage Magasin PF'!P45</f>
        <v>0</v>
      </c>
      <c r="Q47" s="334">
        <f>'[7]Taux de Remplissage Magasin PF'!Q45</f>
        <v>0</v>
      </c>
      <c r="R47" s="330"/>
      <c r="S47" s="335">
        <f t="shared" si="9"/>
        <v>141</v>
      </c>
    </row>
    <row r="48" spans="2:20" hidden="1" outlineLevel="1" x14ac:dyDescent="0.2">
      <c r="B48" s="329"/>
      <c r="C48" s="349" t="str">
        <f>INDEX([7]Analyse!L33:L83,1)</f>
        <v>BT1/10PRE</v>
      </c>
      <c r="D48" s="331"/>
      <c r="E48" s="330"/>
      <c r="F48" s="332">
        <f>'[7]Taux de Remplissage Magasin PF'!F46</f>
        <v>39</v>
      </c>
      <c r="G48" s="333">
        <f>'[7]Taux de Remplissage Magasin PF'!G46</f>
        <v>39</v>
      </c>
      <c r="H48" s="333">
        <f>'[7]Taux de Remplissage Magasin PF'!H46</f>
        <v>59</v>
      </c>
      <c r="I48" s="333">
        <f>'[7]Taux de Remplissage Magasin PF'!I46</f>
        <v>58</v>
      </c>
      <c r="J48" s="333">
        <f>'[7]Taux de Remplissage Magasin PF'!J46</f>
        <v>0</v>
      </c>
      <c r="K48" s="333">
        <f>'[7]Taux de Remplissage Magasin PF'!K46</f>
        <v>0</v>
      </c>
      <c r="L48" s="333">
        <f>'[7]Taux de Remplissage Magasin PF'!L46</f>
        <v>0</v>
      </c>
      <c r="M48" s="333">
        <f>'[7]Taux de Remplissage Magasin PF'!M46</f>
        <v>0</v>
      </c>
      <c r="N48" s="333">
        <f>'[7]Taux de Remplissage Magasin PF'!N46</f>
        <v>0</v>
      </c>
      <c r="O48" s="333">
        <f>'[7]Taux de Remplissage Magasin PF'!O46</f>
        <v>0</v>
      </c>
      <c r="P48" s="333">
        <f>'[7]Taux de Remplissage Magasin PF'!P46</f>
        <v>0</v>
      </c>
      <c r="Q48" s="334">
        <f>'[7]Taux de Remplissage Magasin PF'!Q46</f>
        <v>0</v>
      </c>
      <c r="R48" s="330"/>
      <c r="S48" s="335">
        <f t="shared" si="9"/>
        <v>195</v>
      </c>
    </row>
    <row r="49" spans="2:19" hidden="1" outlineLevel="1" x14ac:dyDescent="0.2">
      <c r="B49" s="329"/>
      <c r="C49" s="349" t="str">
        <f>INDEX([7]Analyse!L34:L84,1)</f>
        <v>BT1/2LRD</v>
      </c>
      <c r="D49" s="331"/>
      <c r="E49" s="330"/>
      <c r="F49" s="332">
        <f>'[7]Taux de Remplissage Magasin PF'!F47</f>
        <v>77</v>
      </c>
      <c r="G49" s="333">
        <f>'[7]Taux de Remplissage Magasin PF'!G47</f>
        <v>96</v>
      </c>
      <c r="H49" s="333">
        <f>'[7]Taux de Remplissage Magasin PF'!H47</f>
        <v>177</v>
      </c>
      <c r="I49" s="333">
        <f>'[7]Taux de Remplissage Magasin PF'!I47</f>
        <v>159</v>
      </c>
      <c r="J49" s="333">
        <f>'[7]Taux de Remplissage Magasin PF'!J47</f>
        <v>0</v>
      </c>
      <c r="K49" s="333">
        <f>'[7]Taux de Remplissage Magasin PF'!K47</f>
        <v>0</v>
      </c>
      <c r="L49" s="333">
        <f>'[7]Taux de Remplissage Magasin PF'!L47</f>
        <v>0</v>
      </c>
      <c r="M49" s="333">
        <f>'[7]Taux de Remplissage Magasin PF'!M47</f>
        <v>0</v>
      </c>
      <c r="N49" s="333">
        <f>'[7]Taux de Remplissage Magasin PF'!N47</f>
        <v>0</v>
      </c>
      <c r="O49" s="333">
        <f>'[7]Taux de Remplissage Magasin PF'!O47</f>
        <v>0</v>
      </c>
      <c r="P49" s="333">
        <f>'[7]Taux de Remplissage Magasin PF'!P47</f>
        <v>0</v>
      </c>
      <c r="Q49" s="334">
        <f>'[7]Taux de Remplissage Magasin PF'!Q47</f>
        <v>0</v>
      </c>
      <c r="R49" s="330"/>
      <c r="S49" s="335">
        <f t="shared" si="9"/>
        <v>509</v>
      </c>
    </row>
    <row r="50" spans="2:19" hidden="1" outlineLevel="1" x14ac:dyDescent="0.2">
      <c r="B50" s="329"/>
      <c r="C50" s="349" t="str">
        <f>INDEX([7]Analyse!L35:L85,1)</f>
        <v>BT1/2PRE</v>
      </c>
      <c r="D50" s="331"/>
      <c r="E50" s="330"/>
      <c r="F50" s="332">
        <f>'[7]Taux de Remplissage Magasin PF'!F48</f>
        <v>90</v>
      </c>
      <c r="G50" s="333">
        <f>'[7]Taux de Remplissage Magasin PF'!G48</f>
        <v>76</v>
      </c>
      <c r="H50" s="333">
        <f>'[7]Taux de Remplissage Magasin PF'!H48</f>
        <v>122</v>
      </c>
      <c r="I50" s="333">
        <f>'[7]Taux de Remplissage Magasin PF'!I48</f>
        <v>113</v>
      </c>
      <c r="J50" s="333">
        <f>'[7]Taux de Remplissage Magasin PF'!J48</f>
        <v>0</v>
      </c>
      <c r="K50" s="333">
        <f>'[7]Taux de Remplissage Magasin PF'!K48</f>
        <v>0</v>
      </c>
      <c r="L50" s="333">
        <f>'[7]Taux de Remplissage Magasin PF'!L48</f>
        <v>0</v>
      </c>
      <c r="M50" s="333">
        <f>'[7]Taux de Remplissage Magasin PF'!M48</f>
        <v>0</v>
      </c>
      <c r="N50" s="333">
        <f>'[7]Taux de Remplissage Magasin PF'!N48</f>
        <v>0</v>
      </c>
      <c r="O50" s="333">
        <f>'[7]Taux de Remplissage Magasin PF'!O48</f>
        <v>0</v>
      </c>
      <c r="P50" s="333">
        <f>'[7]Taux de Remplissage Magasin PF'!P48</f>
        <v>0</v>
      </c>
      <c r="Q50" s="334">
        <f>'[7]Taux de Remplissage Magasin PF'!Q48</f>
        <v>0</v>
      </c>
      <c r="R50" s="330"/>
      <c r="S50" s="335">
        <f t="shared" si="9"/>
        <v>401</v>
      </c>
    </row>
    <row r="51" spans="2:19" hidden="1" outlineLevel="1" x14ac:dyDescent="0.2">
      <c r="B51" s="329"/>
      <c r="C51" s="349" t="str">
        <f>INDEX([7]Analyse!L36:L86,1)</f>
        <v>BT1/4LRD</v>
      </c>
      <c r="D51" s="331"/>
      <c r="E51" s="330"/>
      <c r="F51" s="332">
        <f>'[7]Taux de Remplissage Magasin PF'!F49</f>
        <v>0</v>
      </c>
      <c r="G51" s="333">
        <f>'[7]Taux de Remplissage Magasin PF'!G49</f>
        <v>16</v>
      </c>
      <c r="H51" s="333">
        <f>'[7]Taux de Remplissage Magasin PF'!H49</f>
        <v>16</v>
      </c>
      <c r="I51" s="333">
        <f>'[7]Taux de Remplissage Magasin PF'!I49</f>
        <v>16</v>
      </c>
      <c r="J51" s="333">
        <f>'[7]Taux de Remplissage Magasin PF'!J49</f>
        <v>0</v>
      </c>
      <c r="K51" s="333">
        <f>'[7]Taux de Remplissage Magasin PF'!K49</f>
        <v>0</v>
      </c>
      <c r="L51" s="333">
        <f>'[7]Taux de Remplissage Magasin PF'!L49</f>
        <v>0</v>
      </c>
      <c r="M51" s="333">
        <f>'[7]Taux de Remplissage Magasin PF'!M49</f>
        <v>0</v>
      </c>
      <c r="N51" s="333">
        <f>'[7]Taux de Remplissage Magasin PF'!N49</f>
        <v>0</v>
      </c>
      <c r="O51" s="333">
        <f>'[7]Taux de Remplissage Magasin PF'!O49</f>
        <v>0</v>
      </c>
      <c r="P51" s="333">
        <f>'[7]Taux de Remplissage Magasin PF'!P49</f>
        <v>0</v>
      </c>
      <c r="Q51" s="334">
        <f>'[7]Taux de Remplissage Magasin PF'!Q49</f>
        <v>0</v>
      </c>
      <c r="R51" s="330"/>
      <c r="S51" s="335">
        <f t="shared" si="9"/>
        <v>48</v>
      </c>
    </row>
    <row r="52" spans="2:19" hidden="1" outlineLevel="1" x14ac:dyDescent="0.2">
      <c r="B52" s="329"/>
      <c r="C52" s="349" t="str">
        <f>INDEX([7]Analyse!L37:L87,1)</f>
        <v>BT1/4PRE</v>
      </c>
      <c r="D52" s="331"/>
      <c r="E52" s="330"/>
      <c r="F52" s="332">
        <f>'[7]Taux de Remplissage Magasin PF'!F50</f>
        <v>34</v>
      </c>
      <c r="G52" s="333">
        <f>'[7]Taux de Remplissage Magasin PF'!G50</f>
        <v>50</v>
      </c>
      <c r="H52" s="333">
        <f>'[7]Taux de Remplissage Magasin PF'!H50</f>
        <v>40</v>
      </c>
      <c r="I52" s="333">
        <f>'[7]Taux de Remplissage Magasin PF'!I50</f>
        <v>42</v>
      </c>
      <c r="J52" s="333">
        <f>'[7]Taux de Remplissage Magasin PF'!J50</f>
        <v>0</v>
      </c>
      <c r="K52" s="333">
        <f>'[7]Taux de Remplissage Magasin PF'!K50</f>
        <v>0</v>
      </c>
      <c r="L52" s="333">
        <f>'[7]Taux de Remplissage Magasin PF'!L50</f>
        <v>0</v>
      </c>
      <c r="M52" s="333">
        <f>'[7]Taux de Remplissage Magasin PF'!M50</f>
        <v>0</v>
      </c>
      <c r="N52" s="333">
        <f>'[7]Taux de Remplissage Magasin PF'!N50</f>
        <v>0</v>
      </c>
      <c r="O52" s="333">
        <f>'[7]Taux de Remplissage Magasin PF'!O50</f>
        <v>0</v>
      </c>
      <c r="P52" s="333">
        <f>'[7]Taux de Remplissage Magasin PF'!P50</f>
        <v>0</v>
      </c>
      <c r="Q52" s="334">
        <f>'[7]Taux de Remplissage Magasin PF'!Q50</f>
        <v>0</v>
      </c>
      <c r="R52" s="330"/>
      <c r="S52" s="335">
        <f t="shared" si="9"/>
        <v>166</v>
      </c>
    </row>
    <row r="53" spans="2:19" hidden="1" outlineLevel="1" x14ac:dyDescent="0.2">
      <c r="B53" s="329"/>
      <c r="C53" s="349" t="str">
        <f>INDEX([7]Analyse!L38:L88,1)</f>
        <v>BT1K5MASTIC</v>
      </c>
      <c r="D53" s="331"/>
      <c r="E53" s="330"/>
      <c r="F53" s="332">
        <f>'[7]Taux de Remplissage Magasin PF'!F51</f>
        <v>3</v>
      </c>
      <c r="G53" s="333">
        <f>'[7]Taux de Remplissage Magasin PF'!G51</f>
        <v>0</v>
      </c>
      <c r="H53" s="333">
        <f>'[7]Taux de Remplissage Magasin PF'!H51</f>
        <v>0</v>
      </c>
      <c r="I53" s="333">
        <f>'[7]Taux de Remplissage Magasin PF'!I51</f>
        <v>0</v>
      </c>
      <c r="J53" s="333">
        <f>'[7]Taux de Remplissage Magasin PF'!J51</f>
        <v>0</v>
      </c>
      <c r="K53" s="333">
        <f>'[7]Taux de Remplissage Magasin PF'!K51</f>
        <v>0</v>
      </c>
      <c r="L53" s="333">
        <f>'[7]Taux de Remplissage Magasin PF'!L51</f>
        <v>0</v>
      </c>
      <c r="M53" s="333">
        <f>'[7]Taux de Remplissage Magasin PF'!M51</f>
        <v>0</v>
      </c>
      <c r="N53" s="333">
        <f>'[7]Taux de Remplissage Magasin PF'!N51</f>
        <v>0</v>
      </c>
      <c r="O53" s="333">
        <f>'[7]Taux de Remplissage Magasin PF'!O51</f>
        <v>0</v>
      </c>
      <c r="P53" s="333">
        <f>'[7]Taux de Remplissage Magasin PF'!P51</f>
        <v>0</v>
      </c>
      <c r="Q53" s="334">
        <f>'[7]Taux de Remplissage Magasin PF'!Q51</f>
        <v>0</v>
      </c>
      <c r="R53" s="330"/>
      <c r="S53" s="335">
        <f t="shared" si="9"/>
        <v>3</v>
      </c>
    </row>
    <row r="54" spans="2:19" hidden="1" outlineLevel="1" x14ac:dyDescent="0.2">
      <c r="B54" s="329"/>
      <c r="C54" s="349" t="str">
        <f>INDEX([7]Analyse!L39:L89,1)</f>
        <v>BT1KGD108</v>
      </c>
      <c r="D54" s="331"/>
      <c r="E54" s="330"/>
      <c r="F54" s="332">
        <f>'[7]Taux de Remplissage Magasin PF'!F52</f>
        <v>32</v>
      </c>
      <c r="G54" s="333">
        <f>'[7]Taux de Remplissage Magasin PF'!G52</f>
        <v>83</v>
      </c>
      <c r="H54" s="333">
        <f>'[7]Taux de Remplissage Magasin PF'!H52</f>
        <v>66</v>
      </c>
      <c r="I54" s="333">
        <f>'[7]Taux de Remplissage Magasin PF'!I52</f>
        <v>46</v>
      </c>
      <c r="J54" s="333">
        <f>'[7]Taux de Remplissage Magasin PF'!J52</f>
        <v>0</v>
      </c>
      <c r="K54" s="333">
        <f>'[7]Taux de Remplissage Magasin PF'!K52</f>
        <v>0</v>
      </c>
      <c r="L54" s="333">
        <f>'[7]Taux de Remplissage Magasin PF'!L52</f>
        <v>0</v>
      </c>
      <c r="M54" s="333">
        <f>'[7]Taux de Remplissage Magasin PF'!M52</f>
        <v>0</v>
      </c>
      <c r="N54" s="333">
        <f>'[7]Taux de Remplissage Magasin PF'!N52</f>
        <v>0</v>
      </c>
      <c r="O54" s="333">
        <f>'[7]Taux de Remplissage Magasin PF'!O52</f>
        <v>0</v>
      </c>
      <c r="P54" s="333">
        <f>'[7]Taux de Remplissage Magasin PF'!P52</f>
        <v>0</v>
      </c>
      <c r="Q54" s="334">
        <f>'[7]Taux de Remplissage Magasin PF'!Q52</f>
        <v>0</v>
      </c>
      <c r="R54" s="330"/>
      <c r="S54" s="335">
        <f t="shared" si="9"/>
        <v>227</v>
      </c>
    </row>
    <row r="55" spans="2:19" hidden="1" outlineLevel="1" x14ac:dyDescent="0.2">
      <c r="B55" s="329"/>
      <c r="C55" s="349" t="str">
        <f>INDEX([7]Analyse!L40:L90,1)</f>
        <v>BT1KGLAQ</v>
      </c>
      <c r="D55" s="331"/>
      <c r="E55" s="330"/>
      <c r="F55" s="332">
        <f>'[7]Taux de Remplissage Magasin PF'!F53</f>
        <v>205</v>
      </c>
      <c r="G55" s="333">
        <f>'[7]Taux de Remplissage Magasin PF'!G53</f>
        <v>134</v>
      </c>
      <c r="H55" s="333">
        <f>'[7]Taux de Remplissage Magasin PF'!H53</f>
        <v>112</v>
      </c>
      <c r="I55" s="333">
        <f>'[7]Taux de Remplissage Magasin PF'!I53</f>
        <v>204</v>
      </c>
      <c r="J55" s="333">
        <f>'[7]Taux de Remplissage Magasin PF'!J53</f>
        <v>0</v>
      </c>
      <c r="K55" s="333">
        <f>'[7]Taux de Remplissage Magasin PF'!K53</f>
        <v>0</v>
      </c>
      <c r="L55" s="333">
        <f>'[7]Taux de Remplissage Magasin PF'!L53</f>
        <v>0</v>
      </c>
      <c r="M55" s="333">
        <f>'[7]Taux de Remplissage Magasin PF'!M53</f>
        <v>0</v>
      </c>
      <c r="N55" s="333">
        <f>'[7]Taux de Remplissage Magasin PF'!N53</f>
        <v>0</v>
      </c>
      <c r="O55" s="333">
        <f>'[7]Taux de Remplissage Magasin PF'!O53</f>
        <v>0</v>
      </c>
      <c r="P55" s="333">
        <f>'[7]Taux de Remplissage Magasin PF'!P53</f>
        <v>0</v>
      </c>
      <c r="Q55" s="334">
        <f>'[7]Taux de Remplissage Magasin PF'!Q53</f>
        <v>0</v>
      </c>
      <c r="R55" s="330"/>
      <c r="S55" s="335">
        <f t="shared" si="9"/>
        <v>655</v>
      </c>
    </row>
    <row r="56" spans="2:19" hidden="1" outlineLevel="1" x14ac:dyDescent="0.2">
      <c r="B56" s="329"/>
      <c r="C56" s="349" t="str">
        <f>INDEX([7]Analyse!L41:L91,1)</f>
        <v>BT1KGMASTIC</v>
      </c>
      <c r="D56" s="331"/>
      <c r="E56" s="330"/>
      <c r="F56" s="332">
        <f>'[7]Taux de Remplissage Magasin PF'!F54</f>
        <v>81</v>
      </c>
      <c r="G56" s="333">
        <f>'[7]Taux de Remplissage Magasin PF'!G54</f>
        <v>76</v>
      </c>
      <c r="H56" s="333">
        <f>'[7]Taux de Remplissage Magasin PF'!H54</f>
        <v>73</v>
      </c>
      <c r="I56" s="333">
        <f>'[7]Taux de Remplissage Magasin PF'!I54</f>
        <v>62</v>
      </c>
      <c r="J56" s="333">
        <f>'[7]Taux de Remplissage Magasin PF'!J54</f>
        <v>0</v>
      </c>
      <c r="K56" s="333">
        <f>'[7]Taux de Remplissage Magasin PF'!K54</f>
        <v>0</v>
      </c>
      <c r="L56" s="333">
        <f>'[7]Taux de Remplissage Magasin PF'!L54</f>
        <v>0</v>
      </c>
      <c r="M56" s="333">
        <f>'[7]Taux de Remplissage Magasin PF'!M54</f>
        <v>0</v>
      </c>
      <c r="N56" s="333">
        <f>'[7]Taux de Remplissage Magasin PF'!N54</f>
        <v>0</v>
      </c>
      <c r="O56" s="333">
        <f>'[7]Taux de Remplissage Magasin PF'!O54</f>
        <v>0</v>
      </c>
      <c r="P56" s="333">
        <f>'[7]Taux de Remplissage Magasin PF'!P54</f>
        <v>0</v>
      </c>
      <c r="Q56" s="334">
        <f>'[7]Taux de Remplissage Magasin PF'!Q54</f>
        <v>0</v>
      </c>
      <c r="R56" s="330"/>
      <c r="S56" s="335">
        <f t="shared" si="9"/>
        <v>292</v>
      </c>
    </row>
    <row r="57" spans="2:19" hidden="1" outlineLevel="1" x14ac:dyDescent="0.2">
      <c r="B57" s="329"/>
      <c r="C57" s="349" t="str">
        <f>INDEX([7]Analyse!L42:L92,1)</f>
        <v>BT1KGPRE</v>
      </c>
      <c r="D57" s="331"/>
      <c r="E57" s="330"/>
      <c r="F57" s="332">
        <f>'[7]Taux de Remplissage Magasin PF'!F55</f>
        <v>115</v>
      </c>
      <c r="G57" s="333">
        <f>'[7]Taux de Remplissage Magasin PF'!G55</f>
        <v>201</v>
      </c>
      <c r="H57" s="333">
        <f>'[7]Taux de Remplissage Magasin PF'!H55</f>
        <v>204</v>
      </c>
      <c r="I57" s="333">
        <f>'[7]Taux de Remplissage Magasin PF'!I55</f>
        <v>159</v>
      </c>
      <c r="J57" s="333">
        <f>'[7]Taux de Remplissage Magasin PF'!J55</f>
        <v>0</v>
      </c>
      <c r="K57" s="333">
        <f>'[7]Taux de Remplissage Magasin PF'!K55</f>
        <v>0</v>
      </c>
      <c r="L57" s="333">
        <f>'[7]Taux de Remplissage Magasin PF'!L55</f>
        <v>0</v>
      </c>
      <c r="M57" s="333">
        <f>'[7]Taux de Remplissage Magasin PF'!M55</f>
        <v>0</v>
      </c>
      <c r="N57" s="333">
        <f>'[7]Taux de Remplissage Magasin PF'!N55</f>
        <v>0</v>
      </c>
      <c r="O57" s="333">
        <f>'[7]Taux de Remplissage Magasin PF'!O55</f>
        <v>0</v>
      </c>
      <c r="P57" s="333">
        <f>'[7]Taux de Remplissage Magasin PF'!P55</f>
        <v>0</v>
      </c>
      <c r="Q57" s="334">
        <f>'[7]Taux de Remplissage Magasin PF'!Q55</f>
        <v>0</v>
      </c>
      <c r="R57" s="330"/>
      <c r="S57" s="335">
        <f t="shared" si="9"/>
        <v>679</v>
      </c>
    </row>
    <row r="58" spans="2:19" hidden="1" outlineLevel="1" x14ac:dyDescent="0.2">
      <c r="B58" s="329"/>
      <c r="C58" s="349" t="str">
        <f>INDEX([7]Analyse!L43:L93,1)</f>
        <v>BT1LRD</v>
      </c>
      <c r="D58" s="331"/>
      <c r="E58" s="330"/>
      <c r="F58" s="332">
        <f>'[7]Taux de Remplissage Magasin PF'!F56</f>
        <v>69</v>
      </c>
      <c r="G58" s="333">
        <f>'[7]Taux de Remplissage Magasin PF'!G56</f>
        <v>66</v>
      </c>
      <c r="H58" s="333">
        <f>'[7]Taux de Remplissage Magasin PF'!H56</f>
        <v>66</v>
      </c>
      <c r="I58" s="333">
        <f>'[7]Taux de Remplissage Magasin PF'!I56</f>
        <v>64</v>
      </c>
      <c r="J58" s="333">
        <f>'[7]Taux de Remplissage Magasin PF'!J56</f>
        <v>0</v>
      </c>
      <c r="K58" s="333">
        <f>'[7]Taux de Remplissage Magasin PF'!K56</f>
        <v>0</v>
      </c>
      <c r="L58" s="333">
        <f>'[7]Taux de Remplissage Magasin PF'!L56</f>
        <v>0</v>
      </c>
      <c r="M58" s="333">
        <f>'[7]Taux de Remplissage Magasin PF'!M56</f>
        <v>0</v>
      </c>
      <c r="N58" s="333">
        <f>'[7]Taux de Remplissage Magasin PF'!N56</f>
        <v>0</v>
      </c>
      <c r="O58" s="333">
        <f>'[7]Taux de Remplissage Magasin PF'!O56</f>
        <v>0</v>
      </c>
      <c r="P58" s="333">
        <f>'[7]Taux de Remplissage Magasin PF'!P56</f>
        <v>0</v>
      </c>
      <c r="Q58" s="334">
        <f>'[7]Taux de Remplissage Magasin PF'!Q56</f>
        <v>0</v>
      </c>
      <c r="R58" s="330"/>
      <c r="S58" s="335">
        <f t="shared" si="9"/>
        <v>265</v>
      </c>
    </row>
    <row r="59" spans="2:19" hidden="1" outlineLevel="1" x14ac:dyDescent="0.2">
      <c r="B59" s="329"/>
      <c r="C59" s="349" t="str">
        <f>INDEX([7]Analyse!L44:L94,1)</f>
        <v>BT2LRECT</v>
      </c>
      <c r="D59" s="331"/>
      <c r="E59" s="330"/>
      <c r="F59" s="332">
        <f>'[7]Taux de Remplissage Magasin PF'!F57</f>
        <v>0</v>
      </c>
      <c r="G59" s="333">
        <f>'[7]Taux de Remplissage Magasin PF'!G57</f>
        <v>0</v>
      </c>
      <c r="H59" s="333">
        <f>'[7]Taux de Remplissage Magasin PF'!H57</f>
        <v>0</v>
      </c>
      <c r="I59" s="333">
        <f>'[7]Taux de Remplissage Magasin PF'!I57</f>
        <v>2</v>
      </c>
      <c r="J59" s="333">
        <f>'[7]Taux de Remplissage Magasin PF'!J57</f>
        <v>0</v>
      </c>
      <c r="K59" s="333">
        <f>'[7]Taux de Remplissage Magasin PF'!K57</f>
        <v>0</v>
      </c>
      <c r="L59" s="333">
        <f>'[7]Taux de Remplissage Magasin PF'!L57</f>
        <v>0</v>
      </c>
      <c r="M59" s="333">
        <f>'[7]Taux de Remplissage Magasin PF'!M57</f>
        <v>0</v>
      </c>
      <c r="N59" s="333">
        <f>'[7]Taux de Remplissage Magasin PF'!N57</f>
        <v>0</v>
      </c>
      <c r="O59" s="333">
        <f>'[7]Taux de Remplissage Magasin PF'!O57</f>
        <v>0</v>
      </c>
      <c r="P59" s="333">
        <f>'[7]Taux de Remplissage Magasin PF'!P57</f>
        <v>0</v>
      </c>
      <c r="Q59" s="334">
        <f>'[7]Taux de Remplissage Magasin PF'!Q57</f>
        <v>0</v>
      </c>
      <c r="R59" s="330"/>
      <c r="S59" s="335">
        <f t="shared" si="9"/>
        <v>2</v>
      </c>
    </row>
    <row r="60" spans="2:19" hidden="1" outlineLevel="1" x14ac:dyDescent="0.2">
      <c r="B60" s="329"/>
      <c r="C60" s="349" t="str">
        <f>INDEX([7]Analyse!L45:L95,1)</f>
        <v>BT3K6</v>
      </c>
      <c r="D60" s="331"/>
      <c r="E60" s="330"/>
      <c r="F60" s="332">
        <f>'[7]Taux de Remplissage Magasin PF'!F58</f>
        <v>71</v>
      </c>
      <c r="G60" s="333">
        <f>'[7]Taux de Remplissage Magasin PF'!G58</f>
        <v>84</v>
      </c>
      <c r="H60" s="333">
        <f>'[7]Taux de Remplissage Magasin PF'!H58</f>
        <v>83</v>
      </c>
      <c r="I60" s="333">
        <f>'[7]Taux de Remplissage Magasin PF'!I58</f>
        <v>79</v>
      </c>
      <c r="J60" s="333">
        <f>'[7]Taux de Remplissage Magasin PF'!J58</f>
        <v>0</v>
      </c>
      <c r="K60" s="333">
        <f>'[7]Taux de Remplissage Magasin PF'!K58</f>
        <v>0</v>
      </c>
      <c r="L60" s="333">
        <f>'[7]Taux de Remplissage Magasin PF'!L58</f>
        <v>0</v>
      </c>
      <c r="M60" s="333">
        <f>'[7]Taux de Remplissage Magasin PF'!M58</f>
        <v>0</v>
      </c>
      <c r="N60" s="333">
        <f>'[7]Taux de Remplissage Magasin PF'!N58</f>
        <v>0</v>
      </c>
      <c r="O60" s="333">
        <f>'[7]Taux de Remplissage Magasin PF'!O58</f>
        <v>0</v>
      </c>
      <c r="P60" s="333">
        <f>'[7]Taux de Remplissage Magasin PF'!P58</f>
        <v>0</v>
      </c>
      <c r="Q60" s="334">
        <f>'[7]Taux de Remplissage Magasin PF'!Q58</f>
        <v>0</v>
      </c>
      <c r="R60" s="330"/>
      <c r="S60" s="335">
        <f t="shared" si="9"/>
        <v>317</v>
      </c>
    </row>
    <row r="61" spans="2:19" hidden="1" outlineLevel="1" x14ac:dyDescent="0.2">
      <c r="B61" s="329"/>
      <c r="C61" s="349" t="str">
        <f>INDEX([7]Analyse!L46:L96,1)</f>
        <v>BT3KG</v>
      </c>
      <c r="D61" s="331"/>
      <c r="E61" s="330"/>
      <c r="F61" s="332">
        <f>'[7]Taux de Remplissage Magasin PF'!F59</f>
        <v>13</v>
      </c>
      <c r="G61" s="333">
        <f>'[7]Taux de Remplissage Magasin PF'!G59</f>
        <v>13</v>
      </c>
      <c r="H61" s="333">
        <f>'[7]Taux de Remplissage Magasin PF'!H59</f>
        <v>11</v>
      </c>
      <c r="I61" s="333">
        <f>'[7]Taux de Remplissage Magasin PF'!I59</f>
        <v>11</v>
      </c>
      <c r="J61" s="333">
        <f>'[7]Taux de Remplissage Magasin PF'!J59</f>
        <v>0</v>
      </c>
      <c r="K61" s="333">
        <f>'[7]Taux de Remplissage Magasin PF'!K59</f>
        <v>0</v>
      </c>
      <c r="L61" s="333">
        <f>'[7]Taux de Remplissage Magasin PF'!L59</f>
        <v>0</v>
      </c>
      <c r="M61" s="333">
        <f>'[7]Taux de Remplissage Magasin PF'!M59</f>
        <v>0</v>
      </c>
      <c r="N61" s="333">
        <f>'[7]Taux de Remplissage Magasin PF'!N59</f>
        <v>0</v>
      </c>
      <c r="O61" s="333">
        <f>'[7]Taux de Remplissage Magasin PF'!O59</f>
        <v>0</v>
      </c>
      <c r="P61" s="333">
        <f>'[7]Taux de Remplissage Magasin PF'!P59</f>
        <v>0</v>
      </c>
      <c r="Q61" s="334">
        <f>'[7]Taux de Remplissage Magasin PF'!Q59</f>
        <v>0</v>
      </c>
      <c r="R61" s="330"/>
      <c r="S61" s="335">
        <f t="shared" si="9"/>
        <v>48</v>
      </c>
    </row>
    <row r="62" spans="2:19" hidden="1" outlineLevel="1" x14ac:dyDescent="0.2">
      <c r="B62" s="329"/>
      <c r="C62" s="349" t="str">
        <f>INDEX([7]Analyse!L47:L97,1)</f>
        <v>BT3LRECT</v>
      </c>
      <c r="D62" s="331"/>
      <c r="E62" s="330"/>
      <c r="F62" s="332">
        <f>'[7]Taux de Remplissage Magasin PF'!F60</f>
        <v>8</v>
      </c>
      <c r="G62" s="333">
        <f>'[7]Taux de Remplissage Magasin PF'!G60</f>
        <v>7</v>
      </c>
      <c r="H62" s="333">
        <f>'[7]Taux de Remplissage Magasin PF'!H60</f>
        <v>1</v>
      </c>
      <c r="I62" s="333">
        <f>'[7]Taux de Remplissage Magasin PF'!I60</f>
        <v>1</v>
      </c>
      <c r="J62" s="333">
        <f>'[7]Taux de Remplissage Magasin PF'!J60</f>
        <v>0</v>
      </c>
      <c r="K62" s="333">
        <f>'[7]Taux de Remplissage Magasin PF'!K60</f>
        <v>0</v>
      </c>
      <c r="L62" s="333">
        <f>'[7]Taux de Remplissage Magasin PF'!L60</f>
        <v>0</v>
      </c>
      <c r="M62" s="333">
        <f>'[7]Taux de Remplissage Magasin PF'!M60</f>
        <v>0</v>
      </c>
      <c r="N62" s="333">
        <f>'[7]Taux de Remplissage Magasin PF'!N60</f>
        <v>0</v>
      </c>
      <c r="O62" s="333">
        <f>'[7]Taux de Remplissage Magasin PF'!O60</f>
        <v>0</v>
      </c>
      <c r="P62" s="333">
        <f>'[7]Taux de Remplissage Magasin PF'!P60</f>
        <v>0</v>
      </c>
      <c r="Q62" s="334">
        <f>'[7]Taux de Remplissage Magasin PF'!Q60</f>
        <v>0</v>
      </c>
      <c r="R62" s="330"/>
      <c r="S62" s="335">
        <f t="shared" si="9"/>
        <v>17</v>
      </c>
    </row>
    <row r="63" spans="2:19" hidden="1" outlineLevel="1" x14ac:dyDescent="0.2">
      <c r="B63" s="329"/>
      <c r="C63" s="349" t="str">
        <f>INDEX([7]Analyse!L48:L98,1)</f>
        <v>BT5LRECT</v>
      </c>
      <c r="D63" s="331"/>
      <c r="E63" s="330"/>
      <c r="F63" s="332">
        <f>'[7]Taux de Remplissage Magasin PF'!F61</f>
        <v>64</v>
      </c>
      <c r="G63" s="333">
        <f>'[7]Taux de Remplissage Magasin PF'!G61</f>
        <v>63</v>
      </c>
      <c r="H63" s="333">
        <f>'[7]Taux de Remplissage Magasin PF'!H61</f>
        <v>61</v>
      </c>
      <c r="I63" s="333">
        <f>'[7]Taux de Remplissage Magasin PF'!I61</f>
        <v>60</v>
      </c>
      <c r="J63" s="333">
        <f>'[7]Taux de Remplissage Magasin PF'!J61</f>
        <v>0</v>
      </c>
      <c r="K63" s="333">
        <f>'[7]Taux de Remplissage Magasin PF'!K61</f>
        <v>0</v>
      </c>
      <c r="L63" s="333">
        <f>'[7]Taux de Remplissage Magasin PF'!L61</f>
        <v>0</v>
      </c>
      <c r="M63" s="333">
        <f>'[7]Taux de Remplissage Magasin PF'!M61</f>
        <v>0</v>
      </c>
      <c r="N63" s="333">
        <f>'[7]Taux de Remplissage Magasin PF'!N61</f>
        <v>0</v>
      </c>
      <c r="O63" s="333">
        <f>'[7]Taux de Remplissage Magasin PF'!O61</f>
        <v>0</v>
      </c>
      <c r="P63" s="333">
        <f>'[7]Taux de Remplissage Magasin PF'!P61</f>
        <v>0</v>
      </c>
      <c r="Q63" s="334">
        <f>'[7]Taux de Remplissage Magasin PF'!Q61</f>
        <v>0</v>
      </c>
      <c r="R63" s="330"/>
      <c r="S63" s="335">
        <f t="shared" si="9"/>
        <v>248</v>
      </c>
    </row>
    <row r="64" spans="2:19" hidden="1" outlineLevel="1" x14ac:dyDescent="0.2">
      <c r="B64" s="329"/>
      <c r="C64" s="349" t="str">
        <f>INDEX([7]Analyse!L49:L99,1)</f>
        <v>SC10L</v>
      </c>
      <c r="D64" s="331"/>
      <c r="E64" s="330"/>
      <c r="F64" s="332">
        <f>'[7]Taux de Remplissage Magasin PF'!F62</f>
        <v>38</v>
      </c>
      <c r="G64" s="333">
        <f>'[7]Taux de Remplissage Magasin PF'!G62</f>
        <v>34</v>
      </c>
      <c r="H64" s="333">
        <f>'[7]Taux de Remplissage Magasin PF'!H62</f>
        <v>31</v>
      </c>
      <c r="I64" s="333">
        <f>'[7]Taux de Remplissage Magasin PF'!I62</f>
        <v>30</v>
      </c>
      <c r="J64" s="333">
        <f>'[7]Taux de Remplissage Magasin PF'!J62</f>
        <v>0</v>
      </c>
      <c r="K64" s="333">
        <f>'[7]Taux de Remplissage Magasin PF'!K62</f>
        <v>0</v>
      </c>
      <c r="L64" s="333">
        <f>'[7]Taux de Remplissage Magasin PF'!L62</f>
        <v>0</v>
      </c>
      <c r="M64" s="333">
        <f>'[7]Taux de Remplissage Magasin PF'!M62</f>
        <v>0</v>
      </c>
      <c r="N64" s="333">
        <f>'[7]Taux de Remplissage Magasin PF'!N62</f>
        <v>0</v>
      </c>
      <c r="O64" s="333">
        <f>'[7]Taux de Remplissage Magasin PF'!O62</f>
        <v>0</v>
      </c>
      <c r="P64" s="333">
        <f>'[7]Taux de Remplissage Magasin PF'!P62</f>
        <v>0</v>
      </c>
      <c r="Q64" s="334">
        <f>'[7]Taux de Remplissage Magasin PF'!Q62</f>
        <v>0</v>
      </c>
      <c r="R64" s="330"/>
      <c r="S64" s="335">
        <f t="shared" si="9"/>
        <v>133</v>
      </c>
    </row>
    <row r="65" spans="2:19" hidden="1" outlineLevel="1" x14ac:dyDescent="0.2">
      <c r="B65" s="329"/>
      <c r="C65" s="349" t="str">
        <f>INDEX([7]Analyse!L50:L100,1)</f>
        <v>SC18L</v>
      </c>
      <c r="D65" s="331"/>
      <c r="E65" s="330"/>
      <c r="F65" s="332">
        <f>'[7]Taux de Remplissage Magasin PF'!F63</f>
        <v>193</v>
      </c>
      <c r="G65" s="333">
        <f>'[7]Taux de Remplissage Magasin PF'!G63</f>
        <v>209</v>
      </c>
      <c r="H65" s="333">
        <f>'[7]Taux de Remplissage Magasin PF'!H63</f>
        <v>209</v>
      </c>
      <c r="I65" s="333">
        <f>'[7]Taux de Remplissage Magasin PF'!I63</f>
        <v>199</v>
      </c>
      <c r="J65" s="333">
        <f>'[7]Taux de Remplissage Magasin PF'!J63</f>
        <v>0</v>
      </c>
      <c r="K65" s="333">
        <f>'[7]Taux de Remplissage Magasin PF'!K63</f>
        <v>0</v>
      </c>
      <c r="L65" s="333">
        <f>'[7]Taux de Remplissage Magasin PF'!L63</f>
        <v>0</v>
      </c>
      <c r="M65" s="333">
        <f>'[7]Taux de Remplissage Magasin PF'!M63</f>
        <v>0</v>
      </c>
      <c r="N65" s="333">
        <f>'[7]Taux de Remplissage Magasin PF'!N63</f>
        <v>0</v>
      </c>
      <c r="O65" s="333">
        <f>'[7]Taux de Remplissage Magasin PF'!O63</f>
        <v>0</v>
      </c>
      <c r="P65" s="333">
        <f>'[7]Taux de Remplissage Magasin PF'!P63</f>
        <v>0</v>
      </c>
      <c r="Q65" s="334">
        <f>'[7]Taux de Remplissage Magasin PF'!Q63</f>
        <v>0</v>
      </c>
      <c r="R65" s="330"/>
      <c r="S65" s="335">
        <f t="shared" si="9"/>
        <v>810</v>
      </c>
    </row>
    <row r="66" spans="2:19" hidden="1" outlineLevel="1" x14ac:dyDescent="0.2">
      <c r="B66" s="329"/>
      <c r="C66" s="349" t="str">
        <f>INDEX([7]Analyse!L51:L101,1)</f>
        <v>SC20L</v>
      </c>
      <c r="D66" s="331"/>
      <c r="E66" s="330"/>
      <c r="F66" s="332">
        <f>'[7]Taux de Remplissage Magasin PF'!F64</f>
        <v>573</v>
      </c>
      <c r="G66" s="333">
        <f>'[7]Taux de Remplissage Magasin PF'!G64</f>
        <v>610</v>
      </c>
      <c r="H66" s="333">
        <f>'[7]Taux de Remplissage Magasin PF'!H64</f>
        <v>582</v>
      </c>
      <c r="I66" s="333">
        <f>'[7]Taux de Remplissage Magasin PF'!I64</f>
        <v>595</v>
      </c>
      <c r="J66" s="333">
        <f>'[7]Taux de Remplissage Magasin PF'!J64</f>
        <v>0</v>
      </c>
      <c r="K66" s="333">
        <f>'[7]Taux de Remplissage Magasin PF'!K64</f>
        <v>0</v>
      </c>
      <c r="L66" s="333">
        <f>'[7]Taux de Remplissage Magasin PF'!L64</f>
        <v>0</v>
      </c>
      <c r="M66" s="333">
        <f>'[7]Taux de Remplissage Magasin PF'!M64</f>
        <v>0</v>
      </c>
      <c r="N66" s="333">
        <f>'[7]Taux de Remplissage Magasin PF'!N64</f>
        <v>0</v>
      </c>
      <c r="O66" s="333">
        <f>'[7]Taux de Remplissage Magasin PF'!O64</f>
        <v>0</v>
      </c>
      <c r="P66" s="333">
        <f>'[7]Taux de Remplissage Magasin PF'!P64</f>
        <v>0</v>
      </c>
      <c r="Q66" s="334">
        <f>'[7]Taux de Remplissage Magasin PF'!Q64</f>
        <v>0</v>
      </c>
      <c r="R66" s="330"/>
      <c r="S66" s="335">
        <f t="shared" si="9"/>
        <v>2360</v>
      </c>
    </row>
    <row r="67" spans="2:19" hidden="1" outlineLevel="1" x14ac:dyDescent="0.2">
      <c r="B67" s="329"/>
      <c r="C67" s="349" t="str">
        <f>INDEX([7]Analyse!L52:L102,1)</f>
        <v>SC22L</v>
      </c>
      <c r="D67" s="331"/>
      <c r="E67" s="330"/>
      <c r="F67" s="332">
        <f>'[7]Taux de Remplissage Magasin PF'!F65</f>
        <v>24</v>
      </c>
      <c r="G67" s="333">
        <f>'[7]Taux de Remplissage Magasin PF'!G65</f>
        <v>19</v>
      </c>
      <c r="H67" s="333">
        <f>'[7]Taux de Remplissage Magasin PF'!H65</f>
        <v>18</v>
      </c>
      <c r="I67" s="333">
        <f>'[7]Taux de Remplissage Magasin PF'!I65</f>
        <v>14</v>
      </c>
      <c r="J67" s="333">
        <f>'[7]Taux de Remplissage Magasin PF'!J65</f>
        <v>0</v>
      </c>
      <c r="K67" s="333">
        <f>'[7]Taux de Remplissage Magasin PF'!K65</f>
        <v>0</v>
      </c>
      <c r="L67" s="333">
        <f>'[7]Taux de Remplissage Magasin PF'!L65</f>
        <v>0</v>
      </c>
      <c r="M67" s="333">
        <f>'[7]Taux de Remplissage Magasin PF'!M65</f>
        <v>0</v>
      </c>
      <c r="N67" s="333">
        <f>'[7]Taux de Remplissage Magasin PF'!N65</f>
        <v>0</v>
      </c>
      <c r="O67" s="333">
        <f>'[7]Taux de Remplissage Magasin PF'!O65</f>
        <v>0</v>
      </c>
      <c r="P67" s="333">
        <f>'[7]Taux de Remplissage Magasin PF'!P65</f>
        <v>0</v>
      </c>
      <c r="Q67" s="334">
        <f>'[7]Taux de Remplissage Magasin PF'!Q65</f>
        <v>0</v>
      </c>
      <c r="R67" s="330"/>
      <c r="S67" s="335">
        <f t="shared" si="9"/>
        <v>75</v>
      </c>
    </row>
    <row r="68" spans="2:19" hidden="1" outlineLevel="1" x14ac:dyDescent="0.2">
      <c r="B68" s="329"/>
      <c r="C68" s="349" t="str">
        <f>INDEX([7]Analyse!L53:L103,1)</f>
        <v>SC23L</v>
      </c>
      <c r="D68" s="331"/>
      <c r="E68" s="330"/>
      <c r="F68" s="332">
        <f>'[7]Taux de Remplissage Magasin PF'!F66</f>
        <v>8</v>
      </c>
      <c r="G68" s="333">
        <f>'[7]Taux de Remplissage Magasin PF'!G66</f>
        <v>8</v>
      </c>
      <c r="H68" s="333">
        <f>'[7]Taux de Remplissage Magasin PF'!H66</f>
        <v>8</v>
      </c>
      <c r="I68" s="333">
        <f>'[7]Taux de Remplissage Magasin PF'!I66</f>
        <v>22</v>
      </c>
      <c r="J68" s="333">
        <f>'[7]Taux de Remplissage Magasin PF'!J66</f>
        <v>0</v>
      </c>
      <c r="K68" s="333">
        <f>'[7]Taux de Remplissage Magasin PF'!K66</f>
        <v>0</v>
      </c>
      <c r="L68" s="333">
        <f>'[7]Taux de Remplissage Magasin PF'!L66</f>
        <v>0</v>
      </c>
      <c r="M68" s="333">
        <f>'[7]Taux de Remplissage Magasin PF'!M66</f>
        <v>0</v>
      </c>
      <c r="N68" s="333">
        <f>'[7]Taux de Remplissage Magasin PF'!N66</f>
        <v>0</v>
      </c>
      <c r="O68" s="333">
        <f>'[7]Taux de Remplissage Magasin PF'!O66</f>
        <v>0</v>
      </c>
      <c r="P68" s="333">
        <f>'[7]Taux de Remplissage Magasin PF'!P66</f>
        <v>0</v>
      </c>
      <c r="Q68" s="334">
        <f>'[7]Taux de Remplissage Magasin PF'!Q66</f>
        <v>0</v>
      </c>
      <c r="R68" s="330"/>
      <c r="S68" s="335">
        <f t="shared" si="9"/>
        <v>46</v>
      </c>
    </row>
    <row r="69" spans="2:19" hidden="1" outlineLevel="1" x14ac:dyDescent="0.2">
      <c r="B69" s="329"/>
      <c r="C69" s="349" t="str">
        <f>INDEX([7]Analyse!L54:L104,1)</f>
        <v>SC4L</v>
      </c>
      <c r="D69" s="331"/>
      <c r="E69" s="330"/>
      <c r="F69" s="332">
        <f>'[7]Taux de Remplissage Magasin PF'!F67</f>
        <v>8</v>
      </c>
      <c r="G69" s="333">
        <f>'[7]Taux de Remplissage Magasin PF'!G67</f>
        <v>0</v>
      </c>
      <c r="H69" s="333">
        <f>'[7]Taux de Remplissage Magasin PF'!H67</f>
        <v>0</v>
      </c>
      <c r="I69" s="333">
        <f>'[7]Taux de Remplissage Magasin PF'!I67</f>
        <v>0</v>
      </c>
      <c r="J69" s="333">
        <f>'[7]Taux de Remplissage Magasin PF'!J67</f>
        <v>0</v>
      </c>
      <c r="K69" s="333">
        <f>'[7]Taux de Remplissage Magasin PF'!K67</f>
        <v>0</v>
      </c>
      <c r="L69" s="333">
        <f>'[7]Taux de Remplissage Magasin PF'!L67</f>
        <v>0</v>
      </c>
      <c r="M69" s="333">
        <f>'[7]Taux de Remplissage Magasin PF'!M67</f>
        <v>0</v>
      </c>
      <c r="N69" s="333">
        <f>'[7]Taux de Remplissage Magasin PF'!N67</f>
        <v>0</v>
      </c>
      <c r="O69" s="333">
        <f>'[7]Taux de Remplissage Magasin PF'!O67</f>
        <v>0</v>
      </c>
      <c r="P69" s="333">
        <f>'[7]Taux de Remplissage Magasin PF'!P67</f>
        <v>0</v>
      </c>
      <c r="Q69" s="334">
        <f>'[7]Taux de Remplissage Magasin PF'!Q67</f>
        <v>0</v>
      </c>
      <c r="R69" s="330"/>
      <c r="S69" s="335">
        <f t="shared" si="9"/>
        <v>8</v>
      </c>
    </row>
    <row r="70" spans="2:19" hidden="1" outlineLevel="1" x14ac:dyDescent="0.2">
      <c r="B70" s="340"/>
      <c r="C70" s="350" t="str">
        <f>INDEX([7]Analyse!L55:L105,1)</f>
        <v>SC5L</v>
      </c>
      <c r="D70" s="341"/>
      <c r="E70" s="330"/>
      <c r="F70" s="342">
        <f>'[7]Taux de Remplissage Magasin PF'!F68</f>
        <v>165</v>
      </c>
      <c r="G70" s="343">
        <f>'[7]Taux de Remplissage Magasin PF'!G68</f>
        <v>238</v>
      </c>
      <c r="H70" s="343">
        <f>'[7]Taux de Remplissage Magasin PF'!H68</f>
        <v>177</v>
      </c>
      <c r="I70" s="343">
        <f>'[7]Taux de Remplissage Magasin PF'!I68</f>
        <v>135</v>
      </c>
      <c r="J70" s="343">
        <f>'[7]Taux de Remplissage Magasin PF'!J68</f>
        <v>0</v>
      </c>
      <c r="K70" s="343">
        <f>'[7]Taux de Remplissage Magasin PF'!K68</f>
        <v>0</v>
      </c>
      <c r="L70" s="343">
        <f>'[7]Taux de Remplissage Magasin PF'!L68</f>
        <v>0</v>
      </c>
      <c r="M70" s="343">
        <f>'[7]Taux de Remplissage Magasin PF'!M68</f>
        <v>0</v>
      </c>
      <c r="N70" s="343">
        <f>'[7]Taux de Remplissage Magasin PF'!N68</f>
        <v>0</v>
      </c>
      <c r="O70" s="343">
        <f>'[7]Taux de Remplissage Magasin PF'!O68</f>
        <v>0</v>
      </c>
      <c r="P70" s="343">
        <f>'[7]Taux de Remplissage Magasin PF'!P68</f>
        <v>0</v>
      </c>
      <c r="Q70" s="344">
        <f>'[7]Taux de Remplissage Magasin PF'!Q68</f>
        <v>0</v>
      </c>
      <c r="R70" s="330"/>
      <c r="S70" s="345">
        <f t="shared" si="9"/>
        <v>715</v>
      </c>
    </row>
    <row r="71" spans="2:19" collapsed="1" x14ac:dyDescent="0.2"/>
  </sheetData>
  <mergeCells count="5">
    <mergeCell ref="S6:S12"/>
    <mergeCell ref="B14:B16"/>
    <mergeCell ref="C14:C16"/>
    <mergeCell ref="B43:B45"/>
    <mergeCell ref="C43:C45"/>
  </mergeCells>
  <conditionalFormatting sqref="F16:Q16">
    <cfRule type="cellIs" dxfId="18" priority="13" operator="greaterThanOrEqual">
      <formula>0.9</formula>
    </cfRule>
    <cfRule type="cellIs" dxfId="17" priority="14" operator="lessThanOrEqual">
      <formula>0.5</formula>
    </cfRule>
  </conditionalFormatting>
  <conditionalFormatting sqref="S16">
    <cfRule type="cellIs" dxfId="16" priority="11" operator="greaterThanOrEqual">
      <formula>0.9</formula>
    </cfRule>
    <cfRule type="cellIs" dxfId="15" priority="12" operator="lessThanOrEqual">
      <formula>0.5</formula>
    </cfRule>
  </conditionalFormatting>
  <conditionalFormatting sqref="S45">
    <cfRule type="cellIs" dxfId="14" priority="9" operator="greaterThanOrEqual">
      <formula>0.9</formula>
    </cfRule>
    <cfRule type="cellIs" dxfId="13" priority="10" operator="lessThanOrEqual">
      <formula>0.5</formula>
    </cfRule>
  </conditionalFormatting>
  <conditionalFormatting sqref="F10:Q10">
    <cfRule type="cellIs" dxfId="12" priority="7" operator="greaterThanOrEqual">
      <formula>0.9</formula>
    </cfRule>
    <cfRule type="cellIs" dxfId="11" priority="8" operator="lessThanOrEqual">
      <formula>0.5</formula>
    </cfRule>
  </conditionalFormatting>
  <conditionalFormatting sqref="F45:Q45">
    <cfRule type="cellIs" dxfId="10" priority="5" operator="greaterThanOrEqual">
      <formula>0.9</formula>
    </cfRule>
    <cfRule type="cellIs" dxfId="9" priority="6" operator="lessThanOrEqual">
      <formula>0.5</formula>
    </cfRule>
  </conditionalFormatting>
  <conditionalFormatting sqref="S6">
    <cfRule type="cellIs" dxfId="8" priority="3" operator="greaterThanOrEqual">
      <formula>0.9</formula>
    </cfRule>
    <cfRule type="cellIs" dxfId="7" priority="4" operator="lessThanOrEqual">
      <formula>0.5</formula>
    </cfRule>
  </conditionalFormatting>
  <conditionalFormatting sqref="F8:Q8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{5F88DEE8-0DE5-4918-987A-1EAC430A84FF}</x14:id>
        </ext>
      </extLst>
    </cfRule>
  </conditionalFormatting>
  <conditionalFormatting sqref="D8:Q8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{4C1EEEE7-9C36-4ED7-B064-6DFF7BE5B329}</x14:id>
        </ext>
      </extLst>
    </cfRule>
  </conditionalFormatting>
  <hyperlinks>
    <hyperlink ref="A1" r:id="rId1" location="Récapitulatif!A1" xr:uid="{A48B794E-FC1D-4F75-BB58-6686AE59B651}"/>
  </hyperlinks>
  <pageMargins left="0.7" right="0.7" top="0.75" bottom="0.75" header="0.3" footer="0.3"/>
  <ignoredErrors>
    <ignoredError sqref="S16 S43:S44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F88DEE8-0DE5-4918-987A-1EAC430A84FF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F8:Q8</xm:sqref>
        </x14:conditionalFormatting>
        <x14:conditionalFormatting xmlns:xm="http://schemas.microsoft.com/office/excel/2006/main">
          <x14:cfRule type="dataBar" id="{4C1EEEE7-9C36-4ED7-B064-6DFF7BE5B3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D8:Q8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BA48E-B658-4562-8AED-DB821F91C5A9}">
  <sheetPr>
    <tabColor theme="9" tint="-0.249977111117893"/>
  </sheetPr>
  <dimension ref="A1:V127"/>
  <sheetViews>
    <sheetView showGridLines="0" zoomScale="80" zoomScaleNormal="80" workbookViewId="0">
      <selection activeCell="B5" sqref="B5:H6"/>
    </sheetView>
  </sheetViews>
  <sheetFormatPr baseColWidth="10" defaultRowHeight="12.75" outlineLevelRow="1" x14ac:dyDescent="0.2"/>
  <cols>
    <col min="1" max="1" width="3.28515625" style="292" customWidth="1"/>
    <col min="2" max="2" width="10.28515625" style="291" bestFit="1" customWidth="1"/>
    <col min="3" max="4" width="15.5703125" style="292" bestFit="1" customWidth="1"/>
    <col min="5" max="5" width="0.85546875" style="292" customWidth="1"/>
    <col min="6" max="6" width="12.28515625" style="291" customWidth="1"/>
    <col min="7" max="7" width="0.85546875" style="292" customWidth="1"/>
    <col min="8" max="9" width="13.42578125" style="291" bestFit="1" customWidth="1"/>
    <col min="10" max="10" width="10.7109375" style="291" customWidth="1"/>
    <col min="11" max="12" width="13.42578125" style="291" bestFit="1" customWidth="1"/>
    <col min="13" max="13" width="11.42578125" style="291"/>
    <col min="14" max="14" width="11.5703125" style="291" customWidth="1"/>
    <col min="15" max="15" width="10.28515625" style="291" customWidth="1"/>
    <col min="16" max="18" width="13.42578125" style="291" bestFit="1" customWidth="1"/>
    <col min="19" max="19" width="10.7109375" style="291" customWidth="1"/>
    <col min="20" max="20" width="0.85546875" style="292" customWidth="1"/>
    <col min="21" max="21" width="11.42578125" style="293"/>
    <col min="22" max="16384" width="11.42578125" style="292"/>
  </cols>
  <sheetData>
    <row r="1" spans="1:21" ht="15" x14ac:dyDescent="0.25">
      <c r="A1" s="760" t="s">
        <v>66</v>
      </c>
      <c r="B1" s="760"/>
    </row>
    <row r="13" spans="1:21" ht="5.0999999999999996" customHeight="1" x14ac:dyDescent="0.2">
      <c r="C13" s="177"/>
      <c r="D13" s="177"/>
      <c r="F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</row>
    <row r="14" spans="1:21" ht="3" customHeight="1" x14ac:dyDescent="0.2">
      <c r="F14" s="293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U14" s="352"/>
    </row>
    <row r="15" spans="1:21" ht="12.75" customHeight="1" x14ac:dyDescent="0.2">
      <c r="D15" s="353" t="s">
        <v>97</v>
      </c>
      <c r="E15" s="354"/>
      <c r="F15" s="355">
        <f>IF(F17=0,0,F17/((F17+$F19)/2))</f>
        <v>1.2266195524146055</v>
      </c>
      <c r="G15" s="356"/>
      <c r="H15" s="357">
        <f>H17/((H17+$F19)/2)</f>
        <v>1.070629865534324</v>
      </c>
      <c r="I15" s="358">
        <f>IF(I17=0,0,I17/((I17+H15)/2))</f>
        <v>1.9994749331423083</v>
      </c>
      <c r="J15" s="358">
        <f t="shared" ref="J15:S15" si="0">IF(J17=0,0,J17/((J17+I15)/2))</f>
        <v>1.9991201429420751</v>
      </c>
      <c r="K15" s="358">
        <f t="shared" si="0"/>
        <v>1.9992324359836378</v>
      </c>
      <c r="L15" s="358">
        <f t="shared" si="0"/>
        <v>0</v>
      </c>
      <c r="M15" s="358">
        <f t="shared" si="0"/>
        <v>0</v>
      </c>
      <c r="N15" s="358">
        <f t="shared" si="0"/>
        <v>0</v>
      </c>
      <c r="O15" s="358">
        <f t="shared" si="0"/>
        <v>0</v>
      </c>
      <c r="P15" s="358">
        <f t="shared" si="0"/>
        <v>0</v>
      </c>
      <c r="Q15" s="358">
        <f t="shared" si="0"/>
        <v>0</v>
      </c>
      <c r="R15" s="358">
        <f t="shared" si="0"/>
        <v>0</v>
      </c>
      <c r="S15" s="359">
        <f t="shared" si="0"/>
        <v>0</v>
      </c>
      <c r="U15" s="810">
        <f>$F$17/(($F$17+$F$19)/2)</f>
        <v>1.2266195524146055</v>
      </c>
    </row>
    <row r="16" spans="1:21" ht="3" customHeight="1" x14ac:dyDescent="0.2">
      <c r="C16" s="177"/>
      <c r="D16" s="177"/>
      <c r="F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U16" s="810"/>
    </row>
    <row r="17" spans="2:22" ht="12.75" customHeight="1" x14ac:dyDescent="0.2">
      <c r="C17" s="177"/>
      <c r="D17" s="353" t="s">
        <v>87</v>
      </c>
      <c r="E17" s="354"/>
      <c r="F17" s="360">
        <f>INDEX(H17:S17,MATCH(0,H17:S17,0)-1)</f>
        <v>5207</v>
      </c>
      <c r="G17" s="361"/>
      <c r="H17" s="362">
        <f t="shared" ref="H17:S17" si="1">H21+H75</f>
        <v>3782</v>
      </c>
      <c r="I17" s="363">
        <f t="shared" si="1"/>
        <v>4077</v>
      </c>
      <c r="J17" s="363">
        <f t="shared" si="1"/>
        <v>4543</v>
      </c>
      <c r="K17" s="363">
        <f t="shared" si="1"/>
        <v>5207</v>
      </c>
      <c r="L17" s="363">
        <f t="shared" si="1"/>
        <v>0</v>
      </c>
      <c r="M17" s="363">
        <f t="shared" si="1"/>
        <v>0</v>
      </c>
      <c r="N17" s="363">
        <f t="shared" si="1"/>
        <v>0</v>
      </c>
      <c r="O17" s="363">
        <f t="shared" si="1"/>
        <v>0</v>
      </c>
      <c r="P17" s="363">
        <f t="shared" si="1"/>
        <v>0</v>
      </c>
      <c r="Q17" s="363">
        <f t="shared" si="1"/>
        <v>0</v>
      </c>
      <c r="R17" s="363">
        <f t="shared" si="1"/>
        <v>0</v>
      </c>
      <c r="S17" s="364">
        <f t="shared" si="1"/>
        <v>0</v>
      </c>
      <c r="U17" s="810"/>
    </row>
    <row r="18" spans="2:22" ht="3" customHeight="1" x14ac:dyDescent="0.2">
      <c r="C18" s="177"/>
      <c r="D18" s="177"/>
      <c r="F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U18" s="810"/>
    </row>
    <row r="19" spans="2:22" ht="12.75" customHeight="1" x14ac:dyDescent="0.2">
      <c r="C19" s="177"/>
      <c r="D19" s="353" t="s">
        <v>88</v>
      </c>
      <c r="E19" s="354"/>
      <c r="F19" s="365">
        <f>F21+F75</f>
        <v>3283</v>
      </c>
      <c r="H19" s="366" t="s">
        <v>8</v>
      </c>
      <c r="I19" s="366" t="s">
        <v>9</v>
      </c>
      <c r="J19" s="366" t="s">
        <v>10</v>
      </c>
      <c r="K19" s="366" t="s">
        <v>11</v>
      </c>
      <c r="L19" s="366" t="s">
        <v>12</v>
      </c>
      <c r="M19" s="366" t="s">
        <v>13</v>
      </c>
      <c r="N19" s="366" t="s">
        <v>14</v>
      </c>
      <c r="O19" s="366" t="s">
        <v>15</v>
      </c>
      <c r="P19" s="366" t="s">
        <v>16</v>
      </c>
      <c r="Q19" s="366" t="s">
        <v>17</v>
      </c>
      <c r="R19" s="366" t="s">
        <v>18</v>
      </c>
      <c r="S19" s="367" t="s">
        <v>19</v>
      </c>
      <c r="U19" s="810"/>
    </row>
    <row r="20" spans="2:22" ht="3" customHeight="1" x14ac:dyDescent="0.2">
      <c r="C20" s="177"/>
      <c r="D20" s="177"/>
      <c r="F20" s="79"/>
      <c r="H20" s="368"/>
      <c r="I20" s="368"/>
      <c r="J20" s="368"/>
      <c r="K20" s="368"/>
      <c r="L20" s="368"/>
      <c r="M20" s="368"/>
      <c r="N20" s="368"/>
      <c r="O20" s="368"/>
      <c r="P20" s="368"/>
      <c r="Q20" s="368"/>
      <c r="R20" s="368"/>
      <c r="S20" s="369"/>
    </row>
    <row r="21" spans="2:22" x14ac:dyDescent="0.2">
      <c r="B21" s="370" t="s">
        <v>58</v>
      </c>
      <c r="C21" s="371"/>
      <c r="D21" s="372" t="s">
        <v>95</v>
      </c>
      <c r="F21" s="373">
        <f>SUM(F23,F25,F27,F29,F31,F33,F35,F37,F39,F41,F43,F45,F47,F49,F51,F53,F55,F57,F59,F61,F63,F65,F67,F69,F71,F73)</f>
        <v>1411</v>
      </c>
      <c r="G21" s="291"/>
      <c r="H21" s="374">
        <f>SUM(H23,H25,H27,H29,H31,H33,H35,H37,H39,H41,H43,H45,H47,H49,H51,H53,H55,H57,H59,H61,H63,H65,H67,H69,H71,H73)</f>
        <v>1789</v>
      </c>
      <c r="I21" s="375">
        <f t="shared" ref="I21:S21" si="2">SUM(I23,I25,I27,I29,I31,I33,I35,I37,I39,I41,I43,I45,I47,I49,I51,I53,I55,I57,I59,I61,I63,I65,I67,I69,I71,I73)</f>
        <v>1872</v>
      </c>
      <c r="J21" s="375">
        <f t="shared" si="2"/>
        <v>2345</v>
      </c>
      <c r="K21" s="375">
        <f t="shared" si="2"/>
        <v>3055</v>
      </c>
      <c r="L21" s="375">
        <f t="shared" si="2"/>
        <v>0</v>
      </c>
      <c r="M21" s="375">
        <f t="shared" si="2"/>
        <v>0</v>
      </c>
      <c r="N21" s="375">
        <f t="shared" si="2"/>
        <v>0</v>
      </c>
      <c r="O21" s="375">
        <f t="shared" si="2"/>
        <v>0</v>
      </c>
      <c r="P21" s="375">
        <f t="shared" si="2"/>
        <v>0</v>
      </c>
      <c r="Q21" s="375">
        <f t="shared" si="2"/>
        <v>0</v>
      </c>
      <c r="R21" s="375">
        <f t="shared" si="2"/>
        <v>0</v>
      </c>
      <c r="S21" s="376">
        <f t="shared" si="2"/>
        <v>0</v>
      </c>
      <c r="T21" s="291"/>
      <c r="U21" s="377">
        <f>INDEX(H21:S21,MATCH(0,H21:S21,0)-1)</f>
        <v>3055</v>
      </c>
    </row>
    <row r="22" spans="2:22" x14ac:dyDescent="0.2">
      <c r="B22" s="370"/>
      <c r="C22" s="371"/>
      <c r="D22" s="372" t="s">
        <v>86</v>
      </c>
      <c r="F22" s="378"/>
      <c r="G22" s="291"/>
      <c r="H22" s="379">
        <f t="shared" ref="H22:S22" si="3">IF(H21=0,0,H21/((H21+$F21)/2))</f>
        <v>1.118125</v>
      </c>
      <c r="I22" s="380">
        <f t="shared" si="3"/>
        <v>1.1404203472433749</v>
      </c>
      <c r="J22" s="380">
        <f t="shared" si="3"/>
        <v>1.2486687965921193</v>
      </c>
      <c r="K22" s="380">
        <f t="shared" si="3"/>
        <v>1.3681146439767129</v>
      </c>
      <c r="L22" s="380">
        <f t="shared" si="3"/>
        <v>0</v>
      </c>
      <c r="M22" s="380">
        <f t="shared" si="3"/>
        <v>0</v>
      </c>
      <c r="N22" s="380">
        <f t="shared" si="3"/>
        <v>0</v>
      </c>
      <c r="O22" s="380">
        <f t="shared" si="3"/>
        <v>0</v>
      </c>
      <c r="P22" s="380">
        <f t="shared" si="3"/>
        <v>0</v>
      </c>
      <c r="Q22" s="380">
        <f t="shared" si="3"/>
        <v>0</v>
      </c>
      <c r="R22" s="380">
        <f t="shared" si="3"/>
        <v>0</v>
      </c>
      <c r="S22" s="381">
        <f t="shared" si="3"/>
        <v>0</v>
      </c>
      <c r="T22" s="291"/>
      <c r="U22" s="382">
        <f>IF(U21=0,0,U21/((U21+$F21)/2))</f>
        <v>1.3681146439767129</v>
      </c>
      <c r="V22" s="383">
        <f>100%-U22</f>
        <v>-0.3681146439767129</v>
      </c>
    </row>
    <row r="23" spans="2:22" hidden="1" outlineLevel="1" x14ac:dyDescent="0.2">
      <c r="B23" s="384"/>
      <c r="C23" s="385" t="s">
        <v>47</v>
      </c>
      <c r="D23" s="386" t="s">
        <v>95</v>
      </c>
      <c r="E23" s="330"/>
      <c r="F23" s="387">
        <v>171</v>
      </c>
      <c r="G23" s="388"/>
      <c r="H23" s="389">
        <f>'[7]Taux de Rotation des Stocks PF'!H23</f>
        <v>150</v>
      </c>
      <c r="I23" s="390">
        <f>'[7]Taux de Rotation des Stocks PF'!I23</f>
        <v>184</v>
      </c>
      <c r="J23" s="390">
        <f>'[7]Taux de Rotation des Stocks PF'!J23</f>
        <v>441</v>
      </c>
      <c r="K23" s="390">
        <f>'[7]Taux de Rotation des Stocks PF'!K23</f>
        <v>680</v>
      </c>
      <c r="L23" s="390">
        <f>'[7]Taux de Rotation des Stocks PF'!L23</f>
        <v>0</v>
      </c>
      <c r="M23" s="390">
        <f>'[7]Taux de Rotation des Stocks PF'!M23</f>
        <v>0</v>
      </c>
      <c r="N23" s="390">
        <f>'[7]Taux de Rotation des Stocks PF'!N23</f>
        <v>0</v>
      </c>
      <c r="O23" s="390">
        <f>'[7]Taux de Rotation des Stocks PF'!O23</f>
        <v>0</v>
      </c>
      <c r="P23" s="390">
        <f>'[7]Taux de Rotation des Stocks PF'!P23</f>
        <v>0</v>
      </c>
      <c r="Q23" s="390">
        <f>'[7]Taux de Rotation des Stocks PF'!Q23</f>
        <v>0</v>
      </c>
      <c r="R23" s="390">
        <f>'[7]Taux de Rotation des Stocks PF'!R23</f>
        <v>0</v>
      </c>
      <c r="S23" s="391">
        <f>'[7]Taux de Rotation des Stocks PF'!S23</f>
        <v>0</v>
      </c>
      <c r="T23" s="388"/>
      <c r="U23" s="392">
        <f>INDEX(H23:S23,MATCH(0,H23:S23,0)-1)</f>
        <v>680</v>
      </c>
    </row>
    <row r="24" spans="2:22" hidden="1" outlineLevel="1" x14ac:dyDescent="0.2">
      <c r="B24" s="384"/>
      <c r="C24" s="393" t="str">
        <f>C23</f>
        <v>BT1/2</v>
      </c>
      <c r="D24" s="394" t="s">
        <v>86</v>
      </c>
      <c r="E24" s="330"/>
      <c r="F24" s="395"/>
      <c r="G24" s="388"/>
      <c r="H24" s="396">
        <f>IF(H23=0,0,H23/((H23+$F23)/2))</f>
        <v>0.93457943925233644</v>
      </c>
      <c r="I24" s="397">
        <f>IF(I23=0,0,I23/((I23+$H23)/2))</f>
        <v>1.1017964071856288</v>
      </c>
      <c r="J24" s="397">
        <f t="shared" ref="J24:S24" si="4">IF(J23=0,0,J23/((J23+$H23)/2))</f>
        <v>1.4923857868020305</v>
      </c>
      <c r="K24" s="397">
        <f t="shared" si="4"/>
        <v>1.6385542168674698</v>
      </c>
      <c r="L24" s="397">
        <f t="shared" si="4"/>
        <v>0</v>
      </c>
      <c r="M24" s="397">
        <f t="shared" si="4"/>
        <v>0</v>
      </c>
      <c r="N24" s="397">
        <f t="shared" si="4"/>
        <v>0</v>
      </c>
      <c r="O24" s="397">
        <f t="shared" si="4"/>
        <v>0</v>
      </c>
      <c r="P24" s="397">
        <f t="shared" si="4"/>
        <v>0</v>
      </c>
      <c r="Q24" s="397">
        <f t="shared" si="4"/>
        <v>0</v>
      </c>
      <c r="R24" s="397">
        <f t="shared" si="4"/>
        <v>0</v>
      </c>
      <c r="S24" s="398">
        <f t="shared" si="4"/>
        <v>0</v>
      </c>
      <c r="T24" s="388"/>
      <c r="U24" s="399">
        <f>IF(U23=0,0,U23/((U23+$F23)/2))</f>
        <v>1.5981198589894241</v>
      </c>
    </row>
    <row r="25" spans="2:22" hidden="1" outlineLevel="1" x14ac:dyDescent="0.2">
      <c r="B25" s="384"/>
      <c r="C25" s="385" t="s">
        <v>32</v>
      </c>
      <c r="D25" s="386" t="s">
        <v>95</v>
      </c>
      <c r="E25" s="330"/>
      <c r="F25" s="400">
        <v>26</v>
      </c>
      <c r="G25" s="388"/>
      <c r="H25" s="401">
        <f>'[7]Taux de Rotation des Stocks PF'!H25</f>
        <v>67</v>
      </c>
      <c r="I25" s="402">
        <f>'[7]Taux de Rotation des Stocks PF'!I25</f>
        <v>126</v>
      </c>
      <c r="J25" s="402">
        <f>'[7]Taux de Rotation des Stocks PF'!J25</f>
        <v>123</v>
      </c>
      <c r="K25" s="402">
        <f>'[7]Taux de Rotation des Stocks PF'!K25</f>
        <v>206</v>
      </c>
      <c r="L25" s="402">
        <f>'[7]Taux de Rotation des Stocks PF'!L25</f>
        <v>0</v>
      </c>
      <c r="M25" s="402">
        <f>'[7]Taux de Rotation des Stocks PF'!M25</f>
        <v>0</v>
      </c>
      <c r="N25" s="402">
        <f>'[7]Taux de Rotation des Stocks PF'!N25</f>
        <v>0</v>
      </c>
      <c r="O25" s="402">
        <f>'[7]Taux de Rotation des Stocks PF'!O25</f>
        <v>0</v>
      </c>
      <c r="P25" s="402">
        <f>'[7]Taux de Rotation des Stocks PF'!P25</f>
        <v>0</v>
      </c>
      <c r="Q25" s="402">
        <f>'[7]Taux de Rotation des Stocks PF'!Q25</f>
        <v>0</v>
      </c>
      <c r="R25" s="402">
        <f>'[7]Taux de Rotation des Stocks PF'!R25</f>
        <v>0</v>
      </c>
      <c r="S25" s="403">
        <f>'[7]Taux de Rotation des Stocks PF'!S25</f>
        <v>0</v>
      </c>
      <c r="T25" s="388"/>
      <c r="U25" s="404">
        <f>INDEX(H25:S25,MATCH(0,H25:S25,0)-1)</f>
        <v>206</v>
      </c>
    </row>
    <row r="26" spans="2:22" hidden="1" outlineLevel="1" x14ac:dyDescent="0.2">
      <c r="B26" s="384"/>
      <c r="C26" s="393" t="str">
        <f>C25</f>
        <v>BT1/5EMB</v>
      </c>
      <c r="D26" s="394" t="s">
        <v>86</v>
      </c>
      <c r="E26" s="330"/>
      <c r="F26" s="395"/>
      <c r="G26" s="388"/>
      <c r="H26" s="396">
        <f>IF(H25=0,0,H25/((H25+$F25)/2))</f>
        <v>1.4408602150537635</v>
      </c>
      <c r="I26" s="397">
        <f>IF(I25=0,0,I25/((I25+$H25)/2))</f>
        <v>1.3056994818652849</v>
      </c>
      <c r="J26" s="397">
        <f t="shared" ref="J26" si="5">IF(J25=0,0,J25/((J25+$H25)/2))</f>
        <v>1.2947368421052632</v>
      </c>
      <c r="K26" s="397">
        <f t="shared" ref="K26" si="6">IF(K25=0,0,K25/((K25+$H25)/2))</f>
        <v>1.5091575091575091</v>
      </c>
      <c r="L26" s="397">
        <f t="shared" ref="L26" si="7">IF(L25=0,0,L25/((L25+$H25)/2))</f>
        <v>0</v>
      </c>
      <c r="M26" s="397">
        <f t="shared" ref="M26" si="8">IF(M25=0,0,M25/((M25+$H25)/2))</f>
        <v>0</v>
      </c>
      <c r="N26" s="397">
        <f t="shared" ref="N26" si="9">IF(N25=0,0,N25/((N25+$H25)/2))</f>
        <v>0</v>
      </c>
      <c r="O26" s="397">
        <f t="shared" ref="O26" si="10">IF(O25=0,0,O25/((O25+$H25)/2))</f>
        <v>0</v>
      </c>
      <c r="P26" s="397">
        <f t="shared" ref="P26" si="11">IF(P25=0,0,P25/((P25+$H25)/2))</f>
        <v>0</v>
      </c>
      <c r="Q26" s="397">
        <f t="shared" ref="Q26" si="12">IF(Q25=0,0,Q25/((Q25+$H25)/2))</f>
        <v>0</v>
      </c>
      <c r="R26" s="397">
        <f t="shared" ref="R26" si="13">IF(R25=0,0,R25/((R25+$H25)/2))</f>
        <v>0</v>
      </c>
      <c r="S26" s="398">
        <f t="shared" ref="S26" si="14">IF(S25=0,0,S25/((S25+$H25)/2))</f>
        <v>0</v>
      </c>
      <c r="T26" s="388"/>
      <c r="U26" s="399">
        <f>IF(U25=0,0,U25/((U25+$F25)/2))</f>
        <v>1.7758620689655173</v>
      </c>
    </row>
    <row r="27" spans="2:22" hidden="1" outlineLevel="1" x14ac:dyDescent="0.2">
      <c r="B27" s="384"/>
      <c r="C27" s="385" t="s">
        <v>48</v>
      </c>
      <c r="D27" s="386" t="s">
        <v>95</v>
      </c>
      <c r="E27" s="330"/>
      <c r="F27" s="400">
        <v>86</v>
      </c>
      <c r="G27" s="388"/>
      <c r="H27" s="401">
        <f>'[7]Taux de Rotation des Stocks PF'!H27</f>
        <v>74</v>
      </c>
      <c r="I27" s="402">
        <f>'[7]Taux de Rotation des Stocks PF'!I27</f>
        <v>74</v>
      </c>
      <c r="J27" s="402">
        <f>'[7]Taux de Rotation des Stocks PF'!J27</f>
        <v>120</v>
      </c>
      <c r="K27" s="402">
        <f>'[7]Taux de Rotation des Stocks PF'!K27</f>
        <v>98</v>
      </c>
      <c r="L27" s="402">
        <f>'[7]Taux de Rotation des Stocks PF'!L27</f>
        <v>0</v>
      </c>
      <c r="M27" s="402">
        <f>'[7]Taux de Rotation des Stocks PF'!M27</f>
        <v>0</v>
      </c>
      <c r="N27" s="402">
        <f>'[7]Taux de Rotation des Stocks PF'!N27</f>
        <v>0</v>
      </c>
      <c r="O27" s="402">
        <f>'[7]Taux de Rotation des Stocks PF'!O27</f>
        <v>0</v>
      </c>
      <c r="P27" s="402">
        <f>'[7]Taux de Rotation des Stocks PF'!P27</f>
        <v>0</v>
      </c>
      <c r="Q27" s="402">
        <f>'[7]Taux de Rotation des Stocks PF'!Q27</f>
        <v>0</v>
      </c>
      <c r="R27" s="402">
        <f>'[7]Taux de Rotation des Stocks PF'!R27</f>
        <v>0</v>
      </c>
      <c r="S27" s="403">
        <f>'[7]Taux de Rotation des Stocks PF'!S27</f>
        <v>0</v>
      </c>
      <c r="T27" s="388"/>
      <c r="U27" s="404">
        <f>INDEX(H27:S27,MATCH(0,H27:S27,0)-1)</f>
        <v>98</v>
      </c>
    </row>
    <row r="28" spans="2:22" hidden="1" outlineLevel="1" x14ac:dyDescent="0.2">
      <c r="B28" s="384"/>
      <c r="C28" s="393" t="str">
        <f>C27</f>
        <v>BT1/6</v>
      </c>
      <c r="D28" s="394" t="s">
        <v>86</v>
      </c>
      <c r="E28" s="330"/>
      <c r="F28" s="395"/>
      <c r="G28" s="388"/>
      <c r="H28" s="405">
        <f>IF(H27=0,0,H27/((H27+$F27)/2))</f>
        <v>0.92500000000000004</v>
      </c>
      <c r="I28" s="406">
        <f>IF(I27=0,0,I27/((I27+$H27)/2))</f>
        <v>1</v>
      </c>
      <c r="J28" s="406">
        <f t="shared" ref="J28" si="15">IF(J27=0,0,J27/((J27+$H27)/2))</f>
        <v>1.2371134020618557</v>
      </c>
      <c r="K28" s="406">
        <f t="shared" ref="K28" si="16">IF(K27=0,0,K27/((K27+$H27)/2))</f>
        <v>1.1395348837209303</v>
      </c>
      <c r="L28" s="406">
        <f t="shared" ref="L28" si="17">IF(L27=0,0,L27/((L27+$H27)/2))</f>
        <v>0</v>
      </c>
      <c r="M28" s="406">
        <f t="shared" ref="M28" si="18">IF(M27=0,0,M27/((M27+$H27)/2))</f>
        <v>0</v>
      </c>
      <c r="N28" s="406">
        <f t="shared" ref="N28" si="19">IF(N27=0,0,N27/((N27+$H27)/2))</f>
        <v>0</v>
      </c>
      <c r="O28" s="406">
        <f t="shared" ref="O28" si="20">IF(O27=0,0,O27/((O27+$H27)/2))</f>
        <v>0</v>
      </c>
      <c r="P28" s="406">
        <f t="shared" ref="P28" si="21">IF(P27=0,0,P27/((P27+$H27)/2))</f>
        <v>0</v>
      </c>
      <c r="Q28" s="406">
        <f t="shared" ref="Q28" si="22">IF(Q27=0,0,Q27/((Q27+$H27)/2))</f>
        <v>0</v>
      </c>
      <c r="R28" s="406">
        <f t="shared" ref="R28" si="23">IF(R27=0,0,R27/((R27+$H27)/2))</f>
        <v>0</v>
      </c>
      <c r="S28" s="407">
        <f t="shared" ref="S28" si="24">IF(S27=0,0,S27/((S27+$H27)/2))</f>
        <v>0</v>
      </c>
      <c r="T28" s="388"/>
      <c r="U28" s="399">
        <f>IF(U27=0,0,U27/((U27+$F27)/2))</f>
        <v>1.0652173913043479</v>
      </c>
    </row>
    <row r="29" spans="2:22" hidden="1" outlineLevel="1" x14ac:dyDescent="0.2">
      <c r="B29" s="384"/>
      <c r="C29" s="385" t="s">
        <v>33</v>
      </c>
      <c r="D29" s="386" t="s">
        <v>95</v>
      </c>
      <c r="E29" s="330"/>
      <c r="F29" s="400">
        <v>117</v>
      </c>
      <c r="G29" s="388"/>
      <c r="H29" s="401">
        <f>'[7]Taux de Rotation des Stocks PF'!H29</f>
        <v>108</v>
      </c>
      <c r="I29" s="402">
        <f>'[7]Taux de Rotation des Stocks PF'!I29</f>
        <v>137</v>
      </c>
      <c r="J29" s="402">
        <f>'[7]Taux de Rotation des Stocks PF'!J29</f>
        <v>138</v>
      </c>
      <c r="K29" s="402">
        <f>'[7]Taux de Rotation des Stocks PF'!K29</f>
        <v>138</v>
      </c>
      <c r="L29" s="402">
        <f>'[7]Taux de Rotation des Stocks PF'!L29</f>
        <v>0</v>
      </c>
      <c r="M29" s="402">
        <f>'[7]Taux de Rotation des Stocks PF'!M29</f>
        <v>0</v>
      </c>
      <c r="N29" s="402">
        <f>'[7]Taux de Rotation des Stocks PF'!N29</f>
        <v>0</v>
      </c>
      <c r="O29" s="402">
        <f>'[7]Taux de Rotation des Stocks PF'!O29</f>
        <v>0</v>
      </c>
      <c r="P29" s="402">
        <f>'[7]Taux de Rotation des Stocks PF'!P29</f>
        <v>0</v>
      </c>
      <c r="Q29" s="402">
        <f>'[7]Taux de Rotation des Stocks PF'!Q29</f>
        <v>0</v>
      </c>
      <c r="R29" s="402">
        <f>'[7]Taux de Rotation des Stocks PF'!R29</f>
        <v>0</v>
      </c>
      <c r="S29" s="403">
        <f>'[7]Taux de Rotation des Stocks PF'!S29</f>
        <v>0</v>
      </c>
      <c r="T29" s="388"/>
      <c r="U29" s="404">
        <f>INDEX(H29:S29,MATCH(0,H29:S29,0)-1)</f>
        <v>138</v>
      </c>
    </row>
    <row r="30" spans="2:22" hidden="1" outlineLevel="1" x14ac:dyDescent="0.2">
      <c r="B30" s="384"/>
      <c r="C30" s="393" t="str">
        <f>C29</f>
        <v>BT1/6PC</v>
      </c>
      <c r="D30" s="394" t="s">
        <v>86</v>
      </c>
      <c r="E30" s="330"/>
      <c r="F30" s="395"/>
      <c r="G30" s="388"/>
      <c r="H30" s="405">
        <f>IF(H29=0,0,H29/((H29+$F29)/2))</f>
        <v>0.96</v>
      </c>
      <c r="I30" s="406">
        <f>IF(I29=0,0,I29/((I29+$H29)/2))</f>
        <v>1.1183673469387756</v>
      </c>
      <c r="J30" s="406">
        <f t="shared" ref="J30" si="25">IF(J29=0,0,J29/((J29+$H29)/2))</f>
        <v>1.1219512195121952</v>
      </c>
      <c r="K30" s="406">
        <f t="shared" ref="K30" si="26">IF(K29=0,0,K29/((K29+$H29)/2))</f>
        <v>1.1219512195121952</v>
      </c>
      <c r="L30" s="406">
        <f t="shared" ref="L30" si="27">IF(L29=0,0,L29/((L29+$H29)/2))</f>
        <v>0</v>
      </c>
      <c r="M30" s="406">
        <f t="shared" ref="M30" si="28">IF(M29=0,0,M29/((M29+$H29)/2))</f>
        <v>0</v>
      </c>
      <c r="N30" s="406">
        <f t="shared" ref="N30" si="29">IF(N29=0,0,N29/((N29+$H29)/2))</f>
        <v>0</v>
      </c>
      <c r="O30" s="406">
        <f t="shared" ref="O30" si="30">IF(O29=0,0,O29/((O29+$H29)/2))</f>
        <v>0</v>
      </c>
      <c r="P30" s="406">
        <f t="shared" ref="P30" si="31">IF(P29=0,0,P29/((P29+$H29)/2))</f>
        <v>0</v>
      </c>
      <c r="Q30" s="406">
        <f t="shared" ref="Q30" si="32">IF(Q29=0,0,Q29/((Q29+$H29)/2))</f>
        <v>0</v>
      </c>
      <c r="R30" s="406">
        <f t="shared" ref="R30" si="33">IF(R29=0,0,R29/((R29+$H29)/2))</f>
        <v>0</v>
      </c>
      <c r="S30" s="407">
        <f t="shared" ref="S30" si="34">IF(S29=0,0,S29/((S29+$H29)/2))</f>
        <v>0</v>
      </c>
      <c r="T30" s="388"/>
      <c r="U30" s="399">
        <f>IF(U29=0,0,U29/((U29+$F29)/2))</f>
        <v>1.0823529411764705</v>
      </c>
    </row>
    <row r="31" spans="2:22" hidden="1" outlineLevel="1" x14ac:dyDescent="0.2">
      <c r="B31" s="384"/>
      <c r="C31" s="385" t="s">
        <v>34</v>
      </c>
      <c r="D31" s="386" t="s">
        <v>95</v>
      </c>
      <c r="E31" s="330"/>
      <c r="F31" s="400">
        <v>31</v>
      </c>
      <c r="G31" s="388"/>
      <c r="H31" s="401">
        <f>'[7]Taux de Rotation des Stocks PF'!H31</f>
        <v>26</v>
      </c>
      <c r="I31" s="402">
        <f>'[7]Taux de Rotation des Stocks PF'!I31</f>
        <v>38</v>
      </c>
      <c r="J31" s="402">
        <f>'[7]Taux de Rotation des Stocks PF'!J31</f>
        <v>35</v>
      </c>
      <c r="K31" s="402">
        <f>'[7]Taux de Rotation des Stocks PF'!K31</f>
        <v>35</v>
      </c>
      <c r="L31" s="402">
        <f>'[7]Taux de Rotation des Stocks PF'!L31</f>
        <v>0</v>
      </c>
      <c r="M31" s="402">
        <f>'[7]Taux de Rotation des Stocks PF'!M31</f>
        <v>0</v>
      </c>
      <c r="N31" s="402">
        <f>'[7]Taux de Rotation des Stocks PF'!N31</f>
        <v>0</v>
      </c>
      <c r="O31" s="402">
        <f>'[7]Taux de Rotation des Stocks PF'!O31</f>
        <v>0</v>
      </c>
      <c r="P31" s="402">
        <f>'[7]Taux de Rotation des Stocks PF'!P31</f>
        <v>0</v>
      </c>
      <c r="Q31" s="402">
        <f>'[7]Taux de Rotation des Stocks PF'!Q31</f>
        <v>0</v>
      </c>
      <c r="R31" s="402">
        <f>'[7]Taux de Rotation des Stocks PF'!R31</f>
        <v>0</v>
      </c>
      <c r="S31" s="403">
        <f>'[7]Taux de Rotation des Stocks PF'!S31</f>
        <v>0</v>
      </c>
      <c r="T31" s="388"/>
      <c r="U31" s="404">
        <f>INDEX(H31:S31,MATCH(0,H31:S31,0)-1)</f>
        <v>35</v>
      </c>
    </row>
    <row r="32" spans="2:22" hidden="1" outlineLevel="1" x14ac:dyDescent="0.2">
      <c r="B32" s="384"/>
      <c r="C32" s="393" t="str">
        <f>C31</f>
        <v>BT185GCHAMIA</v>
      </c>
      <c r="D32" s="394" t="s">
        <v>86</v>
      </c>
      <c r="E32" s="330"/>
      <c r="F32" s="395"/>
      <c r="G32" s="388"/>
      <c r="H32" s="405">
        <f>IF(H31=0,0,H31/((H31+$F31)/2))</f>
        <v>0.91228070175438591</v>
      </c>
      <c r="I32" s="406">
        <f>IF(I31=0,0,I31/((I31+$H31)/2))</f>
        <v>1.1875</v>
      </c>
      <c r="J32" s="406">
        <f t="shared" ref="J32" si="35">IF(J31=0,0,J31/((J31+$H31)/2))</f>
        <v>1.1475409836065573</v>
      </c>
      <c r="K32" s="406">
        <f t="shared" ref="K32" si="36">IF(K31=0,0,K31/((K31+$H31)/2))</f>
        <v>1.1475409836065573</v>
      </c>
      <c r="L32" s="406">
        <f t="shared" ref="L32" si="37">IF(L31=0,0,L31/((L31+$H31)/2))</f>
        <v>0</v>
      </c>
      <c r="M32" s="406">
        <f t="shared" ref="M32" si="38">IF(M31=0,0,M31/((M31+$H31)/2))</f>
        <v>0</v>
      </c>
      <c r="N32" s="406">
        <f t="shared" ref="N32" si="39">IF(N31=0,0,N31/((N31+$H31)/2))</f>
        <v>0</v>
      </c>
      <c r="O32" s="406">
        <f t="shared" ref="O32" si="40">IF(O31=0,0,O31/((O31+$H31)/2))</f>
        <v>0</v>
      </c>
      <c r="P32" s="406">
        <f t="shared" ref="P32" si="41">IF(P31=0,0,P31/((P31+$H31)/2))</f>
        <v>0</v>
      </c>
      <c r="Q32" s="406">
        <f t="shared" ref="Q32" si="42">IF(Q31=0,0,Q31/((Q31+$H31)/2))</f>
        <v>0</v>
      </c>
      <c r="R32" s="406">
        <f t="shared" ref="R32" si="43">IF(R31=0,0,R31/((R31+$H31)/2))</f>
        <v>0</v>
      </c>
      <c r="S32" s="407">
        <f t="shared" ref="S32" si="44">IF(S31=0,0,S31/((S31+$H31)/2))</f>
        <v>0</v>
      </c>
      <c r="T32" s="388"/>
      <c r="U32" s="399">
        <f>IF(U31=0,0,U31/((U31+$F31)/2))</f>
        <v>1.0606060606060606</v>
      </c>
    </row>
    <row r="33" spans="2:21" hidden="1" outlineLevel="1" x14ac:dyDescent="0.2">
      <c r="B33" s="384"/>
      <c r="C33" s="385" t="s">
        <v>49</v>
      </c>
      <c r="D33" s="386" t="s">
        <v>95</v>
      </c>
      <c r="E33" s="330"/>
      <c r="F33" s="400">
        <v>6</v>
      </c>
      <c r="G33" s="388"/>
      <c r="H33" s="401">
        <f>'[7]Taux de Rotation des Stocks PF'!H33</f>
        <v>13</v>
      </c>
      <c r="I33" s="402">
        <f>'[7]Taux de Rotation des Stocks PF'!I33</f>
        <v>7</v>
      </c>
      <c r="J33" s="402">
        <f>'[7]Taux de Rotation des Stocks PF'!J33</f>
        <v>8</v>
      </c>
      <c r="K33" s="402">
        <f>'[7]Taux de Rotation des Stocks PF'!K33</f>
        <v>35</v>
      </c>
      <c r="L33" s="402">
        <f>'[7]Taux de Rotation des Stocks PF'!L33</f>
        <v>0</v>
      </c>
      <c r="M33" s="402">
        <f>'[7]Taux de Rotation des Stocks PF'!M33</f>
        <v>0</v>
      </c>
      <c r="N33" s="402">
        <f>'[7]Taux de Rotation des Stocks PF'!N33</f>
        <v>0</v>
      </c>
      <c r="O33" s="402">
        <f>'[7]Taux de Rotation des Stocks PF'!O33</f>
        <v>0</v>
      </c>
      <c r="P33" s="402">
        <f>'[7]Taux de Rotation des Stocks PF'!P33</f>
        <v>0</v>
      </c>
      <c r="Q33" s="402">
        <f>'[7]Taux de Rotation des Stocks PF'!Q33</f>
        <v>0</v>
      </c>
      <c r="R33" s="402">
        <f>'[7]Taux de Rotation des Stocks PF'!R33</f>
        <v>0</v>
      </c>
      <c r="S33" s="403">
        <f>'[7]Taux de Rotation des Stocks PF'!S33</f>
        <v>0</v>
      </c>
      <c r="T33" s="388"/>
      <c r="U33" s="404">
        <f>INDEX(H33:S33,MATCH(0,H33:S33,0)-1)</f>
        <v>35</v>
      </c>
    </row>
    <row r="34" spans="2:21" hidden="1" outlineLevel="1" x14ac:dyDescent="0.2">
      <c r="B34" s="384"/>
      <c r="C34" s="393" t="str">
        <f>C33</f>
        <v>BT1-9KGTHON</v>
      </c>
      <c r="D34" s="394" t="s">
        <v>86</v>
      </c>
      <c r="E34" s="330"/>
      <c r="F34" s="395"/>
      <c r="G34" s="388"/>
      <c r="H34" s="405">
        <f>IF(H33=0,0,H33/((H33+$F33)/2))</f>
        <v>1.368421052631579</v>
      </c>
      <c r="I34" s="406">
        <f>IF(I33=0,0,I33/((I33+$H33)/2))</f>
        <v>0.7</v>
      </c>
      <c r="J34" s="406">
        <f t="shared" ref="J34" si="45">IF(J33=0,0,J33/((J33+$H33)/2))</f>
        <v>0.76190476190476186</v>
      </c>
      <c r="K34" s="406">
        <f t="shared" ref="K34" si="46">IF(K33=0,0,K33/((K33+$H33)/2))</f>
        <v>1.4583333333333333</v>
      </c>
      <c r="L34" s="406">
        <f t="shared" ref="L34" si="47">IF(L33=0,0,L33/((L33+$H33)/2))</f>
        <v>0</v>
      </c>
      <c r="M34" s="406">
        <f t="shared" ref="M34" si="48">IF(M33=0,0,M33/((M33+$H33)/2))</f>
        <v>0</v>
      </c>
      <c r="N34" s="406">
        <f t="shared" ref="N34" si="49">IF(N33=0,0,N33/((N33+$H33)/2))</f>
        <v>0</v>
      </c>
      <c r="O34" s="406">
        <f t="shared" ref="O34" si="50">IF(O33=0,0,O33/((O33+$H33)/2))</f>
        <v>0</v>
      </c>
      <c r="P34" s="406">
        <f t="shared" ref="P34" si="51">IF(P33=0,0,P33/((P33+$H33)/2))</f>
        <v>0</v>
      </c>
      <c r="Q34" s="406">
        <f t="shared" ref="Q34" si="52">IF(Q33=0,0,Q33/((Q33+$H33)/2))</f>
        <v>0</v>
      </c>
      <c r="R34" s="406">
        <f t="shared" ref="R34" si="53">IF(R33=0,0,R33/((R33+$H33)/2))</f>
        <v>0</v>
      </c>
      <c r="S34" s="407">
        <f t="shared" ref="S34" si="54">IF(S33=0,0,S33/((S33+$H33)/2))</f>
        <v>0</v>
      </c>
      <c r="T34" s="388"/>
      <c r="U34" s="399">
        <f>IF(U33=0,0,U33/((U33+$F33)/2))</f>
        <v>1.7073170731707317</v>
      </c>
    </row>
    <row r="35" spans="2:21" hidden="1" outlineLevel="1" x14ac:dyDescent="0.2">
      <c r="B35" s="384"/>
      <c r="C35" s="385" t="s">
        <v>98</v>
      </c>
      <c r="D35" s="386" t="s">
        <v>95</v>
      </c>
      <c r="E35" s="330"/>
      <c r="F35" s="400">
        <v>9</v>
      </c>
      <c r="G35" s="388"/>
      <c r="H35" s="401">
        <f>'[7]Taux de Rotation des Stocks PF'!H35</f>
        <v>36</v>
      </c>
      <c r="I35" s="402">
        <f>'[7]Taux de Rotation des Stocks PF'!I35</f>
        <v>60</v>
      </c>
      <c r="J35" s="402">
        <f>'[7]Taux de Rotation des Stocks PF'!J35</f>
        <v>10</v>
      </c>
      <c r="K35" s="402">
        <f>'[7]Taux de Rotation des Stocks PF'!K35</f>
        <v>10</v>
      </c>
      <c r="L35" s="402">
        <f>'[7]Taux de Rotation des Stocks PF'!L35</f>
        <v>0</v>
      </c>
      <c r="M35" s="402">
        <f>'[7]Taux de Rotation des Stocks PF'!M35</f>
        <v>0</v>
      </c>
      <c r="N35" s="402">
        <f>'[7]Taux de Rotation des Stocks PF'!N35</f>
        <v>0</v>
      </c>
      <c r="O35" s="402">
        <f>'[7]Taux de Rotation des Stocks PF'!O35</f>
        <v>0</v>
      </c>
      <c r="P35" s="402">
        <f>'[7]Taux de Rotation des Stocks PF'!P35</f>
        <v>0</v>
      </c>
      <c r="Q35" s="402">
        <f>'[7]Taux de Rotation des Stocks PF'!Q35</f>
        <v>0</v>
      </c>
      <c r="R35" s="402">
        <f>'[7]Taux de Rotation des Stocks PF'!R35</f>
        <v>0</v>
      </c>
      <c r="S35" s="403">
        <f>'[7]Taux de Rotation des Stocks PF'!S35</f>
        <v>0</v>
      </c>
      <c r="T35" s="388"/>
      <c r="U35" s="404">
        <f>INDEX(H35:S35,MATCH(0,H35:S35,0)-1)</f>
        <v>10</v>
      </c>
    </row>
    <row r="36" spans="2:21" hidden="1" outlineLevel="1" x14ac:dyDescent="0.2">
      <c r="B36" s="384"/>
      <c r="C36" s="393" t="str">
        <f>C35</f>
        <v>BT1KGTHON</v>
      </c>
      <c r="D36" s="394" t="s">
        <v>86</v>
      </c>
      <c r="E36" s="330"/>
      <c r="F36" s="395"/>
      <c r="G36" s="388"/>
      <c r="H36" s="405">
        <f>IF(H35=0,0,H35/((H35+$F35)/2))</f>
        <v>1.6</v>
      </c>
      <c r="I36" s="406">
        <f>IF(I35=0,0,I35/((I35+$H35)/2))</f>
        <v>1.25</v>
      </c>
      <c r="J36" s="406">
        <f t="shared" ref="J36" si="55">IF(J35=0,0,J35/((J35+$H35)/2))</f>
        <v>0.43478260869565216</v>
      </c>
      <c r="K36" s="406">
        <f t="shared" ref="K36" si="56">IF(K35=0,0,K35/((K35+$H35)/2))</f>
        <v>0.43478260869565216</v>
      </c>
      <c r="L36" s="406">
        <f t="shared" ref="L36" si="57">IF(L35=0,0,L35/((L35+$H35)/2))</f>
        <v>0</v>
      </c>
      <c r="M36" s="406">
        <f t="shared" ref="M36" si="58">IF(M35=0,0,M35/((M35+$H35)/2))</f>
        <v>0</v>
      </c>
      <c r="N36" s="406">
        <f t="shared" ref="N36" si="59">IF(N35=0,0,N35/((N35+$H35)/2))</f>
        <v>0</v>
      </c>
      <c r="O36" s="406">
        <f t="shared" ref="O36" si="60">IF(O35=0,0,O35/((O35+$H35)/2))</f>
        <v>0</v>
      </c>
      <c r="P36" s="406">
        <f t="shared" ref="P36" si="61">IF(P35=0,0,P35/((P35+$H35)/2))</f>
        <v>0</v>
      </c>
      <c r="Q36" s="406">
        <f t="shared" ref="Q36" si="62">IF(Q35=0,0,Q35/((Q35+$H35)/2))</f>
        <v>0</v>
      </c>
      <c r="R36" s="406">
        <f t="shared" ref="R36" si="63">IF(R35=0,0,R35/((R35+$H35)/2))</f>
        <v>0</v>
      </c>
      <c r="S36" s="407">
        <f t="shared" ref="S36" si="64">IF(S35=0,0,S35/((S35+$H35)/2))</f>
        <v>0</v>
      </c>
      <c r="T36" s="388"/>
      <c r="U36" s="399">
        <f>IF(U35=0,0,U35/((U35+$F35)/2))</f>
        <v>1.0526315789473684</v>
      </c>
    </row>
    <row r="37" spans="2:21" hidden="1" outlineLevel="1" x14ac:dyDescent="0.2">
      <c r="B37" s="384"/>
      <c r="C37" s="385" t="s">
        <v>42</v>
      </c>
      <c r="D37" s="386" t="s">
        <v>95</v>
      </c>
      <c r="E37" s="330"/>
      <c r="F37" s="400">
        <v>2</v>
      </c>
      <c r="G37" s="388"/>
      <c r="H37" s="401">
        <f>'[7]Taux de Rotation des Stocks PF'!H37</f>
        <v>2</v>
      </c>
      <c r="I37" s="402">
        <f>'[7]Taux de Rotation des Stocks PF'!I37</f>
        <v>0</v>
      </c>
      <c r="J37" s="402">
        <f>'[7]Taux de Rotation des Stocks PF'!J37</f>
        <v>11</v>
      </c>
      <c r="K37" s="402">
        <f>'[7]Taux de Rotation des Stocks PF'!K37</f>
        <v>1</v>
      </c>
      <c r="L37" s="402">
        <f>'[7]Taux de Rotation des Stocks PF'!L37</f>
        <v>0</v>
      </c>
      <c r="M37" s="402">
        <f>'[7]Taux de Rotation des Stocks PF'!M37</f>
        <v>0</v>
      </c>
      <c r="N37" s="402">
        <f>'[7]Taux de Rotation des Stocks PF'!N37</f>
        <v>0</v>
      </c>
      <c r="O37" s="402">
        <f>'[7]Taux de Rotation des Stocks PF'!O37</f>
        <v>0</v>
      </c>
      <c r="P37" s="402">
        <f>'[7]Taux de Rotation des Stocks PF'!P37</f>
        <v>0</v>
      </c>
      <c r="Q37" s="402">
        <f>'[7]Taux de Rotation des Stocks PF'!Q37</f>
        <v>0</v>
      </c>
      <c r="R37" s="402">
        <f>'[7]Taux de Rotation des Stocks PF'!R37</f>
        <v>0</v>
      </c>
      <c r="S37" s="403">
        <f>'[7]Taux de Rotation des Stocks PF'!S37</f>
        <v>0</v>
      </c>
      <c r="T37" s="388"/>
      <c r="U37" s="404">
        <f>INDEX(H37:S37,MATCH(0,H37:S37,0)-1)</f>
        <v>2</v>
      </c>
    </row>
    <row r="38" spans="2:21" hidden="1" outlineLevel="1" x14ac:dyDescent="0.2">
      <c r="B38" s="384"/>
      <c r="C38" s="393" t="str">
        <f>C37</f>
        <v>BT1LRD</v>
      </c>
      <c r="D38" s="394" t="s">
        <v>86</v>
      </c>
      <c r="E38" s="330"/>
      <c r="F38" s="395"/>
      <c r="G38" s="388"/>
      <c r="H38" s="405">
        <f>IF(H37=0,0,H37/((H37+$F37)/2))</f>
        <v>1</v>
      </c>
      <c r="I38" s="406">
        <f>IF(I37=0,0,I37/((I37+$H37)/2))</f>
        <v>0</v>
      </c>
      <c r="J38" s="406">
        <f t="shared" ref="J38" si="65">IF(J37=0,0,J37/((J37+$H37)/2))</f>
        <v>1.6923076923076923</v>
      </c>
      <c r="K38" s="406">
        <f t="shared" ref="K38" si="66">IF(K37=0,0,K37/((K37+$H37)/2))</f>
        <v>0.66666666666666663</v>
      </c>
      <c r="L38" s="406">
        <f t="shared" ref="L38" si="67">IF(L37=0,0,L37/((L37+$H37)/2))</f>
        <v>0</v>
      </c>
      <c r="M38" s="406">
        <f t="shared" ref="M38" si="68">IF(M37=0,0,M37/((M37+$H37)/2))</f>
        <v>0</v>
      </c>
      <c r="N38" s="406">
        <f t="shared" ref="N38" si="69">IF(N37=0,0,N37/((N37+$H37)/2))</f>
        <v>0</v>
      </c>
      <c r="O38" s="406">
        <f t="shared" ref="O38" si="70">IF(O37=0,0,O37/((O37+$H37)/2))</f>
        <v>0</v>
      </c>
      <c r="P38" s="406">
        <f t="shared" ref="P38" si="71">IF(P37=0,0,P37/((P37+$H37)/2))</f>
        <v>0</v>
      </c>
      <c r="Q38" s="406">
        <f t="shared" ref="Q38" si="72">IF(Q37=0,0,Q37/((Q37+$H37)/2))</f>
        <v>0</v>
      </c>
      <c r="R38" s="406">
        <f t="shared" ref="R38" si="73">IF(R37=0,0,R37/((R37+$H37)/2))</f>
        <v>0</v>
      </c>
      <c r="S38" s="407">
        <f t="shared" ref="S38" si="74">IF(S37=0,0,S37/((S37+$H37)/2))</f>
        <v>0</v>
      </c>
      <c r="T38" s="388"/>
      <c r="U38" s="399">
        <f>IF(U37=0,0,U37/((U37+$F37)/2))</f>
        <v>1</v>
      </c>
    </row>
    <row r="39" spans="2:21" hidden="1" outlineLevel="1" x14ac:dyDescent="0.2">
      <c r="B39" s="384"/>
      <c r="C39" s="385" t="s">
        <v>50</v>
      </c>
      <c r="D39" s="386" t="s">
        <v>95</v>
      </c>
      <c r="E39" s="330"/>
      <c r="F39" s="400">
        <v>384</v>
      </c>
      <c r="G39" s="388"/>
      <c r="H39" s="401">
        <f>'[7]Taux de Rotation des Stocks PF'!H39</f>
        <v>394</v>
      </c>
      <c r="I39" s="402">
        <f>'[7]Taux de Rotation des Stocks PF'!I39</f>
        <v>229</v>
      </c>
      <c r="J39" s="402">
        <f>'[7]Taux de Rotation des Stocks PF'!J39</f>
        <v>228</v>
      </c>
      <c r="K39" s="402">
        <f>'[7]Taux de Rotation des Stocks PF'!K39</f>
        <v>230</v>
      </c>
      <c r="L39" s="402">
        <f>'[7]Taux de Rotation des Stocks PF'!L39</f>
        <v>0</v>
      </c>
      <c r="M39" s="402">
        <f>'[7]Taux de Rotation des Stocks PF'!M39</f>
        <v>0</v>
      </c>
      <c r="N39" s="402">
        <f>'[7]Taux de Rotation des Stocks PF'!N39</f>
        <v>0</v>
      </c>
      <c r="O39" s="402">
        <f>'[7]Taux de Rotation des Stocks PF'!O39</f>
        <v>0</v>
      </c>
      <c r="P39" s="402">
        <f>'[7]Taux de Rotation des Stocks PF'!P39</f>
        <v>0</v>
      </c>
      <c r="Q39" s="402">
        <f>'[7]Taux de Rotation des Stocks PF'!Q39</f>
        <v>0</v>
      </c>
      <c r="R39" s="402">
        <f>'[7]Taux de Rotation des Stocks PF'!R39</f>
        <v>0</v>
      </c>
      <c r="S39" s="403">
        <f>'[7]Taux de Rotation des Stocks PF'!S39</f>
        <v>0</v>
      </c>
      <c r="T39" s="388"/>
      <c r="U39" s="404">
        <f>INDEX(H39:S39,MATCH(0,H39:S39,0)-1)</f>
        <v>230</v>
      </c>
    </row>
    <row r="40" spans="2:21" hidden="1" outlineLevel="1" x14ac:dyDescent="0.2">
      <c r="B40" s="384"/>
      <c r="C40" s="393" t="str">
        <f>C39</f>
        <v>BT2K5HARISSA</v>
      </c>
      <c r="D40" s="394" t="s">
        <v>86</v>
      </c>
      <c r="E40" s="330"/>
      <c r="F40" s="395"/>
      <c r="G40" s="388"/>
      <c r="H40" s="405">
        <f>IF(H39=0,0,H39/((H39+$F39)/2))</f>
        <v>1.012853470437018</v>
      </c>
      <c r="I40" s="406">
        <f>IF(I39=0,0,I39/((I39+$H39)/2))</f>
        <v>0.7351524879614767</v>
      </c>
      <c r="J40" s="406">
        <f t="shared" ref="J40" si="75">IF(J39=0,0,J39/((J39+$H39)/2))</f>
        <v>0.73311897106109325</v>
      </c>
      <c r="K40" s="406">
        <f t="shared" ref="K40" si="76">IF(K39=0,0,K39/((K39+$H39)/2))</f>
        <v>0.73717948717948723</v>
      </c>
      <c r="L40" s="406">
        <f t="shared" ref="L40" si="77">IF(L39=0,0,L39/((L39+$H39)/2))</f>
        <v>0</v>
      </c>
      <c r="M40" s="406">
        <f t="shared" ref="M40" si="78">IF(M39=0,0,M39/((M39+$H39)/2))</f>
        <v>0</v>
      </c>
      <c r="N40" s="406">
        <f t="shared" ref="N40" si="79">IF(N39=0,0,N39/((N39+$H39)/2))</f>
        <v>0</v>
      </c>
      <c r="O40" s="406">
        <f t="shared" ref="O40" si="80">IF(O39=0,0,O39/((O39+$H39)/2))</f>
        <v>0</v>
      </c>
      <c r="P40" s="406">
        <f t="shared" ref="P40" si="81">IF(P39=0,0,P39/((P39+$H39)/2))</f>
        <v>0</v>
      </c>
      <c r="Q40" s="406">
        <f t="shared" ref="Q40" si="82">IF(Q39=0,0,Q39/((Q39+$H39)/2))</f>
        <v>0</v>
      </c>
      <c r="R40" s="406">
        <f t="shared" ref="R40" si="83">IF(R39=0,0,R39/((R39+$H39)/2))</f>
        <v>0</v>
      </c>
      <c r="S40" s="407">
        <f t="shared" ref="S40" si="84">IF(S39=0,0,S39/((S39+$H39)/2))</f>
        <v>0</v>
      </c>
      <c r="T40" s="388"/>
      <c r="U40" s="399">
        <f>IF(U39=0,0,U39/((U39+$F39)/2))</f>
        <v>0.749185667752443</v>
      </c>
    </row>
    <row r="41" spans="2:21" hidden="1" outlineLevel="1" x14ac:dyDescent="0.2">
      <c r="B41" s="384"/>
      <c r="C41" s="385" t="s">
        <v>51</v>
      </c>
      <c r="D41" s="386" t="s">
        <v>95</v>
      </c>
      <c r="E41" s="330"/>
      <c r="F41" s="400">
        <v>58</v>
      </c>
      <c r="G41" s="388"/>
      <c r="H41" s="401">
        <f>'[7]Taux de Rotation des Stocks PF'!H41</f>
        <v>64</v>
      </c>
      <c r="I41" s="402">
        <f>'[7]Taux de Rotation des Stocks PF'!I41</f>
        <v>264</v>
      </c>
      <c r="J41" s="402">
        <f>'[7]Taux de Rotation des Stocks PF'!J41</f>
        <v>218</v>
      </c>
      <c r="K41" s="402">
        <f>'[7]Taux de Rotation des Stocks PF'!K41</f>
        <v>197</v>
      </c>
      <c r="L41" s="402">
        <f>'[7]Taux de Rotation des Stocks PF'!L41</f>
        <v>0</v>
      </c>
      <c r="M41" s="402">
        <f>'[7]Taux de Rotation des Stocks PF'!M41</f>
        <v>0</v>
      </c>
      <c r="N41" s="402">
        <f>'[7]Taux de Rotation des Stocks PF'!N41</f>
        <v>0</v>
      </c>
      <c r="O41" s="402">
        <f>'[7]Taux de Rotation des Stocks PF'!O41</f>
        <v>0</v>
      </c>
      <c r="P41" s="402">
        <f>'[7]Taux de Rotation des Stocks PF'!P41</f>
        <v>0</v>
      </c>
      <c r="Q41" s="402">
        <f>'[7]Taux de Rotation des Stocks PF'!Q41</f>
        <v>0</v>
      </c>
      <c r="R41" s="402">
        <f>'[7]Taux de Rotation des Stocks PF'!R41</f>
        <v>0</v>
      </c>
      <c r="S41" s="403">
        <f>'[7]Taux de Rotation des Stocks PF'!S41</f>
        <v>0</v>
      </c>
      <c r="T41" s="388"/>
      <c r="U41" s="404">
        <f>INDEX(H41:S41,MATCH(0,H41:S41,0)-1)</f>
        <v>197</v>
      </c>
    </row>
    <row r="42" spans="2:21" hidden="1" outlineLevel="1" x14ac:dyDescent="0.2">
      <c r="B42" s="384"/>
      <c r="C42" s="393" t="str">
        <f>C41</f>
        <v>BT2K5THON</v>
      </c>
      <c r="D42" s="394" t="s">
        <v>86</v>
      </c>
      <c r="E42" s="330"/>
      <c r="F42" s="395"/>
      <c r="G42" s="388"/>
      <c r="H42" s="405">
        <f>IF(H41=0,0,H41/((H41+$F41)/2))</f>
        <v>1.0491803278688525</v>
      </c>
      <c r="I42" s="406">
        <f>IF(I41=0,0,I41/((I41+$H41)/2))</f>
        <v>1.6097560975609757</v>
      </c>
      <c r="J42" s="406">
        <f t="shared" ref="J42" si="85">IF(J41=0,0,J41/((J41+$H41)/2))</f>
        <v>1.5460992907801419</v>
      </c>
      <c r="K42" s="406">
        <f t="shared" ref="K42" si="86">IF(K41=0,0,K41/((K41+$H41)/2))</f>
        <v>1.5095785440613028</v>
      </c>
      <c r="L42" s="406">
        <f t="shared" ref="L42" si="87">IF(L41=0,0,L41/((L41+$H41)/2))</f>
        <v>0</v>
      </c>
      <c r="M42" s="406">
        <f t="shared" ref="M42" si="88">IF(M41=0,0,M41/((M41+$H41)/2))</f>
        <v>0</v>
      </c>
      <c r="N42" s="406">
        <f t="shared" ref="N42" si="89">IF(N41=0,0,N41/((N41+$H41)/2))</f>
        <v>0</v>
      </c>
      <c r="O42" s="406">
        <f t="shared" ref="O42" si="90">IF(O41=0,0,O41/((O41+$H41)/2))</f>
        <v>0</v>
      </c>
      <c r="P42" s="406">
        <f t="shared" ref="P42" si="91">IF(P41=0,0,P41/((P41+$H41)/2))</f>
        <v>0</v>
      </c>
      <c r="Q42" s="406">
        <f t="shared" ref="Q42" si="92">IF(Q41=0,0,Q41/((Q41+$H41)/2))</f>
        <v>0</v>
      </c>
      <c r="R42" s="406">
        <f t="shared" ref="R42" si="93">IF(R41=0,0,R41/((R41+$H41)/2))</f>
        <v>0</v>
      </c>
      <c r="S42" s="407">
        <f t="shared" ref="S42" si="94">IF(S41=0,0,S41/((S41+$H41)/2))</f>
        <v>0</v>
      </c>
      <c r="T42" s="388"/>
      <c r="U42" s="399">
        <f>IF(U41=0,0,U41/((U41+$F41)/2))</f>
        <v>1.5450980392156863</v>
      </c>
    </row>
    <row r="43" spans="2:21" hidden="1" outlineLevel="1" x14ac:dyDescent="0.2">
      <c r="B43" s="384"/>
      <c r="C43" s="385" t="s">
        <v>99</v>
      </c>
      <c r="D43" s="386" t="s">
        <v>95</v>
      </c>
      <c r="E43" s="330"/>
      <c r="F43" s="400">
        <v>39</v>
      </c>
      <c r="G43" s="388"/>
      <c r="H43" s="401">
        <f>'[7]Taux de Rotation des Stocks PF'!H43</f>
        <v>55</v>
      </c>
      <c r="I43" s="402">
        <f>'[7]Taux de Rotation des Stocks PF'!I43</f>
        <v>55</v>
      </c>
      <c r="J43" s="402">
        <f>'[7]Taux de Rotation des Stocks PF'!J43</f>
        <v>59</v>
      </c>
      <c r="K43" s="402">
        <f>'[7]Taux de Rotation des Stocks PF'!K43</f>
        <v>54</v>
      </c>
      <c r="L43" s="402">
        <f>'[7]Taux de Rotation des Stocks PF'!L43</f>
        <v>0</v>
      </c>
      <c r="M43" s="402">
        <f>'[7]Taux de Rotation des Stocks PF'!M43</f>
        <v>0</v>
      </c>
      <c r="N43" s="402">
        <f>'[7]Taux de Rotation des Stocks PF'!N43</f>
        <v>0</v>
      </c>
      <c r="O43" s="402">
        <f>'[7]Taux de Rotation des Stocks PF'!O43</f>
        <v>0</v>
      </c>
      <c r="P43" s="402">
        <f>'[7]Taux de Rotation des Stocks PF'!P43</f>
        <v>0</v>
      </c>
      <c r="Q43" s="402">
        <f>'[7]Taux de Rotation des Stocks PF'!Q43</f>
        <v>0</v>
      </c>
      <c r="R43" s="402">
        <f>'[7]Taux de Rotation des Stocks PF'!R43</f>
        <v>0</v>
      </c>
      <c r="S43" s="403">
        <f>'[7]Taux de Rotation des Stocks PF'!S43</f>
        <v>0</v>
      </c>
      <c r="T43" s="388"/>
      <c r="U43" s="404">
        <f>INDEX(H43:S43,MATCH(0,H43:S43,0)-1)</f>
        <v>54</v>
      </c>
    </row>
    <row r="44" spans="2:21" hidden="1" outlineLevel="1" x14ac:dyDescent="0.2">
      <c r="B44" s="384"/>
      <c r="C44" s="393" t="str">
        <f>C43</f>
        <v>BT2KGCHAMIA</v>
      </c>
      <c r="D44" s="394" t="s">
        <v>86</v>
      </c>
      <c r="E44" s="330"/>
      <c r="F44" s="395"/>
      <c r="G44" s="388"/>
      <c r="H44" s="405">
        <f>IF(H43=0,0,H43/((H43+$F43)/2))</f>
        <v>1.1702127659574468</v>
      </c>
      <c r="I44" s="406">
        <f>IF(I43=0,0,I43/((I43+$H43)/2))</f>
        <v>1</v>
      </c>
      <c r="J44" s="406">
        <f t="shared" ref="J44" si="95">IF(J43=0,0,J43/((J43+$H43)/2))</f>
        <v>1.0350877192982457</v>
      </c>
      <c r="K44" s="406">
        <f t="shared" ref="K44" si="96">IF(K43=0,0,K43/((K43+$H43)/2))</f>
        <v>0.99082568807339455</v>
      </c>
      <c r="L44" s="406">
        <f t="shared" ref="L44" si="97">IF(L43=0,0,L43/((L43+$H43)/2))</f>
        <v>0</v>
      </c>
      <c r="M44" s="406">
        <f t="shared" ref="M44" si="98">IF(M43=0,0,M43/((M43+$H43)/2))</f>
        <v>0</v>
      </c>
      <c r="N44" s="406">
        <f t="shared" ref="N44" si="99">IF(N43=0,0,N43/((N43+$H43)/2))</f>
        <v>0</v>
      </c>
      <c r="O44" s="406">
        <f t="shared" ref="O44" si="100">IF(O43=0,0,O43/((O43+$H43)/2))</f>
        <v>0</v>
      </c>
      <c r="P44" s="406">
        <f t="shared" ref="P44" si="101">IF(P43=0,0,P43/((P43+$H43)/2))</f>
        <v>0</v>
      </c>
      <c r="Q44" s="406">
        <f t="shared" ref="Q44" si="102">IF(Q43=0,0,Q43/((Q43+$H43)/2))</f>
        <v>0</v>
      </c>
      <c r="R44" s="406">
        <f t="shared" ref="R44" si="103">IF(R43=0,0,R43/((R43+$H43)/2))</f>
        <v>0</v>
      </c>
      <c r="S44" s="407">
        <f t="shared" ref="S44" si="104">IF(S43=0,0,S43/((S43+$H43)/2))</f>
        <v>0</v>
      </c>
      <c r="T44" s="388"/>
      <c r="U44" s="399">
        <f>IF(U43=0,0,U43/((U43+$F43)/2))</f>
        <v>1.1612903225806452</v>
      </c>
    </row>
    <row r="45" spans="2:21" hidden="1" outlineLevel="1" x14ac:dyDescent="0.2">
      <c r="B45" s="384"/>
      <c r="C45" s="385" t="s">
        <v>100</v>
      </c>
      <c r="D45" s="386" t="s">
        <v>95</v>
      </c>
      <c r="E45" s="330"/>
      <c r="F45" s="400">
        <v>3</v>
      </c>
      <c r="G45" s="388"/>
      <c r="H45" s="401">
        <f>'[7]Taux de Rotation des Stocks PF'!H45</f>
        <v>3</v>
      </c>
      <c r="I45" s="402">
        <f>'[7]Taux de Rotation des Stocks PF'!I45</f>
        <v>0</v>
      </c>
      <c r="J45" s="402">
        <f>'[7]Taux de Rotation des Stocks PF'!J45</f>
        <v>1</v>
      </c>
      <c r="K45" s="402">
        <f>'[7]Taux de Rotation des Stocks PF'!K45</f>
        <v>4</v>
      </c>
      <c r="L45" s="402">
        <f>'[7]Taux de Rotation des Stocks PF'!L45</f>
        <v>0</v>
      </c>
      <c r="M45" s="402">
        <f>'[7]Taux de Rotation des Stocks PF'!M45</f>
        <v>0</v>
      </c>
      <c r="N45" s="402">
        <f>'[7]Taux de Rotation des Stocks PF'!N45</f>
        <v>0</v>
      </c>
      <c r="O45" s="402">
        <f>'[7]Taux de Rotation des Stocks PF'!O45</f>
        <v>0</v>
      </c>
      <c r="P45" s="402">
        <f>'[7]Taux de Rotation des Stocks PF'!P45</f>
        <v>0</v>
      </c>
      <c r="Q45" s="402">
        <f>'[7]Taux de Rotation des Stocks PF'!Q45</f>
        <v>0</v>
      </c>
      <c r="R45" s="402">
        <f>'[7]Taux de Rotation des Stocks PF'!R45</f>
        <v>0</v>
      </c>
      <c r="S45" s="403">
        <f>'[7]Taux de Rotation des Stocks PF'!S45</f>
        <v>0</v>
      </c>
      <c r="T45" s="388"/>
      <c r="U45" s="404">
        <f>INDEX(H45:S45,MATCH(0,H45:S45,0)-1)</f>
        <v>3</v>
      </c>
    </row>
    <row r="46" spans="2:21" hidden="1" outlineLevel="1" x14ac:dyDescent="0.2">
      <c r="B46" s="384"/>
      <c r="C46" s="393" t="str">
        <f>C45</f>
        <v>BT2LRECT</v>
      </c>
      <c r="D46" s="394" t="s">
        <v>86</v>
      </c>
      <c r="E46" s="330"/>
      <c r="F46" s="395"/>
      <c r="G46" s="388"/>
      <c r="H46" s="405">
        <f>IF(H45=0,0,H45/((H45+$F45)/2))</f>
        <v>1</v>
      </c>
      <c r="I46" s="406">
        <f>IF(I45=0,0,I45/((I45+$H45)/2))</f>
        <v>0</v>
      </c>
      <c r="J46" s="406">
        <f t="shared" ref="J46" si="105">IF(J45=0,0,J45/((J45+$H45)/2))</f>
        <v>0.5</v>
      </c>
      <c r="K46" s="406">
        <f t="shared" ref="K46" si="106">IF(K45=0,0,K45/((K45+$H45)/2))</f>
        <v>1.1428571428571428</v>
      </c>
      <c r="L46" s="406">
        <f t="shared" ref="L46" si="107">IF(L45=0,0,L45/((L45+$H45)/2))</f>
        <v>0</v>
      </c>
      <c r="M46" s="406">
        <f t="shared" ref="M46" si="108">IF(M45=0,0,M45/((M45+$H45)/2))</f>
        <v>0</v>
      </c>
      <c r="N46" s="406">
        <f t="shared" ref="N46" si="109">IF(N45=0,0,N45/((N45+$H45)/2))</f>
        <v>0</v>
      </c>
      <c r="O46" s="406">
        <f t="shared" ref="O46" si="110">IF(O45=0,0,O45/((O45+$H45)/2))</f>
        <v>0</v>
      </c>
      <c r="P46" s="406">
        <f t="shared" ref="P46" si="111">IF(P45=0,0,P45/((P45+$H45)/2))</f>
        <v>0</v>
      </c>
      <c r="Q46" s="406">
        <f t="shared" ref="Q46" si="112">IF(Q45=0,0,Q45/((Q45+$H45)/2))</f>
        <v>0</v>
      </c>
      <c r="R46" s="406">
        <f t="shared" ref="R46" si="113">IF(R45=0,0,R45/((R45+$H45)/2))</f>
        <v>0</v>
      </c>
      <c r="S46" s="407">
        <f t="shared" ref="S46" si="114">IF(S45=0,0,S45/((S45+$H45)/2))</f>
        <v>0</v>
      </c>
      <c r="T46" s="388"/>
      <c r="U46" s="399">
        <f>IF(U45=0,0,U45/((U45+$F45)/2))</f>
        <v>1</v>
      </c>
    </row>
    <row r="47" spans="2:21" hidden="1" outlineLevel="1" x14ac:dyDescent="0.2">
      <c r="B47" s="384"/>
      <c r="C47" s="385" t="s">
        <v>101</v>
      </c>
      <c r="D47" s="386" t="s">
        <v>95</v>
      </c>
      <c r="E47" s="330"/>
      <c r="F47" s="400">
        <v>3</v>
      </c>
      <c r="G47" s="388"/>
      <c r="H47" s="401">
        <f>'[7]Taux de Rotation des Stocks PF'!H47</f>
        <v>2</v>
      </c>
      <c r="I47" s="402">
        <f>'[7]Taux de Rotation des Stocks PF'!I47</f>
        <v>2</v>
      </c>
      <c r="J47" s="402">
        <f>'[7]Taux de Rotation des Stocks PF'!J47</f>
        <v>2</v>
      </c>
      <c r="K47" s="402">
        <f>'[7]Taux de Rotation des Stocks PF'!K47</f>
        <v>2</v>
      </c>
      <c r="L47" s="402">
        <f>'[7]Taux de Rotation des Stocks PF'!L47</f>
        <v>0</v>
      </c>
      <c r="M47" s="402">
        <f>'[7]Taux de Rotation des Stocks PF'!M47</f>
        <v>0</v>
      </c>
      <c r="N47" s="402">
        <f>'[7]Taux de Rotation des Stocks PF'!N47</f>
        <v>0</v>
      </c>
      <c r="O47" s="402">
        <f>'[7]Taux de Rotation des Stocks PF'!O47</f>
        <v>0</v>
      </c>
      <c r="P47" s="402">
        <f>'[7]Taux de Rotation des Stocks PF'!P47</f>
        <v>0</v>
      </c>
      <c r="Q47" s="402">
        <f>'[7]Taux de Rotation des Stocks PF'!Q47</f>
        <v>0</v>
      </c>
      <c r="R47" s="402">
        <f>'[7]Taux de Rotation des Stocks PF'!R47</f>
        <v>0</v>
      </c>
      <c r="S47" s="403">
        <f>'[7]Taux de Rotation des Stocks PF'!S47</f>
        <v>0</v>
      </c>
      <c r="T47" s="388"/>
      <c r="U47" s="404">
        <f>INDEX(H47:S47,MATCH(0,H47:S47,0)-1)</f>
        <v>2</v>
      </c>
    </row>
    <row r="48" spans="2:21" hidden="1" outlineLevel="1" x14ac:dyDescent="0.2">
      <c r="B48" s="384"/>
      <c r="C48" s="393" t="str">
        <f>C47</f>
        <v>BT3/1</v>
      </c>
      <c r="D48" s="394" t="s">
        <v>86</v>
      </c>
      <c r="E48" s="330"/>
      <c r="F48" s="395"/>
      <c r="G48" s="388"/>
      <c r="H48" s="405">
        <f>IF(H47=0,0,H47/((H47+$F47)/2))</f>
        <v>0.8</v>
      </c>
      <c r="I48" s="406">
        <f>IF(I47=0,0,I47/((I47+$H47)/2))</f>
        <v>1</v>
      </c>
      <c r="J48" s="406">
        <f t="shared" ref="J48" si="115">IF(J47=0,0,J47/((J47+$H47)/2))</f>
        <v>1</v>
      </c>
      <c r="K48" s="406">
        <f t="shared" ref="K48" si="116">IF(K47=0,0,K47/((K47+$H47)/2))</f>
        <v>1</v>
      </c>
      <c r="L48" s="406">
        <f t="shared" ref="L48" si="117">IF(L47=0,0,L47/((L47+$H47)/2))</f>
        <v>0</v>
      </c>
      <c r="M48" s="406">
        <f t="shared" ref="M48" si="118">IF(M47=0,0,M47/((M47+$H47)/2))</f>
        <v>0</v>
      </c>
      <c r="N48" s="406">
        <f t="shared" ref="N48" si="119">IF(N47=0,0,N47/((N47+$H47)/2))</f>
        <v>0</v>
      </c>
      <c r="O48" s="406">
        <f t="shared" ref="O48" si="120">IF(O47=0,0,O47/((O47+$H47)/2))</f>
        <v>0</v>
      </c>
      <c r="P48" s="406">
        <f t="shared" ref="P48" si="121">IF(P47=0,0,P47/((P47+$H47)/2))</f>
        <v>0</v>
      </c>
      <c r="Q48" s="406">
        <f t="shared" ref="Q48" si="122">IF(Q47=0,0,Q47/((Q47+$H47)/2))</f>
        <v>0</v>
      </c>
      <c r="R48" s="406">
        <f t="shared" ref="R48" si="123">IF(R47=0,0,R47/((R47+$H47)/2))</f>
        <v>0</v>
      </c>
      <c r="S48" s="407">
        <f t="shared" ref="S48" si="124">IF(S47=0,0,S47/((S47+$H47)/2))</f>
        <v>0</v>
      </c>
      <c r="T48" s="388"/>
      <c r="U48" s="399">
        <f>IF(U47=0,0,U47/((U47+$F47)/2))</f>
        <v>0.8</v>
      </c>
    </row>
    <row r="49" spans="2:21" hidden="1" outlineLevel="1" x14ac:dyDescent="0.2">
      <c r="B49" s="384"/>
      <c r="C49" s="385" t="s">
        <v>102</v>
      </c>
      <c r="D49" s="386" t="s">
        <v>95</v>
      </c>
      <c r="E49" s="330"/>
      <c r="F49" s="400">
        <v>14</v>
      </c>
      <c r="G49" s="388"/>
      <c r="H49" s="401">
        <f>'[7]Taux de Rotation des Stocks PF'!H49</f>
        <v>15</v>
      </c>
      <c r="I49" s="402">
        <f>'[7]Taux de Rotation des Stocks PF'!I49</f>
        <v>4</v>
      </c>
      <c r="J49" s="402">
        <f>'[7]Taux de Rotation des Stocks PF'!J49</f>
        <v>3</v>
      </c>
      <c r="K49" s="402">
        <f>'[7]Taux de Rotation des Stocks PF'!K49</f>
        <v>3</v>
      </c>
      <c r="L49" s="402">
        <f>'[7]Taux de Rotation des Stocks PF'!L49</f>
        <v>0</v>
      </c>
      <c r="M49" s="402">
        <f>'[7]Taux de Rotation des Stocks PF'!M49</f>
        <v>0</v>
      </c>
      <c r="N49" s="402">
        <f>'[7]Taux de Rotation des Stocks PF'!N49</f>
        <v>0</v>
      </c>
      <c r="O49" s="402">
        <f>'[7]Taux de Rotation des Stocks PF'!O49</f>
        <v>0</v>
      </c>
      <c r="P49" s="402">
        <f>'[7]Taux de Rotation des Stocks PF'!P49</f>
        <v>0</v>
      </c>
      <c r="Q49" s="402">
        <f>'[7]Taux de Rotation des Stocks PF'!Q49</f>
        <v>0</v>
      </c>
      <c r="R49" s="402">
        <f>'[7]Taux de Rotation des Stocks PF'!R49</f>
        <v>0</v>
      </c>
      <c r="S49" s="403">
        <f>'[7]Taux de Rotation des Stocks PF'!S49</f>
        <v>0</v>
      </c>
      <c r="T49" s="388"/>
      <c r="U49" s="404">
        <f>INDEX(H49:S49,MATCH(0,H49:S49,0)-1)</f>
        <v>3</v>
      </c>
    </row>
    <row r="50" spans="2:21" hidden="1" outlineLevel="1" x14ac:dyDescent="0.2">
      <c r="B50" s="384"/>
      <c r="C50" s="393" t="str">
        <f>C49</f>
        <v>BT3LRECT</v>
      </c>
      <c r="D50" s="394" t="s">
        <v>86</v>
      </c>
      <c r="E50" s="330"/>
      <c r="F50" s="395"/>
      <c r="G50" s="388"/>
      <c r="H50" s="405">
        <f>IF(H49=0,0,H49/((H49+$F49)/2))</f>
        <v>1.0344827586206897</v>
      </c>
      <c r="I50" s="406">
        <f>IF(I49=0,0,I49/((I49+$H49)/2))</f>
        <v>0.42105263157894735</v>
      </c>
      <c r="J50" s="406">
        <f t="shared" ref="J50" si="125">IF(J49=0,0,J49/((J49+$H49)/2))</f>
        <v>0.33333333333333331</v>
      </c>
      <c r="K50" s="406">
        <f t="shared" ref="K50" si="126">IF(K49=0,0,K49/((K49+$H49)/2))</f>
        <v>0.33333333333333331</v>
      </c>
      <c r="L50" s="406">
        <f t="shared" ref="L50" si="127">IF(L49=0,0,L49/((L49+$H49)/2))</f>
        <v>0</v>
      </c>
      <c r="M50" s="406">
        <f t="shared" ref="M50" si="128">IF(M49=0,0,M49/((M49+$H49)/2))</f>
        <v>0</v>
      </c>
      <c r="N50" s="406">
        <f t="shared" ref="N50" si="129">IF(N49=0,0,N49/((N49+$H49)/2))</f>
        <v>0</v>
      </c>
      <c r="O50" s="406">
        <f t="shared" ref="O50" si="130">IF(O49=0,0,O49/((O49+$H49)/2))</f>
        <v>0</v>
      </c>
      <c r="P50" s="406">
        <f t="shared" ref="P50" si="131">IF(P49=0,0,P49/((P49+$H49)/2))</f>
        <v>0</v>
      </c>
      <c r="Q50" s="406">
        <f t="shared" ref="Q50" si="132">IF(Q49=0,0,Q49/((Q49+$H49)/2))</f>
        <v>0</v>
      </c>
      <c r="R50" s="406">
        <f t="shared" ref="R50" si="133">IF(R49=0,0,R49/((R49+$H49)/2))</f>
        <v>0</v>
      </c>
      <c r="S50" s="407">
        <f t="shared" ref="S50" si="134">IF(S49=0,0,S49/((S49+$H49)/2))</f>
        <v>0</v>
      </c>
      <c r="T50" s="388"/>
      <c r="U50" s="399">
        <f>IF(U49=0,0,U49/((U49+$F49)/2))</f>
        <v>0.35294117647058826</v>
      </c>
    </row>
    <row r="51" spans="2:21" hidden="1" outlineLevel="1" x14ac:dyDescent="0.2">
      <c r="B51" s="384"/>
      <c r="C51" s="385" t="s">
        <v>103</v>
      </c>
      <c r="D51" s="386" t="s">
        <v>95</v>
      </c>
      <c r="E51" s="330"/>
      <c r="F51" s="400">
        <v>126</v>
      </c>
      <c r="G51" s="388"/>
      <c r="H51" s="401">
        <f>'[7]Taux de Rotation des Stocks PF'!H51</f>
        <v>174</v>
      </c>
      <c r="I51" s="402">
        <f>'[7]Taux de Rotation des Stocks PF'!I51</f>
        <v>173</v>
      </c>
      <c r="J51" s="402">
        <f>'[7]Taux de Rotation des Stocks PF'!J51</f>
        <v>303</v>
      </c>
      <c r="K51" s="402">
        <f>'[7]Taux de Rotation des Stocks PF'!K51</f>
        <v>632</v>
      </c>
      <c r="L51" s="402">
        <f>'[7]Taux de Rotation des Stocks PF'!L51</f>
        <v>0</v>
      </c>
      <c r="M51" s="402">
        <f>'[7]Taux de Rotation des Stocks PF'!M51</f>
        <v>0</v>
      </c>
      <c r="N51" s="402">
        <f>'[7]Taux de Rotation des Stocks PF'!N51</f>
        <v>0</v>
      </c>
      <c r="O51" s="402">
        <f>'[7]Taux de Rotation des Stocks PF'!O51</f>
        <v>0</v>
      </c>
      <c r="P51" s="402">
        <f>'[7]Taux de Rotation des Stocks PF'!P51</f>
        <v>0</v>
      </c>
      <c r="Q51" s="402">
        <f>'[7]Taux de Rotation des Stocks PF'!Q51</f>
        <v>0</v>
      </c>
      <c r="R51" s="402">
        <f>'[7]Taux de Rotation des Stocks PF'!R51</f>
        <v>0</v>
      </c>
      <c r="S51" s="403">
        <f>'[7]Taux de Rotation des Stocks PF'!S51</f>
        <v>0</v>
      </c>
      <c r="T51" s="388"/>
      <c r="U51" s="404">
        <f>INDEX(H51:S51,MATCH(0,H51:S51,0)-1)</f>
        <v>632</v>
      </c>
    </row>
    <row r="52" spans="2:21" hidden="1" outlineLevel="1" x14ac:dyDescent="0.2">
      <c r="B52" s="384"/>
      <c r="C52" s="393" t="str">
        <f>C51</f>
        <v>BT4/4</v>
      </c>
      <c r="D52" s="394" t="s">
        <v>86</v>
      </c>
      <c r="E52" s="330"/>
      <c r="F52" s="395"/>
      <c r="G52" s="388"/>
      <c r="H52" s="405">
        <f>IF(H51=0,0,H51/((H51+$F51)/2))</f>
        <v>1.1599999999999999</v>
      </c>
      <c r="I52" s="406">
        <f>IF(I51=0,0,I51/((I51+$H51)/2))</f>
        <v>0.99711815561959649</v>
      </c>
      <c r="J52" s="406">
        <f t="shared" ref="J52" si="135">IF(J51=0,0,J51/((J51+$H51)/2))</f>
        <v>1.270440251572327</v>
      </c>
      <c r="K52" s="406">
        <f t="shared" ref="K52" si="136">IF(K51=0,0,K51/((K51+$H51)/2))</f>
        <v>1.5682382133995036</v>
      </c>
      <c r="L52" s="406">
        <f t="shared" ref="L52" si="137">IF(L51=0,0,L51/((L51+$H51)/2))</f>
        <v>0</v>
      </c>
      <c r="M52" s="406">
        <f t="shared" ref="M52" si="138">IF(M51=0,0,M51/((M51+$H51)/2))</f>
        <v>0</v>
      </c>
      <c r="N52" s="406">
        <f t="shared" ref="N52" si="139">IF(N51=0,0,N51/((N51+$H51)/2))</f>
        <v>0</v>
      </c>
      <c r="O52" s="406">
        <f t="shared" ref="O52" si="140">IF(O51=0,0,O51/((O51+$H51)/2))</f>
        <v>0</v>
      </c>
      <c r="P52" s="406">
        <f t="shared" ref="P52" si="141">IF(P51=0,0,P51/((P51+$H51)/2))</f>
        <v>0</v>
      </c>
      <c r="Q52" s="406">
        <f t="shared" ref="Q52" si="142">IF(Q51=0,0,Q51/((Q51+$H51)/2))</f>
        <v>0</v>
      </c>
      <c r="R52" s="406">
        <f t="shared" ref="R52" si="143">IF(R51=0,0,R51/((R51+$H51)/2))</f>
        <v>0</v>
      </c>
      <c r="S52" s="407">
        <f t="shared" ref="S52" si="144">IF(S51=0,0,S51/((S51+$H51)/2))</f>
        <v>0</v>
      </c>
      <c r="T52" s="388"/>
      <c r="U52" s="399">
        <f>IF(U51=0,0,U51/((U51+$F51)/2))</f>
        <v>1.6675461741424802</v>
      </c>
    </row>
    <row r="53" spans="2:21" hidden="1" outlineLevel="1" x14ac:dyDescent="0.2">
      <c r="B53" s="384"/>
      <c r="C53" s="385" t="s">
        <v>104</v>
      </c>
      <c r="D53" s="386" t="s">
        <v>95</v>
      </c>
      <c r="E53" s="330"/>
      <c r="F53" s="400">
        <v>71</v>
      </c>
      <c r="G53" s="388"/>
      <c r="H53" s="401">
        <f>'[7]Taux de Rotation des Stocks PF'!H53</f>
        <v>183</v>
      </c>
      <c r="I53" s="402">
        <f>'[7]Taux de Rotation des Stocks PF'!I53</f>
        <v>174</v>
      </c>
      <c r="J53" s="402">
        <f>'[7]Taux de Rotation des Stocks PF'!J53</f>
        <v>274</v>
      </c>
      <c r="K53" s="402">
        <f>'[7]Taux de Rotation des Stocks PF'!K53</f>
        <v>292</v>
      </c>
      <c r="L53" s="402">
        <f>'[7]Taux de Rotation des Stocks PF'!L53</f>
        <v>0</v>
      </c>
      <c r="M53" s="402">
        <f>'[7]Taux de Rotation des Stocks PF'!M53</f>
        <v>0</v>
      </c>
      <c r="N53" s="402">
        <f>'[7]Taux de Rotation des Stocks PF'!N53</f>
        <v>0</v>
      </c>
      <c r="O53" s="402">
        <f>'[7]Taux de Rotation des Stocks PF'!O53</f>
        <v>0</v>
      </c>
      <c r="P53" s="402">
        <f>'[7]Taux de Rotation des Stocks PF'!P53</f>
        <v>0</v>
      </c>
      <c r="Q53" s="402">
        <f>'[7]Taux de Rotation des Stocks PF'!Q53</f>
        <v>0</v>
      </c>
      <c r="R53" s="402">
        <f>'[7]Taux de Rotation des Stocks PF'!R53</f>
        <v>0</v>
      </c>
      <c r="S53" s="403">
        <f>'[7]Taux de Rotation des Stocks PF'!S53</f>
        <v>0</v>
      </c>
      <c r="T53" s="388"/>
      <c r="U53" s="404">
        <f>INDEX(H53:S53,MATCH(0,H53:S53,0)-1)</f>
        <v>292</v>
      </c>
    </row>
    <row r="54" spans="2:21" hidden="1" outlineLevel="1" x14ac:dyDescent="0.2">
      <c r="B54" s="384"/>
      <c r="C54" s="393" t="str">
        <f>C53</f>
        <v>BT400GCHAM</v>
      </c>
      <c r="D54" s="394" t="s">
        <v>86</v>
      </c>
      <c r="E54" s="330"/>
      <c r="F54" s="395"/>
      <c r="G54" s="388"/>
      <c r="H54" s="405">
        <f>IF(H53=0,0,H53/((H53+$F53)/2))</f>
        <v>1.4409448818897639</v>
      </c>
      <c r="I54" s="406">
        <f>IF(I53=0,0,I53/((I53+$H53)/2))</f>
        <v>0.97478991596638653</v>
      </c>
      <c r="J54" s="406">
        <f t="shared" ref="J54" si="145">IF(J53=0,0,J53/((J53+$H53)/2))</f>
        <v>1.1991247264770242</v>
      </c>
      <c r="K54" s="406">
        <f t="shared" ref="K54" si="146">IF(K53=0,0,K53/((K53+$H53)/2))</f>
        <v>1.2294736842105263</v>
      </c>
      <c r="L54" s="406">
        <f t="shared" ref="L54" si="147">IF(L53=0,0,L53/((L53+$H53)/2))</f>
        <v>0</v>
      </c>
      <c r="M54" s="406">
        <f t="shared" ref="M54" si="148">IF(M53=0,0,M53/((M53+$H53)/2))</f>
        <v>0</v>
      </c>
      <c r="N54" s="406">
        <f t="shared" ref="N54" si="149">IF(N53=0,0,N53/((N53+$H53)/2))</f>
        <v>0</v>
      </c>
      <c r="O54" s="406">
        <f t="shared" ref="O54" si="150">IF(O53=0,0,O53/((O53+$H53)/2))</f>
        <v>0</v>
      </c>
      <c r="P54" s="406">
        <f t="shared" ref="P54" si="151">IF(P53=0,0,P53/((P53+$H53)/2))</f>
        <v>0</v>
      </c>
      <c r="Q54" s="406">
        <f t="shared" ref="Q54" si="152">IF(Q53=0,0,Q53/((Q53+$H53)/2))</f>
        <v>0</v>
      </c>
      <c r="R54" s="406">
        <f t="shared" ref="R54" si="153">IF(R53=0,0,R53/((R53+$H53)/2))</f>
        <v>0</v>
      </c>
      <c r="S54" s="407">
        <f t="shared" ref="S54" si="154">IF(S53=0,0,S53/((S53+$H53)/2))</f>
        <v>0</v>
      </c>
      <c r="T54" s="388"/>
      <c r="U54" s="399">
        <f>IF(U53=0,0,U53/((U53+$F53)/2))</f>
        <v>1.6088154269972452</v>
      </c>
    </row>
    <row r="55" spans="2:21" hidden="1" outlineLevel="1" x14ac:dyDescent="0.2">
      <c r="B55" s="384"/>
      <c r="C55" s="385" t="s">
        <v>105</v>
      </c>
      <c r="D55" s="386" t="s">
        <v>95</v>
      </c>
      <c r="E55" s="330"/>
      <c r="F55" s="400">
        <v>84</v>
      </c>
      <c r="G55" s="388"/>
      <c r="H55" s="401">
        <f>'[7]Taux de Rotation des Stocks PF'!H55</f>
        <v>149</v>
      </c>
      <c r="I55" s="402">
        <f>'[7]Taux de Rotation des Stocks PF'!I55</f>
        <v>123</v>
      </c>
      <c r="J55" s="402">
        <f>'[7]Taux de Rotation des Stocks PF'!J55</f>
        <v>57</v>
      </c>
      <c r="K55" s="402">
        <f>'[7]Taux de Rotation des Stocks PF'!K55</f>
        <v>128</v>
      </c>
      <c r="L55" s="402">
        <f>'[7]Taux de Rotation des Stocks PF'!L55</f>
        <v>0</v>
      </c>
      <c r="M55" s="402">
        <f>'[7]Taux de Rotation des Stocks PF'!M55</f>
        <v>0</v>
      </c>
      <c r="N55" s="402">
        <f>'[7]Taux de Rotation des Stocks PF'!N55</f>
        <v>0</v>
      </c>
      <c r="O55" s="402">
        <f>'[7]Taux de Rotation des Stocks PF'!O55</f>
        <v>0</v>
      </c>
      <c r="P55" s="402">
        <f>'[7]Taux de Rotation des Stocks PF'!P55</f>
        <v>0</v>
      </c>
      <c r="Q55" s="402">
        <f>'[7]Taux de Rotation des Stocks PF'!Q55</f>
        <v>0</v>
      </c>
      <c r="R55" s="402">
        <f>'[7]Taux de Rotation des Stocks PF'!R55</f>
        <v>0</v>
      </c>
      <c r="S55" s="403">
        <f>'[7]Taux de Rotation des Stocks PF'!S55</f>
        <v>0</v>
      </c>
      <c r="T55" s="388"/>
      <c r="U55" s="404">
        <f>INDEX(H55:S55,MATCH(0,H55:S55,0)-1)</f>
        <v>128</v>
      </c>
    </row>
    <row r="56" spans="2:21" hidden="1" outlineLevel="1" x14ac:dyDescent="0.2">
      <c r="B56" s="384"/>
      <c r="C56" s="393" t="str">
        <f>C55</f>
        <v>BT400GTHON</v>
      </c>
      <c r="D56" s="394" t="s">
        <v>86</v>
      </c>
      <c r="E56" s="330"/>
      <c r="F56" s="395"/>
      <c r="G56" s="388"/>
      <c r="H56" s="405">
        <f>IF(H55=0,0,H55/((H55+$F55)/2))</f>
        <v>1.2789699570815452</v>
      </c>
      <c r="I56" s="406">
        <f>IF(I55=0,0,I55/((I55+$H55)/2))</f>
        <v>0.90441176470588236</v>
      </c>
      <c r="J56" s="406">
        <f t="shared" ref="J56" si="155">IF(J55=0,0,J55/((J55+$H55)/2))</f>
        <v>0.55339805825242716</v>
      </c>
      <c r="K56" s="406">
        <f t="shared" ref="K56" si="156">IF(K55=0,0,K55/((K55+$H55)/2))</f>
        <v>0.92418772563176899</v>
      </c>
      <c r="L56" s="406">
        <f t="shared" ref="L56" si="157">IF(L55=0,0,L55/((L55+$H55)/2))</f>
        <v>0</v>
      </c>
      <c r="M56" s="406">
        <f t="shared" ref="M56" si="158">IF(M55=0,0,M55/((M55+$H55)/2))</f>
        <v>0</v>
      </c>
      <c r="N56" s="406">
        <f t="shared" ref="N56" si="159">IF(N55=0,0,N55/((N55+$H55)/2))</f>
        <v>0</v>
      </c>
      <c r="O56" s="406">
        <f t="shared" ref="O56" si="160">IF(O55=0,0,O55/((O55+$H55)/2))</f>
        <v>0</v>
      </c>
      <c r="P56" s="406">
        <f t="shared" ref="P56" si="161">IF(P55=0,0,P55/((P55+$H55)/2))</f>
        <v>0</v>
      </c>
      <c r="Q56" s="406">
        <f t="shared" ref="Q56" si="162">IF(Q55=0,0,Q55/((Q55+$H55)/2))</f>
        <v>0</v>
      </c>
      <c r="R56" s="406">
        <f t="shared" ref="R56" si="163">IF(R55=0,0,R55/((R55+$H55)/2))</f>
        <v>0</v>
      </c>
      <c r="S56" s="407">
        <f t="shared" ref="S56" si="164">IF(S55=0,0,S55/((S55+$H55)/2))</f>
        <v>0</v>
      </c>
      <c r="T56" s="388"/>
      <c r="U56" s="399">
        <f>IF(U55=0,0,U55/((U55+$F55)/2))</f>
        <v>1.2075471698113207</v>
      </c>
    </row>
    <row r="57" spans="2:21" hidden="1" outlineLevel="1" x14ac:dyDescent="0.2">
      <c r="B57" s="384"/>
      <c r="C57" s="385" t="s">
        <v>106</v>
      </c>
      <c r="D57" s="386" t="s">
        <v>95</v>
      </c>
      <c r="E57" s="330"/>
      <c r="F57" s="400">
        <v>11</v>
      </c>
      <c r="G57" s="388"/>
      <c r="H57" s="401">
        <f>'[7]Taux de Rotation des Stocks PF'!H57</f>
        <v>10</v>
      </c>
      <c r="I57" s="402">
        <f>'[7]Taux de Rotation des Stocks PF'!I57</f>
        <v>3</v>
      </c>
      <c r="J57" s="402">
        <f>'[7]Taux de Rotation des Stocks PF'!J57</f>
        <v>3</v>
      </c>
      <c r="K57" s="402">
        <f>'[7]Taux de Rotation des Stocks PF'!K57</f>
        <v>9</v>
      </c>
      <c r="L57" s="402">
        <f>'[7]Taux de Rotation des Stocks PF'!L57</f>
        <v>0</v>
      </c>
      <c r="M57" s="402">
        <f>'[7]Taux de Rotation des Stocks PF'!M57</f>
        <v>0</v>
      </c>
      <c r="N57" s="402">
        <f>'[7]Taux de Rotation des Stocks PF'!N57</f>
        <v>0</v>
      </c>
      <c r="O57" s="402">
        <f>'[7]Taux de Rotation des Stocks PF'!O57</f>
        <v>0</v>
      </c>
      <c r="P57" s="402">
        <f>'[7]Taux de Rotation des Stocks PF'!P57</f>
        <v>0</v>
      </c>
      <c r="Q57" s="402">
        <f>'[7]Taux de Rotation des Stocks PF'!Q57</f>
        <v>0</v>
      </c>
      <c r="R57" s="402">
        <f>'[7]Taux de Rotation des Stocks PF'!R57</f>
        <v>0</v>
      </c>
      <c r="S57" s="403">
        <f>'[7]Taux de Rotation des Stocks PF'!S57</f>
        <v>0</v>
      </c>
      <c r="T57" s="388"/>
      <c r="U57" s="404">
        <f>INDEX(H57:S57,MATCH(0,H57:S57,0)-1)</f>
        <v>9</v>
      </c>
    </row>
    <row r="58" spans="2:21" hidden="1" outlineLevel="1" x14ac:dyDescent="0.2">
      <c r="B58" s="384"/>
      <c r="C58" s="393" t="str">
        <f>C57</f>
        <v>BT4LRECT</v>
      </c>
      <c r="D58" s="394" t="s">
        <v>86</v>
      </c>
      <c r="E58" s="330"/>
      <c r="F58" s="395"/>
      <c r="G58" s="388"/>
      <c r="H58" s="405">
        <f>IF(H57=0,0,H57/((H57+$F57)/2))</f>
        <v>0.95238095238095233</v>
      </c>
      <c r="I58" s="406">
        <f>IF(I57=0,0,I57/((I57+$H57)/2))</f>
        <v>0.46153846153846156</v>
      </c>
      <c r="J58" s="406">
        <f t="shared" ref="J58" si="165">IF(J57=0,0,J57/((J57+$H57)/2))</f>
        <v>0.46153846153846156</v>
      </c>
      <c r="K58" s="406">
        <f t="shared" ref="K58" si="166">IF(K57=0,0,K57/((K57+$H57)/2))</f>
        <v>0.94736842105263153</v>
      </c>
      <c r="L58" s="406">
        <f t="shared" ref="L58" si="167">IF(L57=0,0,L57/((L57+$H57)/2))</f>
        <v>0</v>
      </c>
      <c r="M58" s="406">
        <f t="shared" ref="M58" si="168">IF(M57=0,0,M57/((M57+$H57)/2))</f>
        <v>0</v>
      </c>
      <c r="N58" s="406">
        <f t="shared" ref="N58" si="169">IF(N57=0,0,N57/((N57+$H57)/2))</f>
        <v>0</v>
      </c>
      <c r="O58" s="406">
        <f t="shared" ref="O58" si="170">IF(O57=0,0,O57/((O57+$H57)/2))</f>
        <v>0</v>
      </c>
      <c r="P58" s="406">
        <f t="shared" ref="P58" si="171">IF(P57=0,0,P57/((P57+$H57)/2))</f>
        <v>0</v>
      </c>
      <c r="Q58" s="406">
        <f t="shared" ref="Q58" si="172">IF(Q57=0,0,Q57/((Q57+$H57)/2))</f>
        <v>0</v>
      </c>
      <c r="R58" s="406">
        <f t="shared" ref="R58" si="173">IF(R57=0,0,R57/((R57+$H57)/2))</f>
        <v>0</v>
      </c>
      <c r="S58" s="407">
        <f t="shared" ref="S58" si="174">IF(S57=0,0,S57/((S57+$H57)/2))</f>
        <v>0</v>
      </c>
      <c r="T58" s="388"/>
      <c r="U58" s="399">
        <f>IF(U57=0,0,U57/((U57+$F57)/2))</f>
        <v>0.9</v>
      </c>
    </row>
    <row r="59" spans="2:21" hidden="1" outlineLevel="1" x14ac:dyDescent="0.2">
      <c r="B59" s="384"/>
      <c r="C59" s="385" t="s">
        <v>107</v>
      </c>
      <c r="D59" s="386" t="s">
        <v>95</v>
      </c>
      <c r="E59" s="330"/>
      <c r="F59" s="400">
        <v>61</v>
      </c>
      <c r="G59" s="388"/>
      <c r="H59" s="401">
        <f>'[7]Taux de Rotation des Stocks PF'!H59</f>
        <v>58</v>
      </c>
      <c r="I59" s="402">
        <f>'[7]Taux de Rotation des Stocks PF'!I59</f>
        <v>53</v>
      </c>
      <c r="J59" s="402">
        <f>'[7]Taux de Rotation des Stocks PF'!J59</f>
        <v>43</v>
      </c>
      <c r="K59" s="402">
        <f>'[7]Taux de Rotation des Stocks PF'!K59</f>
        <v>43</v>
      </c>
      <c r="L59" s="402">
        <f>'[7]Taux de Rotation des Stocks PF'!L59</f>
        <v>0</v>
      </c>
      <c r="M59" s="402">
        <f>'[7]Taux de Rotation des Stocks PF'!M59</f>
        <v>0</v>
      </c>
      <c r="N59" s="402">
        <f>'[7]Taux de Rotation des Stocks PF'!N59</f>
        <v>0</v>
      </c>
      <c r="O59" s="402">
        <f>'[7]Taux de Rotation des Stocks PF'!O59</f>
        <v>0</v>
      </c>
      <c r="P59" s="402">
        <f>'[7]Taux de Rotation des Stocks PF'!P59</f>
        <v>0</v>
      </c>
      <c r="Q59" s="402">
        <f>'[7]Taux de Rotation des Stocks PF'!Q59</f>
        <v>0</v>
      </c>
      <c r="R59" s="402">
        <f>'[7]Taux de Rotation des Stocks PF'!R59</f>
        <v>0</v>
      </c>
      <c r="S59" s="403">
        <f>'[7]Taux de Rotation des Stocks PF'!S59</f>
        <v>0</v>
      </c>
      <c r="T59" s="388"/>
      <c r="U59" s="404">
        <f>INDEX(H59:S59,MATCH(0,H59:S59,0)-1)</f>
        <v>43</v>
      </c>
    </row>
    <row r="60" spans="2:21" hidden="1" outlineLevel="1" x14ac:dyDescent="0.2">
      <c r="B60" s="384"/>
      <c r="C60" s="393" t="str">
        <f>C59</f>
        <v>BT5/1</v>
      </c>
      <c r="D60" s="394" t="s">
        <v>86</v>
      </c>
      <c r="E60" s="330"/>
      <c r="F60" s="395"/>
      <c r="G60" s="388"/>
      <c r="H60" s="405">
        <f>IF(H59=0,0,H59/((H59+$F59)/2))</f>
        <v>0.97478991596638653</v>
      </c>
      <c r="I60" s="406">
        <f>IF(I59=0,0,I59/((I59+$H59)/2))</f>
        <v>0.95495495495495497</v>
      </c>
      <c r="J60" s="406">
        <f t="shared" ref="J60" si="175">IF(J59=0,0,J59/((J59+$H59)/2))</f>
        <v>0.85148514851485146</v>
      </c>
      <c r="K60" s="406">
        <f t="shared" ref="K60" si="176">IF(K59=0,0,K59/((K59+$H59)/2))</f>
        <v>0.85148514851485146</v>
      </c>
      <c r="L60" s="406">
        <f t="shared" ref="L60" si="177">IF(L59=0,0,L59/((L59+$H59)/2))</f>
        <v>0</v>
      </c>
      <c r="M60" s="406">
        <f t="shared" ref="M60" si="178">IF(M59=0,0,M59/((M59+$H59)/2))</f>
        <v>0</v>
      </c>
      <c r="N60" s="406">
        <f t="shared" ref="N60" si="179">IF(N59=0,0,N59/((N59+$H59)/2))</f>
        <v>0</v>
      </c>
      <c r="O60" s="406">
        <f t="shared" ref="O60" si="180">IF(O59=0,0,O59/((O59+$H59)/2))</f>
        <v>0</v>
      </c>
      <c r="P60" s="406">
        <f t="shared" ref="P60" si="181">IF(P59=0,0,P59/((P59+$H59)/2))</f>
        <v>0</v>
      </c>
      <c r="Q60" s="406">
        <f t="shared" ref="Q60" si="182">IF(Q59=0,0,Q59/((Q59+$H59)/2))</f>
        <v>0</v>
      </c>
      <c r="R60" s="406">
        <f t="shared" ref="R60" si="183">IF(R59=0,0,R59/((R59+$H59)/2))</f>
        <v>0</v>
      </c>
      <c r="S60" s="407">
        <f t="shared" ref="S60" si="184">IF(S59=0,0,S59/((S59+$H59)/2))</f>
        <v>0</v>
      </c>
      <c r="T60" s="388"/>
      <c r="U60" s="399">
        <f>IF(U59=0,0,U59/((U59+$F59)/2))</f>
        <v>0.82692307692307687</v>
      </c>
    </row>
    <row r="61" spans="2:21" hidden="1" outlineLevel="1" x14ac:dyDescent="0.2">
      <c r="B61" s="384"/>
      <c r="C61" s="385" t="s">
        <v>108</v>
      </c>
      <c r="D61" s="386" t="s">
        <v>95</v>
      </c>
      <c r="E61" s="330"/>
      <c r="F61" s="400">
        <v>0</v>
      </c>
      <c r="G61" s="388"/>
      <c r="H61" s="401">
        <f>'[7]Taux de Rotation des Stocks PF'!H61</f>
        <v>8</v>
      </c>
      <c r="I61" s="402">
        <f>'[7]Taux de Rotation des Stocks PF'!I61</f>
        <v>8</v>
      </c>
      <c r="J61" s="402">
        <f>'[7]Taux de Rotation des Stocks PF'!J61</f>
        <v>0</v>
      </c>
      <c r="K61" s="402">
        <f>'[7]Taux de Rotation des Stocks PF'!K61</f>
        <v>0</v>
      </c>
      <c r="L61" s="402">
        <f>'[7]Taux de Rotation des Stocks PF'!L61</f>
        <v>0</v>
      </c>
      <c r="M61" s="402">
        <f>'[7]Taux de Rotation des Stocks PF'!M61</f>
        <v>0</v>
      </c>
      <c r="N61" s="402">
        <f>'[7]Taux de Rotation des Stocks PF'!N61</f>
        <v>0</v>
      </c>
      <c r="O61" s="402">
        <f>'[7]Taux de Rotation des Stocks PF'!O61</f>
        <v>0</v>
      </c>
      <c r="P61" s="402">
        <f>'[7]Taux de Rotation des Stocks PF'!P61</f>
        <v>0</v>
      </c>
      <c r="Q61" s="402">
        <f>'[7]Taux de Rotation des Stocks PF'!Q61</f>
        <v>0</v>
      </c>
      <c r="R61" s="402">
        <f>'[7]Taux de Rotation des Stocks PF'!R61</f>
        <v>0</v>
      </c>
      <c r="S61" s="403">
        <f>'[7]Taux de Rotation des Stocks PF'!S61</f>
        <v>0</v>
      </c>
      <c r="T61" s="388"/>
      <c r="U61" s="404">
        <f>INDEX(H61:S61,MATCH(0,H61:S61,0)-1)</f>
        <v>8</v>
      </c>
    </row>
    <row r="62" spans="2:21" hidden="1" outlineLevel="1" x14ac:dyDescent="0.2">
      <c r="B62" s="384"/>
      <c r="C62" s="393" t="str">
        <f>C61</f>
        <v>BT500GCHAMIA</v>
      </c>
      <c r="D62" s="394" t="s">
        <v>86</v>
      </c>
      <c r="E62" s="330"/>
      <c r="F62" s="395"/>
      <c r="G62" s="388"/>
      <c r="H62" s="405">
        <f>IF(H61=0,0,H61/((H61+$F61)/2))</f>
        <v>2</v>
      </c>
      <c r="I62" s="406">
        <f>IF(I61=0,0,I61/((I61+$H61)/2))</f>
        <v>1</v>
      </c>
      <c r="J62" s="406">
        <f t="shared" ref="J62" si="185">IF(J61=0,0,J61/((J61+$H61)/2))</f>
        <v>0</v>
      </c>
      <c r="K62" s="406">
        <f t="shared" ref="K62" si="186">IF(K61=0,0,K61/((K61+$H61)/2))</f>
        <v>0</v>
      </c>
      <c r="L62" s="406">
        <f t="shared" ref="L62" si="187">IF(L61=0,0,L61/((L61+$H61)/2))</f>
        <v>0</v>
      </c>
      <c r="M62" s="406">
        <f t="shared" ref="M62" si="188">IF(M61=0,0,M61/((M61+$H61)/2))</f>
        <v>0</v>
      </c>
      <c r="N62" s="406">
        <f t="shared" ref="N62" si="189">IF(N61=0,0,N61/((N61+$H61)/2))</f>
        <v>0</v>
      </c>
      <c r="O62" s="406">
        <f t="shared" ref="O62" si="190">IF(O61=0,0,O61/((O61+$H61)/2))</f>
        <v>0</v>
      </c>
      <c r="P62" s="406">
        <f t="shared" ref="P62" si="191">IF(P61=0,0,P61/((P61+$H61)/2))</f>
        <v>0</v>
      </c>
      <c r="Q62" s="406">
        <f t="shared" ref="Q62" si="192">IF(Q61=0,0,Q61/((Q61+$H61)/2))</f>
        <v>0</v>
      </c>
      <c r="R62" s="406">
        <f t="shared" ref="R62" si="193">IF(R61=0,0,R61/((R61+$H61)/2))</f>
        <v>0</v>
      </c>
      <c r="S62" s="407">
        <f t="shared" ref="S62" si="194">IF(S61=0,0,S61/((S61+$H61)/2))</f>
        <v>0</v>
      </c>
      <c r="T62" s="388"/>
      <c r="U62" s="399">
        <f>IF(U61=0,0,U61/((U61+$F61)/2))</f>
        <v>2</v>
      </c>
    </row>
    <row r="63" spans="2:21" hidden="1" outlineLevel="1" x14ac:dyDescent="0.2">
      <c r="B63" s="384"/>
      <c r="C63" s="385" t="s">
        <v>109</v>
      </c>
      <c r="D63" s="386" t="s">
        <v>95</v>
      </c>
      <c r="E63" s="330"/>
      <c r="F63" s="400">
        <v>0</v>
      </c>
      <c r="G63" s="388"/>
      <c r="H63" s="401">
        <f>'[7]Taux de Rotation des Stocks PF'!H63</f>
        <v>2</v>
      </c>
      <c r="I63" s="402">
        <f>'[7]Taux de Rotation des Stocks PF'!I63</f>
        <v>2</v>
      </c>
      <c r="J63" s="402">
        <f>'[7]Taux de Rotation des Stocks PF'!J63</f>
        <v>33</v>
      </c>
      <c r="K63" s="402">
        <f>'[7]Taux de Rotation des Stocks PF'!K63</f>
        <v>63</v>
      </c>
      <c r="L63" s="402">
        <f>'[7]Taux de Rotation des Stocks PF'!L63</f>
        <v>0</v>
      </c>
      <c r="M63" s="402">
        <f>'[7]Taux de Rotation des Stocks PF'!M63</f>
        <v>0</v>
      </c>
      <c r="N63" s="402">
        <f>'[7]Taux de Rotation des Stocks PF'!N63</f>
        <v>0</v>
      </c>
      <c r="O63" s="402">
        <f>'[7]Taux de Rotation des Stocks PF'!O63</f>
        <v>0</v>
      </c>
      <c r="P63" s="402">
        <f>'[7]Taux de Rotation des Stocks PF'!P63</f>
        <v>0</v>
      </c>
      <c r="Q63" s="402">
        <f>'[7]Taux de Rotation des Stocks PF'!Q63</f>
        <v>0</v>
      </c>
      <c r="R63" s="402">
        <f>'[7]Taux de Rotation des Stocks PF'!R63</f>
        <v>0</v>
      </c>
      <c r="S63" s="403">
        <f>'[7]Taux de Rotation des Stocks PF'!S63</f>
        <v>0</v>
      </c>
      <c r="T63" s="388"/>
      <c r="U63" s="404">
        <f>INDEX(H63:S63,MATCH(0,H63:S63,0)-1)</f>
        <v>63</v>
      </c>
    </row>
    <row r="64" spans="2:21" hidden="1" outlineLevel="1" x14ac:dyDescent="0.2">
      <c r="B64" s="384"/>
      <c r="C64" s="393" t="str">
        <f>C63</f>
        <v>BT5KGCHAMIA</v>
      </c>
      <c r="D64" s="394" t="s">
        <v>86</v>
      </c>
      <c r="E64" s="330"/>
      <c r="F64" s="395"/>
      <c r="G64" s="388"/>
      <c r="H64" s="405">
        <f>IF(H63=0,0,H63/((H63+$F63)/2))</f>
        <v>2</v>
      </c>
      <c r="I64" s="406">
        <f>IF(I63=0,0,I63/((I63+$H63)/2))</f>
        <v>1</v>
      </c>
      <c r="J64" s="406">
        <f t="shared" ref="J64" si="195">IF(J63=0,0,J63/((J63+$H63)/2))</f>
        <v>1.8857142857142857</v>
      </c>
      <c r="K64" s="406">
        <f t="shared" ref="K64" si="196">IF(K63=0,0,K63/((K63+$H63)/2))</f>
        <v>1.9384615384615385</v>
      </c>
      <c r="L64" s="406">
        <f t="shared" ref="L64" si="197">IF(L63=0,0,L63/((L63+$H63)/2))</f>
        <v>0</v>
      </c>
      <c r="M64" s="406">
        <f t="shared" ref="M64" si="198">IF(M63=0,0,M63/((M63+$H63)/2))</f>
        <v>0</v>
      </c>
      <c r="N64" s="406">
        <f t="shared" ref="N64" si="199">IF(N63=0,0,N63/((N63+$H63)/2))</f>
        <v>0</v>
      </c>
      <c r="O64" s="406">
        <f t="shared" ref="O64" si="200">IF(O63=0,0,O63/((O63+$H63)/2))</f>
        <v>0</v>
      </c>
      <c r="P64" s="406">
        <f t="shared" ref="P64" si="201">IF(P63=0,0,P63/((P63+$H63)/2))</f>
        <v>0</v>
      </c>
      <c r="Q64" s="406">
        <f t="shared" ref="Q64" si="202">IF(Q63=0,0,Q63/((Q63+$H63)/2))</f>
        <v>0</v>
      </c>
      <c r="R64" s="406">
        <f t="shared" ref="R64" si="203">IF(R63=0,0,R63/((R63+$H63)/2))</f>
        <v>0</v>
      </c>
      <c r="S64" s="407">
        <f t="shared" ref="S64" si="204">IF(S63=0,0,S63/((S63+$H63)/2))</f>
        <v>0</v>
      </c>
      <c r="T64" s="388"/>
      <c r="U64" s="399">
        <f>IF(U63=0,0,U63/((U63+$F63)/2))</f>
        <v>2</v>
      </c>
    </row>
    <row r="65" spans="2:22" hidden="1" outlineLevel="1" x14ac:dyDescent="0.2">
      <c r="B65" s="384"/>
      <c r="C65" s="385" t="s">
        <v>110</v>
      </c>
      <c r="D65" s="386" t="s">
        <v>95</v>
      </c>
      <c r="E65" s="330"/>
      <c r="F65" s="400">
        <v>8</v>
      </c>
      <c r="G65" s="388"/>
      <c r="H65" s="401">
        <f>'[7]Taux de Rotation des Stocks PF'!H65</f>
        <v>18</v>
      </c>
      <c r="I65" s="402">
        <f>'[7]Taux de Rotation des Stocks PF'!I65</f>
        <v>19</v>
      </c>
      <c r="J65" s="402">
        <f>'[7]Taux de Rotation des Stocks PF'!J65</f>
        <v>41</v>
      </c>
      <c r="K65" s="402">
        <f>'[7]Taux de Rotation des Stocks PF'!K65</f>
        <v>25</v>
      </c>
      <c r="L65" s="402">
        <f>'[7]Taux de Rotation des Stocks PF'!L65</f>
        <v>0</v>
      </c>
      <c r="M65" s="402">
        <f>'[7]Taux de Rotation des Stocks PF'!M65</f>
        <v>0</v>
      </c>
      <c r="N65" s="402">
        <f>'[7]Taux de Rotation des Stocks PF'!N65</f>
        <v>0</v>
      </c>
      <c r="O65" s="402">
        <f>'[7]Taux de Rotation des Stocks PF'!O65</f>
        <v>0</v>
      </c>
      <c r="P65" s="402">
        <f>'[7]Taux de Rotation des Stocks PF'!P65</f>
        <v>0</v>
      </c>
      <c r="Q65" s="402">
        <f>'[7]Taux de Rotation des Stocks PF'!Q65</f>
        <v>0</v>
      </c>
      <c r="R65" s="402">
        <f>'[7]Taux de Rotation des Stocks PF'!R65</f>
        <v>0</v>
      </c>
      <c r="S65" s="403">
        <f>'[7]Taux de Rotation des Stocks PF'!S65</f>
        <v>0</v>
      </c>
      <c r="T65" s="388"/>
      <c r="U65" s="404">
        <f>INDEX(H65:S65,MATCH(0,H65:S65,0)-1)</f>
        <v>25</v>
      </c>
    </row>
    <row r="66" spans="2:22" hidden="1" outlineLevel="1" x14ac:dyDescent="0.2">
      <c r="B66" s="384"/>
      <c r="C66" s="393" t="str">
        <f>C65</f>
        <v>BT5LRECT</v>
      </c>
      <c r="D66" s="394" t="s">
        <v>86</v>
      </c>
      <c r="E66" s="330"/>
      <c r="F66" s="395"/>
      <c r="G66" s="388"/>
      <c r="H66" s="405">
        <f>IF(H65=0,0,H65/((H65+$F65)/2))</f>
        <v>1.3846153846153846</v>
      </c>
      <c r="I66" s="406">
        <f>IF(I65=0,0,I65/((I65+$H65)/2))</f>
        <v>1.027027027027027</v>
      </c>
      <c r="J66" s="406">
        <f t="shared" ref="J66" si="205">IF(J65=0,0,J65/((J65+$H65)/2))</f>
        <v>1.3898305084745763</v>
      </c>
      <c r="K66" s="406">
        <f t="shared" ref="K66" si="206">IF(K65=0,0,K65/((K65+$H65)/2))</f>
        <v>1.1627906976744187</v>
      </c>
      <c r="L66" s="406">
        <f t="shared" ref="L66" si="207">IF(L65=0,0,L65/((L65+$H65)/2))</f>
        <v>0</v>
      </c>
      <c r="M66" s="406">
        <f t="shared" ref="M66" si="208">IF(M65=0,0,M65/((M65+$H65)/2))</f>
        <v>0</v>
      </c>
      <c r="N66" s="406">
        <f t="shared" ref="N66" si="209">IF(N65=0,0,N65/((N65+$H65)/2))</f>
        <v>0</v>
      </c>
      <c r="O66" s="406">
        <f t="shared" ref="O66" si="210">IF(O65=0,0,O65/((O65+$H65)/2))</f>
        <v>0</v>
      </c>
      <c r="P66" s="406">
        <f t="shared" ref="P66" si="211">IF(P65=0,0,P65/((P65+$H65)/2))</f>
        <v>0</v>
      </c>
      <c r="Q66" s="406">
        <f t="shared" ref="Q66" si="212">IF(Q65=0,0,Q65/((Q65+$H65)/2))</f>
        <v>0</v>
      </c>
      <c r="R66" s="406">
        <f t="shared" ref="R66" si="213">IF(R65=0,0,R65/((R65+$H65)/2))</f>
        <v>0</v>
      </c>
      <c r="S66" s="407">
        <f t="shared" ref="S66" si="214">IF(S65=0,0,S65/((S65+$H65)/2))</f>
        <v>0</v>
      </c>
      <c r="T66" s="388"/>
      <c r="U66" s="399">
        <f>IF(U65=0,0,U65/((U65+$F65)/2))</f>
        <v>1.5151515151515151</v>
      </c>
    </row>
    <row r="67" spans="2:22" hidden="1" outlineLevel="1" x14ac:dyDescent="0.2">
      <c r="B67" s="384"/>
      <c r="C67" s="385" t="s">
        <v>111</v>
      </c>
      <c r="D67" s="386" t="s">
        <v>95</v>
      </c>
      <c r="E67" s="330"/>
      <c r="F67" s="400">
        <v>19</v>
      </c>
      <c r="G67" s="388"/>
      <c r="H67" s="401">
        <f>'[7]Taux de Rotation des Stocks PF'!H67</f>
        <v>15</v>
      </c>
      <c r="I67" s="402">
        <f>'[7]Taux de Rotation des Stocks PF'!I67</f>
        <v>37</v>
      </c>
      <c r="J67" s="402">
        <f>'[7]Taux de Rotation des Stocks PF'!J67</f>
        <v>16</v>
      </c>
      <c r="K67" s="402">
        <f>'[7]Taux de Rotation des Stocks PF'!K67</f>
        <v>16</v>
      </c>
      <c r="L67" s="402">
        <f>'[7]Taux de Rotation des Stocks PF'!L67</f>
        <v>0</v>
      </c>
      <c r="M67" s="402">
        <f>'[7]Taux de Rotation des Stocks PF'!M67</f>
        <v>0</v>
      </c>
      <c r="N67" s="402">
        <f>'[7]Taux de Rotation des Stocks PF'!N67</f>
        <v>0</v>
      </c>
      <c r="O67" s="402">
        <f>'[7]Taux de Rotation des Stocks PF'!O67</f>
        <v>0</v>
      </c>
      <c r="P67" s="402">
        <f>'[7]Taux de Rotation des Stocks PF'!P67</f>
        <v>0</v>
      </c>
      <c r="Q67" s="402">
        <f>'[7]Taux de Rotation des Stocks PF'!Q67</f>
        <v>0</v>
      </c>
      <c r="R67" s="402">
        <f>'[7]Taux de Rotation des Stocks PF'!R67</f>
        <v>0</v>
      </c>
      <c r="S67" s="403">
        <f>'[7]Taux de Rotation des Stocks PF'!S67</f>
        <v>0</v>
      </c>
      <c r="T67" s="388"/>
      <c r="U67" s="404">
        <f>INDEX(H67:S67,MATCH(0,H67:S67,0)-1)</f>
        <v>16</v>
      </c>
    </row>
    <row r="68" spans="2:22" hidden="1" outlineLevel="1" x14ac:dyDescent="0.2">
      <c r="B68" s="384"/>
      <c r="C68" s="393" t="str">
        <f>C67</f>
        <v>BT620GTHON</v>
      </c>
      <c r="D68" s="394" t="s">
        <v>86</v>
      </c>
      <c r="E68" s="330"/>
      <c r="F68" s="395"/>
      <c r="G68" s="388"/>
      <c r="H68" s="405">
        <f>IF(H67=0,0,H67/((H67+$F67)/2))</f>
        <v>0.88235294117647056</v>
      </c>
      <c r="I68" s="406">
        <f>IF(I67=0,0,I67/((I67+$H67)/2))</f>
        <v>1.4230769230769231</v>
      </c>
      <c r="J68" s="406">
        <f t="shared" ref="J68" si="215">IF(J67=0,0,J67/((J67+$H67)/2))</f>
        <v>1.032258064516129</v>
      </c>
      <c r="K68" s="406">
        <f t="shared" ref="K68" si="216">IF(K67=0,0,K67/((K67+$H67)/2))</f>
        <v>1.032258064516129</v>
      </c>
      <c r="L68" s="406">
        <f t="shared" ref="L68" si="217">IF(L67=0,0,L67/((L67+$H67)/2))</f>
        <v>0</v>
      </c>
      <c r="M68" s="406">
        <f t="shared" ref="M68" si="218">IF(M67=0,0,M67/((M67+$H67)/2))</f>
        <v>0</v>
      </c>
      <c r="N68" s="406">
        <f t="shared" ref="N68" si="219">IF(N67=0,0,N67/((N67+$H67)/2))</f>
        <v>0</v>
      </c>
      <c r="O68" s="406">
        <f t="shared" ref="O68" si="220">IF(O67=0,0,O67/((O67+$H67)/2))</f>
        <v>0</v>
      </c>
      <c r="P68" s="406">
        <f t="shared" ref="P68" si="221">IF(P67=0,0,P67/((P67+$H67)/2))</f>
        <v>0</v>
      </c>
      <c r="Q68" s="406">
        <f t="shared" ref="Q68" si="222">IF(Q67=0,0,Q67/((Q67+$H67)/2))</f>
        <v>0</v>
      </c>
      <c r="R68" s="406">
        <f t="shared" ref="R68" si="223">IF(R67=0,0,R67/((R67+$H67)/2))</f>
        <v>0</v>
      </c>
      <c r="S68" s="407">
        <f t="shared" ref="S68" si="224">IF(S67=0,0,S67/((S67+$H67)/2))</f>
        <v>0</v>
      </c>
      <c r="T68" s="388"/>
      <c r="U68" s="399">
        <f>IF(U67=0,0,U67/((U67+$F67)/2))</f>
        <v>0.91428571428571426</v>
      </c>
    </row>
    <row r="69" spans="2:22" hidden="1" outlineLevel="1" x14ac:dyDescent="0.2">
      <c r="B69" s="384"/>
      <c r="C69" s="385" t="s">
        <v>112</v>
      </c>
      <c r="D69" s="386" t="s">
        <v>95</v>
      </c>
      <c r="E69" s="330"/>
      <c r="F69" s="400">
        <v>48</v>
      </c>
      <c r="G69" s="388"/>
      <c r="H69" s="401">
        <f>'[7]Taux de Rotation des Stocks PF'!H69</f>
        <v>42</v>
      </c>
      <c r="I69" s="402">
        <f>'[7]Taux de Rotation des Stocks PF'!I69</f>
        <v>47</v>
      </c>
      <c r="J69" s="402">
        <f>'[7]Taux de Rotation des Stocks PF'!J69</f>
        <v>47</v>
      </c>
      <c r="K69" s="402">
        <f>'[7]Taux de Rotation des Stocks PF'!K69</f>
        <v>47</v>
      </c>
      <c r="L69" s="402">
        <f>'[7]Taux de Rotation des Stocks PF'!L69</f>
        <v>0</v>
      </c>
      <c r="M69" s="402">
        <f>'[7]Taux de Rotation des Stocks PF'!M69</f>
        <v>0</v>
      </c>
      <c r="N69" s="402">
        <f>'[7]Taux de Rotation des Stocks PF'!N69</f>
        <v>0</v>
      </c>
      <c r="O69" s="402">
        <f>'[7]Taux de Rotation des Stocks PF'!O69</f>
        <v>0</v>
      </c>
      <c r="P69" s="402">
        <f>'[7]Taux de Rotation des Stocks PF'!P69</f>
        <v>0</v>
      </c>
      <c r="Q69" s="402">
        <f>'[7]Taux de Rotation des Stocks PF'!Q69</f>
        <v>0</v>
      </c>
      <c r="R69" s="402">
        <f>'[7]Taux de Rotation des Stocks PF'!R69</f>
        <v>0</v>
      </c>
      <c r="S69" s="403">
        <f>'[7]Taux de Rotation des Stocks PF'!S69</f>
        <v>0</v>
      </c>
      <c r="T69" s="388"/>
      <c r="U69" s="404">
        <f>INDEX(H69:S69,MATCH(0,H69:S69,0)-1)</f>
        <v>47</v>
      </c>
    </row>
    <row r="70" spans="2:22" hidden="1" outlineLevel="1" x14ac:dyDescent="0.2">
      <c r="B70" s="384"/>
      <c r="C70" s="393" t="str">
        <f>C69</f>
        <v>BT700GTHON</v>
      </c>
      <c r="D70" s="394" t="s">
        <v>86</v>
      </c>
      <c r="E70" s="330"/>
      <c r="F70" s="395"/>
      <c r="G70" s="388"/>
      <c r="H70" s="405">
        <f>IF(H69=0,0,H69/((H69+$F69)/2))</f>
        <v>0.93333333333333335</v>
      </c>
      <c r="I70" s="406">
        <f>IF(I69=0,0,I69/((I69+$H69)/2))</f>
        <v>1.0561797752808988</v>
      </c>
      <c r="J70" s="406">
        <f t="shared" ref="J70" si="225">IF(J69=0,0,J69/((J69+$H69)/2))</f>
        <v>1.0561797752808988</v>
      </c>
      <c r="K70" s="406">
        <f t="shared" ref="K70" si="226">IF(K69=0,0,K69/((K69+$H69)/2))</f>
        <v>1.0561797752808988</v>
      </c>
      <c r="L70" s="406">
        <f t="shared" ref="L70" si="227">IF(L69=0,0,L69/((L69+$H69)/2))</f>
        <v>0</v>
      </c>
      <c r="M70" s="406">
        <f t="shared" ref="M70" si="228">IF(M69=0,0,M69/((M69+$H69)/2))</f>
        <v>0</v>
      </c>
      <c r="N70" s="406">
        <f t="shared" ref="N70" si="229">IF(N69=0,0,N69/((N69+$H69)/2))</f>
        <v>0</v>
      </c>
      <c r="O70" s="406">
        <f t="shared" ref="O70" si="230">IF(O69=0,0,O69/((O69+$H69)/2))</f>
        <v>0</v>
      </c>
      <c r="P70" s="406">
        <f t="shared" ref="P70" si="231">IF(P69=0,0,P69/((P69+$H69)/2))</f>
        <v>0</v>
      </c>
      <c r="Q70" s="406">
        <f t="shared" ref="Q70" si="232">IF(Q69=0,0,Q69/((Q69+$H69)/2))</f>
        <v>0</v>
      </c>
      <c r="R70" s="406">
        <f t="shared" ref="R70" si="233">IF(R69=0,0,R69/((R69+$H69)/2))</f>
        <v>0</v>
      </c>
      <c r="S70" s="407">
        <f t="shared" ref="S70" si="234">IF(S69=0,0,S69/((S69+$H69)/2))</f>
        <v>0</v>
      </c>
      <c r="T70" s="388"/>
      <c r="U70" s="399">
        <f>IF(U69=0,0,U69/((U69+$F69)/2))</f>
        <v>0.98947368421052628</v>
      </c>
    </row>
    <row r="71" spans="2:22" hidden="1" outlineLevel="1" x14ac:dyDescent="0.2">
      <c r="B71" s="384"/>
      <c r="C71" s="385" t="s">
        <v>113</v>
      </c>
      <c r="D71" s="386" t="s">
        <v>95</v>
      </c>
      <c r="E71" s="330"/>
      <c r="F71" s="400">
        <v>14</v>
      </c>
      <c r="G71" s="388"/>
      <c r="H71" s="401">
        <f>'[7]Taux de Rotation des Stocks PF'!H71</f>
        <v>104</v>
      </c>
      <c r="I71" s="402">
        <f>'[7]Taux de Rotation des Stocks PF'!I71</f>
        <v>36</v>
      </c>
      <c r="J71" s="402">
        <f>'[7]Taux de Rotation des Stocks PF'!J71</f>
        <v>114</v>
      </c>
      <c r="K71" s="402">
        <f>'[7]Taux de Rotation des Stocks PF'!K71</f>
        <v>90</v>
      </c>
      <c r="L71" s="402">
        <f>'[7]Taux de Rotation des Stocks PF'!L71</f>
        <v>0</v>
      </c>
      <c r="M71" s="402">
        <f>'[7]Taux de Rotation des Stocks PF'!M71</f>
        <v>0</v>
      </c>
      <c r="N71" s="402">
        <f>'[7]Taux de Rotation des Stocks PF'!N71</f>
        <v>0</v>
      </c>
      <c r="O71" s="402">
        <f>'[7]Taux de Rotation des Stocks PF'!O71</f>
        <v>0</v>
      </c>
      <c r="P71" s="402">
        <f>'[7]Taux de Rotation des Stocks PF'!P71</f>
        <v>0</v>
      </c>
      <c r="Q71" s="402">
        <f>'[7]Taux de Rotation des Stocks PF'!Q71</f>
        <v>0</v>
      </c>
      <c r="R71" s="402">
        <f>'[7]Taux de Rotation des Stocks PF'!R71</f>
        <v>0</v>
      </c>
      <c r="S71" s="403">
        <f>'[7]Taux de Rotation des Stocks PF'!S71</f>
        <v>0</v>
      </c>
      <c r="T71" s="388"/>
      <c r="U71" s="404">
        <f>INDEX(H71:S71,MATCH(0,H71:S71,0)-1)</f>
        <v>90</v>
      </c>
    </row>
    <row r="72" spans="2:22" hidden="1" outlineLevel="1" x14ac:dyDescent="0.2">
      <c r="B72" s="384"/>
      <c r="C72" s="393" t="str">
        <f>C71</f>
        <v>BT800GCHAM</v>
      </c>
      <c r="D72" s="394" t="s">
        <v>86</v>
      </c>
      <c r="E72" s="330"/>
      <c r="F72" s="395"/>
      <c r="G72" s="388"/>
      <c r="H72" s="405">
        <f>IF(H71=0,0,H71/((H71+$F71)/2))</f>
        <v>1.7627118644067796</v>
      </c>
      <c r="I72" s="406">
        <f>IF(I71=0,0,I71/((I71+$H71)/2))</f>
        <v>0.51428571428571423</v>
      </c>
      <c r="J72" s="406">
        <f t="shared" ref="J72" si="235">IF(J71=0,0,J71/((J71+$H71)/2))</f>
        <v>1.0458715596330275</v>
      </c>
      <c r="K72" s="406">
        <f t="shared" ref="K72" si="236">IF(K71=0,0,K71/((K71+$H71)/2))</f>
        <v>0.92783505154639179</v>
      </c>
      <c r="L72" s="406">
        <f t="shared" ref="L72" si="237">IF(L71=0,0,L71/((L71+$H71)/2))</f>
        <v>0</v>
      </c>
      <c r="M72" s="406">
        <f t="shared" ref="M72" si="238">IF(M71=0,0,M71/((M71+$H71)/2))</f>
        <v>0</v>
      </c>
      <c r="N72" s="406">
        <f t="shared" ref="N72" si="239">IF(N71=0,0,N71/((N71+$H71)/2))</f>
        <v>0</v>
      </c>
      <c r="O72" s="406">
        <f t="shared" ref="O72" si="240">IF(O71=0,0,O71/((O71+$H71)/2))</f>
        <v>0</v>
      </c>
      <c r="P72" s="406">
        <f t="shared" ref="P72" si="241">IF(P71=0,0,P71/((P71+$H71)/2))</f>
        <v>0</v>
      </c>
      <c r="Q72" s="406">
        <f t="shared" ref="Q72" si="242">IF(Q71=0,0,Q71/((Q71+$H71)/2))</f>
        <v>0</v>
      </c>
      <c r="R72" s="406">
        <f t="shared" ref="R72" si="243">IF(R71=0,0,R71/((R71+$H71)/2))</f>
        <v>0</v>
      </c>
      <c r="S72" s="407">
        <f t="shared" ref="S72" si="244">IF(S71=0,0,S71/((S71+$H71)/2))</f>
        <v>0</v>
      </c>
      <c r="T72" s="388"/>
      <c r="U72" s="399">
        <f>IF(U71=0,0,U71/((U71+$F71)/2))</f>
        <v>1.7307692307692308</v>
      </c>
    </row>
    <row r="73" spans="2:22" hidden="1" outlineLevel="1" x14ac:dyDescent="0.2">
      <c r="B73" s="384"/>
      <c r="C73" s="385" t="s">
        <v>114</v>
      </c>
      <c r="D73" s="386" t="s">
        <v>95</v>
      </c>
      <c r="E73" s="330"/>
      <c r="F73" s="408">
        <v>20</v>
      </c>
      <c r="G73" s="388"/>
      <c r="H73" s="409">
        <f>'[7]Taux de Rotation des Stocks PF'!H73</f>
        <v>17</v>
      </c>
      <c r="I73" s="410">
        <f>'[7]Taux de Rotation des Stocks PF'!I73</f>
        <v>17</v>
      </c>
      <c r="J73" s="410">
        <f>'[7]Taux de Rotation des Stocks PF'!J73</f>
        <v>17</v>
      </c>
      <c r="K73" s="410">
        <f>'[7]Taux de Rotation des Stocks PF'!K73</f>
        <v>17</v>
      </c>
      <c r="L73" s="410">
        <f>'[7]Taux de Rotation des Stocks PF'!L73</f>
        <v>0</v>
      </c>
      <c r="M73" s="410">
        <f>'[7]Taux de Rotation des Stocks PF'!M73</f>
        <v>0</v>
      </c>
      <c r="N73" s="410">
        <f>'[7]Taux de Rotation des Stocks PF'!N73</f>
        <v>0</v>
      </c>
      <c r="O73" s="410">
        <f>'[7]Taux de Rotation des Stocks PF'!O73</f>
        <v>0</v>
      </c>
      <c r="P73" s="410">
        <f>'[7]Taux de Rotation des Stocks PF'!P73</f>
        <v>0</v>
      </c>
      <c r="Q73" s="410">
        <f>'[7]Taux de Rotation des Stocks PF'!Q73</f>
        <v>0</v>
      </c>
      <c r="R73" s="410">
        <f>'[7]Taux de Rotation des Stocks PF'!R73</f>
        <v>0</v>
      </c>
      <c r="S73" s="411">
        <f>'[7]Taux de Rotation des Stocks PF'!S73</f>
        <v>0</v>
      </c>
      <c r="T73" s="388"/>
      <c r="U73" s="392">
        <f>INDEX(H73:S73,MATCH(0,H73:S73,0)-1)</f>
        <v>17</v>
      </c>
    </row>
    <row r="74" spans="2:22" hidden="1" outlineLevel="1" x14ac:dyDescent="0.2">
      <c r="B74" s="384"/>
      <c r="C74" s="393" t="str">
        <f>C73</f>
        <v>BT850GTHON</v>
      </c>
      <c r="D74" s="394" t="s">
        <v>86</v>
      </c>
      <c r="E74" s="330"/>
      <c r="F74" s="408"/>
      <c r="G74" s="388"/>
      <c r="H74" s="412">
        <f>IF(H73=0,0,H73/((H73+$F73)/2))</f>
        <v>0.91891891891891897</v>
      </c>
      <c r="I74" s="413">
        <f>IF(I73=0,0,I73/((I73+$H73)/2))</f>
        <v>1</v>
      </c>
      <c r="J74" s="413">
        <f t="shared" ref="J74" si="245">IF(J73=0,0,J73/((J73+$H73)/2))</f>
        <v>1</v>
      </c>
      <c r="K74" s="413">
        <f t="shared" ref="K74" si="246">IF(K73=0,0,K73/((K73+$H73)/2))</f>
        <v>1</v>
      </c>
      <c r="L74" s="413">
        <f t="shared" ref="L74" si="247">IF(L73=0,0,L73/((L73+$H73)/2))</f>
        <v>0</v>
      </c>
      <c r="M74" s="413">
        <f t="shared" ref="M74" si="248">IF(M73=0,0,M73/((M73+$H73)/2))</f>
        <v>0</v>
      </c>
      <c r="N74" s="413">
        <f t="shared" ref="N74" si="249">IF(N73=0,0,N73/((N73+$H73)/2))</f>
        <v>0</v>
      </c>
      <c r="O74" s="413">
        <f t="shared" ref="O74" si="250">IF(O73=0,0,O73/((O73+$H73)/2))</f>
        <v>0</v>
      </c>
      <c r="P74" s="413">
        <f t="shared" ref="P74" si="251">IF(P73=0,0,P73/((P73+$H73)/2))</f>
        <v>0</v>
      </c>
      <c r="Q74" s="413">
        <f t="shared" ref="Q74" si="252">IF(Q73=0,0,Q73/((Q73+$H73)/2))</f>
        <v>0</v>
      </c>
      <c r="R74" s="413">
        <f t="shared" ref="R74" si="253">IF(R73=0,0,R73/((R73+$H73)/2))</f>
        <v>0</v>
      </c>
      <c r="S74" s="414">
        <f t="shared" ref="S74" si="254">IF(S73=0,0,S73/((S73+$H73)/2))</f>
        <v>0</v>
      </c>
      <c r="T74" s="388"/>
      <c r="U74" s="415">
        <f>IF(U73=0,0,U73/((U73+$F73)/2))</f>
        <v>0.91891891891891897</v>
      </c>
    </row>
    <row r="75" spans="2:22" ht="12.75" customHeight="1" collapsed="1" x14ac:dyDescent="0.2">
      <c r="B75" s="416" t="s">
        <v>63</v>
      </c>
      <c r="C75" s="417"/>
      <c r="D75" s="372" t="s">
        <v>95</v>
      </c>
      <c r="F75" s="418">
        <f>SUM(F77,F79,F81,F83,F85,F87,F89,F91,F93,F95,F97,F99,F101,F103,F105,F107,F109,F111,F113,F115,F117,F119,F121,F123,F125,)</f>
        <v>1872</v>
      </c>
      <c r="G75" s="291"/>
      <c r="H75" s="419">
        <f>SUM(H77,H79,H81,H83,H85,H87,H89,H91,H93,H95,H97,H99,H101,H103,H105,H107,H109,H111,H113,H115,H117,H119,H121,H123,H125,)</f>
        <v>1993</v>
      </c>
      <c r="I75" s="420">
        <f t="shared" ref="I75:S75" si="255">SUM(I77,I79,I81,I83,I85,I87,I89,I91,I93,I95,I97,I99,I101,I103,I105,I107,I109,I111,I113,I115,I117,I119,I121,I123,I125,)</f>
        <v>2205</v>
      </c>
      <c r="J75" s="420">
        <f t="shared" si="255"/>
        <v>2198</v>
      </c>
      <c r="K75" s="420">
        <f t="shared" si="255"/>
        <v>2152</v>
      </c>
      <c r="L75" s="420">
        <f t="shared" si="255"/>
        <v>0</v>
      </c>
      <c r="M75" s="420">
        <f t="shared" si="255"/>
        <v>0</v>
      </c>
      <c r="N75" s="420">
        <f t="shared" si="255"/>
        <v>0</v>
      </c>
      <c r="O75" s="420">
        <f t="shared" si="255"/>
        <v>0</v>
      </c>
      <c r="P75" s="420">
        <f t="shared" si="255"/>
        <v>0</v>
      </c>
      <c r="Q75" s="420">
        <f t="shared" si="255"/>
        <v>0</v>
      </c>
      <c r="R75" s="420">
        <f t="shared" si="255"/>
        <v>0</v>
      </c>
      <c r="S75" s="421">
        <f t="shared" si="255"/>
        <v>0</v>
      </c>
      <c r="T75" s="291"/>
      <c r="U75" s="377">
        <f>INDEX(H75:S75,MATCH(0,H75:S75,0)-1)</f>
        <v>2152</v>
      </c>
    </row>
    <row r="76" spans="2:22" x14ac:dyDescent="0.2">
      <c r="B76" s="370"/>
      <c r="C76" s="371"/>
      <c r="D76" s="372" t="s">
        <v>86</v>
      </c>
      <c r="F76" s="422"/>
      <c r="G76" s="291"/>
      <c r="H76" s="379">
        <f>IF(H75=0,0,H75/((H75+$F75)/2))</f>
        <v>1.0313065976714102</v>
      </c>
      <c r="I76" s="380">
        <f>IF(I75=0,0,I75/((I75+H75)/2))</f>
        <v>1.0505002382086708</v>
      </c>
      <c r="J76" s="380">
        <f t="shared" ref="J76:S76" si="256">IF(J75=0,0,J75/((J75+I75)/2))</f>
        <v>0.99841017488076311</v>
      </c>
      <c r="K76" s="380">
        <f t="shared" si="256"/>
        <v>0.98942528735632185</v>
      </c>
      <c r="L76" s="380">
        <f t="shared" si="256"/>
        <v>0</v>
      </c>
      <c r="M76" s="380">
        <f t="shared" si="256"/>
        <v>0</v>
      </c>
      <c r="N76" s="380">
        <f t="shared" si="256"/>
        <v>0</v>
      </c>
      <c r="O76" s="380">
        <f t="shared" si="256"/>
        <v>0</v>
      </c>
      <c r="P76" s="380">
        <f t="shared" si="256"/>
        <v>0</v>
      </c>
      <c r="Q76" s="380">
        <f t="shared" si="256"/>
        <v>0</v>
      </c>
      <c r="R76" s="380">
        <f t="shared" si="256"/>
        <v>0</v>
      </c>
      <c r="S76" s="381">
        <f t="shared" si="256"/>
        <v>0</v>
      </c>
      <c r="T76" s="423"/>
      <c r="U76" s="382">
        <f>IF(U75=0,0,U75/((U75+$F75)/2))</f>
        <v>1.0695825049701788</v>
      </c>
      <c r="V76" s="383">
        <f>100%-U76</f>
        <v>-6.9582504970178816E-2</v>
      </c>
    </row>
    <row r="77" spans="2:22" hidden="1" outlineLevel="1" x14ac:dyDescent="0.2">
      <c r="B77" s="424"/>
      <c r="C77" s="385" t="s">
        <v>115</v>
      </c>
      <c r="D77" s="386" t="s">
        <v>95</v>
      </c>
      <c r="E77" s="356"/>
      <c r="F77" s="400">
        <v>45</v>
      </c>
      <c r="G77" s="356"/>
      <c r="H77" s="425">
        <f>'[7]Taux de Rotation des Stocks PF'!H77</f>
        <v>47</v>
      </c>
      <c r="I77" s="426">
        <f>'[7]Taux de Rotation des Stocks PF'!I77</f>
        <v>47</v>
      </c>
      <c r="J77" s="426">
        <f>'[7]Taux de Rotation des Stocks PF'!J77</f>
        <v>47</v>
      </c>
      <c r="K77" s="426">
        <f>'[7]Taux de Rotation des Stocks PF'!K77</f>
        <v>47</v>
      </c>
      <c r="L77" s="426">
        <f>'[7]Taux de Rotation des Stocks PF'!L77</f>
        <v>0</v>
      </c>
      <c r="M77" s="426">
        <f>'[7]Taux de Rotation des Stocks PF'!M77</f>
        <v>0</v>
      </c>
      <c r="N77" s="426">
        <f>'[7]Taux de Rotation des Stocks PF'!N77</f>
        <v>0</v>
      </c>
      <c r="O77" s="426">
        <f>'[7]Taux de Rotation des Stocks PF'!O77</f>
        <v>0</v>
      </c>
      <c r="P77" s="426">
        <f>'[7]Taux de Rotation des Stocks PF'!P77</f>
        <v>0</v>
      </c>
      <c r="Q77" s="426">
        <f>'[7]Taux de Rotation des Stocks PF'!Q77</f>
        <v>0</v>
      </c>
      <c r="R77" s="426">
        <f>'[7]Taux de Rotation des Stocks PF'!R77</f>
        <v>0</v>
      </c>
      <c r="S77" s="427">
        <f>'[7]Taux de Rotation des Stocks PF'!S77</f>
        <v>0</v>
      </c>
      <c r="T77" s="356"/>
      <c r="U77" s="404">
        <f>INDEX(H77:S77,MATCH(0,H77:S77,0)-1)</f>
        <v>47</v>
      </c>
    </row>
    <row r="78" spans="2:22" hidden="1" outlineLevel="1" x14ac:dyDescent="0.2">
      <c r="B78" s="428"/>
      <c r="C78" s="393" t="str">
        <f>C77</f>
        <v>BD18L</v>
      </c>
      <c r="D78" s="394" t="s">
        <v>86</v>
      </c>
      <c r="E78" s="356"/>
      <c r="F78" s="395"/>
      <c r="G78" s="356"/>
      <c r="H78" s="429">
        <f>IF(H77=0,0,H77/((H77+$F77)/2))</f>
        <v>1.0217391304347827</v>
      </c>
      <c r="I78" s="430">
        <f>IF(I77=0,0,I77/((I77+$H77)/2))</f>
        <v>1</v>
      </c>
      <c r="J78" s="430">
        <f t="shared" ref="J78" si="257">IF(J77=0,0,J77/((J77+$H77)/2))</f>
        <v>1</v>
      </c>
      <c r="K78" s="430">
        <f t="shared" ref="K78" si="258">IF(K77=0,0,K77/((K77+$H77)/2))</f>
        <v>1</v>
      </c>
      <c r="L78" s="430">
        <f t="shared" ref="L78" si="259">IF(L77=0,0,L77/((L77+$H77)/2))</f>
        <v>0</v>
      </c>
      <c r="M78" s="430">
        <f t="shared" ref="M78" si="260">IF(M77=0,0,M77/((M77+$H77)/2))</f>
        <v>0</v>
      </c>
      <c r="N78" s="430">
        <f t="shared" ref="N78" si="261">IF(N77=0,0,N77/((N77+$H77)/2))</f>
        <v>0</v>
      </c>
      <c r="O78" s="430">
        <f t="shared" ref="O78" si="262">IF(O77=0,0,O77/((O77+$H77)/2))</f>
        <v>0</v>
      </c>
      <c r="P78" s="430">
        <f t="shared" ref="P78" si="263">IF(P77=0,0,P77/((P77+$H77)/2))</f>
        <v>0</v>
      </c>
      <c r="Q78" s="430">
        <f t="shared" ref="Q78" si="264">IF(Q77=0,0,Q77/((Q77+$H77)/2))</f>
        <v>0</v>
      </c>
      <c r="R78" s="430">
        <f t="shared" ref="R78" si="265">IF(R77=0,0,R77/((R77+$H77)/2))</f>
        <v>0</v>
      </c>
      <c r="S78" s="431">
        <f t="shared" ref="S78" si="266">IF(S77=0,0,S77/((S77+$H77)/2))</f>
        <v>0</v>
      </c>
      <c r="T78" s="356"/>
      <c r="U78" s="399">
        <f>IF(U77=0,0,U77/((U77+$F77)/2))</f>
        <v>1.0217391304347827</v>
      </c>
    </row>
    <row r="79" spans="2:22" hidden="1" outlineLevel="1" x14ac:dyDescent="0.2">
      <c r="B79" s="428"/>
      <c r="C79" s="385" t="s">
        <v>116</v>
      </c>
      <c r="D79" s="386" t="s">
        <v>95</v>
      </c>
      <c r="E79" s="356"/>
      <c r="F79" s="400">
        <v>34</v>
      </c>
      <c r="G79" s="356"/>
      <c r="H79" s="425">
        <f>'[7]Taux de Rotation des Stocks PF'!H79</f>
        <v>36</v>
      </c>
      <c r="I79" s="426">
        <f>'[7]Taux de Rotation des Stocks PF'!I79</f>
        <v>36</v>
      </c>
      <c r="J79" s="426">
        <f>'[7]Taux de Rotation des Stocks PF'!J79</f>
        <v>35</v>
      </c>
      <c r="K79" s="426">
        <f>'[7]Taux de Rotation des Stocks PF'!K79</f>
        <v>34</v>
      </c>
      <c r="L79" s="426">
        <f>'[7]Taux de Rotation des Stocks PF'!L79</f>
        <v>0</v>
      </c>
      <c r="M79" s="426">
        <f>'[7]Taux de Rotation des Stocks PF'!M79</f>
        <v>0</v>
      </c>
      <c r="N79" s="426">
        <f>'[7]Taux de Rotation des Stocks PF'!N79</f>
        <v>0</v>
      </c>
      <c r="O79" s="426">
        <f>'[7]Taux de Rotation des Stocks PF'!O79</f>
        <v>0</v>
      </c>
      <c r="P79" s="426">
        <f>'[7]Taux de Rotation des Stocks PF'!P79</f>
        <v>0</v>
      </c>
      <c r="Q79" s="426">
        <f>'[7]Taux de Rotation des Stocks PF'!Q79</f>
        <v>0</v>
      </c>
      <c r="R79" s="426">
        <f>'[7]Taux de Rotation des Stocks PF'!R79</f>
        <v>0</v>
      </c>
      <c r="S79" s="427">
        <f>'[7]Taux de Rotation des Stocks PF'!S79</f>
        <v>0</v>
      </c>
      <c r="T79" s="356"/>
      <c r="U79" s="404">
        <f>INDEX(H79:S79,MATCH(0,H79:S79,0)-1)</f>
        <v>34</v>
      </c>
    </row>
    <row r="80" spans="2:22" hidden="1" outlineLevel="1" x14ac:dyDescent="0.2">
      <c r="B80" s="428"/>
      <c r="C80" s="393" t="str">
        <f>C79</f>
        <v>BD20L</v>
      </c>
      <c r="D80" s="394" t="s">
        <v>86</v>
      </c>
      <c r="E80" s="356"/>
      <c r="F80" s="395"/>
      <c r="G80" s="356"/>
      <c r="H80" s="429">
        <f>IF(H79=0,0,H79/((H79+$F79)/2))</f>
        <v>1.0285714285714285</v>
      </c>
      <c r="I80" s="430">
        <f>IF(I79=0,0,I79/((I79+$H79)/2))</f>
        <v>1</v>
      </c>
      <c r="J80" s="430">
        <f t="shared" ref="J80" si="267">IF(J79=0,0,J79/((J79+$H79)/2))</f>
        <v>0.9859154929577465</v>
      </c>
      <c r="K80" s="430">
        <f t="shared" ref="K80" si="268">IF(K79=0,0,K79/((K79+$H79)/2))</f>
        <v>0.97142857142857142</v>
      </c>
      <c r="L80" s="430">
        <f t="shared" ref="L80" si="269">IF(L79=0,0,L79/((L79+$H79)/2))</f>
        <v>0</v>
      </c>
      <c r="M80" s="430">
        <f t="shared" ref="M80" si="270">IF(M79=0,0,M79/((M79+$H79)/2))</f>
        <v>0</v>
      </c>
      <c r="N80" s="430">
        <f t="shared" ref="N80" si="271">IF(N79=0,0,N79/((N79+$H79)/2))</f>
        <v>0</v>
      </c>
      <c r="O80" s="430">
        <f t="shared" ref="O80" si="272">IF(O79=0,0,O79/((O79+$H79)/2))</f>
        <v>0</v>
      </c>
      <c r="P80" s="430">
        <f t="shared" ref="P80" si="273">IF(P79=0,0,P79/((P79+$H79)/2))</f>
        <v>0</v>
      </c>
      <c r="Q80" s="430">
        <f t="shared" ref="Q80" si="274">IF(Q79=0,0,Q79/((Q79+$H79)/2))</f>
        <v>0</v>
      </c>
      <c r="R80" s="430">
        <f t="shared" ref="R80" si="275">IF(R79=0,0,R79/((R79+$H79)/2))</f>
        <v>0</v>
      </c>
      <c r="S80" s="431">
        <f t="shared" ref="S80" si="276">IF(S79=0,0,S79/((S79+$H79)/2))</f>
        <v>0</v>
      </c>
      <c r="T80" s="356"/>
      <c r="U80" s="399">
        <f>IF(U79=0,0,U79/((U79+$F79)/2))</f>
        <v>1</v>
      </c>
    </row>
    <row r="81" spans="2:21" hidden="1" outlineLevel="1" x14ac:dyDescent="0.2">
      <c r="B81" s="428"/>
      <c r="C81" s="385" t="s">
        <v>37</v>
      </c>
      <c r="D81" s="386" t="s">
        <v>95</v>
      </c>
      <c r="E81" s="356"/>
      <c r="F81" s="400">
        <v>47</v>
      </c>
      <c r="G81" s="356"/>
      <c r="H81" s="425">
        <f>'[7]Taux de Rotation des Stocks PF'!H81</f>
        <v>39</v>
      </c>
      <c r="I81" s="426">
        <f>'[7]Taux de Rotation des Stocks PF'!I81</f>
        <v>39</v>
      </c>
      <c r="J81" s="426">
        <f>'[7]Taux de Rotation des Stocks PF'!J81</f>
        <v>59</v>
      </c>
      <c r="K81" s="426">
        <f>'[7]Taux de Rotation des Stocks PF'!K81</f>
        <v>58</v>
      </c>
      <c r="L81" s="426">
        <f>'[7]Taux de Rotation des Stocks PF'!L81</f>
        <v>0</v>
      </c>
      <c r="M81" s="426">
        <f>'[7]Taux de Rotation des Stocks PF'!M81</f>
        <v>0</v>
      </c>
      <c r="N81" s="426">
        <f>'[7]Taux de Rotation des Stocks PF'!N81</f>
        <v>0</v>
      </c>
      <c r="O81" s="426">
        <f>'[7]Taux de Rotation des Stocks PF'!O81</f>
        <v>0</v>
      </c>
      <c r="P81" s="426">
        <f>'[7]Taux de Rotation des Stocks PF'!P81</f>
        <v>0</v>
      </c>
      <c r="Q81" s="426">
        <f>'[7]Taux de Rotation des Stocks PF'!Q81</f>
        <v>0</v>
      </c>
      <c r="R81" s="426">
        <f>'[7]Taux de Rotation des Stocks PF'!R81</f>
        <v>0</v>
      </c>
      <c r="S81" s="427">
        <f>'[7]Taux de Rotation des Stocks PF'!S81</f>
        <v>0</v>
      </c>
      <c r="T81" s="356"/>
      <c r="U81" s="404">
        <f>INDEX(H81:S81,MATCH(0,H81:S81,0)-1)</f>
        <v>58</v>
      </c>
    </row>
    <row r="82" spans="2:21" hidden="1" outlineLevel="1" x14ac:dyDescent="0.2">
      <c r="B82" s="428"/>
      <c r="C82" s="393" t="str">
        <f>C81</f>
        <v>BT1/10PRE</v>
      </c>
      <c r="D82" s="394" t="s">
        <v>86</v>
      </c>
      <c r="E82" s="356"/>
      <c r="F82" s="395"/>
      <c r="G82" s="356"/>
      <c r="H82" s="429">
        <f>IF(H81=0,0,H81/((H81+$F81)/2))</f>
        <v>0.90697674418604646</v>
      </c>
      <c r="I82" s="430">
        <f>IF(I81=0,0,I81/((I81+$H81)/2))</f>
        <v>1</v>
      </c>
      <c r="J82" s="430">
        <f t="shared" ref="J82" si="277">IF(J81=0,0,J81/((J81+$H81)/2))</f>
        <v>1.2040816326530612</v>
      </c>
      <c r="K82" s="430">
        <f t="shared" ref="K82" si="278">IF(K81=0,0,K81/((K81+$H81)/2))</f>
        <v>1.1958762886597938</v>
      </c>
      <c r="L82" s="430">
        <f t="shared" ref="L82" si="279">IF(L81=0,0,L81/((L81+$H81)/2))</f>
        <v>0</v>
      </c>
      <c r="M82" s="430">
        <f t="shared" ref="M82" si="280">IF(M81=0,0,M81/((M81+$H81)/2))</f>
        <v>0</v>
      </c>
      <c r="N82" s="430">
        <f t="shared" ref="N82" si="281">IF(N81=0,0,N81/((N81+$H81)/2))</f>
        <v>0</v>
      </c>
      <c r="O82" s="430">
        <f t="shared" ref="O82" si="282">IF(O81=0,0,O81/((O81+$H81)/2))</f>
        <v>0</v>
      </c>
      <c r="P82" s="430">
        <f t="shared" ref="P82" si="283">IF(P81=0,0,P81/((P81+$H81)/2))</f>
        <v>0</v>
      </c>
      <c r="Q82" s="430">
        <f t="shared" ref="Q82" si="284">IF(Q81=0,0,Q81/((Q81+$H81)/2))</f>
        <v>0</v>
      </c>
      <c r="R82" s="430">
        <f t="shared" ref="R82" si="285">IF(R81=0,0,R81/((R81+$H81)/2))</f>
        <v>0</v>
      </c>
      <c r="S82" s="431">
        <f t="shared" ref="S82" si="286">IF(S81=0,0,S81/((S81+$H81)/2))</f>
        <v>0</v>
      </c>
      <c r="T82" s="356"/>
      <c r="U82" s="399">
        <f>IF(U81=0,0,U81/((U81+$F81)/2))</f>
        <v>1.1047619047619048</v>
      </c>
    </row>
    <row r="83" spans="2:21" hidden="1" outlineLevel="1" x14ac:dyDescent="0.2">
      <c r="B83" s="428"/>
      <c r="C83" s="385" t="s">
        <v>38</v>
      </c>
      <c r="D83" s="386" t="s">
        <v>95</v>
      </c>
      <c r="E83" s="356"/>
      <c r="F83" s="400">
        <v>90</v>
      </c>
      <c r="G83" s="356"/>
      <c r="H83" s="425">
        <f>'[7]Taux de Rotation des Stocks PF'!H83</f>
        <v>77</v>
      </c>
      <c r="I83" s="426">
        <f>'[7]Taux de Rotation des Stocks PF'!I83</f>
        <v>96</v>
      </c>
      <c r="J83" s="426">
        <f>'[7]Taux de Rotation des Stocks PF'!J83</f>
        <v>177</v>
      </c>
      <c r="K83" s="426">
        <f>'[7]Taux de Rotation des Stocks PF'!K83</f>
        <v>159</v>
      </c>
      <c r="L83" s="426">
        <f>'[7]Taux de Rotation des Stocks PF'!L83</f>
        <v>0</v>
      </c>
      <c r="M83" s="426">
        <f>'[7]Taux de Rotation des Stocks PF'!M83</f>
        <v>0</v>
      </c>
      <c r="N83" s="426">
        <f>'[7]Taux de Rotation des Stocks PF'!N83</f>
        <v>0</v>
      </c>
      <c r="O83" s="426">
        <f>'[7]Taux de Rotation des Stocks PF'!O83</f>
        <v>0</v>
      </c>
      <c r="P83" s="426">
        <f>'[7]Taux de Rotation des Stocks PF'!P83</f>
        <v>0</v>
      </c>
      <c r="Q83" s="426">
        <f>'[7]Taux de Rotation des Stocks PF'!Q83</f>
        <v>0</v>
      </c>
      <c r="R83" s="426">
        <f>'[7]Taux de Rotation des Stocks PF'!R83</f>
        <v>0</v>
      </c>
      <c r="S83" s="427">
        <f>'[7]Taux de Rotation des Stocks PF'!S83</f>
        <v>0</v>
      </c>
      <c r="T83" s="356"/>
      <c r="U83" s="404">
        <f>INDEX(H83:S83,MATCH(0,H83:S83,0)-1)</f>
        <v>159</v>
      </c>
    </row>
    <row r="84" spans="2:21" hidden="1" outlineLevel="1" x14ac:dyDescent="0.2">
      <c r="B84" s="428"/>
      <c r="C84" s="393" t="str">
        <f>C83</f>
        <v>BT1/2LRD</v>
      </c>
      <c r="D84" s="394" t="s">
        <v>86</v>
      </c>
      <c r="E84" s="356"/>
      <c r="F84" s="395"/>
      <c r="G84" s="356"/>
      <c r="H84" s="429">
        <f>IF(H83=0,0,H83/((H83+$F83)/2))</f>
        <v>0.92215568862275454</v>
      </c>
      <c r="I84" s="430">
        <f>IF(I83=0,0,I83/((I83+$H83)/2))</f>
        <v>1.1098265895953756</v>
      </c>
      <c r="J84" s="430">
        <f t="shared" ref="J84" si="287">IF(J83=0,0,J83/((J83+$H83)/2))</f>
        <v>1.3937007874015748</v>
      </c>
      <c r="K84" s="430">
        <f t="shared" ref="K84" si="288">IF(K83=0,0,K83/((K83+$H83)/2))</f>
        <v>1.347457627118644</v>
      </c>
      <c r="L84" s="430">
        <f t="shared" ref="L84" si="289">IF(L83=0,0,L83/((L83+$H83)/2))</f>
        <v>0</v>
      </c>
      <c r="M84" s="430">
        <f t="shared" ref="M84" si="290">IF(M83=0,0,M83/((M83+$H83)/2))</f>
        <v>0</v>
      </c>
      <c r="N84" s="430">
        <f t="shared" ref="N84" si="291">IF(N83=0,0,N83/((N83+$H83)/2))</f>
        <v>0</v>
      </c>
      <c r="O84" s="430">
        <f t="shared" ref="O84" si="292">IF(O83=0,0,O83/((O83+$H83)/2))</f>
        <v>0</v>
      </c>
      <c r="P84" s="430">
        <f t="shared" ref="P84" si="293">IF(P83=0,0,P83/((P83+$H83)/2))</f>
        <v>0</v>
      </c>
      <c r="Q84" s="430">
        <f t="shared" ref="Q84" si="294">IF(Q83=0,0,Q83/((Q83+$H83)/2))</f>
        <v>0</v>
      </c>
      <c r="R84" s="430">
        <f t="shared" ref="R84" si="295">IF(R83=0,0,R83/((R83+$H83)/2))</f>
        <v>0</v>
      </c>
      <c r="S84" s="431">
        <f t="shared" ref="S84" si="296">IF(S83=0,0,S83/((S83+$H83)/2))</f>
        <v>0</v>
      </c>
      <c r="T84" s="356"/>
      <c r="U84" s="399">
        <f>IF(U83=0,0,U83/((U83+$F83)/2))</f>
        <v>1.2771084337349397</v>
      </c>
    </row>
    <row r="85" spans="2:21" hidden="1" outlineLevel="1" x14ac:dyDescent="0.2">
      <c r="B85" s="428"/>
      <c r="C85" s="385" t="s">
        <v>39</v>
      </c>
      <c r="D85" s="386" t="s">
        <v>95</v>
      </c>
      <c r="E85" s="356"/>
      <c r="F85" s="400">
        <v>84</v>
      </c>
      <c r="G85" s="356"/>
      <c r="H85" s="425">
        <f>'[7]Taux de Rotation des Stocks PF'!H85</f>
        <v>90</v>
      </c>
      <c r="I85" s="426">
        <f>'[7]Taux de Rotation des Stocks PF'!I85</f>
        <v>76</v>
      </c>
      <c r="J85" s="426">
        <f>'[7]Taux de Rotation des Stocks PF'!J85</f>
        <v>122</v>
      </c>
      <c r="K85" s="426">
        <f>'[7]Taux de Rotation des Stocks PF'!K85</f>
        <v>113</v>
      </c>
      <c r="L85" s="426">
        <f>'[7]Taux de Rotation des Stocks PF'!L85</f>
        <v>0</v>
      </c>
      <c r="M85" s="426">
        <f>'[7]Taux de Rotation des Stocks PF'!M85</f>
        <v>0</v>
      </c>
      <c r="N85" s="426">
        <f>'[7]Taux de Rotation des Stocks PF'!N85</f>
        <v>0</v>
      </c>
      <c r="O85" s="426">
        <f>'[7]Taux de Rotation des Stocks PF'!O85</f>
        <v>0</v>
      </c>
      <c r="P85" s="426">
        <f>'[7]Taux de Rotation des Stocks PF'!P85</f>
        <v>0</v>
      </c>
      <c r="Q85" s="426">
        <f>'[7]Taux de Rotation des Stocks PF'!Q85</f>
        <v>0</v>
      </c>
      <c r="R85" s="426">
        <f>'[7]Taux de Rotation des Stocks PF'!R85</f>
        <v>0</v>
      </c>
      <c r="S85" s="427">
        <f>'[7]Taux de Rotation des Stocks PF'!S85</f>
        <v>0</v>
      </c>
      <c r="T85" s="356"/>
      <c r="U85" s="404">
        <f>INDEX(H85:S85,MATCH(0,H85:S85,0)-1)</f>
        <v>113</v>
      </c>
    </row>
    <row r="86" spans="2:21" hidden="1" outlineLevel="1" x14ac:dyDescent="0.2">
      <c r="B86" s="428"/>
      <c r="C86" s="393" t="str">
        <f>C85</f>
        <v>BT1/2PRE</v>
      </c>
      <c r="D86" s="394" t="s">
        <v>86</v>
      </c>
      <c r="E86" s="356"/>
      <c r="F86" s="395"/>
      <c r="G86" s="356"/>
      <c r="H86" s="429">
        <f>IF(H85=0,0,H85/((H85+$F85)/2))</f>
        <v>1.0344827586206897</v>
      </c>
      <c r="I86" s="430">
        <f>IF(I85=0,0,I85/((I85+$H85)/2))</f>
        <v>0.91566265060240959</v>
      </c>
      <c r="J86" s="430">
        <f t="shared" ref="J86" si="297">IF(J85=0,0,J85/((J85+$H85)/2))</f>
        <v>1.1509433962264151</v>
      </c>
      <c r="K86" s="430">
        <f t="shared" ref="K86" si="298">IF(K85=0,0,K85/((K85+$H85)/2))</f>
        <v>1.1133004926108374</v>
      </c>
      <c r="L86" s="430">
        <f t="shared" ref="L86" si="299">IF(L85=0,0,L85/((L85+$H85)/2))</f>
        <v>0</v>
      </c>
      <c r="M86" s="430">
        <f t="shared" ref="M86" si="300">IF(M85=0,0,M85/((M85+$H85)/2))</f>
        <v>0</v>
      </c>
      <c r="N86" s="430">
        <f t="shared" ref="N86" si="301">IF(N85=0,0,N85/((N85+$H85)/2))</f>
        <v>0</v>
      </c>
      <c r="O86" s="430">
        <f t="shared" ref="O86" si="302">IF(O85=0,0,O85/((O85+$H85)/2))</f>
        <v>0</v>
      </c>
      <c r="P86" s="430">
        <f t="shared" ref="P86" si="303">IF(P85=0,0,P85/((P85+$H85)/2))</f>
        <v>0</v>
      </c>
      <c r="Q86" s="430">
        <f t="shared" ref="Q86" si="304">IF(Q85=0,0,Q85/((Q85+$H85)/2))</f>
        <v>0</v>
      </c>
      <c r="R86" s="430">
        <f t="shared" ref="R86" si="305">IF(R85=0,0,R85/((R85+$H85)/2))</f>
        <v>0</v>
      </c>
      <c r="S86" s="431">
        <f t="shared" ref="S86" si="306">IF(S85=0,0,S85/((S85+$H85)/2))</f>
        <v>0</v>
      </c>
      <c r="T86" s="356"/>
      <c r="U86" s="399">
        <f>IF(U85=0,0,U85/((U85+$F85)/2))</f>
        <v>1.1472081218274113</v>
      </c>
    </row>
    <row r="87" spans="2:21" hidden="1" outlineLevel="1" x14ac:dyDescent="0.2">
      <c r="B87" s="428"/>
      <c r="C87" s="385" t="s">
        <v>117</v>
      </c>
      <c r="D87" s="386" t="s">
        <v>95</v>
      </c>
      <c r="E87" s="356"/>
      <c r="F87" s="400">
        <v>0</v>
      </c>
      <c r="G87" s="356"/>
      <c r="H87" s="425">
        <f>'[7]Taux de Rotation des Stocks PF'!H87</f>
        <v>0</v>
      </c>
      <c r="I87" s="426">
        <f>'[7]Taux de Rotation des Stocks PF'!I87</f>
        <v>16</v>
      </c>
      <c r="J87" s="426">
        <f>'[7]Taux de Rotation des Stocks PF'!J87</f>
        <v>16</v>
      </c>
      <c r="K87" s="426">
        <f>'[7]Taux de Rotation des Stocks PF'!K87</f>
        <v>16</v>
      </c>
      <c r="L87" s="426">
        <f>'[7]Taux de Rotation des Stocks PF'!L87</f>
        <v>0</v>
      </c>
      <c r="M87" s="426">
        <f>'[7]Taux de Rotation des Stocks PF'!M87</f>
        <v>0</v>
      </c>
      <c r="N87" s="426">
        <f>'[7]Taux de Rotation des Stocks PF'!N87</f>
        <v>0</v>
      </c>
      <c r="O87" s="426">
        <f>'[7]Taux de Rotation des Stocks PF'!O87</f>
        <v>0</v>
      </c>
      <c r="P87" s="426">
        <f>'[7]Taux de Rotation des Stocks PF'!P87</f>
        <v>0</v>
      </c>
      <c r="Q87" s="426">
        <f>'[7]Taux de Rotation des Stocks PF'!Q87</f>
        <v>0</v>
      </c>
      <c r="R87" s="426">
        <f>'[7]Taux de Rotation des Stocks PF'!R87</f>
        <v>0</v>
      </c>
      <c r="S87" s="427">
        <f>'[7]Taux de Rotation des Stocks PF'!S87</f>
        <v>0</v>
      </c>
      <c r="T87" s="356"/>
      <c r="U87" s="404">
        <v>16</v>
      </c>
    </row>
    <row r="88" spans="2:21" hidden="1" outlineLevel="1" x14ac:dyDescent="0.2">
      <c r="B88" s="428"/>
      <c r="C88" s="393" t="str">
        <f>C87</f>
        <v>BT1/4LRD</v>
      </c>
      <c r="D88" s="394" t="s">
        <v>86</v>
      </c>
      <c r="E88" s="356"/>
      <c r="F88" s="395"/>
      <c r="G88" s="356"/>
      <c r="H88" s="429">
        <f>IF(H87=0,0,H87/((H87+$F87)/2))</f>
        <v>0</v>
      </c>
      <c r="I88" s="430">
        <f>IF(I87=0,0,I87/((I87+$H87)/2))</f>
        <v>2</v>
      </c>
      <c r="J88" s="430">
        <f t="shared" ref="J88" si="307">IF(J87=0,0,J87/((J87+$H87)/2))</f>
        <v>2</v>
      </c>
      <c r="K88" s="430">
        <f t="shared" ref="K88" si="308">IF(K87=0,0,K87/((K87+$H87)/2))</f>
        <v>2</v>
      </c>
      <c r="L88" s="430">
        <f t="shared" ref="L88" si="309">IF(L87=0,0,L87/((L87+$H87)/2))</f>
        <v>0</v>
      </c>
      <c r="M88" s="430">
        <f t="shared" ref="M88" si="310">IF(M87=0,0,M87/((M87+$H87)/2))</f>
        <v>0</v>
      </c>
      <c r="N88" s="430">
        <f t="shared" ref="N88" si="311">IF(N87=0,0,N87/((N87+$H87)/2))</f>
        <v>0</v>
      </c>
      <c r="O88" s="430">
        <f t="shared" ref="O88" si="312">IF(O87=0,0,O87/((O87+$H87)/2))</f>
        <v>0</v>
      </c>
      <c r="P88" s="430">
        <f t="shared" ref="P88" si="313">IF(P87=0,0,P87/((P87+$H87)/2))</f>
        <v>0</v>
      </c>
      <c r="Q88" s="430">
        <f t="shared" ref="Q88" si="314">IF(Q87=0,0,Q87/((Q87+$H87)/2))</f>
        <v>0</v>
      </c>
      <c r="R88" s="430">
        <f t="shared" ref="R88" si="315">IF(R87=0,0,R87/((R87+$H87)/2))</f>
        <v>0</v>
      </c>
      <c r="S88" s="431">
        <f t="shared" ref="S88" si="316">IF(S87=0,0,S87/((S87+$H87)/2))</f>
        <v>0</v>
      </c>
      <c r="T88" s="356"/>
      <c r="U88" s="399">
        <f>IF(U87=0,0,U87/((U87+$F87)/2))</f>
        <v>2</v>
      </c>
    </row>
    <row r="89" spans="2:21" hidden="1" outlineLevel="1" x14ac:dyDescent="0.2">
      <c r="B89" s="428"/>
      <c r="C89" s="385" t="s">
        <v>118</v>
      </c>
      <c r="D89" s="386" t="s">
        <v>95</v>
      </c>
      <c r="E89" s="356"/>
      <c r="F89" s="400">
        <v>21</v>
      </c>
      <c r="G89" s="356"/>
      <c r="H89" s="425">
        <f>'[7]Taux de Rotation des Stocks PF'!H89</f>
        <v>34</v>
      </c>
      <c r="I89" s="426">
        <f>'[7]Taux de Rotation des Stocks PF'!I89</f>
        <v>50</v>
      </c>
      <c r="J89" s="426">
        <f>'[7]Taux de Rotation des Stocks PF'!J89</f>
        <v>40</v>
      </c>
      <c r="K89" s="426">
        <f>'[7]Taux de Rotation des Stocks PF'!K89</f>
        <v>42</v>
      </c>
      <c r="L89" s="426">
        <f>'[7]Taux de Rotation des Stocks PF'!L89</f>
        <v>0</v>
      </c>
      <c r="M89" s="426">
        <f>'[7]Taux de Rotation des Stocks PF'!M89</f>
        <v>0</v>
      </c>
      <c r="N89" s="426">
        <f>'[7]Taux de Rotation des Stocks PF'!N89</f>
        <v>0</v>
      </c>
      <c r="O89" s="426">
        <f>'[7]Taux de Rotation des Stocks PF'!O89</f>
        <v>0</v>
      </c>
      <c r="P89" s="426">
        <f>'[7]Taux de Rotation des Stocks PF'!P89</f>
        <v>0</v>
      </c>
      <c r="Q89" s="426">
        <f>'[7]Taux de Rotation des Stocks PF'!Q89</f>
        <v>0</v>
      </c>
      <c r="R89" s="426">
        <f>'[7]Taux de Rotation des Stocks PF'!R89</f>
        <v>0</v>
      </c>
      <c r="S89" s="427">
        <f>'[7]Taux de Rotation des Stocks PF'!S89</f>
        <v>0</v>
      </c>
      <c r="T89" s="356"/>
      <c r="U89" s="404">
        <f>INDEX(H89:S89,MATCH(0,H89:S89,0)-1)</f>
        <v>42</v>
      </c>
    </row>
    <row r="90" spans="2:21" hidden="1" outlineLevel="1" x14ac:dyDescent="0.2">
      <c r="B90" s="428"/>
      <c r="C90" s="393" t="str">
        <f>C89</f>
        <v>BT1/4PRE</v>
      </c>
      <c r="D90" s="394" t="s">
        <v>86</v>
      </c>
      <c r="E90" s="356"/>
      <c r="F90" s="395"/>
      <c r="G90" s="356"/>
      <c r="H90" s="429">
        <f>IF(H89=0,0,H89/((H89+$F89)/2))</f>
        <v>1.2363636363636363</v>
      </c>
      <c r="I90" s="430">
        <f>IF(I89=0,0,I89/((I89+$H89)/2))</f>
        <v>1.1904761904761905</v>
      </c>
      <c r="J90" s="430">
        <f t="shared" ref="J90" si="317">IF(J89=0,0,J89/((J89+$H89)/2))</f>
        <v>1.0810810810810811</v>
      </c>
      <c r="K90" s="430">
        <f t="shared" ref="K90" si="318">IF(K89=0,0,K89/((K89+$H89)/2))</f>
        <v>1.1052631578947369</v>
      </c>
      <c r="L90" s="430">
        <f t="shared" ref="L90" si="319">IF(L89=0,0,L89/((L89+$H89)/2))</f>
        <v>0</v>
      </c>
      <c r="M90" s="430">
        <f t="shared" ref="M90" si="320">IF(M89=0,0,M89/((M89+$H89)/2))</f>
        <v>0</v>
      </c>
      <c r="N90" s="430">
        <f t="shared" ref="N90" si="321">IF(N89=0,0,N89/((N89+$H89)/2))</f>
        <v>0</v>
      </c>
      <c r="O90" s="430">
        <f t="shared" ref="O90" si="322">IF(O89=0,0,O89/((O89+$H89)/2))</f>
        <v>0</v>
      </c>
      <c r="P90" s="430">
        <f t="shared" ref="P90" si="323">IF(P89=0,0,P89/((P89+$H89)/2))</f>
        <v>0</v>
      </c>
      <c r="Q90" s="430">
        <f t="shared" ref="Q90" si="324">IF(Q89=0,0,Q89/((Q89+$H89)/2))</f>
        <v>0</v>
      </c>
      <c r="R90" s="430">
        <f t="shared" ref="R90" si="325">IF(R89=0,0,R89/((R89+$H89)/2))</f>
        <v>0</v>
      </c>
      <c r="S90" s="431">
        <f t="shared" ref="S90" si="326">IF(S89=0,0,S89/((S89+$H89)/2))</f>
        <v>0</v>
      </c>
      <c r="T90" s="356"/>
      <c r="U90" s="399">
        <f>IF(U89=0,0,U89/((U89+$F89)/2))</f>
        <v>1.3333333333333333</v>
      </c>
    </row>
    <row r="91" spans="2:21" hidden="1" outlineLevel="1" x14ac:dyDescent="0.2">
      <c r="B91" s="428"/>
      <c r="C91" s="385" t="s">
        <v>119</v>
      </c>
      <c r="D91" s="386" t="s">
        <v>95</v>
      </c>
      <c r="E91" s="356"/>
      <c r="F91" s="400">
        <v>3</v>
      </c>
      <c r="G91" s="356"/>
      <c r="H91" s="425">
        <f>'[7]Taux de Rotation des Stocks PF'!H91</f>
        <v>3</v>
      </c>
      <c r="I91" s="426">
        <f>'[7]Taux de Rotation des Stocks PF'!I91</f>
        <v>0</v>
      </c>
      <c r="J91" s="426">
        <f>'[7]Taux de Rotation des Stocks PF'!J91</f>
        <v>0</v>
      </c>
      <c r="K91" s="426">
        <f>'[7]Taux de Rotation des Stocks PF'!K91</f>
        <v>0</v>
      </c>
      <c r="L91" s="426">
        <f>'[7]Taux de Rotation des Stocks PF'!L91</f>
        <v>0</v>
      </c>
      <c r="M91" s="426">
        <f>'[7]Taux de Rotation des Stocks PF'!M91</f>
        <v>0</v>
      </c>
      <c r="N91" s="426">
        <f>'[7]Taux de Rotation des Stocks PF'!N91</f>
        <v>0</v>
      </c>
      <c r="O91" s="426">
        <f>'[7]Taux de Rotation des Stocks PF'!O91</f>
        <v>0</v>
      </c>
      <c r="P91" s="426">
        <f>'[7]Taux de Rotation des Stocks PF'!P91</f>
        <v>0</v>
      </c>
      <c r="Q91" s="426">
        <f>'[7]Taux de Rotation des Stocks PF'!Q91</f>
        <v>0</v>
      </c>
      <c r="R91" s="426">
        <f>'[7]Taux de Rotation des Stocks PF'!R91</f>
        <v>0</v>
      </c>
      <c r="S91" s="427">
        <f>'[7]Taux de Rotation des Stocks PF'!S91</f>
        <v>0</v>
      </c>
      <c r="T91" s="356"/>
      <c r="U91" s="404">
        <f>INDEX(H91:S91,MATCH(0,H91:S91,0)-1)</f>
        <v>3</v>
      </c>
    </row>
    <row r="92" spans="2:21" hidden="1" outlineLevel="1" x14ac:dyDescent="0.2">
      <c r="B92" s="428"/>
      <c r="C92" s="393" t="str">
        <f>C91</f>
        <v>BT1K5MASTIC</v>
      </c>
      <c r="D92" s="394" t="s">
        <v>86</v>
      </c>
      <c r="E92" s="356"/>
      <c r="F92" s="395"/>
      <c r="G92" s="356"/>
      <c r="H92" s="429">
        <f>IF(H91=0,0,H91/((H91+$F91)/2))</f>
        <v>1</v>
      </c>
      <c r="I92" s="430">
        <f>IF(I91=0,0,I91/((I91+$H91)/2))</f>
        <v>0</v>
      </c>
      <c r="J92" s="430">
        <f t="shared" ref="J92" si="327">IF(J91=0,0,J91/((J91+$H91)/2))</f>
        <v>0</v>
      </c>
      <c r="K92" s="430">
        <f t="shared" ref="K92" si="328">IF(K91=0,0,K91/((K91+$H91)/2))</f>
        <v>0</v>
      </c>
      <c r="L92" s="430">
        <f t="shared" ref="L92" si="329">IF(L91=0,0,L91/((L91+$H91)/2))</f>
        <v>0</v>
      </c>
      <c r="M92" s="430">
        <f t="shared" ref="M92" si="330">IF(M91=0,0,M91/((M91+$H91)/2))</f>
        <v>0</v>
      </c>
      <c r="N92" s="430">
        <f t="shared" ref="N92" si="331">IF(N91=0,0,N91/((N91+$H91)/2))</f>
        <v>0</v>
      </c>
      <c r="O92" s="430">
        <f t="shared" ref="O92" si="332">IF(O91=0,0,O91/((O91+$H91)/2))</f>
        <v>0</v>
      </c>
      <c r="P92" s="430">
        <f t="shared" ref="P92" si="333">IF(P91=0,0,P91/((P91+$H91)/2))</f>
        <v>0</v>
      </c>
      <c r="Q92" s="430">
        <f t="shared" ref="Q92" si="334">IF(Q91=0,0,Q91/((Q91+$H91)/2))</f>
        <v>0</v>
      </c>
      <c r="R92" s="430">
        <f t="shared" ref="R92" si="335">IF(R91=0,0,R91/((R91+$H91)/2))</f>
        <v>0</v>
      </c>
      <c r="S92" s="431">
        <f t="shared" ref="S92" si="336">IF(S91=0,0,S91/((S91+$H91)/2))</f>
        <v>0</v>
      </c>
      <c r="T92" s="356"/>
      <c r="U92" s="399">
        <f>IF(U91=0,0,U91/((U91+$F91)/2))</f>
        <v>1</v>
      </c>
    </row>
    <row r="93" spans="2:21" hidden="1" outlineLevel="1" x14ac:dyDescent="0.2">
      <c r="B93" s="428"/>
      <c r="C93" s="385" t="s">
        <v>35</v>
      </c>
      <c r="D93" s="386" t="s">
        <v>95</v>
      </c>
      <c r="E93" s="356"/>
      <c r="F93" s="400">
        <v>26</v>
      </c>
      <c r="G93" s="356"/>
      <c r="H93" s="425">
        <f>'[7]Taux de Rotation des Stocks PF'!H93</f>
        <v>32</v>
      </c>
      <c r="I93" s="426">
        <f>'[7]Taux de Rotation des Stocks PF'!I93</f>
        <v>83</v>
      </c>
      <c r="J93" s="426">
        <f>'[7]Taux de Rotation des Stocks PF'!J93</f>
        <v>66</v>
      </c>
      <c r="K93" s="426">
        <f>'[7]Taux de Rotation des Stocks PF'!K93</f>
        <v>46</v>
      </c>
      <c r="L93" s="426">
        <f>'[7]Taux de Rotation des Stocks PF'!L93</f>
        <v>0</v>
      </c>
      <c r="M93" s="426">
        <f>'[7]Taux de Rotation des Stocks PF'!M93</f>
        <v>0</v>
      </c>
      <c r="N93" s="426">
        <f>'[7]Taux de Rotation des Stocks PF'!N93</f>
        <v>0</v>
      </c>
      <c r="O93" s="426">
        <f>'[7]Taux de Rotation des Stocks PF'!O93</f>
        <v>0</v>
      </c>
      <c r="P93" s="426">
        <f>'[7]Taux de Rotation des Stocks PF'!P93</f>
        <v>0</v>
      </c>
      <c r="Q93" s="426">
        <f>'[7]Taux de Rotation des Stocks PF'!Q93</f>
        <v>0</v>
      </c>
      <c r="R93" s="426">
        <f>'[7]Taux de Rotation des Stocks PF'!R93</f>
        <v>0</v>
      </c>
      <c r="S93" s="427">
        <f>'[7]Taux de Rotation des Stocks PF'!S93</f>
        <v>0</v>
      </c>
      <c r="T93" s="356"/>
      <c r="U93" s="404">
        <f>INDEX(H93:S93,MATCH(0,H93:S93,0)-1)</f>
        <v>46</v>
      </c>
    </row>
    <row r="94" spans="2:21" hidden="1" outlineLevel="1" x14ac:dyDescent="0.2">
      <c r="B94" s="428"/>
      <c r="C94" s="393" t="str">
        <f>C93</f>
        <v>BT1KGD108</v>
      </c>
      <c r="D94" s="394" t="s">
        <v>86</v>
      </c>
      <c r="E94" s="356"/>
      <c r="F94" s="395"/>
      <c r="G94" s="356"/>
      <c r="H94" s="429">
        <f>IF(H93=0,0,H93/((H93+$F93)/2))</f>
        <v>1.103448275862069</v>
      </c>
      <c r="I94" s="430">
        <f>IF(I93=0,0,I93/((I93+$H93)/2))</f>
        <v>1.4434782608695653</v>
      </c>
      <c r="J94" s="430">
        <f t="shared" ref="J94" si="337">IF(J93=0,0,J93/((J93+$H93)/2))</f>
        <v>1.346938775510204</v>
      </c>
      <c r="K94" s="430">
        <f t="shared" ref="K94" si="338">IF(K93=0,0,K93/((K93+$H93)/2))</f>
        <v>1.1794871794871795</v>
      </c>
      <c r="L94" s="430">
        <f t="shared" ref="L94" si="339">IF(L93=0,0,L93/((L93+$H93)/2))</f>
        <v>0</v>
      </c>
      <c r="M94" s="430">
        <f t="shared" ref="M94" si="340">IF(M93=0,0,M93/((M93+$H93)/2))</f>
        <v>0</v>
      </c>
      <c r="N94" s="430">
        <f t="shared" ref="N94" si="341">IF(N93=0,0,N93/((N93+$H93)/2))</f>
        <v>0</v>
      </c>
      <c r="O94" s="430">
        <f t="shared" ref="O94" si="342">IF(O93=0,0,O93/((O93+$H93)/2))</f>
        <v>0</v>
      </c>
      <c r="P94" s="430">
        <f t="shared" ref="P94" si="343">IF(P93=0,0,P93/((P93+$H93)/2))</f>
        <v>0</v>
      </c>
      <c r="Q94" s="430">
        <f t="shared" ref="Q94" si="344">IF(Q93=0,0,Q93/((Q93+$H93)/2))</f>
        <v>0</v>
      </c>
      <c r="R94" s="430">
        <f t="shared" ref="R94" si="345">IF(R93=0,0,R93/((R93+$H93)/2))</f>
        <v>0</v>
      </c>
      <c r="S94" s="431">
        <f t="shared" ref="S94" si="346">IF(S93=0,0,S93/((S93+$H93)/2))</f>
        <v>0</v>
      </c>
      <c r="T94" s="356"/>
      <c r="U94" s="399">
        <f>IF(U93=0,0,U93/((U93+$F93)/2))</f>
        <v>1.2777777777777777</v>
      </c>
    </row>
    <row r="95" spans="2:21" hidden="1" outlineLevel="1" x14ac:dyDescent="0.2">
      <c r="B95" s="428"/>
      <c r="C95" s="385" t="s">
        <v>40</v>
      </c>
      <c r="D95" s="386" t="s">
        <v>95</v>
      </c>
      <c r="E95" s="356"/>
      <c r="F95" s="400">
        <v>155</v>
      </c>
      <c r="G95" s="356"/>
      <c r="H95" s="425">
        <f>'[7]Taux de Rotation des Stocks PF'!H95</f>
        <v>205</v>
      </c>
      <c r="I95" s="426">
        <f>'[7]Taux de Rotation des Stocks PF'!I95</f>
        <v>134</v>
      </c>
      <c r="J95" s="426">
        <f>'[7]Taux de Rotation des Stocks PF'!J95</f>
        <v>112</v>
      </c>
      <c r="K95" s="426">
        <f>'[7]Taux de Rotation des Stocks PF'!K95</f>
        <v>204</v>
      </c>
      <c r="L95" s="426">
        <f>'[7]Taux de Rotation des Stocks PF'!L95</f>
        <v>0</v>
      </c>
      <c r="M95" s="426">
        <f>'[7]Taux de Rotation des Stocks PF'!M95</f>
        <v>0</v>
      </c>
      <c r="N95" s="426">
        <f>'[7]Taux de Rotation des Stocks PF'!N95</f>
        <v>0</v>
      </c>
      <c r="O95" s="426">
        <f>'[7]Taux de Rotation des Stocks PF'!O95</f>
        <v>0</v>
      </c>
      <c r="P95" s="426">
        <f>'[7]Taux de Rotation des Stocks PF'!P95</f>
        <v>0</v>
      </c>
      <c r="Q95" s="426">
        <f>'[7]Taux de Rotation des Stocks PF'!Q95</f>
        <v>0</v>
      </c>
      <c r="R95" s="426">
        <f>'[7]Taux de Rotation des Stocks PF'!R95</f>
        <v>0</v>
      </c>
      <c r="S95" s="427">
        <f>'[7]Taux de Rotation des Stocks PF'!S95</f>
        <v>0</v>
      </c>
      <c r="T95" s="356"/>
      <c r="U95" s="404">
        <f>INDEX(H95:S95,MATCH(0,H95:S95,0)-1)</f>
        <v>204</v>
      </c>
    </row>
    <row r="96" spans="2:21" hidden="1" outlineLevel="1" x14ac:dyDescent="0.2">
      <c r="B96" s="428"/>
      <c r="C96" s="393" t="str">
        <f>C95</f>
        <v>BT1KGLAQ</v>
      </c>
      <c r="D96" s="394" t="s">
        <v>86</v>
      </c>
      <c r="E96" s="356"/>
      <c r="F96" s="395"/>
      <c r="G96" s="356"/>
      <c r="H96" s="429">
        <f>IF(H95=0,0,H95/((H95+$F95)/2))</f>
        <v>1.1388888888888888</v>
      </c>
      <c r="I96" s="430">
        <f>IF(I95=0,0,I95/((I95+$H95)/2))</f>
        <v>0.79056047197640122</v>
      </c>
      <c r="J96" s="430">
        <f t="shared" ref="J96" si="347">IF(J95=0,0,J95/((J95+$H95)/2))</f>
        <v>0.70662460567823349</v>
      </c>
      <c r="K96" s="430">
        <f t="shared" ref="K96" si="348">IF(K95=0,0,K95/((K95+$H95)/2))</f>
        <v>0.99755501222493892</v>
      </c>
      <c r="L96" s="430">
        <f t="shared" ref="L96" si="349">IF(L95=0,0,L95/((L95+$H95)/2))</f>
        <v>0</v>
      </c>
      <c r="M96" s="430">
        <f t="shared" ref="M96" si="350">IF(M95=0,0,M95/((M95+$H95)/2))</f>
        <v>0</v>
      </c>
      <c r="N96" s="430">
        <f t="shared" ref="N96" si="351">IF(N95=0,0,N95/((N95+$H95)/2))</f>
        <v>0</v>
      </c>
      <c r="O96" s="430">
        <f t="shared" ref="O96" si="352">IF(O95=0,0,O95/((O95+$H95)/2))</f>
        <v>0</v>
      </c>
      <c r="P96" s="430">
        <f t="shared" ref="P96" si="353">IF(P95=0,0,P95/((P95+$H95)/2))</f>
        <v>0</v>
      </c>
      <c r="Q96" s="430">
        <f t="shared" ref="Q96" si="354">IF(Q95=0,0,Q95/((Q95+$H95)/2))</f>
        <v>0</v>
      </c>
      <c r="R96" s="430">
        <f t="shared" ref="R96" si="355">IF(R95=0,0,R95/((R95+$H95)/2))</f>
        <v>0</v>
      </c>
      <c r="S96" s="431">
        <f t="shared" ref="S96" si="356">IF(S95=0,0,S95/((S95+$H95)/2))</f>
        <v>0</v>
      </c>
      <c r="T96" s="356"/>
      <c r="U96" s="399">
        <f>IF(U95=0,0,U95/((U95+$F95)/2))</f>
        <v>1.1364902506963788</v>
      </c>
    </row>
    <row r="97" spans="2:21" hidden="1" outlineLevel="1" x14ac:dyDescent="0.2">
      <c r="B97" s="428"/>
      <c r="C97" s="385" t="s">
        <v>120</v>
      </c>
      <c r="D97" s="386" t="s">
        <v>95</v>
      </c>
      <c r="E97" s="356"/>
      <c r="F97" s="400">
        <v>83</v>
      </c>
      <c r="G97" s="356"/>
      <c r="H97" s="425">
        <f>'[7]Taux de Rotation des Stocks PF'!H97</f>
        <v>81</v>
      </c>
      <c r="I97" s="426">
        <f>'[7]Taux de Rotation des Stocks PF'!I97</f>
        <v>76</v>
      </c>
      <c r="J97" s="426">
        <f>'[7]Taux de Rotation des Stocks PF'!J97</f>
        <v>73</v>
      </c>
      <c r="K97" s="426">
        <f>'[7]Taux de Rotation des Stocks PF'!K97</f>
        <v>62</v>
      </c>
      <c r="L97" s="426">
        <f>'[7]Taux de Rotation des Stocks PF'!L97</f>
        <v>0</v>
      </c>
      <c r="M97" s="426">
        <f>'[7]Taux de Rotation des Stocks PF'!M97</f>
        <v>0</v>
      </c>
      <c r="N97" s="426">
        <f>'[7]Taux de Rotation des Stocks PF'!N97</f>
        <v>0</v>
      </c>
      <c r="O97" s="426">
        <f>'[7]Taux de Rotation des Stocks PF'!O97</f>
        <v>0</v>
      </c>
      <c r="P97" s="426">
        <f>'[7]Taux de Rotation des Stocks PF'!P97</f>
        <v>0</v>
      </c>
      <c r="Q97" s="426">
        <f>'[7]Taux de Rotation des Stocks PF'!Q97</f>
        <v>0</v>
      </c>
      <c r="R97" s="426">
        <f>'[7]Taux de Rotation des Stocks PF'!R97</f>
        <v>0</v>
      </c>
      <c r="S97" s="427">
        <f>'[7]Taux de Rotation des Stocks PF'!S97</f>
        <v>0</v>
      </c>
      <c r="T97" s="356"/>
      <c r="U97" s="404">
        <f>INDEX(H97:S97,MATCH(0,H97:S97,0)-1)</f>
        <v>62</v>
      </c>
    </row>
    <row r="98" spans="2:21" hidden="1" outlineLevel="1" x14ac:dyDescent="0.2">
      <c r="B98" s="428"/>
      <c r="C98" s="393" t="str">
        <f>C97</f>
        <v>BT1KGMASTIC</v>
      </c>
      <c r="D98" s="394" t="s">
        <v>86</v>
      </c>
      <c r="E98" s="356"/>
      <c r="F98" s="395"/>
      <c r="G98" s="356"/>
      <c r="H98" s="429">
        <f>IF(H97=0,0,H97/((H97+$F97)/2))</f>
        <v>0.98780487804878048</v>
      </c>
      <c r="I98" s="430">
        <f>IF(I97=0,0,I97/((I97+$H97)/2))</f>
        <v>0.96815286624203822</v>
      </c>
      <c r="J98" s="430">
        <f t="shared" ref="J98" si="357">IF(J97=0,0,J97/((J97+$H97)/2))</f>
        <v>0.94805194805194803</v>
      </c>
      <c r="K98" s="430">
        <f t="shared" ref="K98" si="358">IF(K97=0,0,K97/((K97+$H97)/2))</f>
        <v>0.86713286713286708</v>
      </c>
      <c r="L98" s="430">
        <f t="shared" ref="L98" si="359">IF(L97=0,0,L97/((L97+$H97)/2))</f>
        <v>0</v>
      </c>
      <c r="M98" s="430">
        <f t="shared" ref="M98" si="360">IF(M97=0,0,M97/((M97+$H97)/2))</f>
        <v>0</v>
      </c>
      <c r="N98" s="430">
        <f t="shared" ref="N98" si="361">IF(N97=0,0,N97/((N97+$H97)/2))</f>
        <v>0</v>
      </c>
      <c r="O98" s="430">
        <f t="shared" ref="O98" si="362">IF(O97=0,0,O97/((O97+$H97)/2))</f>
        <v>0</v>
      </c>
      <c r="P98" s="430">
        <f t="shared" ref="P98" si="363">IF(P97=0,0,P97/((P97+$H97)/2))</f>
        <v>0</v>
      </c>
      <c r="Q98" s="430">
        <f t="shared" ref="Q98" si="364">IF(Q97=0,0,Q97/((Q97+$H97)/2))</f>
        <v>0</v>
      </c>
      <c r="R98" s="430">
        <f t="shared" ref="R98" si="365">IF(R97=0,0,R97/((R97+$H97)/2))</f>
        <v>0</v>
      </c>
      <c r="S98" s="431">
        <f t="shared" ref="S98" si="366">IF(S97=0,0,S97/((S97+$H97)/2))</f>
        <v>0</v>
      </c>
      <c r="T98" s="356"/>
      <c r="U98" s="399">
        <f>IF(U97=0,0,U97/((U97+$F97)/2))</f>
        <v>0.85517241379310349</v>
      </c>
    </row>
    <row r="99" spans="2:21" hidden="1" outlineLevel="1" x14ac:dyDescent="0.2">
      <c r="B99" s="428"/>
      <c r="C99" s="385" t="s">
        <v>41</v>
      </c>
      <c r="D99" s="386" t="s">
        <v>95</v>
      </c>
      <c r="E99" s="356"/>
      <c r="F99" s="400">
        <v>142</v>
      </c>
      <c r="G99" s="356"/>
      <c r="H99" s="425">
        <f>'[7]Taux de Rotation des Stocks PF'!H99</f>
        <v>115</v>
      </c>
      <c r="I99" s="426">
        <f>'[7]Taux de Rotation des Stocks PF'!I99</f>
        <v>201</v>
      </c>
      <c r="J99" s="426">
        <f>'[7]Taux de Rotation des Stocks PF'!J99</f>
        <v>204</v>
      </c>
      <c r="K99" s="426">
        <f>'[7]Taux de Rotation des Stocks PF'!K99</f>
        <v>159</v>
      </c>
      <c r="L99" s="426">
        <f>'[7]Taux de Rotation des Stocks PF'!L99</f>
        <v>0</v>
      </c>
      <c r="M99" s="426">
        <f>'[7]Taux de Rotation des Stocks PF'!M99</f>
        <v>0</v>
      </c>
      <c r="N99" s="426">
        <f>'[7]Taux de Rotation des Stocks PF'!N99</f>
        <v>0</v>
      </c>
      <c r="O99" s="426">
        <f>'[7]Taux de Rotation des Stocks PF'!O99</f>
        <v>0</v>
      </c>
      <c r="P99" s="426">
        <f>'[7]Taux de Rotation des Stocks PF'!P99</f>
        <v>0</v>
      </c>
      <c r="Q99" s="426">
        <f>'[7]Taux de Rotation des Stocks PF'!Q99</f>
        <v>0</v>
      </c>
      <c r="R99" s="426">
        <f>'[7]Taux de Rotation des Stocks PF'!R99</f>
        <v>0</v>
      </c>
      <c r="S99" s="427">
        <f>'[7]Taux de Rotation des Stocks PF'!S99</f>
        <v>0</v>
      </c>
      <c r="T99" s="356"/>
      <c r="U99" s="404">
        <f>INDEX(H99:S99,MATCH(0,H99:S99,0)-1)</f>
        <v>159</v>
      </c>
    </row>
    <row r="100" spans="2:21" hidden="1" outlineLevel="1" x14ac:dyDescent="0.2">
      <c r="B100" s="428"/>
      <c r="C100" s="393" t="str">
        <f>C99</f>
        <v>BT1KGPRE</v>
      </c>
      <c r="D100" s="394" t="s">
        <v>86</v>
      </c>
      <c r="E100" s="356"/>
      <c r="F100" s="395"/>
      <c r="G100" s="356"/>
      <c r="H100" s="429">
        <f>IF(H99=0,0,H99/((H99+$F99)/2))</f>
        <v>0.89494163424124518</v>
      </c>
      <c r="I100" s="430">
        <f>IF(I99=0,0,I99/((I99+$H99)/2))</f>
        <v>1.2721518987341771</v>
      </c>
      <c r="J100" s="430">
        <f t="shared" ref="J100" si="367">IF(J99=0,0,J99/((J99+$H99)/2))</f>
        <v>1.2789968652037618</v>
      </c>
      <c r="K100" s="430">
        <f t="shared" ref="K100" si="368">IF(K99=0,0,K99/((K99+$H99)/2))</f>
        <v>1.1605839416058394</v>
      </c>
      <c r="L100" s="430">
        <f t="shared" ref="L100" si="369">IF(L99=0,0,L99/((L99+$H99)/2))</f>
        <v>0</v>
      </c>
      <c r="M100" s="430">
        <f t="shared" ref="M100" si="370">IF(M99=0,0,M99/((M99+$H99)/2))</f>
        <v>0</v>
      </c>
      <c r="N100" s="430">
        <f t="shared" ref="N100" si="371">IF(N99=0,0,N99/((N99+$H99)/2))</f>
        <v>0</v>
      </c>
      <c r="O100" s="430">
        <f t="shared" ref="O100" si="372">IF(O99=0,0,O99/((O99+$H99)/2))</f>
        <v>0</v>
      </c>
      <c r="P100" s="430">
        <f t="shared" ref="P100" si="373">IF(P99=0,0,P99/((P99+$H99)/2))</f>
        <v>0</v>
      </c>
      <c r="Q100" s="430">
        <f t="shared" ref="Q100" si="374">IF(Q99=0,0,Q99/((Q99+$H99)/2))</f>
        <v>0</v>
      </c>
      <c r="R100" s="430">
        <f t="shared" ref="R100" si="375">IF(R99=0,0,R99/((R99+$H99)/2))</f>
        <v>0</v>
      </c>
      <c r="S100" s="431">
        <f t="shared" ref="S100" si="376">IF(S99=0,0,S99/((S99+$H99)/2))</f>
        <v>0</v>
      </c>
      <c r="T100" s="356"/>
      <c r="U100" s="399">
        <f>IF(U99=0,0,U99/((U99+$F99)/2))</f>
        <v>1.0564784053156147</v>
      </c>
    </row>
    <row r="101" spans="2:21" hidden="1" outlineLevel="1" x14ac:dyDescent="0.2">
      <c r="B101" s="428"/>
      <c r="C101" s="385" t="s">
        <v>42</v>
      </c>
      <c r="D101" s="386" t="s">
        <v>95</v>
      </c>
      <c r="E101" s="356"/>
      <c r="F101" s="400">
        <v>92</v>
      </c>
      <c r="G101" s="356"/>
      <c r="H101" s="425">
        <f>'[7]Taux de Rotation des Stocks PF'!H101</f>
        <v>69</v>
      </c>
      <c r="I101" s="426">
        <f>'[7]Taux de Rotation des Stocks PF'!I101</f>
        <v>66</v>
      </c>
      <c r="J101" s="426">
        <f>'[7]Taux de Rotation des Stocks PF'!J101</f>
        <v>66</v>
      </c>
      <c r="K101" s="426">
        <f>'[7]Taux de Rotation des Stocks PF'!K101</f>
        <v>64</v>
      </c>
      <c r="L101" s="426">
        <f>'[7]Taux de Rotation des Stocks PF'!L101</f>
        <v>0</v>
      </c>
      <c r="M101" s="426">
        <f>'[7]Taux de Rotation des Stocks PF'!M101</f>
        <v>0</v>
      </c>
      <c r="N101" s="426">
        <f>'[7]Taux de Rotation des Stocks PF'!N101</f>
        <v>0</v>
      </c>
      <c r="O101" s="426">
        <f>'[7]Taux de Rotation des Stocks PF'!O101</f>
        <v>0</v>
      </c>
      <c r="P101" s="426">
        <f>'[7]Taux de Rotation des Stocks PF'!P101</f>
        <v>0</v>
      </c>
      <c r="Q101" s="426">
        <f>'[7]Taux de Rotation des Stocks PF'!Q101</f>
        <v>0</v>
      </c>
      <c r="R101" s="426">
        <f>'[7]Taux de Rotation des Stocks PF'!R101</f>
        <v>0</v>
      </c>
      <c r="S101" s="427">
        <f>'[7]Taux de Rotation des Stocks PF'!S101</f>
        <v>0</v>
      </c>
      <c r="T101" s="356"/>
      <c r="U101" s="404">
        <f>INDEX(H101:S101,MATCH(0,H101:S101,0)-1)</f>
        <v>64</v>
      </c>
    </row>
    <row r="102" spans="2:21" hidden="1" outlineLevel="1" x14ac:dyDescent="0.2">
      <c r="B102" s="384"/>
      <c r="C102" s="393" t="str">
        <f>C101</f>
        <v>BT1LRD</v>
      </c>
      <c r="D102" s="394" t="s">
        <v>86</v>
      </c>
      <c r="F102" s="395"/>
      <c r="H102" s="429">
        <f>IF(H101=0,0,H101/((H101+$F101)/2))</f>
        <v>0.8571428571428571</v>
      </c>
      <c r="I102" s="430">
        <f>IF(I101=0,0,I101/((I101+$H101)/2))</f>
        <v>0.97777777777777775</v>
      </c>
      <c r="J102" s="430">
        <f t="shared" ref="J102" si="377">IF(J101=0,0,J101/((J101+$H101)/2))</f>
        <v>0.97777777777777775</v>
      </c>
      <c r="K102" s="430">
        <f t="shared" ref="K102" si="378">IF(K101=0,0,K101/((K101+$H101)/2))</f>
        <v>0.96240601503759393</v>
      </c>
      <c r="L102" s="430">
        <f t="shared" ref="L102" si="379">IF(L101=0,0,L101/((L101+$H101)/2))</f>
        <v>0</v>
      </c>
      <c r="M102" s="430">
        <f t="shared" ref="M102" si="380">IF(M101=0,0,M101/((M101+$H101)/2))</f>
        <v>0</v>
      </c>
      <c r="N102" s="430">
        <f t="shared" ref="N102" si="381">IF(N101=0,0,N101/((N101+$H101)/2))</f>
        <v>0</v>
      </c>
      <c r="O102" s="430">
        <f t="shared" ref="O102" si="382">IF(O101=0,0,O101/((O101+$H101)/2))</f>
        <v>0</v>
      </c>
      <c r="P102" s="430">
        <f t="shared" ref="P102" si="383">IF(P101=0,0,P101/((P101+$H101)/2))</f>
        <v>0</v>
      </c>
      <c r="Q102" s="430">
        <f t="shared" ref="Q102" si="384">IF(Q101=0,0,Q101/((Q101+$H101)/2))</f>
        <v>0</v>
      </c>
      <c r="R102" s="430">
        <f t="shared" ref="R102" si="385">IF(R101=0,0,R101/((R101+$H101)/2))</f>
        <v>0</v>
      </c>
      <c r="S102" s="431">
        <f t="shared" ref="S102" si="386">IF(S101=0,0,S101/((S101+$H101)/2))</f>
        <v>0</v>
      </c>
      <c r="U102" s="399">
        <f>IF(U101=0,0,U101/((U101+$F101)/2))</f>
        <v>0.82051282051282048</v>
      </c>
    </row>
    <row r="103" spans="2:21" hidden="1" outlineLevel="1" x14ac:dyDescent="0.2">
      <c r="B103" s="384"/>
      <c r="C103" s="385" t="s">
        <v>100</v>
      </c>
      <c r="D103" s="386" t="s">
        <v>95</v>
      </c>
      <c r="F103" s="400">
        <v>0</v>
      </c>
      <c r="H103" s="425">
        <f>'[7]Taux de Rotation des Stocks PF'!H103</f>
        <v>0</v>
      </c>
      <c r="I103" s="426">
        <f>'[7]Taux de Rotation des Stocks PF'!I103</f>
        <v>0</v>
      </c>
      <c r="J103" s="426">
        <f>'[7]Taux de Rotation des Stocks PF'!J103</f>
        <v>0</v>
      </c>
      <c r="K103" s="426">
        <f>'[7]Taux de Rotation des Stocks PF'!K103</f>
        <v>2</v>
      </c>
      <c r="L103" s="426">
        <f>'[7]Taux de Rotation des Stocks PF'!L103</f>
        <v>0</v>
      </c>
      <c r="M103" s="426">
        <f>'[7]Taux de Rotation des Stocks PF'!M103</f>
        <v>0</v>
      </c>
      <c r="N103" s="426">
        <f>'[7]Taux de Rotation des Stocks PF'!N103</f>
        <v>0</v>
      </c>
      <c r="O103" s="426">
        <f>'[7]Taux de Rotation des Stocks PF'!O103</f>
        <v>0</v>
      </c>
      <c r="P103" s="426">
        <f>'[7]Taux de Rotation des Stocks PF'!P103</f>
        <v>0</v>
      </c>
      <c r="Q103" s="426">
        <f>'[7]Taux de Rotation des Stocks PF'!Q103</f>
        <v>0</v>
      </c>
      <c r="R103" s="426">
        <f>'[7]Taux de Rotation des Stocks PF'!R103</f>
        <v>0</v>
      </c>
      <c r="S103" s="427">
        <f>'[7]Taux de Rotation des Stocks PF'!S103</f>
        <v>0</v>
      </c>
      <c r="U103" s="432">
        <v>2</v>
      </c>
    </row>
    <row r="104" spans="2:21" hidden="1" outlineLevel="1" x14ac:dyDescent="0.2">
      <c r="B104" s="384"/>
      <c r="C104" s="393" t="str">
        <f>C103</f>
        <v>BT2LRECT</v>
      </c>
      <c r="D104" s="394" t="s">
        <v>86</v>
      </c>
      <c r="F104" s="395"/>
      <c r="H104" s="429">
        <f>IF(H103=0,0,H103/((H103+$F103)/2))</f>
        <v>0</v>
      </c>
      <c r="I104" s="430">
        <f>IF(I103=0,0,I103/((I103+$H103)/2))</f>
        <v>0</v>
      </c>
      <c r="J104" s="430">
        <f t="shared" ref="J104" si="387">IF(J103=0,0,J103/((J103+$H103)/2))</f>
        <v>0</v>
      </c>
      <c r="K104" s="430">
        <f t="shared" ref="K104" si="388">IF(K103=0,0,K103/((K103+$H103)/2))</f>
        <v>2</v>
      </c>
      <c r="L104" s="430">
        <f t="shared" ref="L104" si="389">IF(L103=0,0,L103/((L103+$H103)/2))</f>
        <v>0</v>
      </c>
      <c r="M104" s="430">
        <f t="shared" ref="M104" si="390">IF(M103=0,0,M103/((M103+$H103)/2))</f>
        <v>0</v>
      </c>
      <c r="N104" s="430">
        <f t="shared" ref="N104" si="391">IF(N103=0,0,N103/((N103+$H103)/2))</f>
        <v>0</v>
      </c>
      <c r="O104" s="430">
        <f t="shared" ref="O104" si="392">IF(O103=0,0,O103/((O103+$H103)/2))</f>
        <v>0</v>
      </c>
      <c r="P104" s="430">
        <f t="shared" ref="P104" si="393">IF(P103=0,0,P103/((P103+$H103)/2))</f>
        <v>0</v>
      </c>
      <c r="Q104" s="430">
        <f t="shared" ref="Q104" si="394">IF(Q103=0,0,Q103/((Q103+$H103)/2))</f>
        <v>0</v>
      </c>
      <c r="R104" s="430">
        <f t="shared" ref="R104" si="395">IF(R103=0,0,R103/((R103+$H103)/2))</f>
        <v>0</v>
      </c>
      <c r="S104" s="431">
        <f t="shared" ref="S104" si="396">IF(S103=0,0,S103/((S103+$H103)/2))</f>
        <v>0</v>
      </c>
      <c r="U104" s="399">
        <f>IF(U103=0,0,U103/((U103+$F103)/2))</f>
        <v>2</v>
      </c>
    </row>
    <row r="105" spans="2:21" hidden="1" outlineLevel="1" x14ac:dyDescent="0.2">
      <c r="B105" s="384"/>
      <c r="C105" s="385" t="s">
        <v>121</v>
      </c>
      <c r="D105" s="386" t="s">
        <v>95</v>
      </c>
      <c r="F105" s="400">
        <v>68</v>
      </c>
      <c r="H105" s="425">
        <f>'[7]Taux de Rotation des Stocks PF'!H105</f>
        <v>71</v>
      </c>
      <c r="I105" s="426">
        <f>'[7]Taux de Rotation des Stocks PF'!I105</f>
        <v>84</v>
      </c>
      <c r="J105" s="426">
        <f>'[7]Taux de Rotation des Stocks PF'!J105</f>
        <v>83</v>
      </c>
      <c r="K105" s="426">
        <f>'[7]Taux de Rotation des Stocks PF'!K105</f>
        <v>79</v>
      </c>
      <c r="L105" s="426">
        <f>'[7]Taux de Rotation des Stocks PF'!L105</f>
        <v>0</v>
      </c>
      <c r="M105" s="426">
        <f>'[7]Taux de Rotation des Stocks PF'!M105</f>
        <v>0</v>
      </c>
      <c r="N105" s="426">
        <f>'[7]Taux de Rotation des Stocks PF'!N105</f>
        <v>0</v>
      </c>
      <c r="O105" s="426">
        <f>'[7]Taux de Rotation des Stocks PF'!O105</f>
        <v>0</v>
      </c>
      <c r="P105" s="426">
        <f>'[7]Taux de Rotation des Stocks PF'!P105</f>
        <v>0</v>
      </c>
      <c r="Q105" s="426">
        <f>'[7]Taux de Rotation des Stocks PF'!Q105</f>
        <v>0</v>
      </c>
      <c r="R105" s="426">
        <f>'[7]Taux de Rotation des Stocks PF'!R105</f>
        <v>0</v>
      </c>
      <c r="S105" s="427">
        <f>'[7]Taux de Rotation des Stocks PF'!S105</f>
        <v>0</v>
      </c>
      <c r="U105" s="432">
        <f>INDEX(H105:S105,MATCH(0,H105:S105,0)-1)</f>
        <v>79</v>
      </c>
    </row>
    <row r="106" spans="2:21" hidden="1" outlineLevel="1" x14ac:dyDescent="0.2">
      <c r="B106" s="384"/>
      <c r="C106" s="393" t="str">
        <f>C105</f>
        <v>BT3K6</v>
      </c>
      <c r="D106" s="394" t="s">
        <v>86</v>
      </c>
      <c r="F106" s="395"/>
      <c r="H106" s="429">
        <f>IF(H105=0,0,H105/((H105+$F105)/2))</f>
        <v>1.0215827338129497</v>
      </c>
      <c r="I106" s="430">
        <f>IF(I105=0,0,I105/((I105+$H105)/2))</f>
        <v>1.0838709677419356</v>
      </c>
      <c r="J106" s="430">
        <f t="shared" ref="J106" si="397">IF(J105=0,0,J105/((J105+$H105)/2))</f>
        <v>1.0779220779220779</v>
      </c>
      <c r="K106" s="430">
        <f t="shared" ref="K106" si="398">IF(K105=0,0,K105/((K105+$H105)/2))</f>
        <v>1.0533333333333332</v>
      </c>
      <c r="L106" s="430">
        <f t="shared" ref="L106" si="399">IF(L105=0,0,L105/((L105+$H105)/2))</f>
        <v>0</v>
      </c>
      <c r="M106" s="430">
        <f t="shared" ref="M106" si="400">IF(M105=0,0,M105/((M105+$H105)/2))</f>
        <v>0</v>
      </c>
      <c r="N106" s="430">
        <f t="shared" ref="N106" si="401">IF(N105=0,0,N105/((N105+$H105)/2))</f>
        <v>0</v>
      </c>
      <c r="O106" s="430">
        <f t="shared" ref="O106" si="402">IF(O105=0,0,O105/((O105+$H105)/2))</f>
        <v>0</v>
      </c>
      <c r="P106" s="430">
        <f t="shared" ref="P106" si="403">IF(P105=0,0,P105/((P105+$H105)/2))</f>
        <v>0</v>
      </c>
      <c r="Q106" s="430">
        <f t="shared" ref="Q106" si="404">IF(Q105=0,0,Q105/((Q105+$H105)/2))</f>
        <v>0</v>
      </c>
      <c r="R106" s="430">
        <f t="shared" ref="R106" si="405">IF(R105=0,0,R105/((R105+$H105)/2))</f>
        <v>0</v>
      </c>
      <c r="S106" s="431">
        <f t="shared" ref="S106" si="406">IF(S105=0,0,S105/((S105+$H105)/2))</f>
        <v>0</v>
      </c>
      <c r="U106" s="399">
        <f>IF(U105=0,0,U105/((U105+$F105)/2))</f>
        <v>1.0748299319727892</v>
      </c>
    </row>
    <row r="107" spans="2:21" hidden="1" outlineLevel="1" x14ac:dyDescent="0.2">
      <c r="B107" s="384"/>
      <c r="C107" s="385" t="s">
        <v>122</v>
      </c>
      <c r="D107" s="386" t="s">
        <v>95</v>
      </c>
      <c r="F107" s="400">
        <v>16</v>
      </c>
      <c r="H107" s="425">
        <f>'[7]Taux de Rotation des Stocks PF'!H107</f>
        <v>13</v>
      </c>
      <c r="I107" s="426">
        <f>'[7]Taux de Rotation des Stocks PF'!I107</f>
        <v>13</v>
      </c>
      <c r="J107" s="426">
        <f>'[7]Taux de Rotation des Stocks PF'!J107</f>
        <v>11</v>
      </c>
      <c r="K107" s="426">
        <f>'[7]Taux de Rotation des Stocks PF'!K107</f>
        <v>11</v>
      </c>
      <c r="L107" s="426">
        <f>'[7]Taux de Rotation des Stocks PF'!L107</f>
        <v>0</v>
      </c>
      <c r="M107" s="426">
        <f>'[7]Taux de Rotation des Stocks PF'!M107</f>
        <v>0</v>
      </c>
      <c r="N107" s="426">
        <f>'[7]Taux de Rotation des Stocks PF'!N107</f>
        <v>0</v>
      </c>
      <c r="O107" s="426">
        <f>'[7]Taux de Rotation des Stocks PF'!O107</f>
        <v>0</v>
      </c>
      <c r="P107" s="426">
        <f>'[7]Taux de Rotation des Stocks PF'!P107</f>
        <v>0</v>
      </c>
      <c r="Q107" s="426">
        <f>'[7]Taux de Rotation des Stocks PF'!Q107</f>
        <v>0</v>
      </c>
      <c r="R107" s="426">
        <f>'[7]Taux de Rotation des Stocks PF'!R107</f>
        <v>0</v>
      </c>
      <c r="S107" s="427">
        <f>'[7]Taux de Rotation des Stocks PF'!S107</f>
        <v>0</v>
      </c>
      <c r="U107" s="432">
        <f>INDEX(H107:S107,MATCH(0,H107:S107,0)-1)</f>
        <v>11</v>
      </c>
    </row>
    <row r="108" spans="2:21" hidden="1" outlineLevel="1" x14ac:dyDescent="0.2">
      <c r="B108" s="384"/>
      <c r="C108" s="393" t="str">
        <f>C107</f>
        <v>BT3KG</v>
      </c>
      <c r="D108" s="394" t="s">
        <v>86</v>
      </c>
      <c r="F108" s="395"/>
      <c r="H108" s="429">
        <f>IF(H107=0,0,H107/((H107+$F107)/2))</f>
        <v>0.89655172413793105</v>
      </c>
      <c r="I108" s="430">
        <f>IF(I107=0,0,I107/((I107+$H107)/2))</f>
        <v>1</v>
      </c>
      <c r="J108" s="430">
        <f t="shared" ref="J108" si="407">IF(J107=0,0,J107/((J107+$H107)/2))</f>
        <v>0.91666666666666663</v>
      </c>
      <c r="K108" s="430">
        <f t="shared" ref="K108" si="408">IF(K107=0,0,K107/((K107+$H107)/2))</f>
        <v>0.91666666666666663</v>
      </c>
      <c r="L108" s="430">
        <f t="shared" ref="L108" si="409">IF(L107=0,0,L107/((L107+$H107)/2))</f>
        <v>0</v>
      </c>
      <c r="M108" s="430">
        <f t="shared" ref="M108" si="410">IF(M107=0,0,M107/((M107+$H107)/2))</f>
        <v>0</v>
      </c>
      <c r="N108" s="430">
        <f t="shared" ref="N108" si="411">IF(N107=0,0,N107/((N107+$H107)/2))</f>
        <v>0</v>
      </c>
      <c r="O108" s="430">
        <f t="shared" ref="O108" si="412">IF(O107=0,0,O107/((O107+$H107)/2))</f>
        <v>0</v>
      </c>
      <c r="P108" s="430">
        <f t="shared" ref="P108" si="413">IF(P107=0,0,P107/((P107+$H107)/2))</f>
        <v>0</v>
      </c>
      <c r="Q108" s="430">
        <f t="shared" ref="Q108" si="414">IF(Q107=0,0,Q107/((Q107+$H107)/2))</f>
        <v>0</v>
      </c>
      <c r="R108" s="430">
        <f t="shared" ref="R108" si="415">IF(R107=0,0,R107/((R107+$H107)/2))</f>
        <v>0</v>
      </c>
      <c r="S108" s="431">
        <f t="shared" ref="S108" si="416">IF(S107=0,0,S107/((S107+$H107)/2))</f>
        <v>0</v>
      </c>
      <c r="U108" s="399">
        <f>IF(U107=0,0,U107/((U107+$F107)/2))</f>
        <v>0.81481481481481477</v>
      </c>
    </row>
    <row r="109" spans="2:21" hidden="1" outlineLevel="1" x14ac:dyDescent="0.2">
      <c r="B109" s="384"/>
      <c r="C109" s="385" t="s">
        <v>102</v>
      </c>
      <c r="D109" s="386" t="s">
        <v>95</v>
      </c>
      <c r="F109" s="400">
        <v>5</v>
      </c>
      <c r="H109" s="425">
        <f>'[7]Taux de Rotation des Stocks PF'!H109</f>
        <v>8</v>
      </c>
      <c r="I109" s="426">
        <f>'[7]Taux de Rotation des Stocks PF'!I109</f>
        <v>7</v>
      </c>
      <c r="J109" s="426">
        <f>'[7]Taux de Rotation des Stocks PF'!J109</f>
        <v>1</v>
      </c>
      <c r="K109" s="426">
        <f>'[7]Taux de Rotation des Stocks PF'!K109</f>
        <v>1</v>
      </c>
      <c r="L109" s="426">
        <f>'[7]Taux de Rotation des Stocks PF'!L109</f>
        <v>0</v>
      </c>
      <c r="M109" s="426">
        <f>'[7]Taux de Rotation des Stocks PF'!M109</f>
        <v>0</v>
      </c>
      <c r="N109" s="426">
        <f>'[7]Taux de Rotation des Stocks PF'!N109</f>
        <v>0</v>
      </c>
      <c r="O109" s="426">
        <f>'[7]Taux de Rotation des Stocks PF'!O109</f>
        <v>0</v>
      </c>
      <c r="P109" s="426">
        <f>'[7]Taux de Rotation des Stocks PF'!P109</f>
        <v>0</v>
      </c>
      <c r="Q109" s="426">
        <f>'[7]Taux de Rotation des Stocks PF'!Q109</f>
        <v>0</v>
      </c>
      <c r="R109" s="426">
        <f>'[7]Taux de Rotation des Stocks PF'!R109</f>
        <v>0</v>
      </c>
      <c r="S109" s="427">
        <f>'[7]Taux de Rotation des Stocks PF'!S109</f>
        <v>0</v>
      </c>
      <c r="U109" s="432">
        <f>INDEX(H109:S109,MATCH(0,H109:S109,0)-1)</f>
        <v>1</v>
      </c>
    </row>
    <row r="110" spans="2:21" hidden="1" outlineLevel="1" x14ac:dyDescent="0.2">
      <c r="B110" s="384"/>
      <c r="C110" s="393" t="str">
        <f>C109</f>
        <v>BT3LRECT</v>
      </c>
      <c r="D110" s="394" t="s">
        <v>86</v>
      </c>
      <c r="F110" s="395"/>
      <c r="H110" s="429">
        <f>IF(H109=0,0,H109/((H109+$F109)/2))</f>
        <v>1.2307692307692308</v>
      </c>
      <c r="I110" s="430">
        <f>IF(I109=0,0,I109/((I109+$H109)/2))</f>
        <v>0.93333333333333335</v>
      </c>
      <c r="J110" s="430">
        <f t="shared" ref="J110" si="417">IF(J109=0,0,J109/((J109+$H109)/2))</f>
        <v>0.22222222222222221</v>
      </c>
      <c r="K110" s="430">
        <f t="shared" ref="K110" si="418">IF(K109=0,0,K109/((K109+$H109)/2))</f>
        <v>0.22222222222222221</v>
      </c>
      <c r="L110" s="430">
        <f t="shared" ref="L110" si="419">IF(L109=0,0,L109/((L109+$H109)/2))</f>
        <v>0</v>
      </c>
      <c r="M110" s="430">
        <f t="shared" ref="M110" si="420">IF(M109=0,0,M109/((M109+$H109)/2))</f>
        <v>0</v>
      </c>
      <c r="N110" s="430">
        <f t="shared" ref="N110" si="421">IF(N109=0,0,N109/((N109+$H109)/2))</f>
        <v>0</v>
      </c>
      <c r="O110" s="430">
        <f t="shared" ref="O110" si="422">IF(O109=0,0,O109/((O109+$H109)/2))</f>
        <v>0</v>
      </c>
      <c r="P110" s="430">
        <f t="shared" ref="P110" si="423">IF(P109=0,0,P109/((P109+$H109)/2))</f>
        <v>0</v>
      </c>
      <c r="Q110" s="430">
        <f t="shared" ref="Q110" si="424">IF(Q109=0,0,Q109/((Q109+$H109)/2))</f>
        <v>0</v>
      </c>
      <c r="R110" s="430">
        <f t="shared" ref="R110" si="425">IF(R109=0,0,R109/((R109+$H109)/2))</f>
        <v>0</v>
      </c>
      <c r="S110" s="431">
        <f t="shared" ref="S110" si="426">IF(S109=0,0,S109/((S109+$H109)/2))</f>
        <v>0</v>
      </c>
      <c r="U110" s="399">
        <f>IF(U109=0,0,U109/((U109+$F109)/2))</f>
        <v>0.33333333333333331</v>
      </c>
    </row>
    <row r="111" spans="2:21" hidden="1" outlineLevel="1" x14ac:dyDescent="0.2">
      <c r="B111" s="384"/>
      <c r="C111" s="385" t="s">
        <v>110</v>
      </c>
      <c r="D111" s="386" t="s">
        <v>95</v>
      </c>
      <c r="F111" s="400">
        <v>57</v>
      </c>
      <c r="H111" s="425">
        <f>'[7]Taux de Rotation des Stocks PF'!H111</f>
        <v>64</v>
      </c>
      <c r="I111" s="426">
        <f>'[7]Taux de Rotation des Stocks PF'!I111</f>
        <v>63</v>
      </c>
      <c r="J111" s="426">
        <f>'[7]Taux de Rotation des Stocks PF'!J111</f>
        <v>61</v>
      </c>
      <c r="K111" s="426">
        <f>'[7]Taux de Rotation des Stocks PF'!K111</f>
        <v>60</v>
      </c>
      <c r="L111" s="426">
        <f>'[7]Taux de Rotation des Stocks PF'!L111</f>
        <v>0</v>
      </c>
      <c r="M111" s="426">
        <f>'[7]Taux de Rotation des Stocks PF'!M111</f>
        <v>0</v>
      </c>
      <c r="N111" s="426">
        <f>'[7]Taux de Rotation des Stocks PF'!N111</f>
        <v>0</v>
      </c>
      <c r="O111" s="426">
        <f>'[7]Taux de Rotation des Stocks PF'!O111</f>
        <v>0</v>
      </c>
      <c r="P111" s="426">
        <f>'[7]Taux de Rotation des Stocks PF'!P111</f>
        <v>0</v>
      </c>
      <c r="Q111" s="426">
        <f>'[7]Taux de Rotation des Stocks PF'!Q111</f>
        <v>0</v>
      </c>
      <c r="R111" s="426">
        <f>'[7]Taux de Rotation des Stocks PF'!R111</f>
        <v>0</v>
      </c>
      <c r="S111" s="427">
        <f>'[7]Taux de Rotation des Stocks PF'!S111</f>
        <v>0</v>
      </c>
      <c r="U111" s="432">
        <f>INDEX(H111:S111,MATCH(0,H111:S111,0)-1)</f>
        <v>60</v>
      </c>
    </row>
    <row r="112" spans="2:21" hidden="1" outlineLevel="1" x14ac:dyDescent="0.2">
      <c r="B112" s="384"/>
      <c r="C112" s="393" t="str">
        <f>C111</f>
        <v>BT5LRECT</v>
      </c>
      <c r="D112" s="394" t="s">
        <v>86</v>
      </c>
      <c r="F112" s="395"/>
      <c r="H112" s="429">
        <f>IF(H111=0,0,H111/((H111+$F111)/2))</f>
        <v>1.0578512396694215</v>
      </c>
      <c r="I112" s="430">
        <f>IF(I111=0,0,I111/((I111+$H111)/2))</f>
        <v>0.99212598425196852</v>
      </c>
      <c r="J112" s="430">
        <f t="shared" ref="J112" si="427">IF(J111=0,0,J111/((J111+$H111)/2))</f>
        <v>0.97599999999999998</v>
      </c>
      <c r="K112" s="430">
        <f t="shared" ref="K112" si="428">IF(K111=0,0,K111/((K111+$H111)/2))</f>
        <v>0.967741935483871</v>
      </c>
      <c r="L112" s="430">
        <f t="shared" ref="L112" si="429">IF(L111=0,0,L111/((L111+$H111)/2))</f>
        <v>0</v>
      </c>
      <c r="M112" s="430">
        <f t="shared" ref="M112" si="430">IF(M111=0,0,M111/((M111+$H111)/2))</f>
        <v>0</v>
      </c>
      <c r="N112" s="430">
        <f t="shared" ref="N112" si="431">IF(N111=0,0,N111/((N111+$H111)/2))</f>
        <v>0</v>
      </c>
      <c r="O112" s="430">
        <f t="shared" ref="O112" si="432">IF(O111=0,0,O111/((O111+$H111)/2))</f>
        <v>0</v>
      </c>
      <c r="P112" s="430">
        <f t="shared" ref="P112" si="433">IF(P111=0,0,P111/((P111+$H111)/2))</f>
        <v>0</v>
      </c>
      <c r="Q112" s="430">
        <f t="shared" ref="Q112" si="434">IF(Q111=0,0,Q111/((Q111+$H111)/2))</f>
        <v>0</v>
      </c>
      <c r="R112" s="430">
        <f t="shared" ref="R112" si="435">IF(R111=0,0,R111/((R111+$H111)/2))</f>
        <v>0</v>
      </c>
      <c r="S112" s="431">
        <f t="shared" ref="S112" si="436">IF(S111=0,0,S111/((S111+$H111)/2))</f>
        <v>0</v>
      </c>
      <c r="U112" s="399">
        <f>IF(U111=0,0,U111/((U111+$F111)/2))</f>
        <v>1.0256410256410255</v>
      </c>
    </row>
    <row r="113" spans="2:21" hidden="1" outlineLevel="1" x14ac:dyDescent="0.2">
      <c r="B113" s="384"/>
      <c r="C113" s="385" t="s">
        <v>43</v>
      </c>
      <c r="D113" s="386" t="s">
        <v>95</v>
      </c>
      <c r="F113" s="400">
        <v>52</v>
      </c>
      <c r="H113" s="425">
        <f>'[7]Taux de Rotation des Stocks PF'!H113</f>
        <v>38</v>
      </c>
      <c r="I113" s="426">
        <f>'[7]Taux de Rotation des Stocks PF'!I113</f>
        <v>34</v>
      </c>
      <c r="J113" s="426">
        <f>'[7]Taux de Rotation des Stocks PF'!J113</f>
        <v>31</v>
      </c>
      <c r="K113" s="426">
        <f>'[7]Taux de Rotation des Stocks PF'!K113</f>
        <v>30</v>
      </c>
      <c r="L113" s="426">
        <f>'[7]Taux de Rotation des Stocks PF'!L113</f>
        <v>0</v>
      </c>
      <c r="M113" s="426">
        <f>'[7]Taux de Rotation des Stocks PF'!M113</f>
        <v>0</v>
      </c>
      <c r="N113" s="426">
        <f>'[7]Taux de Rotation des Stocks PF'!N113</f>
        <v>0</v>
      </c>
      <c r="O113" s="426">
        <f>'[7]Taux de Rotation des Stocks PF'!O113</f>
        <v>0</v>
      </c>
      <c r="P113" s="426">
        <f>'[7]Taux de Rotation des Stocks PF'!P113</f>
        <v>0</v>
      </c>
      <c r="Q113" s="426">
        <f>'[7]Taux de Rotation des Stocks PF'!Q113</f>
        <v>0</v>
      </c>
      <c r="R113" s="426">
        <f>'[7]Taux de Rotation des Stocks PF'!R113</f>
        <v>0</v>
      </c>
      <c r="S113" s="427">
        <f>'[7]Taux de Rotation des Stocks PF'!S113</f>
        <v>0</v>
      </c>
      <c r="U113" s="432">
        <f>INDEX(H113:S113,MATCH(0,H113:S113,0)-1)</f>
        <v>30</v>
      </c>
    </row>
    <row r="114" spans="2:21" hidden="1" outlineLevel="1" x14ac:dyDescent="0.2">
      <c r="B114" s="384"/>
      <c r="C114" s="393" t="str">
        <f>C113</f>
        <v>SC10L</v>
      </c>
      <c r="D114" s="394" t="s">
        <v>86</v>
      </c>
      <c r="F114" s="395"/>
      <c r="H114" s="429">
        <f>IF(H113=0,0,H113/((H113+$F113)/2))</f>
        <v>0.84444444444444444</v>
      </c>
      <c r="I114" s="430">
        <f>IF(I113=0,0,I113/((I113+$H113)/2))</f>
        <v>0.94444444444444442</v>
      </c>
      <c r="J114" s="430">
        <f t="shared" ref="J114" si="437">IF(J113=0,0,J113/((J113+$H113)/2))</f>
        <v>0.89855072463768115</v>
      </c>
      <c r="K114" s="430">
        <f t="shared" ref="K114" si="438">IF(K113=0,0,K113/((K113+$H113)/2))</f>
        <v>0.88235294117647056</v>
      </c>
      <c r="L114" s="430">
        <f t="shared" ref="L114" si="439">IF(L113=0,0,L113/((L113+$H113)/2))</f>
        <v>0</v>
      </c>
      <c r="M114" s="430">
        <f t="shared" ref="M114" si="440">IF(M113=0,0,M113/((M113+$H113)/2))</f>
        <v>0</v>
      </c>
      <c r="N114" s="430">
        <f t="shared" ref="N114" si="441">IF(N113=0,0,N113/((N113+$H113)/2))</f>
        <v>0</v>
      </c>
      <c r="O114" s="430">
        <f t="shared" ref="O114" si="442">IF(O113=0,0,O113/((O113+$H113)/2))</f>
        <v>0</v>
      </c>
      <c r="P114" s="430">
        <f t="shared" ref="P114" si="443">IF(P113=0,0,P113/((P113+$H113)/2))</f>
        <v>0</v>
      </c>
      <c r="Q114" s="430">
        <f t="shared" ref="Q114" si="444">IF(Q113=0,0,Q113/((Q113+$H113)/2))</f>
        <v>0</v>
      </c>
      <c r="R114" s="430">
        <f t="shared" ref="R114" si="445">IF(R113=0,0,R113/((R113+$H113)/2))</f>
        <v>0</v>
      </c>
      <c r="S114" s="431">
        <f t="shared" ref="S114" si="446">IF(S113=0,0,S113/((S113+$H113)/2))</f>
        <v>0</v>
      </c>
      <c r="U114" s="399">
        <f>IF(U113=0,0,U113/((U113+$F113)/2))</f>
        <v>0.73170731707317072</v>
      </c>
    </row>
    <row r="115" spans="2:21" hidden="1" outlineLevel="1" x14ac:dyDescent="0.2">
      <c r="B115" s="384"/>
      <c r="C115" s="385" t="s">
        <v>123</v>
      </c>
      <c r="D115" s="386" t="s">
        <v>95</v>
      </c>
      <c r="F115" s="400">
        <v>135</v>
      </c>
      <c r="H115" s="425">
        <f>'[7]Taux de Rotation des Stocks PF'!H115</f>
        <v>193</v>
      </c>
      <c r="I115" s="426">
        <f>'[7]Taux de Rotation des Stocks PF'!I115</f>
        <v>209</v>
      </c>
      <c r="J115" s="426">
        <f>'[7]Taux de Rotation des Stocks PF'!J115</f>
        <v>209</v>
      </c>
      <c r="K115" s="426">
        <f>'[7]Taux de Rotation des Stocks PF'!K115</f>
        <v>199</v>
      </c>
      <c r="L115" s="426">
        <f>'[7]Taux de Rotation des Stocks PF'!L115</f>
        <v>0</v>
      </c>
      <c r="M115" s="426">
        <f>'[7]Taux de Rotation des Stocks PF'!M115</f>
        <v>0</v>
      </c>
      <c r="N115" s="426">
        <f>'[7]Taux de Rotation des Stocks PF'!N115</f>
        <v>0</v>
      </c>
      <c r="O115" s="426">
        <f>'[7]Taux de Rotation des Stocks PF'!O115</f>
        <v>0</v>
      </c>
      <c r="P115" s="426">
        <f>'[7]Taux de Rotation des Stocks PF'!P115</f>
        <v>0</v>
      </c>
      <c r="Q115" s="426">
        <f>'[7]Taux de Rotation des Stocks PF'!Q115</f>
        <v>0</v>
      </c>
      <c r="R115" s="426">
        <f>'[7]Taux de Rotation des Stocks PF'!R115</f>
        <v>0</v>
      </c>
      <c r="S115" s="427">
        <f>'[7]Taux de Rotation des Stocks PF'!S115</f>
        <v>0</v>
      </c>
      <c r="U115" s="432">
        <f>INDEX(H115:S115,MATCH(0,H115:S115,0)-1)</f>
        <v>199</v>
      </c>
    </row>
    <row r="116" spans="2:21" hidden="1" outlineLevel="1" x14ac:dyDescent="0.2">
      <c r="B116" s="384"/>
      <c r="C116" s="393" t="str">
        <f>C115</f>
        <v>SC18L</v>
      </c>
      <c r="D116" s="394" t="s">
        <v>86</v>
      </c>
      <c r="F116" s="395"/>
      <c r="H116" s="429">
        <f>IF(H115=0,0,H115/((H115+$F115)/2))</f>
        <v>1.1768292682926829</v>
      </c>
      <c r="I116" s="430">
        <f>IF(I115=0,0,I115/((I115+$H115)/2))</f>
        <v>1.0398009950248757</v>
      </c>
      <c r="J116" s="430">
        <f t="shared" ref="J116" si="447">IF(J115=0,0,J115/((J115+$H115)/2))</f>
        <v>1.0398009950248757</v>
      </c>
      <c r="K116" s="430">
        <f t="shared" ref="K116" si="448">IF(K115=0,0,K115/((K115+$H115)/2))</f>
        <v>1.0153061224489797</v>
      </c>
      <c r="L116" s="430">
        <f t="shared" ref="L116" si="449">IF(L115=0,0,L115/((L115+$H115)/2))</f>
        <v>0</v>
      </c>
      <c r="M116" s="430">
        <f t="shared" ref="M116" si="450">IF(M115=0,0,M115/((M115+$H115)/2))</f>
        <v>0</v>
      </c>
      <c r="N116" s="430">
        <f t="shared" ref="N116" si="451">IF(N115=0,0,N115/((N115+$H115)/2))</f>
        <v>0</v>
      </c>
      <c r="O116" s="430">
        <f t="shared" ref="O116" si="452">IF(O115=0,0,O115/((O115+$H115)/2))</f>
        <v>0</v>
      </c>
      <c r="P116" s="430">
        <f t="shared" ref="P116" si="453">IF(P115=0,0,P115/((P115+$H115)/2))</f>
        <v>0</v>
      </c>
      <c r="Q116" s="430">
        <f t="shared" ref="Q116" si="454">IF(Q115=0,0,Q115/((Q115+$H115)/2))</f>
        <v>0</v>
      </c>
      <c r="R116" s="430">
        <f t="shared" ref="R116" si="455">IF(R115=0,0,R115/((R115+$H115)/2))</f>
        <v>0</v>
      </c>
      <c r="S116" s="431">
        <f t="shared" ref="S116" si="456">IF(S115=0,0,S115/((S115+$H115)/2))</f>
        <v>0</v>
      </c>
      <c r="U116" s="399">
        <f>IF(U115=0,0,U115/((U115+$F115)/2))</f>
        <v>1.1916167664670658</v>
      </c>
    </row>
    <row r="117" spans="2:21" hidden="1" outlineLevel="1" x14ac:dyDescent="0.2">
      <c r="B117" s="384"/>
      <c r="C117" s="385" t="s">
        <v>124</v>
      </c>
      <c r="D117" s="386" t="s">
        <v>95</v>
      </c>
      <c r="F117" s="400">
        <v>504</v>
      </c>
      <c r="H117" s="425">
        <f>'[7]Taux de Rotation des Stocks PF'!H117</f>
        <v>573</v>
      </c>
      <c r="I117" s="426">
        <f>'[7]Taux de Rotation des Stocks PF'!I117</f>
        <v>610</v>
      </c>
      <c r="J117" s="426">
        <f>'[7]Taux de Rotation des Stocks PF'!J117</f>
        <v>582</v>
      </c>
      <c r="K117" s="426">
        <f>'[7]Taux de Rotation des Stocks PF'!K117</f>
        <v>595</v>
      </c>
      <c r="L117" s="426">
        <f>'[7]Taux de Rotation des Stocks PF'!L117</f>
        <v>0</v>
      </c>
      <c r="M117" s="426">
        <f>'[7]Taux de Rotation des Stocks PF'!M117</f>
        <v>0</v>
      </c>
      <c r="N117" s="426">
        <f>'[7]Taux de Rotation des Stocks PF'!N117</f>
        <v>0</v>
      </c>
      <c r="O117" s="426">
        <f>'[7]Taux de Rotation des Stocks PF'!O117</f>
        <v>0</v>
      </c>
      <c r="P117" s="426">
        <f>'[7]Taux de Rotation des Stocks PF'!P117</f>
        <v>0</v>
      </c>
      <c r="Q117" s="426">
        <f>'[7]Taux de Rotation des Stocks PF'!Q117</f>
        <v>0</v>
      </c>
      <c r="R117" s="426">
        <f>'[7]Taux de Rotation des Stocks PF'!R117</f>
        <v>0</v>
      </c>
      <c r="S117" s="427">
        <f>'[7]Taux de Rotation des Stocks PF'!S117</f>
        <v>0</v>
      </c>
      <c r="U117" s="432">
        <f>INDEX(H117:S117,MATCH(0,H117:S117,0)-1)</f>
        <v>595</v>
      </c>
    </row>
    <row r="118" spans="2:21" hidden="1" outlineLevel="1" x14ac:dyDescent="0.2">
      <c r="B118" s="384"/>
      <c r="C118" s="393" t="str">
        <f>C117</f>
        <v>SC20L</v>
      </c>
      <c r="D118" s="394" t="s">
        <v>86</v>
      </c>
      <c r="F118" s="395"/>
      <c r="H118" s="429">
        <f>IF(H117=0,0,H117/((H117+$F117)/2))</f>
        <v>1.0640668523676879</v>
      </c>
      <c r="I118" s="430">
        <f>IF(I117=0,0,I117/((I117+$H117)/2))</f>
        <v>1.0312764158918004</v>
      </c>
      <c r="J118" s="430">
        <f t="shared" ref="J118" si="457">IF(J117=0,0,J117/((J117+$H117)/2))</f>
        <v>1.0077922077922077</v>
      </c>
      <c r="K118" s="430">
        <f t="shared" ref="K118" si="458">IF(K117=0,0,K117/((K117+$H117)/2))</f>
        <v>1.0188356164383561</v>
      </c>
      <c r="L118" s="430">
        <f t="shared" ref="L118" si="459">IF(L117=0,0,L117/((L117+$H117)/2))</f>
        <v>0</v>
      </c>
      <c r="M118" s="430">
        <f t="shared" ref="M118" si="460">IF(M117=0,0,M117/((M117+$H117)/2))</f>
        <v>0</v>
      </c>
      <c r="N118" s="430">
        <f t="shared" ref="N118" si="461">IF(N117=0,0,N117/((N117+$H117)/2))</f>
        <v>0</v>
      </c>
      <c r="O118" s="430">
        <f t="shared" ref="O118" si="462">IF(O117=0,0,O117/((O117+$H117)/2))</f>
        <v>0</v>
      </c>
      <c r="P118" s="430">
        <f t="shared" ref="P118" si="463">IF(P117=0,0,P117/((P117+$H117)/2))</f>
        <v>0</v>
      </c>
      <c r="Q118" s="430">
        <f t="shared" ref="Q118" si="464">IF(Q117=0,0,Q117/((Q117+$H117)/2))</f>
        <v>0</v>
      </c>
      <c r="R118" s="430">
        <f t="shared" ref="R118" si="465">IF(R117=0,0,R117/((R117+$H117)/2))</f>
        <v>0</v>
      </c>
      <c r="S118" s="431">
        <f t="shared" ref="S118" si="466">IF(S117=0,0,S117/((S117+$H117)/2))</f>
        <v>0</v>
      </c>
      <c r="U118" s="399">
        <f>IF(U117=0,0,U117/((U117+$F117)/2))</f>
        <v>1.0828025477707006</v>
      </c>
    </row>
    <row r="119" spans="2:21" hidden="1" outlineLevel="1" x14ac:dyDescent="0.2">
      <c r="B119" s="384"/>
      <c r="C119" s="385" t="s">
        <v>125</v>
      </c>
      <c r="D119" s="386" t="s">
        <v>95</v>
      </c>
      <c r="F119" s="400">
        <v>20</v>
      </c>
      <c r="H119" s="425">
        <f>'[7]Taux de Rotation des Stocks PF'!H119</f>
        <v>24</v>
      </c>
      <c r="I119" s="426">
        <f>'[7]Taux de Rotation des Stocks PF'!I119</f>
        <v>19</v>
      </c>
      <c r="J119" s="426">
        <f>'[7]Taux de Rotation des Stocks PF'!J119</f>
        <v>18</v>
      </c>
      <c r="K119" s="426">
        <f>'[7]Taux de Rotation des Stocks PF'!K119</f>
        <v>14</v>
      </c>
      <c r="L119" s="426">
        <f>'[7]Taux de Rotation des Stocks PF'!L119</f>
        <v>0</v>
      </c>
      <c r="M119" s="426">
        <f>'[7]Taux de Rotation des Stocks PF'!M119</f>
        <v>0</v>
      </c>
      <c r="N119" s="426">
        <f>'[7]Taux de Rotation des Stocks PF'!N119</f>
        <v>0</v>
      </c>
      <c r="O119" s="426">
        <f>'[7]Taux de Rotation des Stocks PF'!O119</f>
        <v>0</v>
      </c>
      <c r="P119" s="426">
        <f>'[7]Taux de Rotation des Stocks PF'!P119</f>
        <v>0</v>
      </c>
      <c r="Q119" s="426">
        <f>'[7]Taux de Rotation des Stocks PF'!Q119</f>
        <v>0</v>
      </c>
      <c r="R119" s="426">
        <f>'[7]Taux de Rotation des Stocks PF'!R119</f>
        <v>0</v>
      </c>
      <c r="S119" s="427">
        <f>'[7]Taux de Rotation des Stocks PF'!S119</f>
        <v>0</v>
      </c>
      <c r="U119" s="432">
        <f>INDEX(H119:S119,MATCH(0,H119:S119,0)-1)</f>
        <v>14</v>
      </c>
    </row>
    <row r="120" spans="2:21" hidden="1" outlineLevel="1" x14ac:dyDescent="0.2">
      <c r="B120" s="384"/>
      <c r="C120" s="393" t="str">
        <f>C119</f>
        <v>SC22L</v>
      </c>
      <c r="D120" s="394" t="s">
        <v>86</v>
      </c>
      <c r="F120" s="395"/>
      <c r="H120" s="429">
        <f>IF(H119=0,0,H119/((H119+$F119)/2))</f>
        <v>1.0909090909090908</v>
      </c>
      <c r="I120" s="430">
        <f>IF(I119=0,0,I119/((I119+$H119)/2))</f>
        <v>0.88372093023255816</v>
      </c>
      <c r="J120" s="430">
        <f t="shared" ref="J120" si="467">IF(J119=0,0,J119/((J119+$H119)/2))</f>
        <v>0.8571428571428571</v>
      </c>
      <c r="K120" s="430">
        <f t="shared" ref="K120" si="468">IF(K119=0,0,K119/((K119+$H119)/2))</f>
        <v>0.73684210526315785</v>
      </c>
      <c r="L120" s="430">
        <f t="shared" ref="L120" si="469">IF(L119=0,0,L119/((L119+$H119)/2))</f>
        <v>0</v>
      </c>
      <c r="M120" s="430">
        <f t="shared" ref="M120" si="470">IF(M119=0,0,M119/((M119+$H119)/2))</f>
        <v>0</v>
      </c>
      <c r="N120" s="430">
        <f t="shared" ref="N120" si="471">IF(N119=0,0,N119/((N119+$H119)/2))</f>
        <v>0</v>
      </c>
      <c r="O120" s="430">
        <f t="shared" ref="O120" si="472">IF(O119=0,0,O119/((O119+$H119)/2))</f>
        <v>0</v>
      </c>
      <c r="P120" s="430">
        <f t="shared" ref="P120" si="473">IF(P119=0,0,P119/((P119+$H119)/2))</f>
        <v>0</v>
      </c>
      <c r="Q120" s="430">
        <f t="shared" ref="Q120" si="474">IF(Q119=0,0,Q119/((Q119+$H119)/2))</f>
        <v>0</v>
      </c>
      <c r="R120" s="430">
        <f t="shared" ref="R120" si="475">IF(R119=0,0,R119/((R119+$H119)/2))</f>
        <v>0</v>
      </c>
      <c r="S120" s="431">
        <f t="shared" ref="S120" si="476">IF(S119=0,0,S119/((S119+$H119)/2))</f>
        <v>0</v>
      </c>
      <c r="U120" s="399">
        <f>IF(U119=0,0,U119/((U119+$F119)/2))</f>
        <v>0.82352941176470584</v>
      </c>
    </row>
    <row r="121" spans="2:21" hidden="1" outlineLevel="1" x14ac:dyDescent="0.2">
      <c r="B121" s="384"/>
      <c r="C121" s="385" t="s">
        <v>126</v>
      </c>
      <c r="D121" s="386" t="s">
        <v>95</v>
      </c>
      <c r="F121" s="400">
        <v>9</v>
      </c>
      <c r="H121" s="425">
        <f>'[7]Taux de Rotation des Stocks PF'!H121</f>
        <v>8</v>
      </c>
      <c r="I121" s="426">
        <f>'[7]Taux de Rotation des Stocks PF'!I121</f>
        <v>8</v>
      </c>
      <c r="J121" s="426">
        <f>'[7]Taux de Rotation des Stocks PF'!J121</f>
        <v>8</v>
      </c>
      <c r="K121" s="426">
        <f>'[7]Taux de Rotation des Stocks PF'!K121</f>
        <v>22</v>
      </c>
      <c r="L121" s="426">
        <f>'[7]Taux de Rotation des Stocks PF'!L121</f>
        <v>0</v>
      </c>
      <c r="M121" s="426">
        <f>'[7]Taux de Rotation des Stocks PF'!M121</f>
        <v>0</v>
      </c>
      <c r="N121" s="426">
        <f>'[7]Taux de Rotation des Stocks PF'!N121</f>
        <v>0</v>
      </c>
      <c r="O121" s="426">
        <f>'[7]Taux de Rotation des Stocks PF'!O121</f>
        <v>0</v>
      </c>
      <c r="P121" s="426">
        <f>'[7]Taux de Rotation des Stocks PF'!P121</f>
        <v>0</v>
      </c>
      <c r="Q121" s="426">
        <f>'[7]Taux de Rotation des Stocks PF'!Q121</f>
        <v>0</v>
      </c>
      <c r="R121" s="426">
        <f>'[7]Taux de Rotation des Stocks PF'!R121</f>
        <v>0</v>
      </c>
      <c r="S121" s="427">
        <f>'[7]Taux de Rotation des Stocks PF'!S121</f>
        <v>0</v>
      </c>
      <c r="U121" s="432">
        <f>INDEX(H121:S121,MATCH(0,H121:S121,0)-1)</f>
        <v>22</v>
      </c>
    </row>
    <row r="122" spans="2:21" hidden="1" outlineLevel="1" x14ac:dyDescent="0.2">
      <c r="B122" s="384"/>
      <c r="C122" s="393" t="str">
        <f>C121</f>
        <v>SC23L</v>
      </c>
      <c r="D122" s="394" t="s">
        <v>86</v>
      </c>
      <c r="F122" s="395"/>
      <c r="H122" s="429">
        <f>IF(H121=0,0,H121/((H121+$F121)/2))</f>
        <v>0.94117647058823528</v>
      </c>
      <c r="I122" s="430">
        <f>IF(I121=0,0,I121/((I121+$H121)/2))</f>
        <v>1</v>
      </c>
      <c r="J122" s="430">
        <f t="shared" ref="J122" si="477">IF(J121=0,0,J121/((J121+$H121)/2))</f>
        <v>1</v>
      </c>
      <c r="K122" s="430">
        <f t="shared" ref="K122" si="478">IF(K121=0,0,K121/((K121+$H121)/2))</f>
        <v>1.4666666666666666</v>
      </c>
      <c r="L122" s="430">
        <f t="shared" ref="L122" si="479">IF(L121=0,0,L121/((L121+$H121)/2))</f>
        <v>0</v>
      </c>
      <c r="M122" s="430">
        <f t="shared" ref="M122" si="480">IF(M121=0,0,M121/((M121+$H121)/2))</f>
        <v>0</v>
      </c>
      <c r="N122" s="430">
        <f t="shared" ref="N122" si="481">IF(N121=0,0,N121/((N121+$H121)/2))</f>
        <v>0</v>
      </c>
      <c r="O122" s="430">
        <f t="shared" ref="O122" si="482">IF(O121=0,0,O121/((O121+$H121)/2))</f>
        <v>0</v>
      </c>
      <c r="P122" s="430">
        <f t="shared" ref="P122" si="483">IF(P121=0,0,P121/((P121+$H121)/2))</f>
        <v>0</v>
      </c>
      <c r="Q122" s="430">
        <f t="shared" ref="Q122" si="484">IF(Q121=0,0,Q121/((Q121+$H121)/2))</f>
        <v>0</v>
      </c>
      <c r="R122" s="430">
        <f t="shared" ref="R122" si="485">IF(R121=0,0,R121/((R121+$H121)/2))</f>
        <v>0</v>
      </c>
      <c r="S122" s="431">
        <f t="shared" ref="S122" si="486">IF(S121=0,0,S121/((S121+$H121)/2))</f>
        <v>0</v>
      </c>
      <c r="U122" s="399">
        <f>IF(U121=0,0,U121/((U121+$F121)/2))</f>
        <v>1.4193548387096775</v>
      </c>
    </row>
    <row r="123" spans="2:21" hidden="1" outlineLevel="1" x14ac:dyDescent="0.2">
      <c r="B123" s="384"/>
      <c r="C123" s="385" t="s">
        <v>44</v>
      </c>
      <c r="D123" s="386" t="s">
        <v>95</v>
      </c>
      <c r="F123" s="400">
        <v>0</v>
      </c>
      <c r="H123" s="425">
        <f>'[7]Taux de Rotation des Stocks PF'!H123</f>
        <v>8</v>
      </c>
      <c r="I123" s="426">
        <f>'[7]Taux de Rotation des Stocks PF'!I123</f>
        <v>0</v>
      </c>
      <c r="J123" s="426">
        <f>'[7]Taux de Rotation des Stocks PF'!J123</f>
        <v>0</v>
      </c>
      <c r="K123" s="426">
        <f>'[7]Taux de Rotation des Stocks PF'!K123</f>
        <v>0</v>
      </c>
      <c r="L123" s="426">
        <f>'[7]Taux de Rotation des Stocks PF'!L123</f>
        <v>0</v>
      </c>
      <c r="M123" s="426">
        <f>'[7]Taux de Rotation des Stocks PF'!M123</f>
        <v>0</v>
      </c>
      <c r="N123" s="426">
        <f>'[7]Taux de Rotation des Stocks PF'!N123</f>
        <v>0</v>
      </c>
      <c r="O123" s="426">
        <f>'[7]Taux de Rotation des Stocks PF'!O123</f>
        <v>0</v>
      </c>
      <c r="P123" s="426">
        <f>'[7]Taux de Rotation des Stocks PF'!P123</f>
        <v>0</v>
      </c>
      <c r="Q123" s="426">
        <f>'[7]Taux de Rotation des Stocks PF'!Q123</f>
        <v>0</v>
      </c>
      <c r="R123" s="426">
        <f>'[7]Taux de Rotation des Stocks PF'!R123</f>
        <v>0</v>
      </c>
      <c r="S123" s="427">
        <f>'[7]Taux de Rotation des Stocks PF'!S123</f>
        <v>0</v>
      </c>
      <c r="U123" s="432">
        <f>INDEX(H123:S123,MATCH(0,H123:S123,0)-1)</f>
        <v>8</v>
      </c>
    </row>
    <row r="124" spans="2:21" hidden="1" outlineLevel="1" x14ac:dyDescent="0.2">
      <c r="B124" s="384"/>
      <c r="C124" s="393" t="str">
        <f>C123</f>
        <v>SC4L</v>
      </c>
      <c r="D124" s="394" t="s">
        <v>86</v>
      </c>
      <c r="F124" s="395"/>
      <c r="H124" s="429">
        <f>IF(H123=0,0,H123/((H123+$F123)/2))</f>
        <v>2</v>
      </c>
      <c r="I124" s="430">
        <f>IF(I123=0,0,I123/((I123+$H123)/2))</f>
        <v>0</v>
      </c>
      <c r="J124" s="430">
        <f t="shared" ref="J124" si="487">IF(J123=0,0,J123/((J123+$H123)/2))</f>
        <v>0</v>
      </c>
      <c r="K124" s="430">
        <f t="shared" ref="K124" si="488">IF(K123=0,0,K123/((K123+$H123)/2))</f>
        <v>0</v>
      </c>
      <c r="L124" s="430">
        <f t="shared" ref="L124" si="489">IF(L123=0,0,L123/((L123+$H123)/2))</f>
        <v>0</v>
      </c>
      <c r="M124" s="430">
        <f t="shared" ref="M124" si="490">IF(M123=0,0,M123/((M123+$H123)/2))</f>
        <v>0</v>
      </c>
      <c r="N124" s="430">
        <f t="shared" ref="N124" si="491">IF(N123=0,0,N123/((N123+$H123)/2))</f>
        <v>0</v>
      </c>
      <c r="O124" s="430">
        <f t="shared" ref="O124" si="492">IF(O123=0,0,O123/((O123+$H123)/2))</f>
        <v>0</v>
      </c>
      <c r="P124" s="430">
        <f t="shared" ref="P124" si="493">IF(P123=0,0,P123/((P123+$H123)/2))</f>
        <v>0</v>
      </c>
      <c r="Q124" s="430">
        <f t="shared" ref="Q124" si="494">IF(Q123=0,0,Q123/((Q123+$H123)/2))</f>
        <v>0</v>
      </c>
      <c r="R124" s="430">
        <f t="shared" ref="R124" si="495">IF(R123=0,0,R123/((R123+$H123)/2))</f>
        <v>0</v>
      </c>
      <c r="S124" s="431">
        <f t="shared" ref="S124" si="496">IF(S123=0,0,S123/((S123+$H123)/2))</f>
        <v>0</v>
      </c>
      <c r="U124" s="399">
        <f>IF(U123=0,0,U123/((U123+$F123)/2))</f>
        <v>2</v>
      </c>
    </row>
    <row r="125" spans="2:21" hidden="1" outlineLevel="1" x14ac:dyDescent="0.2">
      <c r="B125" s="384"/>
      <c r="C125" s="385" t="s">
        <v>45</v>
      </c>
      <c r="D125" s="386" t="s">
        <v>95</v>
      </c>
      <c r="F125" s="408">
        <v>184</v>
      </c>
      <c r="H125" s="433">
        <f>'[7]Taux de Rotation des Stocks PF'!H125</f>
        <v>165</v>
      </c>
      <c r="I125" s="434">
        <f>'[7]Taux de Rotation des Stocks PF'!I125</f>
        <v>238</v>
      </c>
      <c r="J125" s="434">
        <f>'[7]Taux de Rotation des Stocks PF'!J125</f>
        <v>177</v>
      </c>
      <c r="K125" s="434">
        <f>'[7]Taux de Rotation des Stocks PF'!K125</f>
        <v>135</v>
      </c>
      <c r="L125" s="434">
        <f>'[7]Taux de Rotation des Stocks PF'!L125</f>
        <v>0</v>
      </c>
      <c r="M125" s="434">
        <f>'[7]Taux de Rotation des Stocks PF'!M125</f>
        <v>0</v>
      </c>
      <c r="N125" s="434">
        <f>'[7]Taux de Rotation des Stocks PF'!N125</f>
        <v>0</v>
      </c>
      <c r="O125" s="434">
        <f>'[7]Taux de Rotation des Stocks PF'!O125</f>
        <v>0</v>
      </c>
      <c r="P125" s="434">
        <f>'[7]Taux de Rotation des Stocks PF'!P125</f>
        <v>0</v>
      </c>
      <c r="Q125" s="434">
        <f>'[7]Taux de Rotation des Stocks PF'!Q125</f>
        <v>0</v>
      </c>
      <c r="R125" s="434">
        <f>'[7]Taux de Rotation des Stocks PF'!R125</f>
        <v>0</v>
      </c>
      <c r="S125" s="435">
        <f>'[7]Taux de Rotation des Stocks PF'!S125</f>
        <v>0</v>
      </c>
      <c r="U125" s="436">
        <f>INDEX(H125:S125,MATCH(0,H125:S125,0)-1)</f>
        <v>135</v>
      </c>
    </row>
    <row r="126" spans="2:21" hidden="1" outlineLevel="1" x14ac:dyDescent="0.2">
      <c r="B126" s="437"/>
      <c r="C126" s="438" t="str">
        <f>C125</f>
        <v>SC5L</v>
      </c>
      <c r="D126" s="439" t="s">
        <v>86</v>
      </c>
      <c r="F126" s="440"/>
      <c r="H126" s="441">
        <f>IF(H125=0,0,H125/((H125+$F125)/2))</f>
        <v>0.94555873925501432</v>
      </c>
      <c r="I126" s="442">
        <f>IF(I125=0,0,I125/((I125+$H125)/2))</f>
        <v>1.1811414392059554</v>
      </c>
      <c r="J126" s="442">
        <f t="shared" ref="J126" si="497">IF(J125=0,0,J125/((J125+$H125)/2))</f>
        <v>1.0350877192982457</v>
      </c>
      <c r="K126" s="442">
        <f t="shared" ref="K126" si="498">IF(K125=0,0,K125/((K125+$H125)/2))</f>
        <v>0.9</v>
      </c>
      <c r="L126" s="442">
        <f t="shared" ref="L126" si="499">IF(L125=0,0,L125/((L125+$H125)/2))</f>
        <v>0</v>
      </c>
      <c r="M126" s="442">
        <f t="shared" ref="M126" si="500">IF(M125=0,0,M125/((M125+$H125)/2))</f>
        <v>0</v>
      </c>
      <c r="N126" s="442">
        <f t="shared" ref="N126" si="501">IF(N125=0,0,N125/((N125+$H125)/2))</f>
        <v>0</v>
      </c>
      <c r="O126" s="442">
        <f t="shared" ref="O126" si="502">IF(O125=0,0,O125/((O125+$H125)/2))</f>
        <v>0</v>
      </c>
      <c r="P126" s="442">
        <f t="shared" ref="P126" si="503">IF(P125=0,0,P125/((P125+$H125)/2))</f>
        <v>0</v>
      </c>
      <c r="Q126" s="442">
        <f t="shared" ref="Q126" si="504">IF(Q125=0,0,Q125/((Q125+$H125)/2))</f>
        <v>0</v>
      </c>
      <c r="R126" s="442">
        <f t="shared" ref="R126" si="505">IF(R125=0,0,R125/((R125+$H125)/2))</f>
        <v>0</v>
      </c>
      <c r="S126" s="443">
        <f t="shared" ref="S126" si="506">IF(S125=0,0,S125/((S125+$H125)/2))</f>
        <v>0</v>
      </c>
      <c r="U126" s="444">
        <f>IF(U125=0,0,U125/((U125+$F125)/2))</f>
        <v>0.84639498432601878</v>
      </c>
    </row>
    <row r="127" spans="2:21" collapsed="1" x14ac:dyDescent="0.2"/>
  </sheetData>
  <autoFilter ref="A22:V126" xr:uid="{198BA48E-B658-4562-8AED-DB821F91C5A9}"/>
  <mergeCells count="2">
    <mergeCell ref="A1:B1"/>
    <mergeCell ref="U15:U19"/>
  </mergeCells>
  <conditionalFormatting sqref="F76">
    <cfRule type="cellIs" dxfId="6" priority="4" operator="greaterThanOrEqual">
      <formula>0.9</formula>
    </cfRule>
    <cfRule type="cellIs" dxfId="5" priority="5" operator="lessThanOrEqual">
      <formula>0.5</formula>
    </cfRule>
  </conditionalFormatting>
  <conditionalFormatting sqref="H17:S17 F19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{1F65A5F1-FCB3-4E39-BFFE-937D9F3DF5E0}</x14:id>
        </ext>
      </extLst>
    </cfRule>
  </conditionalFormatting>
  <conditionalFormatting sqref="F17:S17 F19">
    <cfRule type="dataBar" priority="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{6D230DE1-6CF8-4B6E-9FA4-6AFAAFE28AFE}</x14:id>
        </ext>
      </extLst>
    </cfRule>
  </conditionalFormatting>
  <conditionalFormatting sqref="F22">
    <cfRule type="cellIs" dxfId="4" priority="1" operator="greaterThanOrEqual">
      <formula>0.9</formula>
    </cfRule>
    <cfRule type="cellIs" dxfId="3" priority="2" operator="lessThanOrEqual">
      <formula>0.5</formula>
    </cfRule>
  </conditionalFormatting>
  <hyperlinks>
    <hyperlink ref="A1:B1" r:id="rId1" location="Récapitulatif!A1" display="TBD CCE" xr:uid="{E9100E79-3531-4FC5-9E95-A67CB924F2EC}"/>
  </hyperlinks>
  <pageMargins left="0.7" right="0.7" top="0.75" bottom="0.75" header="0.3" footer="0.3"/>
  <ignoredErrors>
    <ignoredError sqref="H23:U23 U22 H25:U25 H24 T24:U24 H27:U27 T26:U26 H29:U29 T28:U28 H31:U31 T30:U30 H33:U33 T32:U32 H35:U35 T34:U34 H37:U37 T36:U36 H39:U39 T38:U38 H41:U41 T40:U40 H43:U43 T42:U42 H45:U45 T44:U44 H47:U47 T46:U46 H49:U49 T48:U48 H51:U51 T50:U50 H53:U53 T52:U52 H55:U55 T54:U54 H57:U57 T56:U56 H59:U59 T58:U58 H61:U61 T60:U60 H63:U63 T62:U62 H65:U65 T64:U64 H67:U67 T66:U66 H69:U69 T68:U68 H71:U71 T70:U70 H73:U73 T72:U72 H75:U77 T74:U74 H79:U79 T78:U78 H81:U81 T80:U80 H83:U83 T82:U82 H85:U85 T84:U84 H87:U87 T86:U86 H89:U89 T88:U88 H91:U91 T90:U90 H93:U93 T92:U92 H95:U95 T94:U94 H97:U97 T96:U96 H99:U99 T98:U98 H101:U101 T100:U100 H103:U103 T102:U102 H105:U105 T104:U104 H107:U107 T106:U106 H109:U109 T108:U108 H111:U111 T110:U110 H113:U113 T112:U112 H115:U115 T114:U114 H117:U117 T116:U116 H119:U119 T118:U118 H121:U121 T120:U120 H123:U123 T122:U122 H125:U125 T124:U124 T126:U126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F65A5F1-FCB3-4E39-BFFE-937D9F3DF5E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H17:S17 F19</xm:sqref>
        </x14:conditionalFormatting>
        <x14:conditionalFormatting xmlns:xm="http://schemas.microsoft.com/office/excel/2006/main">
          <x14:cfRule type="dataBar" id="{6D230DE1-6CF8-4B6E-9FA4-6AFAAFE28AF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F17:S17 F19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53413-01E1-437A-83A6-9DAD1AD29B63}">
  <sheetPr>
    <tabColor theme="9" tint="-0.249977111117893"/>
  </sheetPr>
  <dimension ref="A1:AE131"/>
  <sheetViews>
    <sheetView showGridLines="0" zoomScale="90" zoomScaleNormal="90" workbookViewId="0">
      <selection activeCell="F78" sqref="F78:Q78"/>
    </sheetView>
  </sheetViews>
  <sheetFormatPr baseColWidth="10" defaultRowHeight="12.75" outlineLevelRow="1" x14ac:dyDescent="0.2"/>
  <cols>
    <col min="1" max="1" width="3.28515625" style="292" customWidth="1"/>
    <col min="2" max="2" width="10.28515625" style="291" bestFit="1" customWidth="1"/>
    <col min="3" max="3" width="21.85546875" style="292" bestFit="1" customWidth="1"/>
    <col min="4" max="4" width="11.7109375" style="292" bestFit="1" customWidth="1"/>
    <col min="5" max="5" width="0.85546875" style="511" customWidth="1"/>
    <col min="6" max="7" width="10.7109375" style="291" bestFit="1" customWidth="1"/>
    <col min="8" max="8" width="10.7109375" style="291" customWidth="1"/>
    <col min="9" max="10" width="10.7109375" style="291" bestFit="1" customWidth="1"/>
    <col min="11" max="11" width="11.42578125" style="291"/>
    <col min="12" max="12" width="11.5703125" style="291" customWidth="1"/>
    <col min="13" max="13" width="10.28515625" style="291" customWidth="1"/>
    <col min="14" max="16" width="10.7109375" style="291" bestFit="1" customWidth="1"/>
    <col min="17" max="17" width="10.7109375" style="291" customWidth="1"/>
    <col min="18" max="18" width="0.85546875" style="292" customWidth="1"/>
    <col min="19" max="19" width="15.28515625" style="293" bestFit="1" customWidth="1"/>
    <col min="20" max="20" width="22.7109375" style="292" bestFit="1" customWidth="1"/>
    <col min="21" max="16384" width="11.42578125" style="292"/>
  </cols>
  <sheetData>
    <row r="1" spans="1:19" ht="15" x14ac:dyDescent="0.25">
      <c r="A1" s="760" t="s">
        <v>66</v>
      </c>
      <c r="B1" s="760"/>
    </row>
    <row r="8" spans="1:19" x14ac:dyDescent="0.2">
      <c r="C8" s="177"/>
      <c r="D8" s="445"/>
    </row>
    <row r="15" spans="1:19" ht="5.0999999999999996" customHeight="1" x14ac:dyDescent="0.2">
      <c r="C15" s="177"/>
      <c r="D15" s="177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</row>
    <row r="16" spans="1:19" ht="3" customHeight="1" x14ac:dyDescent="0.2">
      <c r="D16" s="296"/>
      <c r="E16" s="512"/>
      <c r="F16" s="446"/>
      <c r="G16" s="446"/>
      <c r="H16" s="446"/>
      <c r="I16" s="446"/>
      <c r="J16" s="446"/>
      <c r="K16" s="446"/>
      <c r="L16" s="446"/>
      <c r="M16" s="446"/>
      <c r="N16" s="446"/>
      <c r="O16" s="446"/>
      <c r="P16" s="446"/>
      <c r="Q16" s="446"/>
      <c r="S16" s="352"/>
    </row>
    <row r="17" spans="2:20" ht="12.75" customHeight="1" x14ac:dyDescent="0.2">
      <c r="C17" s="447" t="s">
        <v>127</v>
      </c>
      <c r="D17" s="448">
        <f>IF(D19=0,0,SUMIF(F19:Q19,"&lt;&gt;0",F24:Q24)/D19)</f>
        <v>97.829844440176672</v>
      </c>
      <c r="E17" s="513"/>
      <c r="F17" s="448">
        <f>SUM(F23,F78)</f>
        <v>57.783942372927939</v>
      </c>
      <c r="G17" s="449">
        <f t="shared" ref="G17:Q17" si="0">SUM(G23,G78)</f>
        <v>51.206318681318685</v>
      </c>
      <c r="H17" s="449">
        <f t="shared" si="0"/>
        <v>55.875802289734224</v>
      </c>
      <c r="I17" s="449">
        <f t="shared" si="0"/>
        <v>52.248618876970539</v>
      </c>
      <c r="J17" s="449">
        <f t="shared" si="0"/>
        <v>0</v>
      </c>
      <c r="K17" s="449">
        <f t="shared" si="0"/>
        <v>0</v>
      </c>
      <c r="L17" s="449">
        <f t="shared" si="0"/>
        <v>0</v>
      </c>
      <c r="M17" s="449">
        <f t="shared" si="0"/>
        <v>0</v>
      </c>
      <c r="N17" s="449">
        <f t="shared" si="0"/>
        <v>0</v>
      </c>
      <c r="O17" s="449">
        <f t="shared" si="0"/>
        <v>0</v>
      </c>
      <c r="P17" s="449">
        <f t="shared" si="0"/>
        <v>0</v>
      </c>
      <c r="Q17" s="450">
        <f t="shared" si="0"/>
        <v>0</v>
      </c>
      <c r="S17" s="811">
        <f>SUMIF(F19:Q19,"&lt;&gt;0",F24:Q24)/D19</f>
        <v>97.829844440176672</v>
      </c>
    </row>
    <row r="18" spans="2:20" ht="3" customHeight="1" x14ac:dyDescent="0.2"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S18" s="811">
        <f>IF(S20=0,0,$D$8/S20)</f>
        <v>0</v>
      </c>
    </row>
    <row r="19" spans="2:20" ht="12.75" customHeight="1" x14ac:dyDescent="0.2">
      <c r="C19" s="447" t="s">
        <v>97</v>
      </c>
      <c r="D19" s="451">
        <f>+'[7]Taux de Rotation des Stocks PF'!F15</f>
        <v>1.2266195524146055</v>
      </c>
      <c r="E19" s="513"/>
      <c r="F19" s="452">
        <f>+'[7]Taux de Rotation des Stocks PF'!H15</f>
        <v>1.070629865534324</v>
      </c>
      <c r="G19" s="453">
        <f>+'[7]Taux de Rotation des Stocks PF'!I15</f>
        <v>1.9994749331423083</v>
      </c>
      <c r="H19" s="453">
        <f>+'[7]Taux de Rotation des Stocks PF'!J15</f>
        <v>1.9991201429420751</v>
      </c>
      <c r="I19" s="453">
        <f>+'[7]Taux de Rotation des Stocks PF'!K15</f>
        <v>1.9992324359836378</v>
      </c>
      <c r="J19" s="453">
        <f>+'[7]Taux de Rotation des Stocks PF'!L15</f>
        <v>0</v>
      </c>
      <c r="K19" s="453">
        <f>+'[7]Taux de Rotation des Stocks PF'!M15</f>
        <v>0</v>
      </c>
      <c r="L19" s="453">
        <f>+'[7]Taux de Rotation des Stocks PF'!N15</f>
        <v>0</v>
      </c>
      <c r="M19" s="453">
        <f>+'[7]Taux de Rotation des Stocks PF'!O15</f>
        <v>0</v>
      </c>
      <c r="N19" s="453">
        <f>+'[7]Taux de Rotation des Stocks PF'!P15</f>
        <v>0</v>
      </c>
      <c r="O19" s="453">
        <f>+'[7]Taux de Rotation des Stocks PF'!Q15</f>
        <v>0</v>
      </c>
      <c r="P19" s="453">
        <f>+'[7]Taux de Rotation des Stocks PF'!R15</f>
        <v>0</v>
      </c>
      <c r="Q19" s="454">
        <f>+'[7]Taux de Rotation des Stocks PF'!S15</f>
        <v>0</v>
      </c>
      <c r="S19" s="811">
        <f>IF(S21=0,0,$D$8/S21)</f>
        <v>0</v>
      </c>
    </row>
    <row r="20" spans="2:20" ht="3" customHeight="1" x14ac:dyDescent="0.2">
      <c r="C20" s="177"/>
      <c r="D20" s="177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S20" s="811">
        <f>IF(S22=0,0,$D$8/S22)</f>
        <v>0</v>
      </c>
    </row>
    <row r="21" spans="2:20" ht="12.75" customHeight="1" x14ac:dyDescent="0.2">
      <c r="C21" s="177"/>
      <c r="D21" s="177"/>
      <c r="E21" s="513"/>
      <c r="F21" s="455" t="s">
        <v>8</v>
      </c>
      <c r="G21" s="455" t="s">
        <v>9</v>
      </c>
      <c r="H21" s="455" t="s">
        <v>10</v>
      </c>
      <c r="I21" s="455" t="s">
        <v>11</v>
      </c>
      <c r="J21" s="455" t="s">
        <v>12</v>
      </c>
      <c r="K21" s="455" t="s">
        <v>13</v>
      </c>
      <c r="L21" s="455" t="s">
        <v>14</v>
      </c>
      <c r="M21" s="455" t="s">
        <v>15</v>
      </c>
      <c r="N21" s="455" t="s">
        <v>16</v>
      </c>
      <c r="O21" s="455" t="s">
        <v>17</v>
      </c>
      <c r="P21" s="455" t="s">
        <v>18</v>
      </c>
      <c r="Q21" s="456" t="s">
        <v>19</v>
      </c>
      <c r="S21" s="811">
        <f>IF(S23=0,0,$D$8/S23)</f>
        <v>0</v>
      </c>
    </row>
    <row r="22" spans="2:20" ht="3" customHeight="1" x14ac:dyDescent="0.2">
      <c r="C22" s="177"/>
      <c r="D22" s="177"/>
      <c r="F22" s="457"/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58"/>
    </row>
    <row r="23" spans="2:20" x14ac:dyDescent="0.2">
      <c r="B23" s="812" t="s">
        <v>58</v>
      </c>
      <c r="C23" s="813"/>
      <c r="D23" s="459" t="s">
        <v>127</v>
      </c>
      <c r="F23" s="460">
        <f>IF(F25=0,0,F24/F25)</f>
        <v>27.724986025712688</v>
      </c>
      <c r="G23" s="461">
        <f t="shared" ref="G23:Q23" si="1">IF(G25=0,0,G24/G25)</f>
        <v>24.552350427350429</v>
      </c>
      <c r="H23" s="461">
        <f t="shared" si="1"/>
        <v>24.826439232409381</v>
      </c>
      <c r="I23" s="461">
        <f t="shared" si="1"/>
        <v>21.927986906710313</v>
      </c>
      <c r="J23" s="461">
        <f t="shared" si="1"/>
        <v>0</v>
      </c>
      <c r="K23" s="461">
        <f t="shared" si="1"/>
        <v>0</v>
      </c>
      <c r="L23" s="461">
        <f t="shared" si="1"/>
        <v>0</v>
      </c>
      <c r="M23" s="461">
        <f t="shared" si="1"/>
        <v>0</v>
      </c>
      <c r="N23" s="461">
        <f t="shared" si="1"/>
        <v>0</v>
      </c>
      <c r="O23" s="461">
        <f t="shared" si="1"/>
        <v>0</v>
      </c>
      <c r="P23" s="461">
        <f t="shared" si="1"/>
        <v>0</v>
      </c>
      <c r="Q23" s="462">
        <f t="shared" si="1"/>
        <v>0</v>
      </c>
      <c r="R23" s="291"/>
      <c r="S23" s="463">
        <f>SUMIF($F$23:$Q$23,"&lt;&gt;0",$F$24:$Q$24)/S25</f>
        <v>87.711947626841251</v>
      </c>
    </row>
    <row r="24" spans="2:20" x14ac:dyDescent="0.2">
      <c r="B24" s="814"/>
      <c r="C24" s="815"/>
      <c r="D24" s="464" t="s">
        <v>85</v>
      </c>
      <c r="F24" s="465">
        <v>31</v>
      </c>
      <c r="G24" s="466">
        <v>28</v>
      </c>
      <c r="H24" s="466">
        <v>31</v>
      </c>
      <c r="I24" s="466">
        <v>30</v>
      </c>
      <c r="J24" s="466">
        <v>31</v>
      </c>
      <c r="K24" s="466">
        <v>30</v>
      </c>
      <c r="L24" s="466">
        <v>31</v>
      </c>
      <c r="M24" s="466">
        <v>31</v>
      </c>
      <c r="N24" s="466">
        <v>30</v>
      </c>
      <c r="O24" s="466">
        <v>31</v>
      </c>
      <c r="P24" s="466">
        <v>30</v>
      </c>
      <c r="Q24" s="467">
        <v>31</v>
      </c>
      <c r="R24" s="291"/>
      <c r="S24" s="468">
        <f>SUM(F24:Q24)</f>
        <v>365</v>
      </c>
    </row>
    <row r="25" spans="2:20" x14ac:dyDescent="0.2">
      <c r="B25" s="816"/>
      <c r="C25" s="817"/>
      <c r="D25" s="469" t="s">
        <v>86</v>
      </c>
      <c r="F25" s="470">
        <f>'[7]Taux de Rotation des Stocks PF'!H22</f>
        <v>1.118125</v>
      </c>
      <c r="G25" s="471">
        <f>'[7]Taux de Rotation des Stocks PF'!I22</f>
        <v>1.1404203472433749</v>
      </c>
      <c r="H25" s="471">
        <f>'[7]Taux de Rotation des Stocks PF'!J22</f>
        <v>1.2486687965921193</v>
      </c>
      <c r="I25" s="471">
        <f>'[7]Taux de Rotation des Stocks PF'!K22</f>
        <v>1.3681146439767129</v>
      </c>
      <c r="J25" s="471">
        <f>'[7]Taux de Rotation des Stocks PF'!L22</f>
        <v>0</v>
      </c>
      <c r="K25" s="471">
        <f>'[7]Taux de Rotation des Stocks PF'!M22</f>
        <v>0</v>
      </c>
      <c r="L25" s="471">
        <f>'[7]Taux de Rotation des Stocks PF'!N22</f>
        <v>0</v>
      </c>
      <c r="M25" s="471">
        <f>'[7]Taux de Rotation des Stocks PF'!O22</f>
        <v>0</v>
      </c>
      <c r="N25" s="471">
        <f>'[7]Taux de Rotation des Stocks PF'!P22</f>
        <v>0</v>
      </c>
      <c r="O25" s="471">
        <f>'[7]Taux de Rotation des Stocks PF'!Q22</f>
        <v>0</v>
      </c>
      <c r="P25" s="471">
        <f>'[7]Taux de Rotation des Stocks PF'!R22</f>
        <v>0</v>
      </c>
      <c r="Q25" s="472">
        <f>'[7]Taux de Rotation des Stocks PF'!S22</f>
        <v>0</v>
      </c>
      <c r="R25" s="291"/>
      <c r="S25" s="473">
        <f>'[7]Taux de Rotation des Stocks PF'!U22</f>
        <v>1.3681146439767129</v>
      </c>
      <c r="T25" s="383">
        <f>100%-S25</f>
        <v>-0.3681146439767129</v>
      </c>
    </row>
    <row r="26" spans="2:20" hidden="1" outlineLevel="1" x14ac:dyDescent="0.2">
      <c r="B26" s="474"/>
      <c r="C26" s="475" t="s">
        <v>47</v>
      </c>
      <c r="D26" s="476" t="s">
        <v>127</v>
      </c>
      <c r="E26" s="514"/>
      <c r="F26" s="477">
        <f>IF(F27=0,0,F$24/F27)</f>
        <v>33.17</v>
      </c>
      <c r="G26" s="478">
        <f t="shared" ref="G26:Q26" si="2">IF(G27=0,0,G$24/G27)</f>
        <v>25.413043478260867</v>
      </c>
      <c r="H26" s="478">
        <f t="shared" si="2"/>
        <v>20.772108843537413</v>
      </c>
      <c r="I26" s="478">
        <f t="shared" si="2"/>
        <v>18.308823529411764</v>
      </c>
      <c r="J26" s="478">
        <f t="shared" si="2"/>
        <v>0</v>
      </c>
      <c r="K26" s="478">
        <f t="shared" si="2"/>
        <v>0</v>
      </c>
      <c r="L26" s="478">
        <f t="shared" si="2"/>
        <v>0</v>
      </c>
      <c r="M26" s="478">
        <f t="shared" si="2"/>
        <v>0</v>
      </c>
      <c r="N26" s="478">
        <f t="shared" si="2"/>
        <v>0</v>
      </c>
      <c r="O26" s="478">
        <f t="shared" si="2"/>
        <v>0</v>
      </c>
      <c r="P26" s="478">
        <f t="shared" si="2"/>
        <v>0</v>
      </c>
      <c r="Q26" s="479">
        <f t="shared" si="2"/>
        <v>0</v>
      </c>
      <c r="R26" s="388"/>
      <c r="S26" s="480">
        <f>SUMIF($F$23:$Q$23,"&lt;&gt;0",$F$24:$Q$24)/S27</f>
        <v>75.088235294117652</v>
      </c>
    </row>
    <row r="27" spans="2:20" hidden="1" outlineLevel="1" x14ac:dyDescent="0.2">
      <c r="B27" s="474"/>
      <c r="C27" s="481" t="s">
        <v>47</v>
      </c>
      <c r="D27" s="482" t="s">
        <v>86</v>
      </c>
      <c r="E27" s="514"/>
      <c r="F27" s="483">
        <f>'[7]Taux de Rotation des Stocks PF'!H24</f>
        <v>0.93457943925233644</v>
      </c>
      <c r="G27" s="484">
        <f>'[7]Taux de Rotation des Stocks PF'!I24</f>
        <v>1.1017964071856288</v>
      </c>
      <c r="H27" s="484">
        <f>'[7]Taux de Rotation des Stocks PF'!J24</f>
        <v>1.4923857868020305</v>
      </c>
      <c r="I27" s="484">
        <f>'[7]Taux de Rotation des Stocks PF'!K24</f>
        <v>1.6385542168674698</v>
      </c>
      <c r="J27" s="484">
        <f>'[7]Taux de Rotation des Stocks PF'!L24</f>
        <v>0</v>
      </c>
      <c r="K27" s="484">
        <f>'[7]Taux de Rotation des Stocks PF'!M24</f>
        <v>0</v>
      </c>
      <c r="L27" s="484">
        <f>'[7]Taux de Rotation des Stocks PF'!N24</f>
        <v>0</v>
      </c>
      <c r="M27" s="484">
        <f>'[7]Taux de Rotation des Stocks PF'!O24</f>
        <v>0</v>
      </c>
      <c r="N27" s="484">
        <f>'[7]Taux de Rotation des Stocks PF'!P24</f>
        <v>0</v>
      </c>
      <c r="O27" s="484">
        <f>'[7]Taux de Rotation des Stocks PF'!Q24</f>
        <v>0</v>
      </c>
      <c r="P27" s="484">
        <f>'[7]Taux de Rotation des Stocks PF'!R24</f>
        <v>0</v>
      </c>
      <c r="Q27" s="485">
        <f>'[7]Taux de Rotation des Stocks PF'!S24</f>
        <v>0</v>
      </c>
      <c r="R27" s="388"/>
      <c r="S27" s="486">
        <f>'[7]Taux de Rotation des Stocks PF'!U24</f>
        <v>1.5981198589894241</v>
      </c>
    </row>
    <row r="28" spans="2:20" hidden="1" outlineLevel="1" x14ac:dyDescent="0.2">
      <c r="B28" s="474"/>
      <c r="C28" s="475" t="s">
        <v>32</v>
      </c>
      <c r="D28" s="476" t="s">
        <v>127</v>
      </c>
      <c r="E28" s="514"/>
      <c r="F28" s="487">
        <f>IF(F29=0,0,F$24/F29)</f>
        <v>21.514925373134329</v>
      </c>
      <c r="G28" s="488">
        <f t="shared" ref="G28:Q28" si="3">IF(G29=0,0,G$24/G29)</f>
        <v>21.444444444444446</v>
      </c>
      <c r="H28" s="488">
        <f t="shared" si="3"/>
        <v>23.943089430894307</v>
      </c>
      <c r="I28" s="488">
        <f t="shared" si="3"/>
        <v>19.878640776699029</v>
      </c>
      <c r="J28" s="488">
        <f t="shared" si="3"/>
        <v>0</v>
      </c>
      <c r="K28" s="488">
        <f t="shared" si="3"/>
        <v>0</v>
      </c>
      <c r="L28" s="488">
        <f t="shared" si="3"/>
        <v>0</v>
      </c>
      <c r="M28" s="488">
        <f t="shared" si="3"/>
        <v>0</v>
      </c>
      <c r="N28" s="488">
        <f t="shared" si="3"/>
        <v>0</v>
      </c>
      <c r="O28" s="488">
        <f t="shared" si="3"/>
        <v>0</v>
      </c>
      <c r="P28" s="488">
        <f t="shared" si="3"/>
        <v>0</v>
      </c>
      <c r="Q28" s="489">
        <f t="shared" si="3"/>
        <v>0</v>
      </c>
      <c r="R28" s="388"/>
      <c r="S28" s="490">
        <f>SUMIF($F$23:$Q$23,"&lt;&gt;0",$F$24:$Q$24)/S29</f>
        <v>67.572815533980574</v>
      </c>
    </row>
    <row r="29" spans="2:20" hidden="1" outlineLevel="1" x14ac:dyDescent="0.2">
      <c r="B29" s="474"/>
      <c r="C29" s="481" t="s">
        <v>32</v>
      </c>
      <c r="D29" s="482" t="s">
        <v>86</v>
      </c>
      <c r="E29" s="514"/>
      <c r="F29" s="483">
        <f>'[7]Taux de Rotation des Stocks PF'!H26</f>
        <v>1.4408602150537635</v>
      </c>
      <c r="G29" s="484">
        <f>'[7]Taux de Rotation des Stocks PF'!I26</f>
        <v>1.3056994818652849</v>
      </c>
      <c r="H29" s="484">
        <f>'[7]Taux de Rotation des Stocks PF'!J26</f>
        <v>1.2947368421052632</v>
      </c>
      <c r="I29" s="484">
        <f>'[7]Taux de Rotation des Stocks PF'!K26</f>
        <v>1.5091575091575091</v>
      </c>
      <c r="J29" s="484">
        <f>'[7]Taux de Rotation des Stocks PF'!L26</f>
        <v>0</v>
      </c>
      <c r="K29" s="484">
        <f>'[7]Taux de Rotation des Stocks PF'!M26</f>
        <v>0</v>
      </c>
      <c r="L29" s="484">
        <f>'[7]Taux de Rotation des Stocks PF'!N26</f>
        <v>0</v>
      </c>
      <c r="M29" s="484">
        <f>'[7]Taux de Rotation des Stocks PF'!O26</f>
        <v>0</v>
      </c>
      <c r="N29" s="484">
        <f>'[7]Taux de Rotation des Stocks PF'!P26</f>
        <v>0</v>
      </c>
      <c r="O29" s="484">
        <f>'[7]Taux de Rotation des Stocks PF'!Q26</f>
        <v>0</v>
      </c>
      <c r="P29" s="484">
        <f>'[7]Taux de Rotation des Stocks PF'!R26</f>
        <v>0</v>
      </c>
      <c r="Q29" s="485">
        <f>'[7]Taux de Rotation des Stocks PF'!S26</f>
        <v>0</v>
      </c>
      <c r="R29" s="388"/>
      <c r="S29" s="486">
        <f>'[7]Taux de Rotation des Stocks PF'!U26</f>
        <v>1.7758620689655173</v>
      </c>
    </row>
    <row r="30" spans="2:20" hidden="1" outlineLevel="1" x14ac:dyDescent="0.2">
      <c r="B30" s="474"/>
      <c r="C30" s="475" t="s">
        <v>48</v>
      </c>
      <c r="D30" s="476" t="s">
        <v>127</v>
      </c>
      <c r="E30" s="514"/>
      <c r="F30" s="487">
        <f>IF(F31=0,0,F$24/F31)</f>
        <v>33.513513513513509</v>
      </c>
      <c r="G30" s="488">
        <f t="shared" ref="G30:Q30" si="4">IF(G31=0,0,G$24/G31)</f>
        <v>28</v>
      </c>
      <c r="H30" s="488">
        <f t="shared" si="4"/>
        <v>25.058333333333334</v>
      </c>
      <c r="I30" s="488">
        <f t="shared" si="4"/>
        <v>26.326530612244898</v>
      </c>
      <c r="J30" s="488">
        <f t="shared" si="4"/>
        <v>0</v>
      </c>
      <c r="K30" s="488">
        <f t="shared" si="4"/>
        <v>0</v>
      </c>
      <c r="L30" s="488">
        <f t="shared" si="4"/>
        <v>0</v>
      </c>
      <c r="M30" s="488">
        <f t="shared" si="4"/>
        <v>0</v>
      </c>
      <c r="N30" s="488">
        <f t="shared" si="4"/>
        <v>0</v>
      </c>
      <c r="O30" s="488">
        <f t="shared" si="4"/>
        <v>0</v>
      </c>
      <c r="P30" s="488">
        <f t="shared" si="4"/>
        <v>0</v>
      </c>
      <c r="Q30" s="489">
        <f t="shared" si="4"/>
        <v>0</v>
      </c>
      <c r="R30" s="388"/>
      <c r="S30" s="490">
        <f>SUMIF($F$23:$Q$23,"&lt;&gt;0",$F$24:$Q$24)/S31</f>
        <v>112.65306122448979</v>
      </c>
    </row>
    <row r="31" spans="2:20" hidden="1" outlineLevel="1" x14ac:dyDescent="0.2">
      <c r="B31" s="474"/>
      <c r="C31" s="481" t="s">
        <v>48</v>
      </c>
      <c r="D31" s="482" t="s">
        <v>86</v>
      </c>
      <c r="E31" s="514"/>
      <c r="F31" s="483">
        <f>'[7]Taux de Rotation des Stocks PF'!H28</f>
        <v>0.92500000000000004</v>
      </c>
      <c r="G31" s="484">
        <f>'[7]Taux de Rotation des Stocks PF'!I28</f>
        <v>1</v>
      </c>
      <c r="H31" s="484">
        <f>'[7]Taux de Rotation des Stocks PF'!J28</f>
        <v>1.2371134020618557</v>
      </c>
      <c r="I31" s="484">
        <f>'[7]Taux de Rotation des Stocks PF'!K28</f>
        <v>1.1395348837209303</v>
      </c>
      <c r="J31" s="484">
        <f>'[7]Taux de Rotation des Stocks PF'!L28</f>
        <v>0</v>
      </c>
      <c r="K31" s="484">
        <f>'[7]Taux de Rotation des Stocks PF'!M28</f>
        <v>0</v>
      </c>
      <c r="L31" s="484">
        <f>'[7]Taux de Rotation des Stocks PF'!N28</f>
        <v>0</v>
      </c>
      <c r="M31" s="484">
        <f>'[7]Taux de Rotation des Stocks PF'!O28</f>
        <v>0</v>
      </c>
      <c r="N31" s="484">
        <f>'[7]Taux de Rotation des Stocks PF'!P28</f>
        <v>0</v>
      </c>
      <c r="O31" s="484">
        <f>'[7]Taux de Rotation des Stocks PF'!Q28</f>
        <v>0</v>
      </c>
      <c r="P31" s="484">
        <f>'[7]Taux de Rotation des Stocks PF'!R28</f>
        <v>0</v>
      </c>
      <c r="Q31" s="485">
        <f>'[7]Taux de Rotation des Stocks PF'!S28</f>
        <v>0</v>
      </c>
      <c r="R31" s="388"/>
      <c r="S31" s="486">
        <f>'[7]Taux de Rotation des Stocks PF'!U28</f>
        <v>1.0652173913043479</v>
      </c>
    </row>
    <row r="32" spans="2:20" hidden="1" outlineLevel="1" x14ac:dyDescent="0.2">
      <c r="B32" s="474"/>
      <c r="C32" s="475" t="s">
        <v>33</v>
      </c>
      <c r="D32" s="476" t="s">
        <v>127</v>
      </c>
      <c r="E32" s="514"/>
      <c r="F32" s="487">
        <f>IF(F33=0,0,F$24/F33)</f>
        <v>32.291666666666671</v>
      </c>
      <c r="G32" s="488">
        <f t="shared" ref="G32:Q32" si="5">IF(G33=0,0,G$24/G33)</f>
        <v>25.03649635036496</v>
      </c>
      <c r="H32" s="488">
        <f t="shared" si="5"/>
        <v>27.630434782608692</v>
      </c>
      <c r="I32" s="488">
        <f t="shared" si="5"/>
        <v>26.739130434782606</v>
      </c>
      <c r="J32" s="488">
        <f t="shared" si="5"/>
        <v>0</v>
      </c>
      <c r="K32" s="488">
        <f t="shared" si="5"/>
        <v>0</v>
      </c>
      <c r="L32" s="488">
        <f t="shared" si="5"/>
        <v>0</v>
      </c>
      <c r="M32" s="488">
        <f t="shared" si="5"/>
        <v>0</v>
      </c>
      <c r="N32" s="488">
        <f t="shared" si="5"/>
        <v>0</v>
      </c>
      <c r="O32" s="488">
        <f t="shared" si="5"/>
        <v>0</v>
      </c>
      <c r="P32" s="488">
        <f t="shared" si="5"/>
        <v>0</v>
      </c>
      <c r="Q32" s="489">
        <f t="shared" si="5"/>
        <v>0</v>
      </c>
      <c r="R32" s="388"/>
      <c r="S32" s="490">
        <f>SUMIF($F$23:$Q$23,"&lt;&gt;0",$F$24:$Q$24)/S33</f>
        <v>110.86956521739131</v>
      </c>
    </row>
    <row r="33" spans="2:19" hidden="1" outlineLevel="1" x14ac:dyDescent="0.2">
      <c r="B33" s="474"/>
      <c r="C33" s="481" t="s">
        <v>33</v>
      </c>
      <c r="D33" s="482" t="s">
        <v>86</v>
      </c>
      <c r="E33" s="514"/>
      <c r="F33" s="483">
        <f>'[7]Taux de Rotation des Stocks PF'!H30</f>
        <v>0.96</v>
      </c>
      <c r="G33" s="484">
        <f>'[7]Taux de Rotation des Stocks PF'!I30</f>
        <v>1.1183673469387756</v>
      </c>
      <c r="H33" s="484">
        <f>'[7]Taux de Rotation des Stocks PF'!J30</f>
        <v>1.1219512195121952</v>
      </c>
      <c r="I33" s="484">
        <f>'[7]Taux de Rotation des Stocks PF'!K30</f>
        <v>1.1219512195121952</v>
      </c>
      <c r="J33" s="484">
        <f>'[7]Taux de Rotation des Stocks PF'!L30</f>
        <v>0</v>
      </c>
      <c r="K33" s="484">
        <f>'[7]Taux de Rotation des Stocks PF'!M30</f>
        <v>0</v>
      </c>
      <c r="L33" s="484">
        <f>'[7]Taux de Rotation des Stocks PF'!N30</f>
        <v>0</v>
      </c>
      <c r="M33" s="484">
        <f>'[7]Taux de Rotation des Stocks PF'!O30</f>
        <v>0</v>
      </c>
      <c r="N33" s="484">
        <f>'[7]Taux de Rotation des Stocks PF'!P30</f>
        <v>0</v>
      </c>
      <c r="O33" s="484">
        <f>'[7]Taux de Rotation des Stocks PF'!Q30</f>
        <v>0</v>
      </c>
      <c r="P33" s="484">
        <f>'[7]Taux de Rotation des Stocks PF'!R30</f>
        <v>0</v>
      </c>
      <c r="Q33" s="485">
        <f>'[7]Taux de Rotation des Stocks PF'!S30</f>
        <v>0</v>
      </c>
      <c r="R33" s="388"/>
      <c r="S33" s="486">
        <f>'[7]Taux de Rotation des Stocks PF'!U30</f>
        <v>1.0823529411764705</v>
      </c>
    </row>
    <row r="34" spans="2:19" hidden="1" outlineLevel="1" x14ac:dyDescent="0.2">
      <c r="B34" s="474"/>
      <c r="C34" s="475" t="s">
        <v>34</v>
      </c>
      <c r="D34" s="476" t="s">
        <v>127</v>
      </c>
      <c r="E34" s="514"/>
      <c r="F34" s="487">
        <f>IF(F35=0,0,F$24/F35)</f>
        <v>33.980769230769234</v>
      </c>
      <c r="G34" s="488">
        <f t="shared" ref="G34:Q34" si="6">IF(G35=0,0,G$24/G35)</f>
        <v>23.578947368421051</v>
      </c>
      <c r="H34" s="488">
        <f t="shared" si="6"/>
        <v>27.014285714285716</v>
      </c>
      <c r="I34" s="488">
        <f t="shared" si="6"/>
        <v>26.142857142857146</v>
      </c>
      <c r="J34" s="488">
        <f t="shared" si="6"/>
        <v>0</v>
      </c>
      <c r="K34" s="488">
        <f t="shared" si="6"/>
        <v>0</v>
      </c>
      <c r="L34" s="488">
        <f t="shared" si="6"/>
        <v>0</v>
      </c>
      <c r="M34" s="488">
        <f t="shared" si="6"/>
        <v>0</v>
      </c>
      <c r="N34" s="488">
        <f t="shared" si="6"/>
        <v>0</v>
      </c>
      <c r="O34" s="488">
        <f t="shared" si="6"/>
        <v>0</v>
      </c>
      <c r="P34" s="488">
        <f t="shared" si="6"/>
        <v>0</v>
      </c>
      <c r="Q34" s="489">
        <f t="shared" si="6"/>
        <v>0</v>
      </c>
      <c r="R34" s="388"/>
      <c r="S34" s="490">
        <f>SUMIF($F$23:$Q$23,"&lt;&gt;0",$F$24:$Q$24)/S35</f>
        <v>113.14285714285715</v>
      </c>
    </row>
    <row r="35" spans="2:19" hidden="1" outlineLevel="1" x14ac:dyDescent="0.2">
      <c r="B35" s="474"/>
      <c r="C35" s="481" t="s">
        <v>34</v>
      </c>
      <c r="D35" s="482" t="s">
        <v>86</v>
      </c>
      <c r="E35" s="514"/>
      <c r="F35" s="483">
        <f>'[7]Taux de Rotation des Stocks PF'!H32</f>
        <v>0.91228070175438591</v>
      </c>
      <c r="G35" s="484">
        <f>'[7]Taux de Rotation des Stocks PF'!I32</f>
        <v>1.1875</v>
      </c>
      <c r="H35" s="484">
        <f>'[7]Taux de Rotation des Stocks PF'!J32</f>
        <v>1.1475409836065573</v>
      </c>
      <c r="I35" s="484">
        <f>'[7]Taux de Rotation des Stocks PF'!K32</f>
        <v>1.1475409836065573</v>
      </c>
      <c r="J35" s="484">
        <f>'[7]Taux de Rotation des Stocks PF'!L32</f>
        <v>0</v>
      </c>
      <c r="K35" s="484">
        <f>'[7]Taux de Rotation des Stocks PF'!M32</f>
        <v>0</v>
      </c>
      <c r="L35" s="484">
        <f>'[7]Taux de Rotation des Stocks PF'!N32</f>
        <v>0</v>
      </c>
      <c r="M35" s="484">
        <f>'[7]Taux de Rotation des Stocks PF'!O32</f>
        <v>0</v>
      </c>
      <c r="N35" s="484">
        <f>'[7]Taux de Rotation des Stocks PF'!P32</f>
        <v>0</v>
      </c>
      <c r="O35" s="484">
        <f>'[7]Taux de Rotation des Stocks PF'!Q32</f>
        <v>0</v>
      </c>
      <c r="P35" s="484">
        <f>'[7]Taux de Rotation des Stocks PF'!R32</f>
        <v>0</v>
      </c>
      <c r="Q35" s="485">
        <f>'[7]Taux de Rotation des Stocks PF'!S32</f>
        <v>0</v>
      </c>
      <c r="R35" s="388"/>
      <c r="S35" s="486">
        <f>'[7]Taux de Rotation des Stocks PF'!U32</f>
        <v>1.0606060606060606</v>
      </c>
    </row>
    <row r="36" spans="2:19" hidden="1" outlineLevel="1" x14ac:dyDescent="0.2">
      <c r="B36" s="474"/>
      <c r="C36" s="475" t="s">
        <v>49</v>
      </c>
      <c r="D36" s="476" t="s">
        <v>127</v>
      </c>
      <c r="E36" s="514"/>
      <c r="F36" s="487">
        <f>IF(F37=0,0,F$24/F37)</f>
        <v>22.653846153846153</v>
      </c>
      <c r="G36" s="488">
        <f t="shared" ref="G36:Q36" si="7">IF(G37=0,0,G$24/G37)</f>
        <v>40</v>
      </c>
      <c r="H36" s="488">
        <f t="shared" si="7"/>
        <v>40.6875</v>
      </c>
      <c r="I36" s="488">
        <f t="shared" si="7"/>
        <v>20.571428571428573</v>
      </c>
      <c r="J36" s="488">
        <f t="shared" si="7"/>
        <v>0</v>
      </c>
      <c r="K36" s="488">
        <f t="shared" si="7"/>
        <v>0</v>
      </c>
      <c r="L36" s="488">
        <f t="shared" si="7"/>
        <v>0</v>
      </c>
      <c r="M36" s="488">
        <f t="shared" si="7"/>
        <v>0</v>
      </c>
      <c r="N36" s="488">
        <f t="shared" si="7"/>
        <v>0</v>
      </c>
      <c r="O36" s="488">
        <f t="shared" si="7"/>
        <v>0</v>
      </c>
      <c r="P36" s="488">
        <f t="shared" si="7"/>
        <v>0</v>
      </c>
      <c r="Q36" s="489">
        <f t="shared" si="7"/>
        <v>0</v>
      </c>
      <c r="R36" s="388"/>
      <c r="S36" s="490">
        <f>SUMIF($F$23:$Q$23,"&lt;&gt;0",$F$24:$Q$24)/S37</f>
        <v>70.285714285714292</v>
      </c>
    </row>
    <row r="37" spans="2:19" hidden="1" outlineLevel="1" x14ac:dyDescent="0.2">
      <c r="B37" s="474"/>
      <c r="C37" s="481" t="s">
        <v>49</v>
      </c>
      <c r="D37" s="482" t="s">
        <v>86</v>
      </c>
      <c r="E37" s="514"/>
      <c r="F37" s="483">
        <f>'[7]Taux de Rotation des Stocks PF'!H34</f>
        <v>1.368421052631579</v>
      </c>
      <c r="G37" s="484">
        <f>'[7]Taux de Rotation des Stocks PF'!I34</f>
        <v>0.7</v>
      </c>
      <c r="H37" s="484">
        <f>'[7]Taux de Rotation des Stocks PF'!J34</f>
        <v>0.76190476190476186</v>
      </c>
      <c r="I37" s="484">
        <f>'[7]Taux de Rotation des Stocks PF'!K34</f>
        <v>1.4583333333333333</v>
      </c>
      <c r="J37" s="484">
        <f>'[7]Taux de Rotation des Stocks PF'!L34</f>
        <v>0</v>
      </c>
      <c r="K37" s="484">
        <f>'[7]Taux de Rotation des Stocks PF'!M34</f>
        <v>0</v>
      </c>
      <c r="L37" s="484">
        <f>'[7]Taux de Rotation des Stocks PF'!N34</f>
        <v>0</v>
      </c>
      <c r="M37" s="484">
        <f>'[7]Taux de Rotation des Stocks PF'!O34</f>
        <v>0</v>
      </c>
      <c r="N37" s="484">
        <f>'[7]Taux de Rotation des Stocks PF'!P34</f>
        <v>0</v>
      </c>
      <c r="O37" s="484">
        <f>'[7]Taux de Rotation des Stocks PF'!Q34</f>
        <v>0</v>
      </c>
      <c r="P37" s="484">
        <f>'[7]Taux de Rotation des Stocks PF'!R34</f>
        <v>0</v>
      </c>
      <c r="Q37" s="485">
        <f>'[7]Taux de Rotation des Stocks PF'!S34</f>
        <v>0</v>
      </c>
      <c r="R37" s="388"/>
      <c r="S37" s="486">
        <f>'[7]Taux de Rotation des Stocks PF'!U34</f>
        <v>1.7073170731707317</v>
      </c>
    </row>
    <row r="38" spans="2:19" hidden="1" outlineLevel="1" x14ac:dyDescent="0.2">
      <c r="B38" s="474"/>
      <c r="C38" s="475" t="s">
        <v>98</v>
      </c>
      <c r="D38" s="476" t="s">
        <v>127</v>
      </c>
      <c r="E38" s="514"/>
      <c r="F38" s="487">
        <f>IF(F39=0,0,F$24/F39)</f>
        <v>19.375</v>
      </c>
      <c r="G38" s="488">
        <f t="shared" ref="G38:Q38" si="8">IF(G39=0,0,G$24/G39)</f>
        <v>22.4</v>
      </c>
      <c r="H38" s="488">
        <f t="shared" si="8"/>
        <v>71.3</v>
      </c>
      <c r="I38" s="488">
        <f t="shared" si="8"/>
        <v>69</v>
      </c>
      <c r="J38" s="488">
        <f t="shared" si="8"/>
        <v>0</v>
      </c>
      <c r="K38" s="488">
        <f t="shared" si="8"/>
        <v>0</v>
      </c>
      <c r="L38" s="488">
        <f t="shared" si="8"/>
        <v>0</v>
      </c>
      <c r="M38" s="488">
        <f t="shared" si="8"/>
        <v>0</v>
      </c>
      <c r="N38" s="488">
        <f t="shared" si="8"/>
        <v>0</v>
      </c>
      <c r="O38" s="488">
        <f t="shared" si="8"/>
        <v>0</v>
      </c>
      <c r="P38" s="488">
        <f t="shared" si="8"/>
        <v>0</v>
      </c>
      <c r="Q38" s="489">
        <f t="shared" si="8"/>
        <v>0</v>
      </c>
      <c r="R38" s="388"/>
      <c r="S38" s="490">
        <f>SUMIF($F$23:$Q$23,"&lt;&gt;0",$F$24:$Q$24)/S39</f>
        <v>114</v>
      </c>
    </row>
    <row r="39" spans="2:19" hidden="1" outlineLevel="1" x14ac:dyDescent="0.2">
      <c r="B39" s="474"/>
      <c r="C39" s="481" t="s">
        <v>98</v>
      </c>
      <c r="D39" s="482" t="s">
        <v>86</v>
      </c>
      <c r="E39" s="514"/>
      <c r="F39" s="483">
        <f>'[7]Taux de Rotation des Stocks PF'!H36</f>
        <v>1.6</v>
      </c>
      <c r="G39" s="484">
        <f>'[7]Taux de Rotation des Stocks PF'!I36</f>
        <v>1.25</v>
      </c>
      <c r="H39" s="484">
        <f>'[7]Taux de Rotation des Stocks PF'!J36</f>
        <v>0.43478260869565216</v>
      </c>
      <c r="I39" s="484">
        <f>'[7]Taux de Rotation des Stocks PF'!K36</f>
        <v>0.43478260869565216</v>
      </c>
      <c r="J39" s="484">
        <f>'[7]Taux de Rotation des Stocks PF'!L36</f>
        <v>0</v>
      </c>
      <c r="K39" s="484">
        <f>'[7]Taux de Rotation des Stocks PF'!M36</f>
        <v>0</v>
      </c>
      <c r="L39" s="484">
        <f>'[7]Taux de Rotation des Stocks PF'!N36</f>
        <v>0</v>
      </c>
      <c r="M39" s="484">
        <f>'[7]Taux de Rotation des Stocks PF'!O36</f>
        <v>0</v>
      </c>
      <c r="N39" s="484">
        <f>'[7]Taux de Rotation des Stocks PF'!P36</f>
        <v>0</v>
      </c>
      <c r="O39" s="484">
        <f>'[7]Taux de Rotation des Stocks PF'!Q36</f>
        <v>0</v>
      </c>
      <c r="P39" s="484">
        <f>'[7]Taux de Rotation des Stocks PF'!R36</f>
        <v>0</v>
      </c>
      <c r="Q39" s="485">
        <f>'[7]Taux de Rotation des Stocks PF'!S36</f>
        <v>0</v>
      </c>
      <c r="R39" s="388"/>
      <c r="S39" s="486">
        <f>'[7]Taux de Rotation des Stocks PF'!U36</f>
        <v>1.0526315789473684</v>
      </c>
    </row>
    <row r="40" spans="2:19" hidden="1" outlineLevel="1" x14ac:dyDescent="0.2">
      <c r="B40" s="474"/>
      <c r="C40" s="475" t="s">
        <v>42</v>
      </c>
      <c r="D40" s="476" t="s">
        <v>127</v>
      </c>
      <c r="E40" s="514"/>
      <c r="F40" s="487">
        <f>IF(F41=0,0,F$24/F41)</f>
        <v>31</v>
      </c>
      <c r="G40" s="488">
        <f t="shared" ref="G40:Q40" si="9">IF(G41=0,0,G$24/G41)</f>
        <v>0</v>
      </c>
      <c r="H40" s="488">
        <f t="shared" si="9"/>
        <v>18.31818181818182</v>
      </c>
      <c r="I40" s="488">
        <f t="shared" si="9"/>
        <v>45</v>
      </c>
      <c r="J40" s="488">
        <f t="shared" si="9"/>
        <v>0</v>
      </c>
      <c r="K40" s="488">
        <f t="shared" si="9"/>
        <v>0</v>
      </c>
      <c r="L40" s="488">
        <f t="shared" si="9"/>
        <v>0</v>
      </c>
      <c r="M40" s="488">
        <f t="shared" si="9"/>
        <v>0</v>
      </c>
      <c r="N40" s="488">
        <f t="shared" si="9"/>
        <v>0</v>
      </c>
      <c r="O40" s="488">
        <f t="shared" si="9"/>
        <v>0</v>
      </c>
      <c r="P40" s="488">
        <f t="shared" si="9"/>
        <v>0</v>
      </c>
      <c r="Q40" s="489">
        <f t="shared" si="9"/>
        <v>0</v>
      </c>
      <c r="R40" s="388"/>
      <c r="S40" s="490">
        <f>SUMIF($F$23:$Q$23,"&lt;&gt;0",$F$24:$Q$24)/S41</f>
        <v>120</v>
      </c>
    </row>
    <row r="41" spans="2:19" hidden="1" outlineLevel="1" x14ac:dyDescent="0.2">
      <c r="B41" s="474"/>
      <c r="C41" s="481" t="s">
        <v>42</v>
      </c>
      <c r="D41" s="482" t="s">
        <v>86</v>
      </c>
      <c r="E41" s="514"/>
      <c r="F41" s="483">
        <f>'[7]Taux de Rotation des Stocks PF'!H38</f>
        <v>1</v>
      </c>
      <c r="G41" s="484">
        <f>'[7]Taux de Rotation des Stocks PF'!I38</f>
        <v>0</v>
      </c>
      <c r="H41" s="484">
        <f>'[7]Taux de Rotation des Stocks PF'!J38</f>
        <v>1.6923076923076923</v>
      </c>
      <c r="I41" s="484">
        <f>'[7]Taux de Rotation des Stocks PF'!K38</f>
        <v>0.66666666666666663</v>
      </c>
      <c r="J41" s="484">
        <f>'[7]Taux de Rotation des Stocks PF'!L38</f>
        <v>0</v>
      </c>
      <c r="K41" s="484">
        <f>'[7]Taux de Rotation des Stocks PF'!M38</f>
        <v>0</v>
      </c>
      <c r="L41" s="484">
        <f>'[7]Taux de Rotation des Stocks PF'!N38</f>
        <v>0</v>
      </c>
      <c r="M41" s="484">
        <f>'[7]Taux de Rotation des Stocks PF'!O38</f>
        <v>0</v>
      </c>
      <c r="N41" s="484">
        <f>'[7]Taux de Rotation des Stocks PF'!P38</f>
        <v>0</v>
      </c>
      <c r="O41" s="484">
        <f>'[7]Taux de Rotation des Stocks PF'!Q38</f>
        <v>0</v>
      </c>
      <c r="P41" s="484">
        <f>'[7]Taux de Rotation des Stocks PF'!R38</f>
        <v>0</v>
      </c>
      <c r="Q41" s="485">
        <f>'[7]Taux de Rotation des Stocks PF'!S38</f>
        <v>0</v>
      </c>
      <c r="R41" s="388"/>
      <c r="S41" s="486">
        <f>'[7]Taux de Rotation des Stocks PF'!U38</f>
        <v>1</v>
      </c>
    </row>
    <row r="42" spans="2:19" hidden="1" outlineLevel="1" x14ac:dyDescent="0.2">
      <c r="B42" s="474"/>
      <c r="C42" s="475" t="s">
        <v>50</v>
      </c>
      <c r="D42" s="476" t="s">
        <v>127</v>
      </c>
      <c r="E42" s="514"/>
      <c r="F42" s="487">
        <f>IF(F43=0,0,F$24/F43)</f>
        <v>30.606598984771573</v>
      </c>
      <c r="G42" s="488">
        <f t="shared" ref="G42:Q42" si="10">IF(G43=0,0,G$24/G43)</f>
        <v>38.087336244541483</v>
      </c>
      <c r="H42" s="488">
        <f t="shared" si="10"/>
        <v>42.285087719298247</v>
      </c>
      <c r="I42" s="488">
        <f t="shared" si="10"/>
        <v>40.695652173913039</v>
      </c>
      <c r="J42" s="488">
        <f t="shared" si="10"/>
        <v>0</v>
      </c>
      <c r="K42" s="488">
        <f t="shared" si="10"/>
        <v>0</v>
      </c>
      <c r="L42" s="488">
        <f t="shared" si="10"/>
        <v>0</v>
      </c>
      <c r="M42" s="488">
        <f t="shared" si="10"/>
        <v>0</v>
      </c>
      <c r="N42" s="488">
        <f t="shared" si="10"/>
        <v>0</v>
      </c>
      <c r="O42" s="488">
        <f t="shared" si="10"/>
        <v>0</v>
      </c>
      <c r="P42" s="488">
        <f t="shared" si="10"/>
        <v>0</v>
      </c>
      <c r="Q42" s="489">
        <f t="shared" si="10"/>
        <v>0</v>
      </c>
      <c r="R42" s="388"/>
      <c r="S42" s="490">
        <f>SUMIF($F$23:$Q$23,"&lt;&gt;0",$F$24:$Q$24)/S43</f>
        <v>160.17391304347825</v>
      </c>
    </row>
    <row r="43" spans="2:19" hidden="1" outlineLevel="1" x14ac:dyDescent="0.2">
      <c r="B43" s="474"/>
      <c r="C43" s="481" t="s">
        <v>50</v>
      </c>
      <c r="D43" s="482" t="s">
        <v>86</v>
      </c>
      <c r="E43" s="514"/>
      <c r="F43" s="483">
        <f>'[7]Taux de Rotation des Stocks PF'!H40</f>
        <v>1.012853470437018</v>
      </c>
      <c r="G43" s="484">
        <f>'[7]Taux de Rotation des Stocks PF'!I40</f>
        <v>0.7351524879614767</v>
      </c>
      <c r="H43" s="484">
        <f>'[7]Taux de Rotation des Stocks PF'!J40</f>
        <v>0.73311897106109325</v>
      </c>
      <c r="I43" s="484">
        <f>'[7]Taux de Rotation des Stocks PF'!K40</f>
        <v>0.73717948717948723</v>
      </c>
      <c r="J43" s="484">
        <f>'[7]Taux de Rotation des Stocks PF'!L40</f>
        <v>0</v>
      </c>
      <c r="K43" s="484">
        <f>'[7]Taux de Rotation des Stocks PF'!M40</f>
        <v>0</v>
      </c>
      <c r="L43" s="484">
        <f>'[7]Taux de Rotation des Stocks PF'!N40</f>
        <v>0</v>
      </c>
      <c r="M43" s="484">
        <f>'[7]Taux de Rotation des Stocks PF'!O40</f>
        <v>0</v>
      </c>
      <c r="N43" s="484">
        <f>'[7]Taux de Rotation des Stocks PF'!P40</f>
        <v>0</v>
      </c>
      <c r="O43" s="484">
        <f>'[7]Taux de Rotation des Stocks PF'!Q40</f>
        <v>0</v>
      </c>
      <c r="P43" s="484">
        <f>'[7]Taux de Rotation des Stocks PF'!R40</f>
        <v>0</v>
      </c>
      <c r="Q43" s="485">
        <f>'[7]Taux de Rotation des Stocks PF'!S40</f>
        <v>0</v>
      </c>
      <c r="R43" s="388"/>
      <c r="S43" s="486">
        <f>'[7]Taux de Rotation des Stocks PF'!U40</f>
        <v>0.749185667752443</v>
      </c>
    </row>
    <row r="44" spans="2:19" hidden="1" outlineLevel="1" x14ac:dyDescent="0.2">
      <c r="B44" s="474"/>
      <c r="C44" s="475" t="s">
        <v>51</v>
      </c>
      <c r="D44" s="476" t="s">
        <v>127</v>
      </c>
      <c r="E44" s="514"/>
      <c r="F44" s="487">
        <f>IF(F45=0,0,F$24/F45)</f>
        <v>29.546875</v>
      </c>
      <c r="G44" s="488">
        <f t="shared" ref="G44:Q44" si="11">IF(G45=0,0,G$24/G45)</f>
        <v>17.393939393939394</v>
      </c>
      <c r="H44" s="488">
        <f t="shared" si="11"/>
        <v>20.050458715596331</v>
      </c>
      <c r="I44" s="488">
        <f t="shared" si="11"/>
        <v>19.873096446700508</v>
      </c>
      <c r="J44" s="488">
        <f t="shared" si="11"/>
        <v>0</v>
      </c>
      <c r="K44" s="488">
        <f t="shared" si="11"/>
        <v>0</v>
      </c>
      <c r="L44" s="488">
        <f t="shared" si="11"/>
        <v>0</v>
      </c>
      <c r="M44" s="488">
        <f t="shared" si="11"/>
        <v>0</v>
      </c>
      <c r="N44" s="488">
        <f t="shared" si="11"/>
        <v>0</v>
      </c>
      <c r="O44" s="488">
        <f t="shared" si="11"/>
        <v>0</v>
      </c>
      <c r="P44" s="488">
        <f t="shared" si="11"/>
        <v>0</v>
      </c>
      <c r="Q44" s="489">
        <f t="shared" si="11"/>
        <v>0</v>
      </c>
      <c r="R44" s="388"/>
      <c r="S44" s="490">
        <f>SUMIF($F$23:$Q$23,"&lt;&gt;0",$F$24:$Q$24)/S45</f>
        <v>77.664974619289339</v>
      </c>
    </row>
    <row r="45" spans="2:19" hidden="1" outlineLevel="1" x14ac:dyDescent="0.2">
      <c r="B45" s="474"/>
      <c r="C45" s="481" t="s">
        <v>51</v>
      </c>
      <c r="D45" s="482" t="s">
        <v>86</v>
      </c>
      <c r="E45" s="514"/>
      <c r="F45" s="483">
        <f>'[7]Taux de Rotation des Stocks PF'!H42</f>
        <v>1.0491803278688525</v>
      </c>
      <c r="G45" s="484">
        <f>'[7]Taux de Rotation des Stocks PF'!I42</f>
        <v>1.6097560975609757</v>
      </c>
      <c r="H45" s="484">
        <f>'[7]Taux de Rotation des Stocks PF'!J42</f>
        <v>1.5460992907801419</v>
      </c>
      <c r="I45" s="484">
        <f>'[7]Taux de Rotation des Stocks PF'!K42</f>
        <v>1.5095785440613028</v>
      </c>
      <c r="J45" s="484">
        <f>'[7]Taux de Rotation des Stocks PF'!L42</f>
        <v>0</v>
      </c>
      <c r="K45" s="484">
        <f>'[7]Taux de Rotation des Stocks PF'!M42</f>
        <v>0</v>
      </c>
      <c r="L45" s="484">
        <f>'[7]Taux de Rotation des Stocks PF'!N42</f>
        <v>0</v>
      </c>
      <c r="M45" s="484">
        <f>'[7]Taux de Rotation des Stocks PF'!O42</f>
        <v>0</v>
      </c>
      <c r="N45" s="484">
        <f>'[7]Taux de Rotation des Stocks PF'!P42</f>
        <v>0</v>
      </c>
      <c r="O45" s="484">
        <f>'[7]Taux de Rotation des Stocks PF'!Q42</f>
        <v>0</v>
      </c>
      <c r="P45" s="484">
        <f>'[7]Taux de Rotation des Stocks PF'!R42</f>
        <v>0</v>
      </c>
      <c r="Q45" s="485">
        <f>'[7]Taux de Rotation des Stocks PF'!S42</f>
        <v>0</v>
      </c>
      <c r="R45" s="388"/>
      <c r="S45" s="486">
        <f>'[7]Taux de Rotation des Stocks PF'!U42</f>
        <v>1.5450980392156863</v>
      </c>
    </row>
    <row r="46" spans="2:19" hidden="1" outlineLevel="1" x14ac:dyDescent="0.2">
      <c r="B46" s="474"/>
      <c r="C46" s="475" t="s">
        <v>99</v>
      </c>
      <c r="D46" s="476" t="s">
        <v>127</v>
      </c>
      <c r="E46" s="514"/>
      <c r="F46" s="487">
        <f>IF(F47=0,0,F$24/F47)</f>
        <v>26.490909090909092</v>
      </c>
      <c r="G46" s="488">
        <f t="shared" ref="G46:Q46" si="12">IF(G47=0,0,G$24/G47)</f>
        <v>28</v>
      </c>
      <c r="H46" s="488">
        <f t="shared" si="12"/>
        <v>29.949152542372879</v>
      </c>
      <c r="I46" s="488">
        <f t="shared" si="12"/>
        <v>30.277777777777775</v>
      </c>
      <c r="J46" s="488">
        <f t="shared" si="12"/>
        <v>0</v>
      </c>
      <c r="K46" s="488">
        <f t="shared" si="12"/>
        <v>0</v>
      </c>
      <c r="L46" s="488">
        <f t="shared" si="12"/>
        <v>0</v>
      </c>
      <c r="M46" s="488">
        <f t="shared" si="12"/>
        <v>0</v>
      </c>
      <c r="N46" s="488">
        <f t="shared" si="12"/>
        <v>0</v>
      </c>
      <c r="O46" s="488">
        <f t="shared" si="12"/>
        <v>0</v>
      </c>
      <c r="P46" s="488">
        <f t="shared" si="12"/>
        <v>0</v>
      </c>
      <c r="Q46" s="489">
        <f t="shared" si="12"/>
        <v>0</v>
      </c>
      <c r="R46" s="388"/>
      <c r="S46" s="490">
        <f>SUMIF($F$23:$Q$23,"&lt;&gt;0",$F$24:$Q$24)/S47</f>
        <v>103.33333333333333</v>
      </c>
    </row>
    <row r="47" spans="2:19" hidden="1" outlineLevel="1" x14ac:dyDescent="0.2">
      <c r="B47" s="474"/>
      <c r="C47" s="481" t="s">
        <v>99</v>
      </c>
      <c r="D47" s="482" t="s">
        <v>86</v>
      </c>
      <c r="E47" s="514"/>
      <c r="F47" s="483">
        <f>'[7]Taux de Rotation des Stocks PF'!H44</f>
        <v>1.1702127659574468</v>
      </c>
      <c r="G47" s="484">
        <f>'[7]Taux de Rotation des Stocks PF'!I44</f>
        <v>1</v>
      </c>
      <c r="H47" s="484">
        <f>'[7]Taux de Rotation des Stocks PF'!J44</f>
        <v>1.0350877192982457</v>
      </c>
      <c r="I47" s="484">
        <f>'[7]Taux de Rotation des Stocks PF'!K44</f>
        <v>0.99082568807339455</v>
      </c>
      <c r="J47" s="484">
        <f>'[7]Taux de Rotation des Stocks PF'!L44</f>
        <v>0</v>
      </c>
      <c r="K47" s="484">
        <f>'[7]Taux de Rotation des Stocks PF'!M44</f>
        <v>0</v>
      </c>
      <c r="L47" s="484">
        <f>'[7]Taux de Rotation des Stocks PF'!N44</f>
        <v>0</v>
      </c>
      <c r="M47" s="484">
        <f>'[7]Taux de Rotation des Stocks PF'!O44</f>
        <v>0</v>
      </c>
      <c r="N47" s="484">
        <f>'[7]Taux de Rotation des Stocks PF'!P44</f>
        <v>0</v>
      </c>
      <c r="O47" s="484">
        <f>'[7]Taux de Rotation des Stocks PF'!Q44</f>
        <v>0</v>
      </c>
      <c r="P47" s="484">
        <f>'[7]Taux de Rotation des Stocks PF'!R44</f>
        <v>0</v>
      </c>
      <c r="Q47" s="485">
        <f>'[7]Taux de Rotation des Stocks PF'!S44</f>
        <v>0</v>
      </c>
      <c r="R47" s="388"/>
      <c r="S47" s="486">
        <f>'[7]Taux de Rotation des Stocks PF'!U44</f>
        <v>1.1612903225806452</v>
      </c>
    </row>
    <row r="48" spans="2:19" hidden="1" outlineLevel="1" x14ac:dyDescent="0.2">
      <c r="B48" s="474"/>
      <c r="C48" s="475" t="s">
        <v>100</v>
      </c>
      <c r="D48" s="476" t="s">
        <v>127</v>
      </c>
      <c r="E48" s="514"/>
      <c r="F48" s="487">
        <f>IF(F49=0,0,F$24/F49)</f>
        <v>31</v>
      </c>
      <c r="G48" s="488">
        <f t="shared" ref="G48:Q48" si="13">IF(G49=0,0,G$24/G49)</f>
        <v>0</v>
      </c>
      <c r="H48" s="488">
        <f t="shared" si="13"/>
        <v>62</v>
      </c>
      <c r="I48" s="488">
        <f t="shared" si="13"/>
        <v>26.25</v>
      </c>
      <c r="J48" s="488">
        <f t="shared" si="13"/>
        <v>0</v>
      </c>
      <c r="K48" s="488">
        <f t="shared" si="13"/>
        <v>0</v>
      </c>
      <c r="L48" s="488">
        <f t="shared" si="13"/>
        <v>0</v>
      </c>
      <c r="M48" s="488">
        <f t="shared" si="13"/>
        <v>0</v>
      </c>
      <c r="N48" s="488">
        <f t="shared" si="13"/>
        <v>0</v>
      </c>
      <c r="O48" s="488">
        <f t="shared" si="13"/>
        <v>0</v>
      </c>
      <c r="P48" s="488">
        <f t="shared" si="13"/>
        <v>0</v>
      </c>
      <c r="Q48" s="489">
        <f t="shared" si="13"/>
        <v>0</v>
      </c>
      <c r="R48" s="388"/>
      <c r="S48" s="490">
        <f>SUMIF($F$23:$Q$23,"&lt;&gt;0",$F$24:$Q$24)/S49</f>
        <v>120</v>
      </c>
    </row>
    <row r="49" spans="2:19" hidden="1" outlineLevel="1" x14ac:dyDescent="0.2">
      <c r="B49" s="474"/>
      <c r="C49" s="481" t="s">
        <v>100</v>
      </c>
      <c r="D49" s="482" t="s">
        <v>86</v>
      </c>
      <c r="E49" s="514"/>
      <c r="F49" s="483">
        <f>'[7]Taux de Rotation des Stocks PF'!H46</f>
        <v>1</v>
      </c>
      <c r="G49" s="484">
        <f>'[7]Taux de Rotation des Stocks PF'!I46</f>
        <v>0</v>
      </c>
      <c r="H49" s="484">
        <f>'[7]Taux de Rotation des Stocks PF'!J46</f>
        <v>0.5</v>
      </c>
      <c r="I49" s="484">
        <f>'[7]Taux de Rotation des Stocks PF'!K46</f>
        <v>1.1428571428571428</v>
      </c>
      <c r="J49" s="484">
        <f>'[7]Taux de Rotation des Stocks PF'!L46</f>
        <v>0</v>
      </c>
      <c r="K49" s="484">
        <f>'[7]Taux de Rotation des Stocks PF'!M46</f>
        <v>0</v>
      </c>
      <c r="L49" s="484">
        <f>'[7]Taux de Rotation des Stocks PF'!N46</f>
        <v>0</v>
      </c>
      <c r="M49" s="484">
        <f>'[7]Taux de Rotation des Stocks PF'!O46</f>
        <v>0</v>
      </c>
      <c r="N49" s="484">
        <f>'[7]Taux de Rotation des Stocks PF'!P46</f>
        <v>0</v>
      </c>
      <c r="O49" s="484">
        <f>'[7]Taux de Rotation des Stocks PF'!Q46</f>
        <v>0</v>
      </c>
      <c r="P49" s="484">
        <f>'[7]Taux de Rotation des Stocks PF'!R46</f>
        <v>0</v>
      </c>
      <c r="Q49" s="485">
        <f>'[7]Taux de Rotation des Stocks PF'!S46</f>
        <v>0</v>
      </c>
      <c r="R49" s="388"/>
      <c r="S49" s="486">
        <f>'[7]Taux de Rotation des Stocks PF'!U46</f>
        <v>1</v>
      </c>
    </row>
    <row r="50" spans="2:19" hidden="1" outlineLevel="1" x14ac:dyDescent="0.2">
      <c r="B50" s="474"/>
      <c r="C50" s="475" t="s">
        <v>101</v>
      </c>
      <c r="D50" s="476" t="s">
        <v>127</v>
      </c>
      <c r="E50" s="514"/>
      <c r="F50" s="487">
        <f>IF(F51=0,0,F$24/F51)</f>
        <v>38.75</v>
      </c>
      <c r="G50" s="488">
        <f t="shared" ref="G50:Q50" si="14">IF(G51=0,0,G$24/G51)</f>
        <v>28</v>
      </c>
      <c r="H50" s="488">
        <f t="shared" si="14"/>
        <v>31</v>
      </c>
      <c r="I50" s="488">
        <f t="shared" si="14"/>
        <v>30</v>
      </c>
      <c r="J50" s="488">
        <f t="shared" si="14"/>
        <v>0</v>
      </c>
      <c r="K50" s="488">
        <f t="shared" si="14"/>
        <v>0</v>
      </c>
      <c r="L50" s="488">
        <f t="shared" si="14"/>
        <v>0</v>
      </c>
      <c r="M50" s="488">
        <f t="shared" si="14"/>
        <v>0</v>
      </c>
      <c r="N50" s="488">
        <f t="shared" si="14"/>
        <v>0</v>
      </c>
      <c r="O50" s="488">
        <f t="shared" si="14"/>
        <v>0</v>
      </c>
      <c r="P50" s="488">
        <f t="shared" si="14"/>
        <v>0</v>
      </c>
      <c r="Q50" s="489">
        <f t="shared" si="14"/>
        <v>0</v>
      </c>
      <c r="R50" s="388"/>
      <c r="S50" s="490">
        <f>SUMIF($F$23:$Q$23,"&lt;&gt;0",$F$24:$Q$24)/S51</f>
        <v>150</v>
      </c>
    </row>
    <row r="51" spans="2:19" hidden="1" outlineLevel="1" x14ac:dyDescent="0.2">
      <c r="B51" s="474"/>
      <c r="C51" s="481" t="s">
        <v>101</v>
      </c>
      <c r="D51" s="482" t="s">
        <v>86</v>
      </c>
      <c r="E51" s="514"/>
      <c r="F51" s="483">
        <f>'[7]Taux de Rotation des Stocks PF'!H48</f>
        <v>0.8</v>
      </c>
      <c r="G51" s="484">
        <f>'[7]Taux de Rotation des Stocks PF'!I48</f>
        <v>1</v>
      </c>
      <c r="H51" s="484">
        <f>'[7]Taux de Rotation des Stocks PF'!J48</f>
        <v>1</v>
      </c>
      <c r="I51" s="484">
        <f>'[7]Taux de Rotation des Stocks PF'!K48</f>
        <v>1</v>
      </c>
      <c r="J51" s="484">
        <f>'[7]Taux de Rotation des Stocks PF'!L48</f>
        <v>0</v>
      </c>
      <c r="K51" s="484">
        <f>'[7]Taux de Rotation des Stocks PF'!M48</f>
        <v>0</v>
      </c>
      <c r="L51" s="484">
        <f>'[7]Taux de Rotation des Stocks PF'!N48</f>
        <v>0</v>
      </c>
      <c r="M51" s="484">
        <f>'[7]Taux de Rotation des Stocks PF'!O48</f>
        <v>0</v>
      </c>
      <c r="N51" s="484">
        <f>'[7]Taux de Rotation des Stocks PF'!P48</f>
        <v>0</v>
      </c>
      <c r="O51" s="484">
        <f>'[7]Taux de Rotation des Stocks PF'!Q48</f>
        <v>0</v>
      </c>
      <c r="P51" s="484">
        <f>'[7]Taux de Rotation des Stocks PF'!R48</f>
        <v>0</v>
      </c>
      <c r="Q51" s="485">
        <f>'[7]Taux de Rotation des Stocks PF'!S48</f>
        <v>0</v>
      </c>
      <c r="R51" s="388"/>
      <c r="S51" s="486">
        <f>'[7]Taux de Rotation des Stocks PF'!U48</f>
        <v>0.8</v>
      </c>
    </row>
    <row r="52" spans="2:19" hidden="1" outlineLevel="1" x14ac:dyDescent="0.2">
      <c r="B52" s="474"/>
      <c r="C52" s="475" t="s">
        <v>102</v>
      </c>
      <c r="D52" s="476" t="s">
        <v>127</v>
      </c>
      <c r="E52" s="514"/>
      <c r="F52" s="487">
        <f>IF(F53=0,0,F$24/F53)</f>
        <v>29.966666666666665</v>
      </c>
      <c r="G52" s="488">
        <f t="shared" ref="G52:Q52" si="15">IF(G53=0,0,G$24/G53)</f>
        <v>66.5</v>
      </c>
      <c r="H52" s="488">
        <f t="shared" si="15"/>
        <v>93</v>
      </c>
      <c r="I52" s="488">
        <f t="shared" si="15"/>
        <v>90</v>
      </c>
      <c r="J52" s="488">
        <f t="shared" si="15"/>
        <v>0</v>
      </c>
      <c r="K52" s="488">
        <f t="shared" si="15"/>
        <v>0</v>
      </c>
      <c r="L52" s="488">
        <f t="shared" si="15"/>
        <v>0</v>
      </c>
      <c r="M52" s="488">
        <f t="shared" si="15"/>
        <v>0</v>
      </c>
      <c r="N52" s="488">
        <f t="shared" si="15"/>
        <v>0</v>
      </c>
      <c r="O52" s="488">
        <f t="shared" si="15"/>
        <v>0</v>
      </c>
      <c r="P52" s="488">
        <f t="shared" si="15"/>
        <v>0</v>
      </c>
      <c r="Q52" s="489">
        <f t="shared" si="15"/>
        <v>0</v>
      </c>
      <c r="R52" s="388"/>
      <c r="S52" s="490">
        <f>SUMIF($F$23:$Q$23,"&lt;&gt;0",$F$24:$Q$24)/S53</f>
        <v>340</v>
      </c>
    </row>
    <row r="53" spans="2:19" hidden="1" outlineLevel="1" x14ac:dyDescent="0.2">
      <c r="B53" s="474"/>
      <c r="C53" s="481" t="s">
        <v>102</v>
      </c>
      <c r="D53" s="482" t="s">
        <v>86</v>
      </c>
      <c r="E53" s="514"/>
      <c r="F53" s="483">
        <f>'[7]Taux de Rotation des Stocks PF'!H50</f>
        <v>1.0344827586206897</v>
      </c>
      <c r="G53" s="484">
        <f>'[7]Taux de Rotation des Stocks PF'!I50</f>
        <v>0.42105263157894735</v>
      </c>
      <c r="H53" s="484">
        <f>'[7]Taux de Rotation des Stocks PF'!J50</f>
        <v>0.33333333333333331</v>
      </c>
      <c r="I53" s="484">
        <f>'[7]Taux de Rotation des Stocks PF'!K50</f>
        <v>0.33333333333333331</v>
      </c>
      <c r="J53" s="484">
        <f>'[7]Taux de Rotation des Stocks PF'!L50</f>
        <v>0</v>
      </c>
      <c r="K53" s="484">
        <f>'[7]Taux de Rotation des Stocks PF'!M50</f>
        <v>0</v>
      </c>
      <c r="L53" s="484">
        <f>'[7]Taux de Rotation des Stocks PF'!N50</f>
        <v>0</v>
      </c>
      <c r="M53" s="484">
        <f>'[7]Taux de Rotation des Stocks PF'!O50</f>
        <v>0</v>
      </c>
      <c r="N53" s="484">
        <f>'[7]Taux de Rotation des Stocks PF'!P50</f>
        <v>0</v>
      </c>
      <c r="O53" s="484">
        <f>'[7]Taux de Rotation des Stocks PF'!Q50</f>
        <v>0</v>
      </c>
      <c r="P53" s="484">
        <f>'[7]Taux de Rotation des Stocks PF'!R50</f>
        <v>0</v>
      </c>
      <c r="Q53" s="485">
        <f>'[7]Taux de Rotation des Stocks PF'!S50</f>
        <v>0</v>
      </c>
      <c r="R53" s="388"/>
      <c r="S53" s="486">
        <f>'[7]Taux de Rotation des Stocks PF'!U50</f>
        <v>0.35294117647058826</v>
      </c>
    </row>
    <row r="54" spans="2:19" hidden="1" outlineLevel="1" x14ac:dyDescent="0.2">
      <c r="B54" s="474"/>
      <c r="C54" s="475" t="s">
        <v>103</v>
      </c>
      <c r="D54" s="476" t="s">
        <v>127</v>
      </c>
      <c r="E54" s="514"/>
      <c r="F54" s="487">
        <f>IF(F55=0,0,F$24/F55)</f>
        <v>26.724137931034484</v>
      </c>
      <c r="G54" s="488">
        <f t="shared" ref="G54:Q54" si="16">IF(G55=0,0,G$24/G55)</f>
        <v>28.080924855491332</v>
      </c>
      <c r="H54" s="488">
        <f t="shared" si="16"/>
        <v>24.400990099009903</v>
      </c>
      <c r="I54" s="488">
        <f t="shared" si="16"/>
        <v>19.12974683544304</v>
      </c>
      <c r="J54" s="488">
        <f t="shared" si="16"/>
        <v>0</v>
      </c>
      <c r="K54" s="488">
        <f t="shared" si="16"/>
        <v>0</v>
      </c>
      <c r="L54" s="488">
        <f t="shared" si="16"/>
        <v>0</v>
      </c>
      <c r="M54" s="488">
        <f t="shared" si="16"/>
        <v>0</v>
      </c>
      <c r="N54" s="488">
        <f t="shared" si="16"/>
        <v>0</v>
      </c>
      <c r="O54" s="488">
        <f t="shared" si="16"/>
        <v>0</v>
      </c>
      <c r="P54" s="488">
        <f t="shared" si="16"/>
        <v>0</v>
      </c>
      <c r="Q54" s="489">
        <f t="shared" si="16"/>
        <v>0</v>
      </c>
      <c r="R54" s="388"/>
      <c r="S54" s="490">
        <f>SUMIF($F$23:$Q$23,"&lt;&gt;0",$F$24:$Q$24)/S55</f>
        <v>71.962025316455694</v>
      </c>
    </row>
    <row r="55" spans="2:19" hidden="1" outlineLevel="1" x14ac:dyDescent="0.2">
      <c r="B55" s="474"/>
      <c r="C55" s="481" t="s">
        <v>103</v>
      </c>
      <c r="D55" s="482" t="s">
        <v>86</v>
      </c>
      <c r="E55" s="514"/>
      <c r="F55" s="483">
        <f>'[7]Taux de Rotation des Stocks PF'!H52</f>
        <v>1.1599999999999999</v>
      </c>
      <c r="G55" s="484">
        <f>'[7]Taux de Rotation des Stocks PF'!I52</f>
        <v>0.99711815561959649</v>
      </c>
      <c r="H55" s="484">
        <f>'[7]Taux de Rotation des Stocks PF'!J52</f>
        <v>1.270440251572327</v>
      </c>
      <c r="I55" s="484">
        <f>'[7]Taux de Rotation des Stocks PF'!K52</f>
        <v>1.5682382133995036</v>
      </c>
      <c r="J55" s="484">
        <f>'[7]Taux de Rotation des Stocks PF'!L52</f>
        <v>0</v>
      </c>
      <c r="K55" s="484">
        <f>'[7]Taux de Rotation des Stocks PF'!M52</f>
        <v>0</v>
      </c>
      <c r="L55" s="484">
        <f>'[7]Taux de Rotation des Stocks PF'!N52</f>
        <v>0</v>
      </c>
      <c r="M55" s="484">
        <f>'[7]Taux de Rotation des Stocks PF'!O52</f>
        <v>0</v>
      </c>
      <c r="N55" s="484">
        <f>'[7]Taux de Rotation des Stocks PF'!P52</f>
        <v>0</v>
      </c>
      <c r="O55" s="484">
        <f>'[7]Taux de Rotation des Stocks PF'!Q52</f>
        <v>0</v>
      </c>
      <c r="P55" s="484">
        <f>'[7]Taux de Rotation des Stocks PF'!R52</f>
        <v>0</v>
      </c>
      <c r="Q55" s="485">
        <f>'[7]Taux de Rotation des Stocks PF'!S52</f>
        <v>0</v>
      </c>
      <c r="R55" s="388"/>
      <c r="S55" s="486">
        <f>'[7]Taux de Rotation des Stocks PF'!U52</f>
        <v>1.6675461741424802</v>
      </c>
    </row>
    <row r="56" spans="2:19" hidden="1" outlineLevel="1" x14ac:dyDescent="0.2">
      <c r="B56" s="474"/>
      <c r="C56" s="475" t="s">
        <v>104</v>
      </c>
      <c r="D56" s="476" t="s">
        <v>127</v>
      </c>
      <c r="E56" s="514"/>
      <c r="F56" s="487">
        <f>IF(F57=0,0,F$24/F57)</f>
        <v>21.513661202185791</v>
      </c>
      <c r="G56" s="488">
        <f t="shared" ref="G56:Q56" si="17">IF(G57=0,0,G$24/G57)</f>
        <v>28.724137931034484</v>
      </c>
      <c r="H56" s="488">
        <f t="shared" si="17"/>
        <v>25.852189781021895</v>
      </c>
      <c r="I56" s="488">
        <f t="shared" si="17"/>
        <v>24.400684931506849</v>
      </c>
      <c r="J56" s="488">
        <f t="shared" si="17"/>
        <v>0</v>
      </c>
      <c r="K56" s="488">
        <f t="shared" si="17"/>
        <v>0</v>
      </c>
      <c r="L56" s="488">
        <f t="shared" si="17"/>
        <v>0</v>
      </c>
      <c r="M56" s="488">
        <f t="shared" si="17"/>
        <v>0</v>
      </c>
      <c r="N56" s="488">
        <f t="shared" si="17"/>
        <v>0</v>
      </c>
      <c r="O56" s="488">
        <f t="shared" si="17"/>
        <v>0</v>
      </c>
      <c r="P56" s="488">
        <f t="shared" si="17"/>
        <v>0</v>
      </c>
      <c r="Q56" s="489">
        <f t="shared" si="17"/>
        <v>0</v>
      </c>
      <c r="R56" s="388"/>
      <c r="S56" s="490">
        <f>SUMIF($F$23:$Q$23,"&lt;&gt;0",$F$24:$Q$24)/S57</f>
        <v>74.589041095890408</v>
      </c>
    </row>
    <row r="57" spans="2:19" hidden="1" outlineLevel="1" x14ac:dyDescent="0.2">
      <c r="B57" s="474"/>
      <c r="C57" s="481" t="s">
        <v>104</v>
      </c>
      <c r="D57" s="482" t="s">
        <v>86</v>
      </c>
      <c r="E57" s="514"/>
      <c r="F57" s="483">
        <f>'[7]Taux de Rotation des Stocks PF'!H54</f>
        <v>1.4409448818897639</v>
      </c>
      <c r="G57" s="484">
        <f>'[7]Taux de Rotation des Stocks PF'!I54</f>
        <v>0.97478991596638653</v>
      </c>
      <c r="H57" s="484">
        <f>'[7]Taux de Rotation des Stocks PF'!J54</f>
        <v>1.1991247264770242</v>
      </c>
      <c r="I57" s="484">
        <f>'[7]Taux de Rotation des Stocks PF'!K54</f>
        <v>1.2294736842105263</v>
      </c>
      <c r="J57" s="484">
        <f>'[7]Taux de Rotation des Stocks PF'!L54</f>
        <v>0</v>
      </c>
      <c r="K57" s="484">
        <f>'[7]Taux de Rotation des Stocks PF'!M54</f>
        <v>0</v>
      </c>
      <c r="L57" s="484">
        <f>'[7]Taux de Rotation des Stocks PF'!N54</f>
        <v>0</v>
      </c>
      <c r="M57" s="484">
        <f>'[7]Taux de Rotation des Stocks PF'!O54</f>
        <v>0</v>
      </c>
      <c r="N57" s="484">
        <f>'[7]Taux de Rotation des Stocks PF'!P54</f>
        <v>0</v>
      </c>
      <c r="O57" s="484">
        <f>'[7]Taux de Rotation des Stocks PF'!Q54</f>
        <v>0</v>
      </c>
      <c r="P57" s="484">
        <f>'[7]Taux de Rotation des Stocks PF'!R54</f>
        <v>0</v>
      </c>
      <c r="Q57" s="485">
        <f>'[7]Taux de Rotation des Stocks PF'!S54</f>
        <v>0</v>
      </c>
      <c r="R57" s="388"/>
      <c r="S57" s="486">
        <f>'[7]Taux de Rotation des Stocks PF'!U54</f>
        <v>1.6088154269972452</v>
      </c>
    </row>
    <row r="58" spans="2:19" hidden="1" outlineLevel="1" x14ac:dyDescent="0.2">
      <c r="B58" s="474"/>
      <c r="C58" s="475" t="s">
        <v>105</v>
      </c>
      <c r="D58" s="476" t="s">
        <v>127</v>
      </c>
      <c r="E58" s="514"/>
      <c r="F58" s="487">
        <f>IF(F59=0,0,F$24/F59)</f>
        <v>24.238255033557046</v>
      </c>
      <c r="G58" s="488">
        <f t="shared" ref="G58:Q58" si="18">IF(G59=0,0,G$24/G59)</f>
        <v>30.959349593495936</v>
      </c>
      <c r="H58" s="488">
        <f t="shared" si="18"/>
        <v>56.017543859649123</v>
      </c>
      <c r="I58" s="488">
        <f t="shared" si="18"/>
        <v>32.4609375</v>
      </c>
      <c r="J58" s="488">
        <f t="shared" si="18"/>
        <v>0</v>
      </c>
      <c r="K58" s="488">
        <f t="shared" si="18"/>
        <v>0</v>
      </c>
      <c r="L58" s="488">
        <f t="shared" si="18"/>
        <v>0</v>
      </c>
      <c r="M58" s="488">
        <f t="shared" si="18"/>
        <v>0</v>
      </c>
      <c r="N58" s="488">
        <f t="shared" si="18"/>
        <v>0</v>
      </c>
      <c r="O58" s="488">
        <f t="shared" si="18"/>
        <v>0</v>
      </c>
      <c r="P58" s="488">
        <f t="shared" si="18"/>
        <v>0</v>
      </c>
      <c r="Q58" s="489">
        <f t="shared" si="18"/>
        <v>0</v>
      </c>
      <c r="R58" s="388"/>
      <c r="S58" s="490">
        <f>SUMIF($F$23:$Q$23,"&lt;&gt;0",$F$24:$Q$24)/S59</f>
        <v>99.375</v>
      </c>
    </row>
    <row r="59" spans="2:19" hidden="1" outlineLevel="1" x14ac:dyDescent="0.2">
      <c r="B59" s="474"/>
      <c r="C59" s="481" t="s">
        <v>105</v>
      </c>
      <c r="D59" s="482" t="s">
        <v>86</v>
      </c>
      <c r="E59" s="514"/>
      <c r="F59" s="483">
        <f>'[7]Taux de Rotation des Stocks PF'!H56</f>
        <v>1.2789699570815452</v>
      </c>
      <c r="G59" s="484">
        <f>'[7]Taux de Rotation des Stocks PF'!I56</f>
        <v>0.90441176470588236</v>
      </c>
      <c r="H59" s="484">
        <f>'[7]Taux de Rotation des Stocks PF'!J56</f>
        <v>0.55339805825242716</v>
      </c>
      <c r="I59" s="484">
        <f>'[7]Taux de Rotation des Stocks PF'!K56</f>
        <v>0.92418772563176899</v>
      </c>
      <c r="J59" s="484">
        <f>'[7]Taux de Rotation des Stocks PF'!L56</f>
        <v>0</v>
      </c>
      <c r="K59" s="484">
        <f>'[7]Taux de Rotation des Stocks PF'!M56</f>
        <v>0</v>
      </c>
      <c r="L59" s="484">
        <f>'[7]Taux de Rotation des Stocks PF'!N56</f>
        <v>0</v>
      </c>
      <c r="M59" s="484">
        <f>'[7]Taux de Rotation des Stocks PF'!O56</f>
        <v>0</v>
      </c>
      <c r="N59" s="484">
        <f>'[7]Taux de Rotation des Stocks PF'!P56</f>
        <v>0</v>
      </c>
      <c r="O59" s="484">
        <f>'[7]Taux de Rotation des Stocks PF'!Q56</f>
        <v>0</v>
      </c>
      <c r="P59" s="484">
        <f>'[7]Taux de Rotation des Stocks PF'!R56</f>
        <v>0</v>
      </c>
      <c r="Q59" s="485">
        <f>'[7]Taux de Rotation des Stocks PF'!S56</f>
        <v>0</v>
      </c>
      <c r="R59" s="388"/>
      <c r="S59" s="486">
        <f>'[7]Taux de Rotation des Stocks PF'!U56</f>
        <v>1.2075471698113207</v>
      </c>
    </row>
    <row r="60" spans="2:19" hidden="1" outlineLevel="1" x14ac:dyDescent="0.2">
      <c r="B60" s="474"/>
      <c r="C60" s="475" t="s">
        <v>106</v>
      </c>
      <c r="D60" s="476" t="s">
        <v>127</v>
      </c>
      <c r="E60" s="514"/>
      <c r="F60" s="487">
        <f>IF(F61=0,0,F$24/F61)</f>
        <v>32.550000000000004</v>
      </c>
      <c r="G60" s="488">
        <f t="shared" ref="G60:Q60" si="19">IF(G61=0,0,G$24/G61)</f>
        <v>60.666666666666664</v>
      </c>
      <c r="H60" s="488">
        <f t="shared" si="19"/>
        <v>67.166666666666657</v>
      </c>
      <c r="I60" s="488">
        <f t="shared" si="19"/>
        <v>31.666666666666668</v>
      </c>
      <c r="J60" s="488">
        <f t="shared" si="19"/>
        <v>0</v>
      </c>
      <c r="K60" s="488">
        <f t="shared" si="19"/>
        <v>0</v>
      </c>
      <c r="L60" s="488">
        <f t="shared" si="19"/>
        <v>0</v>
      </c>
      <c r="M60" s="488">
        <f t="shared" si="19"/>
        <v>0</v>
      </c>
      <c r="N60" s="488">
        <f t="shared" si="19"/>
        <v>0</v>
      </c>
      <c r="O60" s="488">
        <f t="shared" si="19"/>
        <v>0</v>
      </c>
      <c r="P60" s="488">
        <f t="shared" si="19"/>
        <v>0</v>
      </c>
      <c r="Q60" s="489">
        <f t="shared" si="19"/>
        <v>0</v>
      </c>
      <c r="R60" s="388"/>
      <c r="S60" s="490">
        <f>SUMIF($F$23:$Q$23,"&lt;&gt;0",$F$24:$Q$24)/S61</f>
        <v>133.33333333333334</v>
      </c>
    </row>
    <row r="61" spans="2:19" hidden="1" outlineLevel="1" x14ac:dyDescent="0.2">
      <c r="B61" s="474"/>
      <c r="C61" s="481" t="s">
        <v>106</v>
      </c>
      <c r="D61" s="482" t="s">
        <v>86</v>
      </c>
      <c r="E61" s="514"/>
      <c r="F61" s="483">
        <f>'[7]Taux de Rotation des Stocks PF'!H58</f>
        <v>0.95238095238095233</v>
      </c>
      <c r="G61" s="484">
        <f>'[7]Taux de Rotation des Stocks PF'!I58</f>
        <v>0.46153846153846156</v>
      </c>
      <c r="H61" s="484">
        <f>'[7]Taux de Rotation des Stocks PF'!J58</f>
        <v>0.46153846153846156</v>
      </c>
      <c r="I61" s="484">
        <f>'[7]Taux de Rotation des Stocks PF'!K58</f>
        <v>0.94736842105263153</v>
      </c>
      <c r="J61" s="484">
        <f>'[7]Taux de Rotation des Stocks PF'!L58</f>
        <v>0</v>
      </c>
      <c r="K61" s="484">
        <f>'[7]Taux de Rotation des Stocks PF'!M58</f>
        <v>0</v>
      </c>
      <c r="L61" s="484">
        <f>'[7]Taux de Rotation des Stocks PF'!N58</f>
        <v>0</v>
      </c>
      <c r="M61" s="484">
        <f>'[7]Taux de Rotation des Stocks PF'!O58</f>
        <v>0</v>
      </c>
      <c r="N61" s="484">
        <f>'[7]Taux de Rotation des Stocks PF'!P58</f>
        <v>0</v>
      </c>
      <c r="O61" s="484">
        <f>'[7]Taux de Rotation des Stocks PF'!Q58</f>
        <v>0</v>
      </c>
      <c r="P61" s="484">
        <f>'[7]Taux de Rotation des Stocks PF'!R58</f>
        <v>0</v>
      </c>
      <c r="Q61" s="485">
        <f>'[7]Taux de Rotation des Stocks PF'!S58</f>
        <v>0</v>
      </c>
      <c r="R61" s="388"/>
      <c r="S61" s="486">
        <f>'[7]Taux de Rotation des Stocks PF'!U58</f>
        <v>0.9</v>
      </c>
    </row>
    <row r="62" spans="2:19" hidden="1" outlineLevel="1" x14ac:dyDescent="0.2">
      <c r="B62" s="474"/>
      <c r="C62" s="475" t="s">
        <v>107</v>
      </c>
      <c r="D62" s="476" t="s">
        <v>127</v>
      </c>
      <c r="E62" s="514"/>
      <c r="F62" s="487">
        <f>IF(F63=0,0,F$24/F63)</f>
        <v>31.801724137931036</v>
      </c>
      <c r="G62" s="488">
        <f t="shared" ref="G62:Q62" si="20">IF(G63=0,0,G$24/G63)</f>
        <v>29.320754716981131</v>
      </c>
      <c r="H62" s="488">
        <f t="shared" si="20"/>
        <v>36.406976744186046</v>
      </c>
      <c r="I62" s="488">
        <f t="shared" si="20"/>
        <v>35.232558139534888</v>
      </c>
      <c r="J62" s="488">
        <f t="shared" si="20"/>
        <v>0</v>
      </c>
      <c r="K62" s="488">
        <f t="shared" si="20"/>
        <v>0</v>
      </c>
      <c r="L62" s="488">
        <f t="shared" si="20"/>
        <v>0</v>
      </c>
      <c r="M62" s="488">
        <f t="shared" si="20"/>
        <v>0</v>
      </c>
      <c r="N62" s="488">
        <f t="shared" si="20"/>
        <v>0</v>
      </c>
      <c r="O62" s="488">
        <f t="shared" si="20"/>
        <v>0</v>
      </c>
      <c r="P62" s="488">
        <f t="shared" si="20"/>
        <v>0</v>
      </c>
      <c r="Q62" s="489">
        <f t="shared" si="20"/>
        <v>0</v>
      </c>
      <c r="R62" s="388"/>
      <c r="S62" s="490">
        <f>SUMIF($F$23:$Q$23,"&lt;&gt;0",$F$24:$Q$24)/S63</f>
        <v>145.11627906976744</v>
      </c>
    </row>
    <row r="63" spans="2:19" hidden="1" outlineLevel="1" x14ac:dyDescent="0.2">
      <c r="B63" s="474"/>
      <c r="C63" s="481" t="s">
        <v>107</v>
      </c>
      <c r="D63" s="482" t="s">
        <v>86</v>
      </c>
      <c r="E63" s="514"/>
      <c r="F63" s="483">
        <f>'[7]Taux de Rotation des Stocks PF'!H60</f>
        <v>0.97478991596638653</v>
      </c>
      <c r="G63" s="484">
        <f>'[7]Taux de Rotation des Stocks PF'!I60</f>
        <v>0.95495495495495497</v>
      </c>
      <c r="H63" s="484">
        <f>'[7]Taux de Rotation des Stocks PF'!J60</f>
        <v>0.85148514851485146</v>
      </c>
      <c r="I63" s="484">
        <f>'[7]Taux de Rotation des Stocks PF'!K60</f>
        <v>0.85148514851485146</v>
      </c>
      <c r="J63" s="484">
        <f>'[7]Taux de Rotation des Stocks PF'!L60</f>
        <v>0</v>
      </c>
      <c r="K63" s="484">
        <f>'[7]Taux de Rotation des Stocks PF'!M60</f>
        <v>0</v>
      </c>
      <c r="L63" s="484">
        <f>'[7]Taux de Rotation des Stocks PF'!N60</f>
        <v>0</v>
      </c>
      <c r="M63" s="484">
        <f>'[7]Taux de Rotation des Stocks PF'!O60</f>
        <v>0</v>
      </c>
      <c r="N63" s="484">
        <f>'[7]Taux de Rotation des Stocks PF'!P60</f>
        <v>0</v>
      </c>
      <c r="O63" s="484">
        <f>'[7]Taux de Rotation des Stocks PF'!Q60</f>
        <v>0</v>
      </c>
      <c r="P63" s="484">
        <f>'[7]Taux de Rotation des Stocks PF'!R60</f>
        <v>0</v>
      </c>
      <c r="Q63" s="485">
        <f>'[7]Taux de Rotation des Stocks PF'!S60</f>
        <v>0</v>
      </c>
      <c r="R63" s="388"/>
      <c r="S63" s="486">
        <f>'[7]Taux de Rotation des Stocks PF'!U60</f>
        <v>0.82692307692307687</v>
      </c>
    </row>
    <row r="64" spans="2:19" hidden="1" outlineLevel="1" x14ac:dyDescent="0.2">
      <c r="B64" s="474"/>
      <c r="C64" s="475" t="s">
        <v>108</v>
      </c>
      <c r="D64" s="476" t="s">
        <v>127</v>
      </c>
      <c r="E64" s="514"/>
      <c r="F64" s="487">
        <f>IF(F65=0,0,F$24/F65)</f>
        <v>15.5</v>
      </c>
      <c r="G64" s="488">
        <f t="shared" ref="G64:Q64" si="21">IF(G65=0,0,G$24/G65)</f>
        <v>28</v>
      </c>
      <c r="H64" s="488">
        <f t="shared" si="21"/>
        <v>0</v>
      </c>
      <c r="I64" s="488">
        <f t="shared" si="21"/>
        <v>0</v>
      </c>
      <c r="J64" s="488">
        <f t="shared" si="21"/>
        <v>0</v>
      </c>
      <c r="K64" s="488">
        <f t="shared" si="21"/>
        <v>0</v>
      </c>
      <c r="L64" s="488">
        <f t="shared" si="21"/>
        <v>0</v>
      </c>
      <c r="M64" s="488">
        <f t="shared" si="21"/>
        <v>0</v>
      </c>
      <c r="N64" s="488">
        <f t="shared" si="21"/>
        <v>0</v>
      </c>
      <c r="O64" s="488">
        <f t="shared" si="21"/>
        <v>0</v>
      </c>
      <c r="P64" s="488">
        <f t="shared" si="21"/>
        <v>0</v>
      </c>
      <c r="Q64" s="489">
        <f t="shared" si="21"/>
        <v>0</v>
      </c>
      <c r="R64" s="388"/>
      <c r="S64" s="490">
        <f>SUMIF($F$23:$Q$23,"&lt;&gt;0",$F$24:$Q$24)/S65</f>
        <v>60</v>
      </c>
    </row>
    <row r="65" spans="2:20" hidden="1" outlineLevel="1" x14ac:dyDescent="0.2">
      <c r="B65" s="474"/>
      <c r="C65" s="481" t="s">
        <v>108</v>
      </c>
      <c r="D65" s="482" t="s">
        <v>86</v>
      </c>
      <c r="E65" s="514"/>
      <c r="F65" s="483">
        <f>'[7]Taux de Rotation des Stocks PF'!H62</f>
        <v>2</v>
      </c>
      <c r="G65" s="484">
        <f>'[7]Taux de Rotation des Stocks PF'!I62</f>
        <v>1</v>
      </c>
      <c r="H65" s="484">
        <f>'[7]Taux de Rotation des Stocks PF'!J62</f>
        <v>0</v>
      </c>
      <c r="I65" s="484">
        <f>'[7]Taux de Rotation des Stocks PF'!K62</f>
        <v>0</v>
      </c>
      <c r="J65" s="484">
        <f>'[7]Taux de Rotation des Stocks PF'!L62</f>
        <v>0</v>
      </c>
      <c r="K65" s="484">
        <f>'[7]Taux de Rotation des Stocks PF'!M62</f>
        <v>0</v>
      </c>
      <c r="L65" s="484">
        <f>'[7]Taux de Rotation des Stocks PF'!N62</f>
        <v>0</v>
      </c>
      <c r="M65" s="484">
        <f>'[7]Taux de Rotation des Stocks PF'!O62</f>
        <v>0</v>
      </c>
      <c r="N65" s="484">
        <f>'[7]Taux de Rotation des Stocks PF'!P62</f>
        <v>0</v>
      </c>
      <c r="O65" s="484">
        <f>'[7]Taux de Rotation des Stocks PF'!Q62</f>
        <v>0</v>
      </c>
      <c r="P65" s="484">
        <f>'[7]Taux de Rotation des Stocks PF'!R62</f>
        <v>0</v>
      </c>
      <c r="Q65" s="485">
        <f>'[7]Taux de Rotation des Stocks PF'!S62</f>
        <v>0</v>
      </c>
      <c r="R65" s="388"/>
      <c r="S65" s="486">
        <f>'[7]Taux de Rotation des Stocks PF'!U62</f>
        <v>2</v>
      </c>
    </row>
    <row r="66" spans="2:20" hidden="1" outlineLevel="1" x14ac:dyDescent="0.2">
      <c r="B66" s="474"/>
      <c r="C66" s="475" t="s">
        <v>109</v>
      </c>
      <c r="D66" s="476" t="s">
        <v>127</v>
      </c>
      <c r="E66" s="514"/>
      <c r="F66" s="487">
        <f>IF(F67=0,0,F$24/F67)</f>
        <v>15.5</v>
      </c>
      <c r="G66" s="488">
        <f t="shared" ref="G66:Q66" si="22">IF(G67=0,0,G$24/G67)</f>
        <v>28</v>
      </c>
      <c r="H66" s="488">
        <f t="shared" si="22"/>
        <v>16.439393939393941</v>
      </c>
      <c r="I66" s="488">
        <f t="shared" si="22"/>
        <v>15.476190476190476</v>
      </c>
      <c r="J66" s="488">
        <f t="shared" si="22"/>
        <v>0</v>
      </c>
      <c r="K66" s="488">
        <f t="shared" si="22"/>
        <v>0</v>
      </c>
      <c r="L66" s="488">
        <f t="shared" si="22"/>
        <v>0</v>
      </c>
      <c r="M66" s="488">
        <f t="shared" si="22"/>
        <v>0</v>
      </c>
      <c r="N66" s="488">
        <f t="shared" si="22"/>
        <v>0</v>
      </c>
      <c r="O66" s="488">
        <f t="shared" si="22"/>
        <v>0</v>
      </c>
      <c r="P66" s="488">
        <f t="shared" si="22"/>
        <v>0</v>
      </c>
      <c r="Q66" s="489">
        <f t="shared" si="22"/>
        <v>0</v>
      </c>
      <c r="R66" s="388"/>
      <c r="S66" s="490">
        <f>SUMIF($F$23:$Q$23,"&lt;&gt;0",$F$24:$Q$24)/S67</f>
        <v>60</v>
      </c>
    </row>
    <row r="67" spans="2:20" hidden="1" outlineLevel="1" x14ac:dyDescent="0.2">
      <c r="B67" s="474"/>
      <c r="C67" s="481" t="s">
        <v>109</v>
      </c>
      <c r="D67" s="482" t="s">
        <v>86</v>
      </c>
      <c r="E67" s="514"/>
      <c r="F67" s="483">
        <f>'[7]Taux de Rotation des Stocks PF'!H64</f>
        <v>2</v>
      </c>
      <c r="G67" s="484">
        <f>'[7]Taux de Rotation des Stocks PF'!I64</f>
        <v>1</v>
      </c>
      <c r="H67" s="484">
        <f>'[7]Taux de Rotation des Stocks PF'!J64</f>
        <v>1.8857142857142857</v>
      </c>
      <c r="I67" s="484">
        <f>'[7]Taux de Rotation des Stocks PF'!K64</f>
        <v>1.9384615384615385</v>
      </c>
      <c r="J67" s="484">
        <f>'[7]Taux de Rotation des Stocks PF'!L64</f>
        <v>0</v>
      </c>
      <c r="K67" s="484">
        <f>'[7]Taux de Rotation des Stocks PF'!M64</f>
        <v>0</v>
      </c>
      <c r="L67" s="484">
        <f>'[7]Taux de Rotation des Stocks PF'!N64</f>
        <v>0</v>
      </c>
      <c r="M67" s="484">
        <f>'[7]Taux de Rotation des Stocks PF'!O64</f>
        <v>0</v>
      </c>
      <c r="N67" s="484">
        <f>'[7]Taux de Rotation des Stocks PF'!P64</f>
        <v>0</v>
      </c>
      <c r="O67" s="484">
        <f>'[7]Taux de Rotation des Stocks PF'!Q64</f>
        <v>0</v>
      </c>
      <c r="P67" s="484">
        <f>'[7]Taux de Rotation des Stocks PF'!R64</f>
        <v>0</v>
      </c>
      <c r="Q67" s="485">
        <f>'[7]Taux de Rotation des Stocks PF'!S64</f>
        <v>0</v>
      </c>
      <c r="R67" s="388"/>
      <c r="S67" s="486">
        <f>'[7]Taux de Rotation des Stocks PF'!U64</f>
        <v>2</v>
      </c>
    </row>
    <row r="68" spans="2:20" hidden="1" outlineLevel="1" x14ac:dyDescent="0.2">
      <c r="B68" s="474"/>
      <c r="C68" s="475" t="s">
        <v>110</v>
      </c>
      <c r="D68" s="476" t="s">
        <v>127</v>
      </c>
      <c r="E68" s="514"/>
      <c r="F68" s="487">
        <f>IF(F69=0,0,F$24/F69)</f>
        <v>22.388888888888889</v>
      </c>
      <c r="G68" s="488">
        <f t="shared" ref="G68:Q68" si="23">IF(G69=0,0,G$24/G69)</f>
        <v>27.263157894736842</v>
      </c>
      <c r="H68" s="488">
        <f t="shared" si="23"/>
        <v>22.304878048780488</v>
      </c>
      <c r="I68" s="488">
        <f t="shared" si="23"/>
        <v>25.799999999999997</v>
      </c>
      <c r="J68" s="488">
        <f t="shared" si="23"/>
        <v>0</v>
      </c>
      <c r="K68" s="488">
        <f t="shared" si="23"/>
        <v>0</v>
      </c>
      <c r="L68" s="488">
        <f t="shared" si="23"/>
        <v>0</v>
      </c>
      <c r="M68" s="488">
        <f t="shared" si="23"/>
        <v>0</v>
      </c>
      <c r="N68" s="488">
        <f t="shared" si="23"/>
        <v>0</v>
      </c>
      <c r="O68" s="488">
        <f t="shared" si="23"/>
        <v>0</v>
      </c>
      <c r="P68" s="488">
        <f t="shared" si="23"/>
        <v>0</v>
      </c>
      <c r="Q68" s="489">
        <f t="shared" si="23"/>
        <v>0</v>
      </c>
      <c r="R68" s="388"/>
      <c r="S68" s="490">
        <f>SUMIF($F$23:$Q$23,"&lt;&gt;0",$F$24:$Q$24)/S69</f>
        <v>79.2</v>
      </c>
    </row>
    <row r="69" spans="2:20" hidden="1" outlineLevel="1" x14ac:dyDescent="0.2">
      <c r="B69" s="474"/>
      <c r="C69" s="481" t="s">
        <v>110</v>
      </c>
      <c r="D69" s="482" t="s">
        <v>86</v>
      </c>
      <c r="E69" s="514"/>
      <c r="F69" s="483">
        <f>'[7]Taux de Rotation des Stocks PF'!H66</f>
        <v>1.3846153846153846</v>
      </c>
      <c r="G69" s="484">
        <f>'[7]Taux de Rotation des Stocks PF'!I66</f>
        <v>1.027027027027027</v>
      </c>
      <c r="H69" s="484">
        <f>'[7]Taux de Rotation des Stocks PF'!J66</f>
        <v>1.3898305084745763</v>
      </c>
      <c r="I69" s="484">
        <f>'[7]Taux de Rotation des Stocks PF'!K66</f>
        <v>1.1627906976744187</v>
      </c>
      <c r="J69" s="484">
        <f>'[7]Taux de Rotation des Stocks PF'!L66</f>
        <v>0</v>
      </c>
      <c r="K69" s="484">
        <f>'[7]Taux de Rotation des Stocks PF'!M66</f>
        <v>0</v>
      </c>
      <c r="L69" s="484">
        <f>'[7]Taux de Rotation des Stocks PF'!N66</f>
        <v>0</v>
      </c>
      <c r="M69" s="484">
        <f>'[7]Taux de Rotation des Stocks PF'!O66</f>
        <v>0</v>
      </c>
      <c r="N69" s="484">
        <f>'[7]Taux de Rotation des Stocks PF'!P66</f>
        <v>0</v>
      </c>
      <c r="O69" s="484">
        <f>'[7]Taux de Rotation des Stocks PF'!Q66</f>
        <v>0</v>
      </c>
      <c r="P69" s="484">
        <f>'[7]Taux de Rotation des Stocks PF'!R66</f>
        <v>0</v>
      </c>
      <c r="Q69" s="485">
        <f>'[7]Taux de Rotation des Stocks PF'!S66</f>
        <v>0</v>
      </c>
      <c r="R69" s="388"/>
      <c r="S69" s="486">
        <f>'[7]Taux de Rotation des Stocks PF'!U66</f>
        <v>1.5151515151515151</v>
      </c>
    </row>
    <row r="70" spans="2:20" hidden="1" outlineLevel="1" x14ac:dyDescent="0.2">
      <c r="B70" s="474"/>
      <c r="C70" s="475" t="s">
        <v>111</v>
      </c>
      <c r="D70" s="476" t="s">
        <v>127</v>
      </c>
      <c r="E70" s="514"/>
      <c r="F70" s="487">
        <f>IF(F71=0,0,F$24/F71)</f>
        <v>35.133333333333333</v>
      </c>
      <c r="G70" s="488">
        <f t="shared" ref="G70:Q70" si="24">IF(G71=0,0,G$24/G71)</f>
        <v>19.675675675675674</v>
      </c>
      <c r="H70" s="488">
        <f t="shared" si="24"/>
        <v>30.03125</v>
      </c>
      <c r="I70" s="488">
        <f t="shared" si="24"/>
        <v>29.0625</v>
      </c>
      <c r="J70" s="488">
        <f t="shared" si="24"/>
        <v>0</v>
      </c>
      <c r="K70" s="488">
        <f t="shared" si="24"/>
        <v>0</v>
      </c>
      <c r="L70" s="488">
        <f t="shared" si="24"/>
        <v>0</v>
      </c>
      <c r="M70" s="488">
        <f t="shared" si="24"/>
        <v>0</v>
      </c>
      <c r="N70" s="488">
        <f t="shared" si="24"/>
        <v>0</v>
      </c>
      <c r="O70" s="488">
        <f t="shared" si="24"/>
        <v>0</v>
      </c>
      <c r="P70" s="488">
        <f t="shared" si="24"/>
        <v>0</v>
      </c>
      <c r="Q70" s="489">
        <f t="shared" si="24"/>
        <v>0</v>
      </c>
      <c r="R70" s="388"/>
      <c r="S70" s="490">
        <f>SUMIF($F$23:$Q$23,"&lt;&gt;0",$F$24:$Q$24)/S71</f>
        <v>131.25</v>
      </c>
    </row>
    <row r="71" spans="2:20" hidden="1" outlineLevel="1" x14ac:dyDescent="0.2">
      <c r="B71" s="474"/>
      <c r="C71" s="481" t="s">
        <v>111</v>
      </c>
      <c r="D71" s="482" t="s">
        <v>86</v>
      </c>
      <c r="E71" s="514"/>
      <c r="F71" s="483">
        <f>'[7]Taux de Rotation des Stocks PF'!H68</f>
        <v>0.88235294117647056</v>
      </c>
      <c r="G71" s="484">
        <f>'[7]Taux de Rotation des Stocks PF'!I68</f>
        <v>1.4230769230769231</v>
      </c>
      <c r="H71" s="484">
        <f>'[7]Taux de Rotation des Stocks PF'!J68</f>
        <v>1.032258064516129</v>
      </c>
      <c r="I71" s="484">
        <f>'[7]Taux de Rotation des Stocks PF'!K68</f>
        <v>1.032258064516129</v>
      </c>
      <c r="J71" s="484">
        <f>'[7]Taux de Rotation des Stocks PF'!L68</f>
        <v>0</v>
      </c>
      <c r="K71" s="484">
        <f>'[7]Taux de Rotation des Stocks PF'!M68</f>
        <v>0</v>
      </c>
      <c r="L71" s="484">
        <f>'[7]Taux de Rotation des Stocks PF'!N68</f>
        <v>0</v>
      </c>
      <c r="M71" s="484">
        <f>'[7]Taux de Rotation des Stocks PF'!O68</f>
        <v>0</v>
      </c>
      <c r="N71" s="484">
        <f>'[7]Taux de Rotation des Stocks PF'!P68</f>
        <v>0</v>
      </c>
      <c r="O71" s="484">
        <f>'[7]Taux de Rotation des Stocks PF'!Q68</f>
        <v>0</v>
      </c>
      <c r="P71" s="484">
        <f>'[7]Taux de Rotation des Stocks PF'!R68</f>
        <v>0</v>
      </c>
      <c r="Q71" s="485">
        <f>'[7]Taux de Rotation des Stocks PF'!S68</f>
        <v>0</v>
      </c>
      <c r="R71" s="388"/>
      <c r="S71" s="486">
        <f>'[7]Taux de Rotation des Stocks PF'!U68</f>
        <v>0.91428571428571426</v>
      </c>
    </row>
    <row r="72" spans="2:20" hidden="1" outlineLevel="1" x14ac:dyDescent="0.2">
      <c r="B72" s="474"/>
      <c r="C72" s="475" t="s">
        <v>112</v>
      </c>
      <c r="D72" s="476" t="s">
        <v>127</v>
      </c>
      <c r="E72" s="514"/>
      <c r="F72" s="487">
        <f>IF(F73=0,0,F$24/F73)</f>
        <v>33.214285714285715</v>
      </c>
      <c r="G72" s="488">
        <f t="shared" ref="G72:Q72" si="25">IF(G73=0,0,G$24/G73)</f>
        <v>26.510638297872344</v>
      </c>
      <c r="H72" s="488">
        <f t="shared" si="25"/>
        <v>29.351063829787236</v>
      </c>
      <c r="I72" s="488">
        <f t="shared" si="25"/>
        <v>28.404255319148938</v>
      </c>
      <c r="J72" s="488">
        <f t="shared" si="25"/>
        <v>0</v>
      </c>
      <c r="K72" s="488">
        <f t="shared" si="25"/>
        <v>0</v>
      </c>
      <c r="L72" s="488">
        <f t="shared" si="25"/>
        <v>0</v>
      </c>
      <c r="M72" s="488">
        <f t="shared" si="25"/>
        <v>0</v>
      </c>
      <c r="N72" s="488">
        <f t="shared" si="25"/>
        <v>0</v>
      </c>
      <c r="O72" s="488">
        <f t="shared" si="25"/>
        <v>0</v>
      </c>
      <c r="P72" s="488">
        <f t="shared" si="25"/>
        <v>0</v>
      </c>
      <c r="Q72" s="489">
        <f t="shared" si="25"/>
        <v>0</v>
      </c>
      <c r="R72" s="388"/>
      <c r="S72" s="490">
        <f>SUMIF($F$23:$Q$23,"&lt;&gt;0",$F$24:$Q$24)/S73</f>
        <v>121.27659574468086</v>
      </c>
    </row>
    <row r="73" spans="2:20" hidden="1" outlineLevel="1" x14ac:dyDescent="0.2">
      <c r="B73" s="474"/>
      <c r="C73" s="481" t="s">
        <v>112</v>
      </c>
      <c r="D73" s="482" t="s">
        <v>86</v>
      </c>
      <c r="E73" s="514"/>
      <c r="F73" s="483">
        <f>'[7]Taux de Rotation des Stocks PF'!H70</f>
        <v>0.93333333333333335</v>
      </c>
      <c r="G73" s="484">
        <f>'[7]Taux de Rotation des Stocks PF'!I70</f>
        <v>1.0561797752808988</v>
      </c>
      <c r="H73" s="484">
        <f>'[7]Taux de Rotation des Stocks PF'!J70</f>
        <v>1.0561797752808988</v>
      </c>
      <c r="I73" s="484">
        <f>'[7]Taux de Rotation des Stocks PF'!K70</f>
        <v>1.0561797752808988</v>
      </c>
      <c r="J73" s="484">
        <f>'[7]Taux de Rotation des Stocks PF'!L70</f>
        <v>0</v>
      </c>
      <c r="K73" s="484">
        <f>'[7]Taux de Rotation des Stocks PF'!M70</f>
        <v>0</v>
      </c>
      <c r="L73" s="484">
        <f>'[7]Taux de Rotation des Stocks PF'!N70</f>
        <v>0</v>
      </c>
      <c r="M73" s="484">
        <f>'[7]Taux de Rotation des Stocks PF'!O70</f>
        <v>0</v>
      </c>
      <c r="N73" s="484">
        <f>'[7]Taux de Rotation des Stocks PF'!P70</f>
        <v>0</v>
      </c>
      <c r="O73" s="484">
        <f>'[7]Taux de Rotation des Stocks PF'!Q70</f>
        <v>0</v>
      </c>
      <c r="P73" s="484">
        <f>'[7]Taux de Rotation des Stocks PF'!R70</f>
        <v>0</v>
      </c>
      <c r="Q73" s="485">
        <f>'[7]Taux de Rotation des Stocks PF'!S70</f>
        <v>0</v>
      </c>
      <c r="R73" s="388"/>
      <c r="S73" s="486">
        <f>'[7]Taux de Rotation des Stocks PF'!U70</f>
        <v>0.98947368421052628</v>
      </c>
    </row>
    <row r="74" spans="2:20" hidden="1" outlineLevel="1" x14ac:dyDescent="0.2">
      <c r="B74" s="474"/>
      <c r="C74" s="475" t="s">
        <v>113</v>
      </c>
      <c r="D74" s="476" t="s">
        <v>127</v>
      </c>
      <c r="E74" s="514"/>
      <c r="F74" s="487">
        <f>IF(F75=0,0,F$24/F75)</f>
        <v>17.586538461538463</v>
      </c>
      <c r="G74" s="488">
        <f t="shared" ref="G74:Q74" si="26">IF(G75=0,0,G$24/G75)</f>
        <v>54.44444444444445</v>
      </c>
      <c r="H74" s="488">
        <f t="shared" si="26"/>
        <v>29.640350877192983</v>
      </c>
      <c r="I74" s="488">
        <f t="shared" si="26"/>
        <v>32.333333333333329</v>
      </c>
      <c r="J74" s="488">
        <f t="shared" si="26"/>
        <v>0</v>
      </c>
      <c r="K74" s="488">
        <f t="shared" si="26"/>
        <v>0</v>
      </c>
      <c r="L74" s="488">
        <f t="shared" si="26"/>
        <v>0</v>
      </c>
      <c r="M74" s="488">
        <f t="shared" si="26"/>
        <v>0</v>
      </c>
      <c r="N74" s="488">
        <f t="shared" si="26"/>
        <v>0</v>
      </c>
      <c r="O74" s="488">
        <f t="shared" si="26"/>
        <v>0</v>
      </c>
      <c r="P74" s="488">
        <f t="shared" si="26"/>
        <v>0</v>
      </c>
      <c r="Q74" s="489">
        <f t="shared" si="26"/>
        <v>0</v>
      </c>
      <c r="R74" s="388"/>
      <c r="S74" s="490">
        <f>SUMIF($F$23:$Q$23,"&lt;&gt;0",$F$24:$Q$24)/S75</f>
        <v>69.333333333333329</v>
      </c>
    </row>
    <row r="75" spans="2:20" hidden="1" outlineLevel="1" x14ac:dyDescent="0.2">
      <c r="B75" s="474"/>
      <c r="C75" s="481" t="s">
        <v>113</v>
      </c>
      <c r="D75" s="482" t="s">
        <v>86</v>
      </c>
      <c r="E75" s="514"/>
      <c r="F75" s="483">
        <f>'[7]Taux de Rotation des Stocks PF'!H72</f>
        <v>1.7627118644067796</v>
      </c>
      <c r="G75" s="484">
        <f>'[7]Taux de Rotation des Stocks PF'!I72</f>
        <v>0.51428571428571423</v>
      </c>
      <c r="H75" s="484">
        <f>'[7]Taux de Rotation des Stocks PF'!J72</f>
        <v>1.0458715596330275</v>
      </c>
      <c r="I75" s="484">
        <f>'[7]Taux de Rotation des Stocks PF'!K72</f>
        <v>0.92783505154639179</v>
      </c>
      <c r="J75" s="484">
        <f>'[7]Taux de Rotation des Stocks PF'!L72</f>
        <v>0</v>
      </c>
      <c r="K75" s="484">
        <f>'[7]Taux de Rotation des Stocks PF'!M72</f>
        <v>0</v>
      </c>
      <c r="L75" s="484">
        <f>'[7]Taux de Rotation des Stocks PF'!N72</f>
        <v>0</v>
      </c>
      <c r="M75" s="484">
        <f>'[7]Taux de Rotation des Stocks PF'!O72</f>
        <v>0</v>
      </c>
      <c r="N75" s="484">
        <f>'[7]Taux de Rotation des Stocks PF'!P72</f>
        <v>0</v>
      </c>
      <c r="O75" s="484">
        <f>'[7]Taux de Rotation des Stocks PF'!Q72</f>
        <v>0</v>
      </c>
      <c r="P75" s="484">
        <f>'[7]Taux de Rotation des Stocks PF'!R72</f>
        <v>0</v>
      </c>
      <c r="Q75" s="485">
        <f>'[7]Taux de Rotation des Stocks PF'!S72</f>
        <v>0</v>
      </c>
      <c r="R75" s="388"/>
      <c r="S75" s="486">
        <f>'[7]Taux de Rotation des Stocks PF'!U72</f>
        <v>1.7307692307692308</v>
      </c>
    </row>
    <row r="76" spans="2:20" hidden="1" outlineLevel="1" x14ac:dyDescent="0.2">
      <c r="B76" s="474"/>
      <c r="C76" s="475" t="s">
        <v>114</v>
      </c>
      <c r="D76" s="476" t="s">
        <v>127</v>
      </c>
      <c r="E76" s="514"/>
      <c r="F76" s="487">
        <f>IF(F77=0,0,F$24/F77)</f>
        <v>33.735294117647058</v>
      </c>
      <c r="G76" s="488">
        <f t="shared" ref="G76:Q76" si="27">IF(G77=0,0,G$24/G77)</f>
        <v>28</v>
      </c>
      <c r="H76" s="488">
        <f t="shared" si="27"/>
        <v>31</v>
      </c>
      <c r="I76" s="488">
        <f t="shared" si="27"/>
        <v>30</v>
      </c>
      <c r="J76" s="488">
        <f t="shared" si="27"/>
        <v>0</v>
      </c>
      <c r="K76" s="488">
        <f t="shared" si="27"/>
        <v>0</v>
      </c>
      <c r="L76" s="488">
        <f t="shared" si="27"/>
        <v>0</v>
      </c>
      <c r="M76" s="488">
        <f t="shared" si="27"/>
        <v>0</v>
      </c>
      <c r="N76" s="488">
        <f t="shared" si="27"/>
        <v>0</v>
      </c>
      <c r="O76" s="488">
        <f t="shared" si="27"/>
        <v>0</v>
      </c>
      <c r="P76" s="488">
        <f t="shared" si="27"/>
        <v>0</v>
      </c>
      <c r="Q76" s="489">
        <f t="shared" si="27"/>
        <v>0</v>
      </c>
      <c r="R76" s="388"/>
      <c r="S76" s="491">
        <f>SUMIF($F$23:$Q$23,"&lt;&gt;0",$F$24:$Q$24)/S77</f>
        <v>130.58823529411765</v>
      </c>
    </row>
    <row r="77" spans="2:20" hidden="1" outlineLevel="1" x14ac:dyDescent="0.2">
      <c r="B77" s="474"/>
      <c r="C77" s="481" t="s">
        <v>114</v>
      </c>
      <c r="D77" s="482" t="s">
        <v>86</v>
      </c>
      <c r="E77" s="514"/>
      <c r="F77" s="483">
        <f>'[7]Taux de Rotation des Stocks PF'!H74</f>
        <v>0.91891891891891897</v>
      </c>
      <c r="G77" s="484">
        <f>'[7]Taux de Rotation des Stocks PF'!I74</f>
        <v>1</v>
      </c>
      <c r="H77" s="484">
        <f>'[7]Taux de Rotation des Stocks PF'!J74</f>
        <v>1</v>
      </c>
      <c r="I77" s="484">
        <f>'[7]Taux de Rotation des Stocks PF'!K74</f>
        <v>1</v>
      </c>
      <c r="J77" s="484">
        <f>'[7]Taux de Rotation des Stocks PF'!L74</f>
        <v>0</v>
      </c>
      <c r="K77" s="484">
        <f>'[7]Taux de Rotation des Stocks PF'!M74</f>
        <v>0</v>
      </c>
      <c r="L77" s="484">
        <f>'[7]Taux de Rotation des Stocks PF'!N74</f>
        <v>0</v>
      </c>
      <c r="M77" s="484">
        <f>'[7]Taux de Rotation des Stocks PF'!O74</f>
        <v>0</v>
      </c>
      <c r="N77" s="484">
        <f>'[7]Taux de Rotation des Stocks PF'!P74</f>
        <v>0</v>
      </c>
      <c r="O77" s="484">
        <f>'[7]Taux de Rotation des Stocks PF'!Q74</f>
        <v>0</v>
      </c>
      <c r="P77" s="484">
        <f>'[7]Taux de Rotation des Stocks PF'!R74</f>
        <v>0</v>
      </c>
      <c r="Q77" s="485">
        <f>'[7]Taux de Rotation des Stocks PF'!S74</f>
        <v>0</v>
      </c>
      <c r="R77" s="388"/>
      <c r="S77" s="492">
        <f>'[7]Taux de Rotation des Stocks PF'!U74</f>
        <v>0.91891891891891897</v>
      </c>
    </row>
    <row r="78" spans="2:20" collapsed="1" x14ac:dyDescent="0.2">
      <c r="B78" s="814" t="s">
        <v>63</v>
      </c>
      <c r="C78" s="815"/>
      <c r="D78" s="464" t="s">
        <v>127</v>
      </c>
      <c r="F78" s="493">
        <f>IF(F80=0,0,F$79/F80)</f>
        <v>30.058956347215251</v>
      </c>
      <c r="G78" s="494">
        <f t="shared" ref="G78:Q78" si="28">IF(G80=0,0,G$79/G80)</f>
        <v>26.653968253968255</v>
      </c>
      <c r="H78" s="494">
        <f t="shared" si="28"/>
        <v>31.04936305732484</v>
      </c>
      <c r="I78" s="494">
        <f t="shared" si="28"/>
        <v>30.320631970260223</v>
      </c>
      <c r="J78" s="494">
        <f t="shared" si="28"/>
        <v>0</v>
      </c>
      <c r="K78" s="494">
        <f t="shared" si="28"/>
        <v>0</v>
      </c>
      <c r="L78" s="494">
        <f t="shared" si="28"/>
        <v>0</v>
      </c>
      <c r="M78" s="494">
        <f t="shared" si="28"/>
        <v>0</v>
      </c>
      <c r="N78" s="494">
        <f t="shared" si="28"/>
        <v>0</v>
      </c>
      <c r="O78" s="494">
        <f t="shared" si="28"/>
        <v>0</v>
      </c>
      <c r="P78" s="494">
        <f t="shared" si="28"/>
        <v>0</v>
      </c>
      <c r="Q78" s="495">
        <f t="shared" si="28"/>
        <v>0</v>
      </c>
      <c r="R78" s="291"/>
      <c r="S78" s="463">
        <f>SUMIF(F78:Q78,"&lt;&gt;0",F79:Q79)/S80</f>
        <v>112.19330855018589</v>
      </c>
    </row>
    <row r="79" spans="2:20" x14ac:dyDescent="0.2">
      <c r="B79" s="814"/>
      <c r="C79" s="815"/>
      <c r="D79" s="464" t="s">
        <v>85</v>
      </c>
      <c r="F79" s="493">
        <v>31</v>
      </c>
      <c r="G79" s="494">
        <v>28</v>
      </c>
      <c r="H79" s="494">
        <v>31</v>
      </c>
      <c r="I79" s="494">
        <v>30</v>
      </c>
      <c r="J79" s="494">
        <v>31</v>
      </c>
      <c r="K79" s="494">
        <v>30</v>
      </c>
      <c r="L79" s="494">
        <v>31</v>
      </c>
      <c r="M79" s="494">
        <v>31</v>
      </c>
      <c r="N79" s="494">
        <v>30</v>
      </c>
      <c r="O79" s="494">
        <v>31</v>
      </c>
      <c r="P79" s="494">
        <v>30</v>
      </c>
      <c r="Q79" s="495">
        <v>31</v>
      </c>
      <c r="R79" s="291"/>
      <c r="S79" s="468">
        <f>SUM(F79:Q79)</f>
        <v>365</v>
      </c>
    </row>
    <row r="80" spans="2:20" x14ac:dyDescent="0.2">
      <c r="B80" s="814"/>
      <c r="C80" s="815"/>
      <c r="D80" s="464" t="s">
        <v>86</v>
      </c>
      <c r="F80" s="496">
        <f>'[7]Taux de Rotation des Stocks PF'!H76</f>
        <v>1.0313065976714102</v>
      </c>
      <c r="G80" s="497">
        <f>'[7]Taux de Rotation des Stocks PF'!I76</f>
        <v>1.0505002382086708</v>
      </c>
      <c r="H80" s="497">
        <f>'[7]Taux de Rotation des Stocks PF'!J76</f>
        <v>0.99841017488076311</v>
      </c>
      <c r="I80" s="497">
        <f>'[7]Taux de Rotation des Stocks PF'!K76</f>
        <v>0.98942528735632185</v>
      </c>
      <c r="J80" s="497">
        <f>'[7]Taux de Rotation des Stocks PF'!L76</f>
        <v>0</v>
      </c>
      <c r="K80" s="497">
        <f>'[7]Taux de Rotation des Stocks PF'!M76</f>
        <v>0</v>
      </c>
      <c r="L80" s="497">
        <f>'[7]Taux de Rotation des Stocks PF'!N76</f>
        <v>0</v>
      </c>
      <c r="M80" s="497">
        <f>'[7]Taux de Rotation des Stocks PF'!O76</f>
        <v>0</v>
      </c>
      <c r="N80" s="497">
        <f>'[7]Taux de Rotation des Stocks PF'!P76</f>
        <v>0</v>
      </c>
      <c r="O80" s="497">
        <f>'[7]Taux de Rotation des Stocks PF'!Q76</f>
        <v>0</v>
      </c>
      <c r="P80" s="497">
        <f>'[7]Taux de Rotation des Stocks PF'!R76</f>
        <v>0</v>
      </c>
      <c r="Q80" s="498">
        <f>'[7]Taux de Rotation des Stocks PF'!S76</f>
        <v>0</v>
      </c>
      <c r="R80" s="499"/>
      <c r="S80" s="473">
        <f>'[7]Taux de Rotation des Stocks PF'!U76</f>
        <v>1.0695825049701788</v>
      </c>
      <c r="T80" s="383">
        <f>100%-S80</f>
        <v>-6.9582504970178816E-2</v>
      </c>
    </row>
    <row r="81" spans="2:19" hidden="1" outlineLevel="1" x14ac:dyDescent="0.2">
      <c r="B81" s="500"/>
      <c r="C81" s="475" t="s">
        <v>115</v>
      </c>
      <c r="D81" s="476" t="s">
        <v>127</v>
      </c>
      <c r="E81" s="515"/>
      <c r="F81" s="487">
        <f>IF(F82=0,0,F$79/F82)</f>
        <v>30.340425531914892</v>
      </c>
      <c r="G81" s="488">
        <f t="shared" ref="G81:Q81" si="29">IF(G82=0,0,G$79/G82)</f>
        <v>28</v>
      </c>
      <c r="H81" s="488">
        <f t="shared" si="29"/>
        <v>31</v>
      </c>
      <c r="I81" s="488">
        <f t="shared" si="29"/>
        <v>30</v>
      </c>
      <c r="J81" s="488">
        <f t="shared" si="29"/>
        <v>0</v>
      </c>
      <c r="K81" s="488">
        <f t="shared" si="29"/>
        <v>0</v>
      </c>
      <c r="L81" s="488">
        <f t="shared" si="29"/>
        <v>0</v>
      </c>
      <c r="M81" s="488">
        <f t="shared" si="29"/>
        <v>0</v>
      </c>
      <c r="N81" s="488">
        <f t="shared" si="29"/>
        <v>0</v>
      </c>
      <c r="O81" s="488">
        <f t="shared" si="29"/>
        <v>0</v>
      </c>
      <c r="P81" s="488">
        <f t="shared" si="29"/>
        <v>0</v>
      </c>
      <c r="Q81" s="489">
        <f t="shared" si="29"/>
        <v>0</v>
      </c>
      <c r="R81" s="356"/>
      <c r="S81" s="491">
        <f>SUMIF($F$23:$Q$23,"&lt;&gt;0",$F$24:$Q$24)/S82</f>
        <v>117.44680851063829</v>
      </c>
    </row>
    <row r="82" spans="2:19" hidden="1" outlineLevel="1" x14ac:dyDescent="0.2">
      <c r="B82" s="501"/>
      <c r="C82" s="481" t="s">
        <v>115</v>
      </c>
      <c r="D82" s="482" t="s">
        <v>86</v>
      </c>
      <c r="E82" s="515"/>
      <c r="F82" s="483">
        <f>'[7]Taux de Rotation des Stocks PF'!H78</f>
        <v>1.0217391304347827</v>
      </c>
      <c r="G82" s="484">
        <f>'[7]Taux de Rotation des Stocks PF'!I78</f>
        <v>1</v>
      </c>
      <c r="H82" s="484">
        <f>'[7]Taux de Rotation des Stocks PF'!J78</f>
        <v>1</v>
      </c>
      <c r="I82" s="484">
        <f>'[7]Taux de Rotation des Stocks PF'!K78</f>
        <v>1</v>
      </c>
      <c r="J82" s="484">
        <f>'[7]Taux de Rotation des Stocks PF'!L78</f>
        <v>0</v>
      </c>
      <c r="K82" s="484">
        <f>'[7]Taux de Rotation des Stocks PF'!M78</f>
        <v>0</v>
      </c>
      <c r="L82" s="484">
        <f>'[7]Taux de Rotation des Stocks PF'!N78</f>
        <v>0</v>
      </c>
      <c r="M82" s="484">
        <f>'[7]Taux de Rotation des Stocks PF'!O78</f>
        <v>0</v>
      </c>
      <c r="N82" s="484">
        <f>'[7]Taux de Rotation des Stocks PF'!P78</f>
        <v>0</v>
      </c>
      <c r="O82" s="484">
        <f>'[7]Taux de Rotation des Stocks PF'!Q78</f>
        <v>0</v>
      </c>
      <c r="P82" s="484">
        <f>'[7]Taux de Rotation des Stocks PF'!R78</f>
        <v>0</v>
      </c>
      <c r="Q82" s="485">
        <f>'[7]Taux de Rotation des Stocks PF'!S78</f>
        <v>0</v>
      </c>
      <c r="R82" s="356"/>
      <c r="S82" s="492">
        <f>'[7]Taux de Rotation des Stocks PF'!U78</f>
        <v>1.0217391304347827</v>
      </c>
    </row>
    <row r="83" spans="2:19" hidden="1" outlineLevel="1" x14ac:dyDescent="0.2">
      <c r="B83" s="501"/>
      <c r="C83" s="475" t="s">
        <v>116</v>
      </c>
      <c r="D83" s="476" t="s">
        <v>127</v>
      </c>
      <c r="E83" s="515"/>
      <c r="F83" s="487">
        <f>IF(F84=0,0,F$79/F84)</f>
        <v>30.138888888888893</v>
      </c>
      <c r="G83" s="488">
        <f t="shared" ref="G83:Q83" si="30">IF(G84=0,0,G$79/G84)</f>
        <v>28</v>
      </c>
      <c r="H83" s="488">
        <f t="shared" si="30"/>
        <v>31.442857142857143</v>
      </c>
      <c r="I83" s="488">
        <f t="shared" si="30"/>
        <v>30.882352941176471</v>
      </c>
      <c r="J83" s="488">
        <f t="shared" si="30"/>
        <v>0</v>
      </c>
      <c r="K83" s="488">
        <f t="shared" si="30"/>
        <v>0</v>
      </c>
      <c r="L83" s="488">
        <f t="shared" si="30"/>
        <v>0</v>
      </c>
      <c r="M83" s="488">
        <f t="shared" si="30"/>
        <v>0</v>
      </c>
      <c r="N83" s="488">
        <f t="shared" si="30"/>
        <v>0</v>
      </c>
      <c r="O83" s="488">
        <f t="shared" si="30"/>
        <v>0</v>
      </c>
      <c r="P83" s="488">
        <f t="shared" si="30"/>
        <v>0</v>
      </c>
      <c r="Q83" s="489">
        <f t="shared" si="30"/>
        <v>0</v>
      </c>
      <c r="R83" s="356"/>
      <c r="S83" s="490">
        <f>SUMIF($F$23:$Q$23,"&lt;&gt;0",$F$24:$Q$24)/S84</f>
        <v>120</v>
      </c>
    </row>
    <row r="84" spans="2:19" hidden="1" outlineLevel="1" x14ac:dyDescent="0.2">
      <c r="B84" s="501"/>
      <c r="C84" s="481" t="s">
        <v>116</v>
      </c>
      <c r="D84" s="482" t="s">
        <v>86</v>
      </c>
      <c r="E84" s="515"/>
      <c r="F84" s="483">
        <f>'[7]Taux de Rotation des Stocks PF'!H80</f>
        <v>1.0285714285714285</v>
      </c>
      <c r="G84" s="484">
        <f>'[7]Taux de Rotation des Stocks PF'!I80</f>
        <v>1</v>
      </c>
      <c r="H84" s="484">
        <f>'[7]Taux de Rotation des Stocks PF'!J80</f>
        <v>0.9859154929577465</v>
      </c>
      <c r="I84" s="484">
        <f>'[7]Taux de Rotation des Stocks PF'!K80</f>
        <v>0.97142857142857142</v>
      </c>
      <c r="J84" s="484">
        <f>'[7]Taux de Rotation des Stocks PF'!L80</f>
        <v>0</v>
      </c>
      <c r="K84" s="484">
        <f>'[7]Taux de Rotation des Stocks PF'!M80</f>
        <v>0</v>
      </c>
      <c r="L84" s="484">
        <f>'[7]Taux de Rotation des Stocks PF'!N80</f>
        <v>0</v>
      </c>
      <c r="M84" s="484">
        <f>'[7]Taux de Rotation des Stocks PF'!O80</f>
        <v>0</v>
      </c>
      <c r="N84" s="484">
        <f>'[7]Taux de Rotation des Stocks PF'!P80</f>
        <v>0</v>
      </c>
      <c r="O84" s="484">
        <f>'[7]Taux de Rotation des Stocks PF'!Q80</f>
        <v>0</v>
      </c>
      <c r="P84" s="484">
        <f>'[7]Taux de Rotation des Stocks PF'!R80</f>
        <v>0</v>
      </c>
      <c r="Q84" s="485">
        <f>'[7]Taux de Rotation des Stocks PF'!S80</f>
        <v>0</v>
      </c>
      <c r="R84" s="356"/>
      <c r="S84" s="486">
        <f>'[7]Taux de Rotation des Stocks PF'!U80</f>
        <v>1</v>
      </c>
    </row>
    <row r="85" spans="2:19" hidden="1" outlineLevel="1" x14ac:dyDescent="0.2">
      <c r="B85" s="501"/>
      <c r="C85" s="475" t="s">
        <v>37</v>
      </c>
      <c r="D85" s="476" t="s">
        <v>127</v>
      </c>
      <c r="E85" s="515"/>
      <c r="F85" s="487">
        <f>IF(F86=0,0,F$79/F86)</f>
        <v>34.179487179487182</v>
      </c>
      <c r="G85" s="488">
        <f t="shared" ref="G85:Q85" si="31">IF(G86=0,0,G$79/G86)</f>
        <v>28</v>
      </c>
      <c r="H85" s="488">
        <f t="shared" si="31"/>
        <v>25.745762711864408</v>
      </c>
      <c r="I85" s="488">
        <f t="shared" si="31"/>
        <v>25.086206896551726</v>
      </c>
      <c r="J85" s="488">
        <f t="shared" si="31"/>
        <v>0</v>
      </c>
      <c r="K85" s="488">
        <f t="shared" si="31"/>
        <v>0</v>
      </c>
      <c r="L85" s="488">
        <f t="shared" si="31"/>
        <v>0</v>
      </c>
      <c r="M85" s="488">
        <f t="shared" si="31"/>
        <v>0</v>
      </c>
      <c r="N85" s="488">
        <f t="shared" si="31"/>
        <v>0</v>
      </c>
      <c r="O85" s="488">
        <f t="shared" si="31"/>
        <v>0</v>
      </c>
      <c r="P85" s="488">
        <f t="shared" si="31"/>
        <v>0</v>
      </c>
      <c r="Q85" s="489">
        <f t="shared" si="31"/>
        <v>0</v>
      </c>
      <c r="R85" s="356"/>
      <c r="S85" s="490">
        <f>SUMIF($F$23:$Q$23,"&lt;&gt;0",$F$24:$Q$24)/S86</f>
        <v>108.62068965517241</v>
      </c>
    </row>
    <row r="86" spans="2:19" hidden="1" outlineLevel="1" x14ac:dyDescent="0.2">
      <c r="B86" s="501"/>
      <c r="C86" s="481" t="s">
        <v>37</v>
      </c>
      <c r="D86" s="482" t="s">
        <v>86</v>
      </c>
      <c r="E86" s="515"/>
      <c r="F86" s="483">
        <f>'[7]Taux de Rotation des Stocks PF'!H82</f>
        <v>0.90697674418604646</v>
      </c>
      <c r="G86" s="484">
        <f>'[7]Taux de Rotation des Stocks PF'!I82</f>
        <v>1</v>
      </c>
      <c r="H86" s="484">
        <f>'[7]Taux de Rotation des Stocks PF'!J82</f>
        <v>1.2040816326530612</v>
      </c>
      <c r="I86" s="484">
        <f>'[7]Taux de Rotation des Stocks PF'!K82</f>
        <v>1.1958762886597938</v>
      </c>
      <c r="J86" s="484">
        <f>'[7]Taux de Rotation des Stocks PF'!L82</f>
        <v>0</v>
      </c>
      <c r="K86" s="484">
        <f>'[7]Taux de Rotation des Stocks PF'!M82</f>
        <v>0</v>
      </c>
      <c r="L86" s="484">
        <f>'[7]Taux de Rotation des Stocks PF'!N82</f>
        <v>0</v>
      </c>
      <c r="M86" s="484">
        <f>'[7]Taux de Rotation des Stocks PF'!O82</f>
        <v>0</v>
      </c>
      <c r="N86" s="484">
        <f>'[7]Taux de Rotation des Stocks PF'!P82</f>
        <v>0</v>
      </c>
      <c r="O86" s="484">
        <f>'[7]Taux de Rotation des Stocks PF'!Q82</f>
        <v>0</v>
      </c>
      <c r="P86" s="484">
        <f>'[7]Taux de Rotation des Stocks PF'!R82</f>
        <v>0</v>
      </c>
      <c r="Q86" s="485">
        <f>'[7]Taux de Rotation des Stocks PF'!S82</f>
        <v>0</v>
      </c>
      <c r="R86" s="356"/>
      <c r="S86" s="486">
        <f>'[7]Taux de Rotation des Stocks PF'!U82</f>
        <v>1.1047619047619048</v>
      </c>
    </row>
    <row r="87" spans="2:19" hidden="1" outlineLevel="1" x14ac:dyDescent="0.2">
      <c r="B87" s="501"/>
      <c r="C87" s="475" t="s">
        <v>38</v>
      </c>
      <c r="D87" s="476" t="s">
        <v>127</v>
      </c>
      <c r="E87" s="515"/>
      <c r="F87" s="487">
        <f>IF(F88=0,0,F$79/F88)</f>
        <v>33.616883116883116</v>
      </c>
      <c r="G87" s="488">
        <f t="shared" ref="G87:Q87" si="32">IF(G88=0,0,G$79/G88)</f>
        <v>25.229166666666668</v>
      </c>
      <c r="H87" s="488">
        <f t="shared" si="32"/>
        <v>22.242937853107346</v>
      </c>
      <c r="I87" s="488">
        <f t="shared" si="32"/>
        <v>22.264150943396228</v>
      </c>
      <c r="J87" s="488">
        <f t="shared" si="32"/>
        <v>0</v>
      </c>
      <c r="K87" s="488">
        <f t="shared" si="32"/>
        <v>0</v>
      </c>
      <c r="L87" s="488">
        <f t="shared" si="32"/>
        <v>0</v>
      </c>
      <c r="M87" s="488">
        <f t="shared" si="32"/>
        <v>0</v>
      </c>
      <c r="N87" s="488">
        <f t="shared" si="32"/>
        <v>0</v>
      </c>
      <c r="O87" s="488">
        <f t="shared" si="32"/>
        <v>0</v>
      </c>
      <c r="P87" s="488">
        <f t="shared" si="32"/>
        <v>0</v>
      </c>
      <c r="Q87" s="489">
        <f t="shared" si="32"/>
        <v>0</v>
      </c>
      <c r="R87" s="356"/>
      <c r="S87" s="490">
        <f>SUMIF($F$23:$Q$23,"&lt;&gt;0",$F$24:$Q$24)/S88</f>
        <v>93.962264150943398</v>
      </c>
    </row>
    <row r="88" spans="2:19" hidden="1" outlineLevel="1" x14ac:dyDescent="0.2">
      <c r="B88" s="501"/>
      <c r="C88" s="481" t="s">
        <v>38</v>
      </c>
      <c r="D88" s="482" t="s">
        <v>86</v>
      </c>
      <c r="E88" s="515"/>
      <c r="F88" s="483">
        <f>'[7]Taux de Rotation des Stocks PF'!H84</f>
        <v>0.92215568862275454</v>
      </c>
      <c r="G88" s="484">
        <f>'[7]Taux de Rotation des Stocks PF'!I84</f>
        <v>1.1098265895953756</v>
      </c>
      <c r="H88" s="484">
        <f>'[7]Taux de Rotation des Stocks PF'!J84</f>
        <v>1.3937007874015748</v>
      </c>
      <c r="I88" s="484">
        <f>'[7]Taux de Rotation des Stocks PF'!K84</f>
        <v>1.347457627118644</v>
      </c>
      <c r="J88" s="484">
        <f>'[7]Taux de Rotation des Stocks PF'!L84</f>
        <v>0</v>
      </c>
      <c r="K88" s="484">
        <f>'[7]Taux de Rotation des Stocks PF'!M84</f>
        <v>0</v>
      </c>
      <c r="L88" s="484">
        <f>'[7]Taux de Rotation des Stocks PF'!N84</f>
        <v>0</v>
      </c>
      <c r="M88" s="484">
        <f>'[7]Taux de Rotation des Stocks PF'!O84</f>
        <v>0</v>
      </c>
      <c r="N88" s="484">
        <f>'[7]Taux de Rotation des Stocks PF'!P84</f>
        <v>0</v>
      </c>
      <c r="O88" s="484">
        <f>'[7]Taux de Rotation des Stocks PF'!Q84</f>
        <v>0</v>
      </c>
      <c r="P88" s="484">
        <f>'[7]Taux de Rotation des Stocks PF'!R84</f>
        <v>0</v>
      </c>
      <c r="Q88" s="485">
        <f>'[7]Taux de Rotation des Stocks PF'!S84</f>
        <v>0</v>
      </c>
      <c r="R88" s="356"/>
      <c r="S88" s="486">
        <f>'[7]Taux de Rotation des Stocks PF'!U84</f>
        <v>1.2771084337349397</v>
      </c>
    </row>
    <row r="89" spans="2:19" hidden="1" outlineLevel="1" x14ac:dyDescent="0.2">
      <c r="B89" s="501"/>
      <c r="C89" s="475" t="s">
        <v>39</v>
      </c>
      <c r="D89" s="476" t="s">
        <v>127</v>
      </c>
      <c r="E89" s="515"/>
      <c r="F89" s="487">
        <f>IF(F90=0,0,F$79/F90)</f>
        <v>29.966666666666665</v>
      </c>
      <c r="G89" s="488">
        <f t="shared" ref="G89:Q89" si="33">IF(G90=0,0,G$79/G90)</f>
        <v>30.578947368421055</v>
      </c>
      <c r="H89" s="488">
        <f t="shared" si="33"/>
        <v>26.934426229508198</v>
      </c>
      <c r="I89" s="488">
        <f t="shared" si="33"/>
        <v>26.946902654867259</v>
      </c>
      <c r="J89" s="488">
        <f t="shared" si="33"/>
        <v>0</v>
      </c>
      <c r="K89" s="488">
        <f t="shared" si="33"/>
        <v>0</v>
      </c>
      <c r="L89" s="488">
        <f t="shared" si="33"/>
        <v>0</v>
      </c>
      <c r="M89" s="488">
        <f t="shared" si="33"/>
        <v>0</v>
      </c>
      <c r="N89" s="488">
        <f t="shared" si="33"/>
        <v>0</v>
      </c>
      <c r="O89" s="488">
        <f t="shared" si="33"/>
        <v>0</v>
      </c>
      <c r="P89" s="488">
        <f t="shared" si="33"/>
        <v>0</v>
      </c>
      <c r="Q89" s="489">
        <f t="shared" si="33"/>
        <v>0</v>
      </c>
      <c r="R89" s="356"/>
      <c r="S89" s="490">
        <f>SUMIF($F$23:$Q$23,"&lt;&gt;0",$F$24:$Q$24)/S90</f>
        <v>104.60176991150442</v>
      </c>
    </row>
    <row r="90" spans="2:19" hidden="1" outlineLevel="1" x14ac:dyDescent="0.2">
      <c r="B90" s="501"/>
      <c r="C90" s="481" t="s">
        <v>39</v>
      </c>
      <c r="D90" s="482" t="s">
        <v>86</v>
      </c>
      <c r="E90" s="515"/>
      <c r="F90" s="483">
        <f>'[7]Taux de Rotation des Stocks PF'!H86</f>
        <v>1.0344827586206897</v>
      </c>
      <c r="G90" s="484">
        <f>'[7]Taux de Rotation des Stocks PF'!I86</f>
        <v>0.91566265060240959</v>
      </c>
      <c r="H90" s="484">
        <f>'[7]Taux de Rotation des Stocks PF'!J86</f>
        <v>1.1509433962264151</v>
      </c>
      <c r="I90" s="484">
        <f>'[7]Taux de Rotation des Stocks PF'!K86</f>
        <v>1.1133004926108374</v>
      </c>
      <c r="J90" s="484">
        <f>'[7]Taux de Rotation des Stocks PF'!L86</f>
        <v>0</v>
      </c>
      <c r="K90" s="484">
        <f>'[7]Taux de Rotation des Stocks PF'!M86</f>
        <v>0</v>
      </c>
      <c r="L90" s="484">
        <f>'[7]Taux de Rotation des Stocks PF'!N86</f>
        <v>0</v>
      </c>
      <c r="M90" s="484">
        <f>'[7]Taux de Rotation des Stocks PF'!O86</f>
        <v>0</v>
      </c>
      <c r="N90" s="484">
        <f>'[7]Taux de Rotation des Stocks PF'!P86</f>
        <v>0</v>
      </c>
      <c r="O90" s="484">
        <f>'[7]Taux de Rotation des Stocks PF'!Q86</f>
        <v>0</v>
      </c>
      <c r="P90" s="484">
        <f>'[7]Taux de Rotation des Stocks PF'!R86</f>
        <v>0</v>
      </c>
      <c r="Q90" s="485">
        <f>'[7]Taux de Rotation des Stocks PF'!S86</f>
        <v>0</v>
      </c>
      <c r="R90" s="356"/>
      <c r="S90" s="486">
        <f>'[7]Taux de Rotation des Stocks PF'!U86</f>
        <v>1.1472081218274113</v>
      </c>
    </row>
    <row r="91" spans="2:19" hidden="1" outlineLevel="1" x14ac:dyDescent="0.2">
      <c r="B91" s="501"/>
      <c r="C91" s="475" t="s">
        <v>117</v>
      </c>
      <c r="D91" s="476" t="s">
        <v>127</v>
      </c>
      <c r="E91" s="515"/>
      <c r="F91" s="487">
        <f>IF(F92=0,0,F$79/F92)</f>
        <v>0</v>
      </c>
      <c r="G91" s="488">
        <f t="shared" ref="G91:Q91" si="34">IF(G92=0,0,G$79/G92)</f>
        <v>14</v>
      </c>
      <c r="H91" s="488">
        <f t="shared" si="34"/>
        <v>15.5</v>
      </c>
      <c r="I91" s="488">
        <f t="shared" si="34"/>
        <v>15</v>
      </c>
      <c r="J91" s="488">
        <f t="shared" si="34"/>
        <v>0</v>
      </c>
      <c r="K91" s="488">
        <f t="shared" si="34"/>
        <v>0</v>
      </c>
      <c r="L91" s="488">
        <f t="shared" si="34"/>
        <v>0</v>
      </c>
      <c r="M91" s="488">
        <f t="shared" si="34"/>
        <v>0</v>
      </c>
      <c r="N91" s="488">
        <f t="shared" si="34"/>
        <v>0</v>
      </c>
      <c r="O91" s="488">
        <f t="shared" si="34"/>
        <v>0</v>
      </c>
      <c r="P91" s="488">
        <f t="shared" si="34"/>
        <v>0</v>
      </c>
      <c r="Q91" s="489">
        <f t="shared" si="34"/>
        <v>0</v>
      </c>
      <c r="R91" s="356"/>
      <c r="S91" s="490">
        <f>SUMIF($F$23:$Q$23,"&lt;&gt;0",$F$24:$Q$24)/S92</f>
        <v>60</v>
      </c>
    </row>
    <row r="92" spans="2:19" hidden="1" outlineLevel="1" x14ac:dyDescent="0.2">
      <c r="B92" s="501"/>
      <c r="C92" s="481" t="s">
        <v>117</v>
      </c>
      <c r="D92" s="482" t="s">
        <v>86</v>
      </c>
      <c r="E92" s="515"/>
      <c r="F92" s="483">
        <f>'[7]Taux de Rotation des Stocks PF'!H88</f>
        <v>0</v>
      </c>
      <c r="G92" s="484">
        <f>'[7]Taux de Rotation des Stocks PF'!I88</f>
        <v>2</v>
      </c>
      <c r="H92" s="484">
        <f>'[7]Taux de Rotation des Stocks PF'!J88</f>
        <v>2</v>
      </c>
      <c r="I92" s="484">
        <f>'[7]Taux de Rotation des Stocks PF'!K88</f>
        <v>2</v>
      </c>
      <c r="J92" s="484">
        <f>'[7]Taux de Rotation des Stocks PF'!L88</f>
        <v>0</v>
      </c>
      <c r="K92" s="484">
        <f>'[7]Taux de Rotation des Stocks PF'!M88</f>
        <v>0</v>
      </c>
      <c r="L92" s="484">
        <f>'[7]Taux de Rotation des Stocks PF'!N88</f>
        <v>0</v>
      </c>
      <c r="M92" s="484">
        <f>'[7]Taux de Rotation des Stocks PF'!O88</f>
        <v>0</v>
      </c>
      <c r="N92" s="484">
        <f>'[7]Taux de Rotation des Stocks PF'!P88</f>
        <v>0</v>
      </c>
      <c r="O92" s="484">
        <f>'[7]Taux de Rotation des Stocks PF'!Q88</f>
        <v>0</v>
      </c>
      <c r="P92" s="484">
        <f>'[7]Taux de Rotation des Stocks PF'!R88</f>
        <v>0</v>
      </c>
      <c r="Q92" s="485">
        <f>'[7]Taux de Rotation des Stocks PF'!S88</f>
        <v>0</v>
      </c>
      <c r="R92" s="356"/>
      <c r="S92" s="486">
        <f>'[7]Taux de Rotation des Stocks PF'!U88</f>
        <v>2</v>
      </c>
    </row>
    <row r="93" spans="2:19" hidden="1" outlineLevel="1" x14ac:dyDescent="0.2">
      <c r="B93" s="501"/>
      <c r="C93" s="475" t="s">
        <v>118</v>
      </c>
      <c r="D93" s="476" t="s">
        <v>127</v>
      </c>
      <c r="E93" s="515"/>
      <c r="F93" s="487">
        <f>IF(F94=0,0,F$79/F94)</f>
        <v>25.073529411764707</v>
      </c>
      <c r="G93" s="488">
        <f t="shared" ref="G93:Q93" si="35">IF(G94=0,0,G$79/G94)</f>
        <v>23.52</v>
      </c>
      <c r="H93" s="488">
        <f t="shared" si="35"/>
        <v>28.674999999999997</v>
      </c>
      <c r="I93" s="488">
        <f t="shared" si="35"/>
        <v>27.142857142857139</v>
      </c>
      <c r="J93" s="488">
        <f t="shared" si="35"/>
        <v>0</v>
      </c>
      <c r="K93" s="488">
        <f t="shared" si="35"/>
        <v>0</v>
      </c>
      <c r="L93" s="488">
        <f t="shared" si="35"/>
        <v>0</v>
      </c>
      <c r="M93" s="488">
        <f t="shared" si="35"/>
        <v>0</v>
      </c>
      <c r="N93" s="488">
        <f t="shared" si="35"/>
        <v>0</v>
      </c>
      <c r="O93" s="488">
        <f t="shared" si="35"/>
        <v>0</v>
      </c>
      <c r="P93" s="488">
        <f t="shared" si="35"/>
        <v>0</v>
      </c>
      <c r="Q93" s="489">
        <f t="shared" si="35"/>
        <v>0</v>
      </c>
      <c r="R93" s="356"/>
      <c r="S93" s="490">
        <f>SUMIF($F$23:$Q$23,"&lt;&gt;0",$F$24:$Q$24)/S94</f>
        <v>90</v>
      </c>
    </row>
    <row r="94" spans="2:19" hidden="1" outlineLevel="1" x14ac:dyDescent="0.2">
      <c r="B94" s="501"/>
      <c r="C94" s="481" t="s">
        <v>118</v>
      </c>
      <c r="D94" s="482" t="s">
        <v>86</v>
      </c>
      <c r="E94" s="515"/>
      <c r="F94" s="483">
        <f>'[7]Taux de Rotation des Stocks PF'!H90</f>
        <v>1.2363636363636363</v>
      </c>
      <c r="G94" s="484">
        <f>'[7]Taux de Rotation des Stocks PF'!I90</f>
        <v>1.1904761904761905</v>
      </c>
      <c r="H94" s="484">
        <f>'[7]Taux de Rotation des Stocks PF'!J90</f>
        <v>1.0810810810810811</v>
      </c>
      <c r="I94" s="484">
        <f>'[7]Taux de Rotation des Stocks PF'!K90</f>
        <v>1.1052631578947369</v>
      </c>
      <c r="J94" s="484">
        <f>'[7]Taux de Rotation des Stocks PF'!L90</f>
        <v>0</v>
      </c>
      <c r="K94" s="484">
        <f>'[7]Taux de Rotation des Stocks PF'!M90</f>
        <v>0</v>
      </c>
      <c r="L94" s="484">
        <f>'[7]Taux de Rotation des Stocks PF'!N90</f>
        <v>0</v>
      </c>
      <c r="M94" s="484">
        <f>'[7]Taux de Rotation des Stocks PF'!O90</f>
        <v>0</v>
      </c>
      <c r="N94" s="484">
        <f>'[7]Taux de Rotation des Stocks PF'!P90</f>
        <v>0</v>
      </c>
      <c r="O94" s="484">
        <f>'[7]Taux de Rotation des Stocks PF'!Q90</f>
        <v>0</v>
      </c>
      <c r="P94" s="484">
        <f>'[7]Taux de Rotation des Stocks PF'!R90</f>
        <v>0</v>
      </c>
      <c r="Q94" s="485">
        <f>'[7]Taux de Rotation des Stocks PF'!S90</f>
        <v>0</v>
      </c>
      <c r="R94" s="356"/>
      <c r="S94" s="486">
        <f>'[7]Taux de Rotation des Stocks PF'!U90</f>
        <v>1.3333333333333333</v>
      </c>
    </row>
    <row r="95" spans="2:19" hidden="1" outlineLevel="1" x14ac:dyDescent="0.2">
      <c r="B95" s="501"/>
      <c r="C95" s="475" t="s">
        <v>119</v>
      </c>
      <c r="D95" s="476" t="s">
        <v>127</v>
      </c>
      <c r="E95" s="515"/>
      <c r="F95" s="487">
        <f>IF(F96=0,0,F$79/F96)</f>
        <v>31</v>
      </c>
      <c r="G95" s="488">
        <f t="shared" ref="G95:Q95" si="36">IF(G96=0,0,G$79/G96)</f>
        <v>0</v>
      </c>
      <c r="H95" s="488">
        <f t="shared" si="36"/>
        <v>0</v>
      </c>
      <c r="I95" s="488">
        <f t="shared" si="36"/>
        <v>0</v>
      </c>
      <c r="J95" s="488">
        <f t="shared" si="36"/>
        <v>0</v>
      </c>
      <c r="K95" s="488">
        <f t="shared" si="36"/>
        <v>0</v>
      </c>
      <c r="L95" s="488">
        <f t="shared" si="36"/>
        <v>0</v>
      </c>
      <c r="M95" s="488">
        <f t="shared" si="36"/>
        <v>0</v>
      </c>
      <c r="N95" s="488">
        <f t="shared" si="36"/>
        <v>0</v>
      </c>
      <c r="O95" s="488">
        <f t="shared" si="36"/>
        <v>0</v>
      </c>
      <c r="P95" s="488">
        <f t="shared" si="36"/>
        <v>0</v>
      </c>
      <c r="Q95" s="489">
        <f t="shared" si="36"/>
        <v>0</v>
      </c>
      <c r="R95" s="356"/>
      <c r="S95" s="490">
        <f>SUMIF($F$23:$Q$23,"&lt;&gt;0",$F$24:$Q$24)/S96</f>
        <v>120</v>
      </c>
    </row>
    <row r="96" spans="2:19" hidden="1" outlineLevel="1" x14ac:dyDescent="0.2">
      <c r="B96" s="501"/>
      <c r="C96" s="481" t="s">
        <v>119</v>
      </c>
      <c r="D96" s="482" t="s">
        <v>86</v>
      </c>
      <c r="E96" s="515"/>
      <c r="F96" s="483">
        <f>'[7]Taux de Rotation des Stocks PF'!H92</f>
        <v>1</v>
      </c>
      <c r="G96" s="484">
        <f>'[7]Taux de Rotation des Stocks PF'!I92</f>
        <v>0</v>
      </c>
      <c r="H96" s="484">
        <f>'[7]Taux de Rotation des Stocks PF'!J92</f>
        <v>0</v>
      </c>
      <c r="I96" s="484">
        <f>'[7]Taux de Rotation des Stocks PF'!K92</f>
        <v>0</v>
      </c>
      <c r="J96" s="484">
        <f>'[7]Taux de Rotation des Stocks PF'!L92</f>
        <v>0</v>
      </c>
      <c r="K96" s="484">
        <f>'[7]Taux de Rotation des Stocks PF'!M92</f>
        <v>0</v>
      </c>
      <c r="L96" s="484">
        <f>'[7]Taux de Rotation des Stocks PF'!N92</f>
        <v>0</v>
      </c>
      <c r="M96" s="484">
        <f>'[7]Taux de Rotation des Stocks PF'!O92</f>
        <v>0</v>
      </c>
      <c r="N96" s="484">
        <f>'[7]Taux de Rotation des Stocks PF'!P92</f>
        <v>0</v>
      </c>
      <c r="O96" s="484">
        <f>'[7]Taux de Rotation des Stocks PF'!Q92</f>
        <v>0</v>
      </c>
      <c r="P96" s="484">
        <f>'[7]Taux de Rotation des Stocks PF'!R92</f>
        <v>0</v>
      </c>
      <c r="Q96" s="485">
        <f>'[7]Taux de Rotation des Stocks PF'!S92</f>
        <v>0</v>
      </c>
      <c r="R96" s="356"/>
      <c r="S96" s="486">
        <f>'[7]Taux de Rotation des Stocks PF'!U92</f>
        <v>1</v>
      </c>
    </row>
    <row r="97" spans="2:19" hidden="1" outlineLevel="1" x14ac:dyDescent="0.2">
      <c r="B97" s="501"/>
      <c r="C97" s="475" t="s">
        <v>35</v>
      </c>
      <c r="D97" s="476" t="s">
        <v>127</v>
      </c>
      <c r="E97" s="515"/>
      <c r="F97" s="487">
        <f>IF(F98=0,0,F$79/F98)</f>
        <v>28.09375</v>
      </c>
      <c r="G97" s="488">
        <f t="shared" ref="G97:Q97" si="37">IF(G98=0,0,G$79/G98)</f>
        <v>19.397590361445783</v>
      </c>
      <c r="H97" s="488">
        <f t="shared" si="37"/>
        <v>23.015151515151516</v>
      </c>
      <c r="I97" s="488">
        <f t="shared" si="37"/>
        <v>25.434782608695652</v>
      </c>
      <c r="J97" s="488">
        <f t="shared" si="37"/>
        <v>0</v>
      </c>
      <c r="K97" s="488">
        <f t="shared" si="37"/>
        <v>0</v>
      </c>
      <c r="L97" s="488">
        <f t="shared" si="37"/>
        <v>0</v>
      </c>
      <c r="M97" s="488">
        <f t="shared" si="37"/>
        <v>0</v>
      </c>
      <c r="N97" s="488">
        <f t="shared" si="37"/>
        <v>0</v>
      </c>
      <c r="O97" s="488">
        <f t="shared" si="37"/>
        <v>0</v>
      </c>
      <c r="P97" s="488">
        <f t="shared" si="37"/>
        <v>0</v>
      </c>
      <c r="Q97" s="489">
        <f t="shared" si="37"/>
        <v>0</v>
      </c>
      <c r="R97" s="356"/>
      <c r="S97" s="490">
        <f>SUMIF($F$23:$Q$23,"&lt;&gt;0",$F$24:$Q$24)/S98</f>
        <v>93.913043478260875</v>
      </c>
    </row>
    <row r="98" spans="2:19" hidden="1" outlineLevel="1" x14ac:dyDescent="0.2">
      <c r="B98" s="501"/>
      <c r="C98" s="481" t="s">
        <v>35</v>
      </c>
      <c r="D98" s="482" t="s">
        <v>86</v>
      </c>
      <c r="E98" s="515"/>
      <c r="F98" s="483">
        <f>'[7]Taux de Rotation des Stocks PF'!H94</f>
        <v>1.103448275862069</v>
      </c>
      <c r="G98" s="484">
        <f>'[7]Taux de Rotation des Stocks PF'!I94</f>
        <v>1.4434782608695653</v>
      </c>
      <c r="H98" s="484">
        <f>'[7]Taux de Rotation des Stocks PF'!J94</f>
        <v>1.346938775510204</v>
      </c>
      <c r="I98" s="484">
        <f>'[7]Taux de Rotation des Stocks PF'!K94</f>
        <v>1.1794871794871795</v>
      </c>
      <c r="J98" s="484">
        <f>'[7]Taux de Rotation des Stocks PF'!L94</f>
        <v>0</v>
      </c>
      <c r="K98" s="484">
        <f>'[7]Taux de Rotation des Stocks PF'!M94</f>
        <v>0</v>
      </c>
      <c r="L98" s="484">
        <f>'[7]Taux de Rotation des Stocks PF'!N94</f>
        <v>0</v>
      </c>
      <c r="M98" s="484">
        <f>'[7]Taux de Rotation des Stocks PF'!O94</f>
        <v>0</v>
      </c>
      <c r="N98" s="484">
        <f>'[7]Taux de Rotation des Stocks PF'!P94</f>
        <v>0</v>
      </c>
      <c r="O98" s="484">
        <f>'[7]Taux de Rotation des Stocks PF'!Q94</f>
        <v>0</v>
      </c>
      <c r="P98" s="484">
        <f>'[7]Taux de Rotation des Stocks PF'!R94</f>
        <v>0</v>
      </c>
      <c r="Q98" s="485">
        <f>'[7]Taux de Rotation des Stocks PF'!S94</f>
        <v>0</v>
      </c>
      <c r="R98" s="356"/>
      <c r="S98" s="486">
        <f>'[7]Taux de Rotation des Stocks PF'!U94</f>
        <v>1.2777777777777777</v>
      </c>
    </row>
    <row r="99" spans="2:19" hidden="1" outlineLevel="1" x14ac:dyDescent="0.2">
      <c r="B99" s="501"/>
      <c r="C99" s="475" t="s">
        <v>40</v>
      </c>
      <c r="D99" s="476" t="s">
        <v>127</v>
      </c>
      <c r="E99" s="515"/>
      <c r="F99" s="487">
        <f>IF(F100=0,0,F$79/F100)</f>
        <v>27.219512195121954</v>
      </c>
      <c r="G99" s="488">
        <f t="shared" ref="G99:Q99" si="38">IF(G100=0,0,G$79/G100)</f>
        <v>35.417910447761194</v>
      </c>
      <c r="H99" s="488">
        <f t="shared" si="38"/>
        <v>43.870535714285708</v>
      </c>
      <c r="I99" s="488">
        <f t="shared" si="38"/>
        <v>30.073529411764703</v>
      </c>
      <c r="J99" s="488">
        <f t="shared" si="38"/>
        <v>0</v>
      </c>
      <c r="K99" s="488">
        <f t="shared" si="38"/>
        <v>0</v>
      </c>
      <c r="L99" s="488">
        <f t="shared" si="38"/>
        <v>0</v>
      </c>
      <c r="M99" s="488">
        <f t="shared" si="38"/>
        <v>0</v>
      </c>
      <c r="N99" s="488">
        <f t="shared" si="38"/>
        <v>0</v>
      </c>
      <c r="O99" s="488">
        <f t="shared" si="38"/>
        <v>0</v>
      </c>
      <c r="P99" s="488">
        <f t="shared" si="38"/>
        <v>0</v>
      </c>
      <c r="Q99" s="489">
        <f t="shared" si="38"/>
        <v>0</v>
      </c>
      <c r="R99" s="356"/>
      <c r="S99" s="490">
        <f>SUMIF($F$23:$Q$23,"&lt;&gt;0",$F$24:$Q$24)/S100</f>
        <v>105.58823529411765</v>
      </c>
    </row>
    <row r="100" spans="2:19" hidden="1" outlineLevel="1" x14ac:dyDescent="0.2">
      <c r="B100" s="501"/>
      <c r="C100" s="481" t="s">
        <v>40</v>
      </c>
      <c r="D100" s="482" t="s">
        <v>86</v>
      </c>
      <c r="E100" s="515"/>
      <c r="F100" s="483">
        <f>'[7]Taux de Rotation des Stocks PF'!H96</f>
        <v>1.1388888888888888</v>
      </c>
      <c r="G100" s="484">
        <f>'[7]Taux de Rotation des Stocks PF'!I96</f>
        <v>0.79056047197640122</v>
      </c>
      <c r="H100" s="484">
        <f>'[7]Taux de Rotation des Stocks PF'!J96</f>
        <v>0.70662460567823349</v>
      </c>
      <c r="I100" s="484">
        <f>'[7]Taux de Rotation des Stocks PF'!K96</f>
        <v>0.99755501222493892</v>
      </c>
      <c r="J100" s="484">
        <f>'[7]Taux de Rotation des Stocks PF'!L96</f>
        <v>0</v>
      </c>
      <c r="K100" s="484">
        <f>'[7]Taux de Rotation des Stocks PF'!M96</f>
        <v>0</v>
      </c>
      <c r="L100" s="484">
        <f>'[7]Taux de Rotation des Stocks PF'!N96</f>
        <v>0</v>
      </c>
      <c r="M100" s="484">
        <f>'[7]Taux de Rotation des Stocks PF'!O96</f>
        <v>0</v>
      </c>
      <c r="N100" s="484">
        <f>'[7]Taux de Rotation des Stocks PF'!P96</f>
        <v>0</v>
      </c>
      <c r="O100" s="484">
        <f>'[7]Taux de Rotation des Stocks PF'!Q96</f>
        <v>0</v>
      </c>
      <c r="P100" s="484">
        <f>'[7]Taux de Rotation des Stocks PF'!R96</f>
        <v>0</v>
      </c>
      <c r="Q100" s="485">
        <f>'[7]Taux de Rotation des Stocks PF'!S96</f>
        <v>0</v>
      </c>
      <c r="R100" s="356"/>
      <c r="S100" s="486">
        <f>'[7]Taux de Rotation des Stocks PF'!U96</f>
        <v>1.1364902506963788</v>
      </c>
    </row>
    <row r="101" spans="2:19" hidden="1" outlineLevel="1" x14ac:dyDescent="0.2">
      <c r="B101" s="501"/>
      <c r="C101" s="475" t="s">
        <v>120</v>
      </c>
      <c r="D101" s="476" t="s">
        <v>127</v>
      </c>
      <c r="E101" s="515"/>
      <c r="F101" s="487">
        <f>IF(F102=0,0,F$79/F102)</f>
        <v>31.382716049382715</v>
      </c>
      <c r="G101" s="488">
        <f t="shared" ref="G101:Q101" si="39">IF(G102=0,0,G$79/G102)</f>
        <v>28.921052631578949</v>
      </c>
      <c r="H101" s="488">
        <f t="shared" si="39"/>
        <v>32.698630136986303</v>
      </c>
      <c r="I101" s="488">
        <f t="shared" si="39"/>
        <v>34.596774193548391</v>
      </c>
      <c r="J101" s="488">
        <f t="shared" si="39"/>
        <v>0</v>
      </c>
      <c r="K101" s="488">
        <f t="shared" si="39"/>
        <v>0</v>
      </c>
      <c r="L101" s="488">
        <f t="shared" si="39"/>
        <v>0</v>
      </c>
      <c r="M101" s="488">
        <f t="shared" si="39"/>
        <v>0</v>
      </c>
      <c r="N101" s="488">
        <f t="shared" si="39"/>
        <v>0</v>
      </c>
      <c r="O101" s="488">
        <f t="shared" si="39"/>
        <v>0</v>
      </c>
      <c r="P101" s="488">
        <f t="shared" si="39"/>
        <v>0</v>
      </c>
      <c r="Q101" s="489">
        <f t="shared" si="39"/>
        <v>0</v>
      </c>
      <c r="R101" s="356"/>
      <c r="S101" s="490">
        <f>SUMIF($F$23:$Q$23,"&lt;&gt;0",$F$24:$Q$24)/S102</f>
        <v>140.32258064516128</v>
      </c>
    </row>
    <row r="102" spans="2:19" hidden="1" outlineLevel="1" x14ac:dyDescent="0.2">
      <c r="B102" s="501"/>
      <c r="C102" s="481" t="s">
        <v>120</v>
      </c>
      <c r="D102" s="482" t="s">
        <v>86</v>
      </c>
      <c r="E102" s="515"/>
      <c r="F102" s="483">
        <f>'[7]Taux de Rotation des Stocks PF'!H98</f>
        <v>0.98780487804878048</v>
      </c>
      <c r="G102" s="484">
        <f>'[7]Taux de Rotation des Stocks PF'!I98</f>
        <v>0.96815286624203822</v>
      </c>
      <c r="H102" s="484">
        <f>'[7]Taux de Rotation des Stocks PF'!J98</f>
        <v>0.94805194805194803</v>
      </c>
      <c r="I102" s="484">
        <f>'[7]Taux de Rotation des Stocks PF'!K98</f>
        <v>0.86713286713286708</v>
      </c>
      <c r="J102" s="484">
        <f>'[7]Taux de Rotation des Stocks PF'!L98</f>
        <v>0</v>
      </c>
      <c r="K102" s="484">
        <f>'[7]Taux de Rotation des Stocks PF'!M98</f>
        <v>0</v>
      </c>
      <c r="L102" s="484">
        <f>'[7]Taux de Rotation des Stocks PF'!N98</f>
        <v>0</v>
      </c>
      <c r="M102" s="484">
        <f>'[7]Taux de Rotation des Stocks PF'!O98</f>
        <v>0</v>
      </c>
      <c r="N102" s="484">
        <f>'[7]Taux de Rotation des Stocks PF'!P98</f>
        <v>0</v>
      </c>
      <c r="O102" s="484">
        <f>'[7]Taux de Rotation des Stocks PF'!Q98</f>
        <v>0</v>
      </c>
      <c r="P102" s="484">
        <f>'[7]Taux de Rotation des Stocks PF'!R98</f>
        <v>0</v>
      </c>
      <c r="Q102" s="485">
        <f>'[7]Taux de Rotation des Stocks PF'!S98</f>
        <v>0</v>
      </c>
      <c r="R102" s="356"/>
      <c r="S102" s="486">
        <f>'[7]Taux de Rotation des Stocks PF'!U98</f>
        <v>0.85517241379310349</v>
      </c>
    </row>
    <row r="103" spans="2:19" hidden="1" outlineLevel="1" x14ac:dyDescent="0.2">
      <c r="B103" s="501"/>
      <c r="C103" s="475" t="s">
        <v>41</v>
      </c>
      <c r="D103" s="476" t="s">
        <v>127</v>
      </c>
      <c r="E103" s="515"/>
      <c r="F103" s="487">
        <f>IF(F104=0,0,F$79/F104)</f>
        <v>34.639130434782608</v>
      </c>
      <c r="G103" s="488">
        <f t="shared" ref="G103:Q103" si="40">IF(G104=0,0,G$79/G104)</f>
        <v>22.009950248756219</v>
      </c>
      <c r="H103" s="488">
        <f t="shared" si="40"/>
        <v>24.237745098039216</v>
      </c>
      <c r="I103" s="488">
        <f t="shared" si="40"/>
        <v>25.849056603773583</v>
      </c>
      <c r="J103" s="488">
        <f t="shared" si="40"/>
        <v>0</v>
      </c>
      <c r="K103" s="488">
        <f t="shared" si="40"/>
        <v>0</v>
      </c>
      <c r="L103" s="488">
        <f t="shared" si="40"/>
        <v>0</v>
      </c>
      <c r="M103" s="488">
        <f t="shared" si="40"/>
        <v>0</v>
      </c>
      <c r="N103" s="488">
        <f t="shared" si="40"/>
        <v>0</v>
      </c>
      <c r="O103" s="488">
        <f t="shared" si="40"/>
        <v>0</v>
      </c>
      <c r="P103" s="488">
        <f t="shared" si="40"/>
        <v>0</v>
      </c>
      <c r="Q103" s="489">
        <f t="shared" si="40"/>
        <v>0</v>
      </c>
      <c r="R103" s="356"/>
      <c r="S103" s="490">
        <f>SUMIF($F$23:$Q$23,"&lt;&gt;0",$F$24:$Q$24)/S104</f>
        <v>113.58490566037736</v>
      </c>
    </row>
    <row r="104" spans="2:19" hidden="1" outlineLevel="1" x14ac:dyDescent="0.2">
      <c r="B104" s="501"/>
      <c r="C104" s="481" t="s">
        <v>41</v>
      </c>
      <c r="D104" s="482" t="s">
        <v>86</v>
      </c>
      <c r="E104" s="515"/>
      <c r="F104" s="483">
        <f>'[7]Taux de Rotation des Stocks PF'!H100</f>
        <v>0.89494163424124518</v>
      </c>
      <c r="G104" s="484">
        <f>'[7]Taux de Rotation des Stocks PF'!I100</f>
        <v>1.2721518987341771</v>
      </c>
      <c r="H104" s="484">
        <f>'[7]Taux de Rotation des Stocks PF'!J100</f>
        <v>1.2789968652037618</v>
      </c>
      <c r="I104" s="484">
        <f>'[7]Taux de Rotation des Stocks PF'!K100</f>
        <v>1.1605839416058394</v>
      </c>
      <c r="J104" s="484">
        <f>'[7]Taux de Rotation des Stocks PF'!L100</f>
        <v>0</v>
      </c>
      <c r="K104" s="484">
        <f>'[7]Taux de Rotation des Stocks PF'!M100</f>
        <v>0</v>
      </c>
      <c r="L104" s="484">
        <f>'[7]Taux de Rotation des Stocks PF'!N100</f>
        <v>0</v>
      </c>
      <c r="M104" s="484">
        <f>'[7]Taux de Rotation des Stocks PF'!O100</f>
        <v>0</v>
      </c>
      <c r="N104" s="484">
        <f>'[7]Taux de Rotation des Stocks PF'!P100</f>
        <v>0</v>
      </c>
      <c r="O104" s="484">
        <f>'[7]Taux de Rotation des Stocks PF'!Q100</f>
        <v>0</v>
      </c>
      <c r="P104" s="484">
        <f>'[7]Taux de Rotation des Stocks PF'!R100</f>
        <v>0</v>
      </c>
      <c r="Q104" s="485">
        <f>'[7]Taux de Rotation des Stocks PF'!S100</f>
        <v>0</v>
      </c>
      <c r="R104" s="356"/>
      <c r="S104" s="486">
        <f>'[7]Taux de Rotation des Stocks PF'!U100</f>
        <v>1.0564784053156147</v>
      </c>
    </row>
    <row r="105" spans="2:19" hidden="1" outlineLevel="1" x14ac:dyDescent="0.2">
      <c r="B105" s="501"/>
      <c r="C105" s="475" t="s">
        <v>42</v>
      </c>
      <c r="D105" s="476" t="s">
        <v>127</v>
      </c>
      <c r="E105" s="515"/>
      <c r="F105" s="487">
        <f>IF(F106=0,0,F$79/F106)</f>
        <v>36.166666666666671</v>
      </c>
      <c r="G105" s="488">
        <f t="shared" ref="G105:Q105" si="41">IF(G106=0,0,G$79/G106)</f>
        <v>28.636363636363637</v>
      </c>
      <c r="H105" s="488">
        <f t="shared" si="41"/>
        <v>31.704545454545457</v>
      </c>
      <c r="I105" s="488">
        <f t="shared" si="41"/>
        <v>31.171875</v>
      </c>
      <c r="J105" s="488">
        <f t="shared" si="41"/>
        <v>0</v>
      </c>
      <c r="K105" s="488">
        <f t="shared" si="41"/>
        <v>0</v>
      </c>
      <c r="L105" s="488">
        <f t="shared" si="41"/>
        <v>0</v>
      </c>
      <c r="M105" s="488">
        <f t="shared" si="41"/>
        <v>0</v>
      </c>
      <c r="N105" s="488">
        <f t="shared" si="41"/>
        <v>0</v>
      </c>
      <c r="O105" s="488">
        <f t="shared" si="41"/>
        <v>0</v>
      </c>
      <c r="P105" s="488">
        <f t="shared" si="41"/>
        <v>0</v>
      </c>
      <c r="Q105" s="489">
        <f t="shared" si="41"/>
        <v>0</v>
      </c>
      <c r="R105" s="356"/>
      <c r="S105" s="490">
        <f>SUMIF($F$23:$Q$23,"&lt;&gt;0",$F$24:$Q$24)/S106</f>
        <v>146.25</v>
      </c>
    </row>
    <row r="106" spans="2:19" hidden="1" outlineLevel="1" x14ac:dyDescent="0.2">
      <c r="B106" s="474"/>
      <c r="C106" s="481" t="s">
        <v>42</v>
      </c>
      <c r="D106" s="482" t="s">
        <v>86</v>
      </c>
      <c r="F106" s="483">
        <f>'[7]Taux de Rotation des Stocks PF'!H102</f>
        <v>0.8571428571428571</v>
      </c>
      <c r="G106" s="484">
        <f>'[7]Taux de Rotation des Stocks PF'!I102</f>
        <v>0.97777777777777775</v>
      </c>
      <c r="H106" s="484">
        <f>'[7]Taux de Rotation des Stocks PF'!J102</f>
        <v>0.97777777777777775</v>
      </c>
      <c r="I106" s="484">
        <f>'[7]Taux de Rotation des Stocks PF'!K102</f>
        <v>0.96240601503759393</v>
      </c>
      <c r="J106" s="484">
        <f>'[7]Taux de Rotation des Stocks PF'!L102</f>
        <v>0</v>
      </c>
      <c r="K106" s="484">
        <f>'[7]Taux de Rotation des Stocks PF'!M102</f>
        <v>0</v>
      </c>
      <c r="L106" s="484">
        <f>'[7]Taux de Rotation des Stocks PF'!N102</f>
        <v>0</v>
      </c>
      <c r="M106" s="484">
        <f>'[7]Taux de Rotation des Stocks PF'!O102</f>
        <v>0</v>
      </c>
      <c r="N106" s="484">
        <f>'[7]Taux de Rotation des Stocks PF'!P102</f>
        <v>0</v>
      </c>
      <c r="O106" s="484">
        <f>'[7]Taux de Rotation des Stocks PF'!Q102</f>
        <v>0</v>
      </c>
      <c r="P106" s="484">
        <f>'[7]Taux de Rotation des Stocks PF'!R102</f>
        <v>0</v>
      </c>
      <c r="Q106" s="485">
        <f>'[7]Taux de Rotation des Stocks PF'!S102</f>
        <v>0</v>
      </c>
      <c r="S106" s="486">
        <f>'[7]Taux de Rotation des Stocks PF'!U102</f>
        <v>0.82051282051282048</v>
      </c>
    </row>
    <row r="107" spans="2:19" hidden="1" outlineLevel="1" x14ac:dyDescent="0.2">
      <c r="B107" s="474"/>
      <c r="C107" s="475" t="s">
        <v>100</v>
      </c>
      <c r="D107" s="476" t="s">
        <v>127</v>
      </c>
      <c r="F107" s="487">
        <f>IF(F108=0,0,F$79/F108)</f>
        <v>0</v>
      </c>
      <c r="G107" s="488">
        <f t="shared" ref="G107:Q107" si="42">IF(G108=0,0,G$79/G108)</f>
        <v>0</v>
      </c>
      <c r="H107" s="488">
        <f t="shared" si="42"/>
        <v>0</v>
      </c>
      <c r="I107" s="488">
        <f t="shared" si="42"/>
        <v>15</v>
      </c>
      <c r="J107" s="488">
        <f t="shared" si="42"/>
        <v>0</v>
      </c>
      <c r="K107" s="488">
        <f t="shared" si="42"/>
        <v>0</v>
      </c>
      <c r="L107" s="488">
        <f t="shared" si="42"/>
        <v>0</v>
      </c>
      <c r="M107" s="488">
        <f t="shared" si="42"/>
        <v>0</v>
      </c>
      <c r="N107" s="488">
        <f t="shared" si="42"/>
        <v>0</v>
      </c>
      <c r="O107" s="488">
        <f t="shared" si="42"/>
        <v>0</v>
      </c>
      <c r="P107" s="488">
        <f t="shared" si="42"/>
        <v>0</v>
      </c>
      <c r="Q107" s="489">
        <f t="shared" si="42"/>
        <v>0</v>
      </c>
      <c r="S107" s="490">
        <f>SUMIF($F$23:$Q$23,"&lt;&gt;0",$F$24:$Q$24)/S108</f>
        <v>60</v>
      </c>
    </row>
    <row r="108" spans="2:19" hidden="1" outlineLevel="1" x14ac:dyDescent="0.2">
      <c r="B108" s="474"/>
      <c r="C108" s="481" t="s">
        <v>100</v>
      </c>
      <c r="D108" s="482" t="s">
        <v>86</v>
      </c>
      <c r="F108" s="483">
        <f>'[7]Taux de Rotation des Stocks PF'!H104</f>
        <v>0</v>
      </c>
      <c r="G108" s="484">
        <f>'[7]Taux de Rotation des Stocks PF'!I104</f>
        <v>0</v>
      </c>
      <c r="H108" s="484">
        <f>'[7]Taux de Rotation des Stocks PF'!J104</f>
        <v>0</v>
      </c>
      <c r="I108" s="484">
        <f>'[7]Taux de Rotation des Stocks PF'!K104</f>
        <v>2</v>
      </c>
      <c r="J108" s="484">
        <f>'[7]Taux de Rotation des Stocks PF'!L104</f>
        <v>0</v>
      </c>
      <c r="K108" s="484">
        <f>'[7]Taux de Rotation des Stocks PF'!M104</f>
        <v>0</v>
      </c>
      <c r="L108" s="484">
        <f>'[7]Taux de Rotation des Stocks PF'!N104</f>
        <v>0</v>
      </c>
      <c r="M108" s="484">
        <f>'[7]Taux de Rotation des Stocks PF'!O104</f>
        <v>0</v>
      </c>
      <c r="N108" s="484">
        <f>'[7]Taux de Rotation des Stocks PF'!P104</f>
        <v>0</v>
      </c>
      <c r="O108" s="484">
        <f>'[7]Taux de Rotation des Stocks PF'!Q104</f>
        <v>0</v>
      </c>
      <c r="P108" s="484">
        <f>'[7]Taux de Rotation des Stocks PF'!R104</f>
        <v>0</v>
      </c>
      <c r="Q108" s="485">
        <f>'[7]Taux de Rotation des Stocks PF'!S104</f>
        <v>0</v>
      </c>
      <c r="S108" s="486">
        <f>'[7]Taux de Rotation des Stocks PF'!U104</f>
        <v>2</v>
      </c>
    </row>
    <row r="109" spans="2:19" hidden="1" outlineLevel="1" x14ac:dyDescent="0.2">
      <c r="B109" s="474"/>
      <c r="C109" s="475" t="s">
        <v>121</v>
      </c>
      <c r="D109" s="476" t="s">
        <v>127</v>
      </c>
      <c r="F109" s="487">
        <f>IF(F110=0,0,F$79/F110)</f>
        <v>30.345070422535208</v>
      </c>
      <c r="G109" s="488">
        <f t="shared" ref="G109:Q109" si="43">IF(G110=0,0,G$79/G110)</f>
        <v>25.833333333333332</v>
      </c>
      <c r="H109" s="488">
        <f t="shared" si="43"/>
        <v>28.759036144578314</v>
      </c>
      <c r="I109" s="488">
        <f t="shared" si="43"/>
        <v>28.481012658227851</v>
      </c>
      <c r="J109" s="488">
        <f t="shared" si="43"/>
        <v>0</v>
      </c>
      <c r="K109" s="488">
        <f t="shared" si="43"/>
        <v>0</v>
      </c>
      <c r="L109" s="488">
        <f t="shared" si="43"/>
        <v>0</v>
      </c>
      <c r="M109" s="488">
        <f t="shared" si="43"/>
        <v>0</v>
      </c>
      <c r="N109" s="488">
        <f t="shared" si="43"/>
        <v>0</v>
      </c>
      <c r="O109" s="488">
        <f t="shared" si="43"/>
        <v>0</v>
      </c>
      <c r="P109" s="488">
        <f t="shared" si="43"/>
        <v>0</v>
      </c>
      <c r="Q109" s="489">
        <f t="shared" si="43"/>
        <v>0</v>
      </c>
      <c r="S109" s="490">
        <f>SUMIF($F$23:$Q$23,"&lt;&gt;0",$F$24:$Q$24)/S110</f>
        <v>111.64556962025316</v>
      </c>
    </row>
    <row r="110" spans="2:19" hidden="1" outlineLevel="1" x14ac:dyDescent="0.2">
      <c r="B110" s="474"/>
      <c r="C110" s="481" t="s">
        <v>121</v>
      </c>
      <c r="D110" s="482" t="s">
        <v>86</v>
      </c>
      <c r="F110" s="483">
        <f>'[7]Taux de Rotation des Stocks PF'!H106</f>
        <v>1.0215827338129497</v>
      </c>
      <c r="G110" s="484">
        <f>'[7]Taux de Rotation des Stocks PF'!I106</f>
        <v>1.0838709677419356</v>
      </c>
      <c r="H110" s="484">
        <f>'[7]Taux de Rotation des Stocks PF'!J106</f>
        <v>1.0779220779220779</v>
      </c>
      <c r="I110" s="484">
        <f>'[7]Taux de Rotation des Stocks PF'!K106</f>
        <v>1.0533333333333332</v>
      </c>
      <c r="J110" s="484">
        <f>'[7]Taux de Rotation des Stocks PF'!L106</f>
        <v>0</v>
      </c>
      <c r="K110" s="484">
        <f>'[7]Taux de Rotation des Stocks PF'!M106</f>
        <v>0</v>
      </c>
      <c r="L110" s="484">
        <f>'[7]Taux de Rotation des Stocks PF'!N106</f>
        <v>0</v>
      </c>
      <c r="M110" s="484">
        <f>'[7]Taux de Rotation des Stocks PF'!O106</f>
        <v>0</v>
      </c>
      <c r="N110" s="484">
        <f>'[7]Taux de Rotation des Stocks PF'!P106</f>
        <v>0</v>
      </c>
      <c r="O110" s="484">
        <f>'[7]Taux de Rotation des Stocks PF'!Q106</f>
        <v>0</v>
      </c>
      <c r="P110" s="484">
        <f>'[7]Taux de Rotation des Stocks PF'!R106</f>
        <v>0</v>
      </c>
      <c r="Q110" s="485">
        <f>'[7]Taux de Rotation des Stocks PF'!S106</f>
        <v>0</v>
      </c>
      <c r="S110" s="486">
        <f>'[7]Taux de Rotation des Stocks PF'!U106</f>
        <v>1.0748299319727892</v>
      </c>
    </row>
    <row r="111" spans="2:19" hidden="1" outlineLevel="1" x14ac:dyDescent="0.2">
      <c r="B111" s="474"/>
      <c r="C111" s="475" t="s">
        <v>122</v>
      </c>
      <c r="D111" s="476" t="s">
        <v>127</v>
      </c>
      <c r="F111" s="487">
        <f>IF(F112=0,0,F$79/F112)</f>
        <v>34.576923076923073</v>
      </c>
      <c r="G111" s="488">
        <f t="shared" ref="G111:Q111" si="44">IF(G112=0,0,G$79/G112)</f>
        <v>28</v>
      </c>
      <c r="H111" s="488">
        <f t="shared" si="44"/>
        <v>33.81818181818182</v>
      </c>
      <c r="I111" s="488">
        <f t="shared" si="44"/>
        <v>32.727272727272727</v>
      </c>
      <c r="J111" s="488">
        <f t="shared" si="44"/>
        <v>0</v>
      </c>
      <c r="K111" s="488">
        <f t="shared" si="44"/>
        <v>0</v>
      </c>
      <c r="L111" s="488">
        <f t="shared" si="44"/>
        <v>0</v>
      </c>
      <c r="M111" s="488">
        <f t="shared" si="44"/>
        <v>0</v>
      </c>
      <c r="N111" s="488">
        <f t="shared" si="44"/>
        <v>0</v>
      </c>
      <c r="O111" s="488">
        <f t="shared" si="44"/>
        <v>0</v>
      </c>
      <c r="P111" s="488">
        <f t="shared" si="44"/>
        <v>0</v>
      </c>
      <c r="Q111" s="489">
        <f t="shared" si="44"/>
        <v>0</v>
      </c>
      <c r="S111" s="490">
        <f>SUMIF($F$23:$Q$23,"&lt;&gt;0",$F$24:$Q$24)/S112</f>
        <v>147.27272727272728</v>
      </c>
    </row>
    <row r="112" spans="2:19" hidden="1" outlineLevel="1" x14ac:dyDescent="0.2">
      <c r="B112" s="474"/>
      <c r="C112" s="481" t="s">
        <v>122</v>
      </c>
      <c r="D112" s="482" t="s">
        <v>86</v>
      </c>
      <c r="F112" s="483">
        <f>'[7]Taux de Rotation des Stocks PF'!H108</f>
        <v>0.89655172413793105</v>
      </c>
      <c r="G112" s="484">
        <f>'[7]Taux de Rotation des Stocks PF'!I108</f>
        <v>1</v>
      </c>
      <c r="H112" s="484">
        <f>'[7]Taux de Rotation des Stocks PF'!J108</f>
        <v>0.91666666666666663</v>
      </c>
      <c r="I112" s="484">
        <f>'[7]Taux de Rotation des Stocks PF'!K108</f>
        <v>0.91666666666666663</v>
      </c>
      <c r="J112" s="484">
        <f>'[7]Taux de Rotation des Stocks PF'!L108</f>
        <v>0</v>
      </c>
      <c r="K112" s="484">
        <f>'[7]Taux de Rotation des Stocks PF'!M108</f>
        <v>0</v>
      </c>
      <c r="L112" s="484">
        <f>'[7]Taux de Rotation des Stocks PF'!N108</f>
        <v>0</v>
      </c>
      <c r="M112" s="484">
        <f>'[7]Taux de Rotation des Stocks PF'!O108</f>
        <v>0</v>
      </c>
      <c r="N112" s="484">
        <f>'[7]Taux de Rotation des Stocks PF'!P108</f>
        <v>0</v>
      </c>
      <c r="O112" s="484">
        <f>'[7]Taux de Rotation des Stocks PF'!Q108</f>
        <v>0</v>
      </c>
      <c r="P112" s="484">
        <f>'[7]Taux de Rotation des Stocks PF'!R108</f>
        <v>0</v>
      </c>
      <c r="Q112" s="485">
        <f>'[7]Taux de Rotation des Stocks PF'!S108</f>
        <v>0</v>
      </c>
      <c r="S112" s="486">
        <f>'[7]Taux de Rotation des Stocks PF'!U108</f>
        <v>0.81481481481481477</v>
      </c>
    </row>
    <row r="113" spans="2:31" hidden="1" outlineLevel="1" x14ac:dyDescent="0.2">
      <c r="B113" s="474"/>
      <c r="C113" s="475" t="s">
        <v>102</v>
      </c>
      <c r="D113" s="476" t="s">
        <v>127</v>
      </c>
      <c r="F113" s="487">
        <f>IF(F114=0,0,F$79/F114)</f>
        <v>25.1875</v>
      </c>
      <c r="G113" s="488">
        <f t="shared" ref="G113:Q113" si="45">IF(G114=0,0,G$79/G114)</f>
        <v>30</v>
      </c>
      <c r="H113" s="488">
        <f t="shared" si="45"/>
        <v>139.5</v>
      </c>
      <c r="I113" s="488">
        <f t="shared" si="45"/>
        <v>135</v>
      </c>
      <c r="J113" s="488">
        <f t="shared" si="45"/>
        <v>0</v>
      </c>
      <c r="K113" s="488">
        <f t="shared" si="45"/>
        <v>0</v>
      </c>
      <c r="L113" s="488">
        <f t="shared" si="45"/>
        <v>0</v>
      </c>
      <c r="M113" s="488">
        <f t="shared" si="45"/>
        <v>0</v>
      </c>
      <c r="N113" s="488">
        <f t="shared" si="45"/>
        <v>0</v>
      </c>
      <c r="O113" s="488">
        <f t="shared" si="45"/>
        <v>0</v>
      </c>
      <c r="P113" s="488">
        <f t="shared" si="45"/>
        <v>0</v>
      </c>
      <c r="Q113" s="489">
        <f t="shared" si="45"/>
        <v>0</v>
      </c>
      <c r="S113" s="490">
        <f>SUMIF($F$23:$Q$23,"&lt;&gt;0",$F$24:$Q$24)/S114</f>
        <v>360</v>
      </c>
    </row>
    <row r="114" spans="2:31" hidden="1" outlineLevel="1" x14ac:dyDescent="0.2">
      <c r="B114" s="474"/>
      <c r="C114" s="481" t="s">
        <v>102</v>
      </c>
      <c r="D114" s="482" t="s">
        <v>86</v>
      </c>
      <c r="F114" s="483">
        <f>'[7]Taux de Rotation des Stocks PF'!H110</f>
        <v>1.2307692307692308</v>
      </c>
      <c r="G114" s="484">
        <f>'[7]Taux de Rotation des Stocks PF'!I110</f>
        <v>0.93333333333333335</v>
      </c>
      <c r="H114" s="484">
        <f>'[7]Taux de Rotation des Stocks PF'!J110</f>
        <v>0.22222222222222221</v>
      </c>
      <c r="I114" s="484">
        <f>'[7]Taux de Rotation des Stocks PF'!K110</f>
        <v>0.22222222222222221</v>
      </c>
      <c r="J114" s="484">
        <f>'[7]Taux de Rotation des Stocks PF'!L110</f>
        <v>0</v>
      </c>
      <c r="K114" s="484">
        <f>'[7]Taux de Rotation des Stocks PF'!M110</f>
        <v>0</v>
      </c>
      <c r="L114" s="484">
        <f>'[7]Taux de Rotation des Stocks PF'!N110</f>
        <v>0</v>
      </c>
      <c r="M114" s="484">
        <f>'[7]Taux de Rotation des Stocks PF'!O110</f>
        <v>0</v>
      </c>
      <c r="N114" s="484">
        <f>'[7]Taux de Rotation des Stocks PF'!P110</f>
        <v>0</v>
      </c>
      <c r="O114" s="484">
        <f>'[7]Taux de Rotation des Stocks PF'!Q110</f>
        <v>0</v>
      </c>
      <c r="P114" s="484">
        <f>'[7]Taux de Rotation des Stocks PF'!R110</f>
        <v>0</v>
      </c>
      <c r="Q114" s="485">
        <f>'[7]Taux de Rotation des Stocks PF'!S110</f>
        <v>0</v>
      </c>
      <c r="S114" s="486">
        <f>'[7]Taux de Rotation des Stocks PF'!U110</f>
        <v>0.33333333333333331</v>
      </c>
    </row>
    <row r="115" spans="2:31" hidden="1" outlineLevel="1" x14ac:dyDescent="0.2">
      <c r="B115" s="474"/>
      <c r="C115" s="475" t="s">
        <v>110</v>
      </c>
      <c r="D115" s="476" t="s">
        <v>127</v>
      </c>
      <c r="F115" s="487">
        <f>IF(F116=0,0,F$79/F116)</f>
        <v>29.3046875</v>
      </c>
      <c r="G115" s="488">
        <f t="shared" ref="G115:Q115" si="46">IF(G116=0,0,G$79/G116)</f>
        <v>28.222222222222221</v>
      </c>
      <c r="H115" s="488">
        <f t="shared" si="46"/>
        <v>31.762295081967213</v>
      </c>
      <c r="I115" s="488">
        <f t="shared" si="46"/>
        <v>31</v>
      </c>
      <c r="J115" s="488">
        <f t="shared" si="46"/>
        <v>0</v>
      </c>
      <c r="K115" s="488">
        <f t="shared" si="46"/>
        <v>0</v>
      </c>
      <c r="L115" s="488">
        <f t="shared" si="46"/>
        <v>0</v>
      </c>
      <c r="M115" s="488">
        <f t="shared" si="46"/>
        <v>0</v>
      </c>
      <c r="N115" s="488">
        <f t="shared" si="46"/>
        <v>0</v>
      </c>
      <c r="O115" s="488">
        <f t="shared" si="46"/>
        <v>0</v>
      </c>
      <c r="P115" s="488">
        <f t="shared" si="46"/>
        <v>0</v>
      </c>
      <c r="Q115" s="489">
        <f t="shared" si="46"/>
        <v>0</v>
      </c>
      <c r="S115" s="490">
        <f>SUMIF($F$23:$Q$23,"&lt;&gt;0",$F$24:$Q$24)/S116</f>
        <v>117.00000000000001</v>
      </c>
    </row>
    <row r="116" spans="2:31" hidden="1" outlineLevel="1" x14ac:dyDescent="0.2">
      <c r="B116" s="474"/>
      <c r="C116" s="481" t="s">
        <v>110</v>
      </c>
      <c r="D116" s="482" t="s">
        <v>86</v>
      </c>
      <c r="F116" s="483">
        <f>'[7]Taux de Rotation des Stocks PF'!H112</f>
        <v>1.0578512396694215</v>
      </c>
      <c r="G116" s="484">
        <f>'[7]Taux de Rotation des Stocks PF'!I112</f>
        <v>0.99212598425196852</v>
      </c>
      <c r="H116" s="484">
        <f>'[7]Taux de Rotation des Stocks PF'!J112</f>
        <v>0.97599999999999998</v>
      </c>
      <c r="I116" s="484">
        <f>'[7]Taux de Rotation des Stocks PF'!K112</f>
        <v>0.967741935483871</v>
      </c>
      <c r="J116" s="484">
        <f>'[7]Taux de Rotation des Stocks PF'!L112</f>
        <v>0</v>
      </c>
      <c r="K116" s="484">
        <f>'[7]Taux de Rotation des Stocks PF'!M112</f>
        <v>0</v>
      </c>
      <c r="L116" s="484">
        <f>'[7]Taux de Rotation des Stocks PF'!N112</f>
        <v>0</v>
      </c>
      <c r="M116" s="484">
        <f>'[7]Taux de Rotation des Stocks PF'!O112</f>
        <v>0</v>
      </c>
      <c r="N116" s="484">
        <f>'[7]Taux de Rotation des Stocks PF'!P112</f>
        <v>0</v>
      </c>
      <c r="O116" s="484">
        <f>'[7]Taux de Rotation des Stocks PF'!Q112</f>
        <v>0</v>
      </c>
      <c r="P116" s="484">
        <f>'[7]Taux de Rotation des Stocks PF'!R112</f>
        <v>0</v>
      </c>
      <c r="Q116" s="485">
        <f>'[7]Taux de Rotation des Stocks PF'!S112</f>
        <v>0</v>
      </c>
      <c r="S116" s="486">
        <f>'[7]Taux de Rotation des Stocks PF'!U112</f>
        <v>1.0256410256410255</v>
      </c>
    </row>
    <row r="117" spans="2:31" hidden="1" outlineLevel="1" x14ac:dyDescent="0.2">
      <c r="B117" s="474"/>
      <c r="C117" s="475" t="s">
        <v>43</v>
      </c>
      <c r="D117" s="476" t="s">
        <v>127</v>
      </c>
      <c r="F117" s="487">
        <f>IF(F118=0,0,F$79/F118)</f>
        <v>36.710526315789473</v>
      </c>
      <c r="G117" s="488">
        <f t="shared" ref="G117:Q117" si="47">IF(G118=0,0,G$79/G118)</f>
        <v>29.647058823529413</v>
      </c>
      <c r="H117" s="488">
        <f t="shared" si="47"/>
        <v>34.5</v>
      </c>
      <c r="I117" s="488">
        <f t="shared" si="47"/>
        <v>34</v>
      </c>
      <c r="J117" s="488">
        <f t="shared" si="47"/>
        <v>0</v>
      </c>
      <c r="K117" s="488">
        <f t="shared" si="47"/>
        <v>0</v>
      </c>
      <c r="L117" s="488">
        <f t="shared" si="47"/>
        <v>0</v>
      </c>
      <c r="M117" s="488">
        <f t="shared" si="47"/>
        <v>0</v>
      </c>
      <c r="N117" s="488">
        <f t="shared" si="47"/>
        <v>0</v>
      </c>
      <c r="O117" s="488">
        <f t="shared" si="47"/>
        <v>0</v>
      </c>
      <c r="P117" s="488">
        <f t="shared" si="47"/>
        <v>0</v>
      </c>
      <c r="Q117" s="489">
        <f t="shared" si="47"/>
        <v>0</v>
      </c>
      <c r="S117" s="490">
        <f>SUMIF($F$23:$Q$23,"&lt;&gt;0",$F$24:$Q$24)/S118</f>
        <v>164</v>
      </c>
    </row>
    <row r="118" spans="2:31" hidden="1" outlineLevel="1" x14ac:dyDescent="0.2">
      <c r="B118" s="474"/>
      <c r="C118" s="481" t="s">
        <v>43</v>
      </c>
      <c r="D118" s="482" t="s">
        <v>86</v>
      </c>
      <c r="F118" s="483">
        <f>'[7]Taux de Rotation des Stocks PF'!H114</f>
        <v>0.84444444444444444</v>
      </c>
      <c r="G118" s="484">
        <f>'[7]Taux de Rotation des Stocks PF'!I114</f>
        <v>0.94444444444444442</v>
      </c>
      <c r="H118" s="484">
        <f>'[7]Taux de Rotation des Stocks PF'!J114</f>
        <v>0.89855072463768115</v>
      </c>
      <c r="I118" s="484">
        <f>'[7]Taux de Rotation des Stocks PF'!K114</f>
        <v>0.88235294117647056</v>
      </c>
      <c r="J118" s="484">
        <f>'[7]Taux de Rotation des Stocks PF'!L114</f>
        <v>0</v>
      </c>
      <c r="K118" s="484">
        <f>'[7]Taux de Rotation des Stocks PF'!M114</f>
        <v>0</v>
      </c>
      <c r="L118" s="484">
        <f>'[7]Taux de Rotation des Stocks PF'!N114</f>
        <v>0</v>
      </c>
      <c r="M118" s="484">
        <f>'[7]Taux de Rotation des Stocks PF'!O114</f>
        <v>0</v>
      </c>
      <c r="N118" s="484">
        <f>'[7]Taux de Rotation des Stocks PF'!P114</f>
        <v>0</v>
      </c>
      <c r="O118" s="484">
        <f>'[7]Taux de Rotation des Stocks PF'!Q114</f>
        <v>0</v>
      </c>
      <c r="P118" s="484">
        <f>'[7]Taux de Rotation des Stocks PF'!R114</f>
        <v>0</v>
      </c>
      <c r="Q118" s="485">
        <f>'[7]Taux de Rotation des Stocks PF'!S114</f>
        <v>0</v>
      </c>
      <c r="S118" s="486">
        <f>'[7]Taux de Rotation des Stocks PF'!U114</f>
        <v>0.73170731707317072</v>
      </c>
    </row>
    <row r="119" spans="2:31" hidden="1" outlineLevel="1" x14ac:dyDescent="0.2">
      <c r="B119" s="474"/>
      <c r="C119" s="475" t="s">
        <v>123</v>
      </c>
      <c r="D119" s="476" t="s">
        <v>127</v>
      </c>
      <c r="F119" s="487">
        <f>IF(F120=0,0,F$79/F120)</f>
        <v>26.3419689119171</v>
      </c>
      <c r="G119" s="488">
        <f t="shared" ref="G119:Q119" si="48">IF(G120=0,0,G$79/G120)</f>
        <v>26.928229665071768</v>
      </c>
      <c r="H119" s="488">
        <f t="shared" si="48"/>
        <v>29.813397129186601</v>
      </c>
      <c r="I119" s="488">
        <f t="shared" si="48"/>
        <v>29.547738693467334</v>
      </c>
      <c r="J119" s="488">
        <f t="shared" si="48"/>
        <v>0</v>
      </c>
      <c r="K119" s="488">
        <f t="shared" si="48"/>
        <v>0</v>
      </c>
      <c r="L119" s="488">
        <f t="shared" si="48"/>
        <v>0</v>
      </c>
      <c r="M119" s="488">
        <f t="shared" si="48"/>
        <v>0</v>
      </c>
      <c r="N119" s="488">
        <f t="shared" si="48"/>
        <v>0</v>
      </c>
      <c r="O119" s="488">
        <f t="shared" si="48"/>
        <v>0</v>
      </c>
      <c r="P119" s="488">
        <f t="shared" si="48"/>
        <v>0</v>
      </c>
      <c r="Q119" s="489">
        <f t="shared" si="48"/>
        <v>0</v>
      </c>
      <c r="S119" s="490">
        <f>SUMIF($F$23:$Q$23,"&lt;&gt;0",$F$24:$Q$24)/S120</f>
        <v>100.7035175879397</v>
      </c>
    </row>
    <row r="120" spans="2:31" hidden="1" outlineLevel="1" x14ac:dyDescent="0.2">
      <c r="B120" s="474"/>
      <c r="C120" s="481" t="s">
        <v>123</v>
      </c>
      <c r="D120" s="482" t="s">
        <v>86</v>
      </c>
      <c r="F120" s="483">
        <f>'[7]Taux de Rotation des Stocks PF'!H116</f>
        <v>1.1768292682926829</v>
      </c>
      <c r="G120" s="484">
        <f>'[7]Taux de Rotation des Stocks PF'!I116</f>
        <v>1.0398009950248757</v>
      </c>
      <c r="H120" s="484">
        <f>'[7]Taux de Rotation des Stocks PF'!J116</f>
        <v>1.0398009950248757</v>
      </c>
      <c r="I120" s="484">
        <f>'[7]Taux de Rotation des Stocks PF'!K116</f>
        <v>1.0153061224489797</v>
      </c>
      <c r="J120" s="484">
        <f>'[7]Taux de Rotation des Stocks PF'!L116</f>
        <v>0</v>
      </c>
      <c r="K120" s="484">
        <f>'[7]Taux de Rotation des Stocks PF'!M116</f>
        <v>0</v>
      </c>
      <c r="L120" s="484">
        <f>'[7]Taux de Rotation des Stocks PF'!N116</f>
        <v>0</v>
      </c>
      <c r="M120" s="484">
        <f>'[7]Taux de Rotation des Stocks PF'!O116</f>
        <v>0</v>
      </c>
      <c r="N120" s="484">
        <f>'[7]Taux de Rotation des Stocks PF'!P116</f>
        <v>0</v>
      </c>
      <c r="O120" s="484">
        <f>'[7]Taux de Rotation des Stocks PF'!Q116</f>
        <v>0</v>
      </c>
      <c r="P120" s="484">
        <f>'[7]Taux de Rotation des Stocks PF'!R116</f>
        <v>0</v>
      </c>
      <c r="Q120" s="485">
        <f>'[7]Taux de Rotation des Stocks PF'!S116</f>
        <v>0</v>
      </c>
      <c r="S120" s="486">
        <f>'[7]Taux de Rotation des Stocks PF'!U116</f>
        <v>1.1916167664670658</v>
      </c>
    </row>
    <row r="121" spans="2:31" hidden="1" outlineLevel="1" x14ac:dyDescent="0.2">
      <c r="B121" s="474"/>
      <c r="C121" s="475" t="s">
        <v>124</v>
      </c>
      <c r="D121" s="476" t="s">
        <v>127</v>
      </c>
      <c r="F121" s="487">
        <f>IF(F122=0,0,F$79/F122)</f>
        <v>29.133507853403145</v>
      </c>
      <c r="G121" s="488">
        <f t="shared" ref="G121:Q121" si="49">IF(G122=0,0,G$79/G122)</f>
        <v>27.150819672131149</v>
      </c>
      <c r="H121" s="488">
        <f t="shared" si="49"/>
        <v>30.760309278350519</v>
      </c>
      <c r="I121" s="488">
        <f t="shared" si="49"/>
        <v>29.445378151260506</v>
      </c>
      <c r="J121" s="488">
        <f t="shared" si="49"/>
        <v>0</v>
      </c>
      <c r="K121" s="488">
        <f t="shared" si="49"/>
        <v>0</v>
      </c>
      <c r="L121" s="488">
        <f t="shared" si="49"/>
        <v>0</v>
      </c>
      <c r="M121" s="488">
        <f t="shared" si="49"/>
        <v>0</v>
      </c>
      <c r="N121" s="488">
        <f t="shared" si="49"/>
        <v>0</v>
      </c>
      <c r="O121" s="488">
        <f t="shared" si="49"/>
        <v>0</v>
      </c>
      <c r="P121" s="488">
        <f t="shared" si="49"/>
        <v>0</v>
      </c>
      <c r="Q121" s="489">
        <f t="shared" si="49"/>
        <v>0</v>
      </c>
      <c r="S121" s="490">
        <f>SUMIF($F$23:$Q$23,"&lt;&gt;0",$F$24:$Q$24)/S122</f>
        <v>110.82352941176471</v>
      </c>
    </row>
    <row r="122" spans="2:31" hidden="1" outlineLevel="1" x14ac:dyDescent="0.2">
      <c r="B122" s="474"/>
      <c r="C122" s="481" t="s">
        <v>124</v>
      </c>
      <c r="D122" s="482" t="s">
        <v>86</v>
      </c>
      <c r="F122" s="483">
        <f>'[7]Taux de Rotation des Stocks PF'!H118</f>
        <v>1.0640668523676879</v>
      </c>
      <c r="G122" s="484">
        <f>'[7]Taux de Rotation des Stocks PF'!I118</f>
        <v>1.0312764158918004</v>
      </c>
      <c r="H122" s="484">
        <f>'[7]Taux de Rotation des Stocks PF'!J118</f>
        <v>1.0077922077922077</v>
      </c>
      <c r="I122" s="484">
        <f>'[7]Taux de Rotation des Stocks PF'!K118</f>
        <v>1.0188356164383561</v>
      </c>
      <c r="J122" s="484">
        <f>'[7]Taux de Rotation des Stocks PF'!L118</f>
        <v>0</v>
      </c>
      <c r="K122" s="484">
        <f>'[7]Taux de Rotation des Stocks PF'!M118</f>
        <v>0</v>
      </c>
      <c r="L122" s="484">
        <f>'[7]Taux de Rotation des Stocks PF'!N118</f>
        <v>0</v>
      </c>
      <c r="M122" s="484">
        <f>'[7]Taux de Rotation des Stocks PF'!O118</f>
        <v>0</v>
      </c>
      <c r="N122" s="484">
        <f>'[7]Taux de Rotation des Stocks PF'!P118</f>
        <v>0</v>
      </c>
      <c r="O122" s="484">
        <f>'[7]Taux de Rotation des Stocks PF'!Q118</f>
        <v>0</v>
      </c>
      <c r="P122" s="484">
        <f>'[7]Taux de Rotation des Stocks PF'!R118</f>
        <v>0</v>
      </c>
      <c r="Q122" s="485">
        <f>'[7]Taux de Rotation des Stocks PF'!S118</f>
        <v>0</v>
      </c>
      <c r="S122" s="486">
        <f>'[7]Taux de Rotation des Stocks PF'!U118</f>
        <v>1.0828025477707006</v>
      </c>
    </row>
    <row r="123" spans="2:31" hidden="1" outlineLevel="1" x14ac:dyDescent="0.2">
      <c r="B123" s="474"/>
      <c r="C123" s="475" t="s">
        <v>125</v>
      </c>
      <c r="D123" s="476" t="s">
        <v>127</v>
      </c>
      <c r="F123" s="487">
        <f>IF(F124=0,0,F$79/F124)</f>
        <v>28.416666666666668</v>
      </c>
      <c r="G123" s="488">
        <f t="shared" ref="G123:Q123" si="50">IF(G124=0,0,G$79/G124)</f>
        <v>31.684210526315788</v>
      </c>
      <c r="H123" s="488">
        <f t="shared" si="50"/>
        <v>36.166666666666671</v>
      </c>
      <c r="I123" s="488">
        <f t="shared" si="50"/>
        <v>40.714285714285715</v>
      </c>
      <c r="J123" s="488">
        <f t="shared" si="50"/>
        <v>0</v>
      </c>
      <c r="K123" s="488">
        <f t="shared" si="50"/>
        <v>0</v>
      </c>
      <c r="L123" s="488">
        <f t="shared" si="50"/>
        <v>0</v>
      </c>
      <c r="M123" s="488">
        <f t="shared" si="50"/>
        <v>0</v>
      </c>
      <c r="N123" s="488">
        <f t="shared" si="50"/>
        <v>0</v>
      </c>
      <c r="O123" s="488">
        <f t="shared" si="50"/>
        <v>0</v>
      </c>
      <c r="P123" s="488">
        <f t="shared" si="50"/>
        <v>0</v>
      </c>
      <c r="Q123" s="489">
        <f t="shared" si="50"/>
        <v>0</v>
      </c>
      <c r="S123" s="490">
        <f>SUMIF($F$23:$Q$23,"&lt;&gt;0",$F$24:$Q$24)/S124</f>
        <v>145.71428571428572</v>
      </c>
    </row>
    <row r="124" spans="2:31" hidden="1" outlineLevel="1" x14ac:dyDescent="0.2">
      <c r="B124" s="474"/>
      <c r="C124" s="481" t="s">
        <v>125</v>
      </c>
      <c r="D124" s="482" t="s">
        <v>86</v>
      </c>
      <c r="F124" s="483">
        <f>'[7]Taux de Rotation des Stocks PF'!H120</f>
        <v>1.0909090909090908</v>
      </c>
      <c r="G124" s="484">
        <f>'[7]Taux de Rotation des Stocks PF'!I120</f>
        <v>0.88372093023255816</v>
      </c>
      <c r="H124" s="484">
        <f>'[7]Taux de Rotation des Stocks PF'!J120</f>
        <v>0.8571428571428571</v>
      </c>
      <c r="I124" s="484">
        <f>'[7]Taux de Rotation des Stocks PF'!K120</f>
        <v>0.73684210526315785</v>
      </c>
      <c r="J124" s="484">
        <f>'[7]Taux de Rotation des Stocks PF'!L120</f>
        <v>0</v>
      </c>
      <c r="K124" s="484">
        <f>'[7]Taux de Rotation des Stocks PF'!M120</f>
        <v>0</v>
      </c>
      <c r="L124" s="484">
        <f>'[7]Taux de Rotation des Stocks PF'!N120</f>
        <v>0</v>
      </c>
      <c r="M124" s="484">
        <f>'[7]Taux de Rotation des Stocks PF'!O120</f>
        <v>0</v>
      </c>
      <c r="N124" s="484">
        <f>'[7]Taux de Rotation des Stocks PF'!P120</f>
        <v>0</v>
      </c>
      <c r="O124" s="484">
        <f>'[7]Taux de Rotation des Stocks PF'!Q120</f>
        <v>0</v>
      </c>
      <c r="P124" s="484">
        <f>'[7]Taux de Rotation des Stocks PF'!R120</f>
        <v>0</v>
      </c>
      <c r="Q124" s="485">
        <f>'[7]Taux de Rotation des Stocks PF'!S120</f>
        <v>0</v>
      </c>
      <c r="S124" s="486">
        <f>'[7]Taux de Rotation des Stocks PF'!U120</f>
        <v>0.82352941176470584</v>
      </c>
    </row>
    <row r="125" spans="2:31" hidden="1" outlineLevel="1" x14ac:dyDescent="0.2">
      <c r="B125" s="474"/>
      <c r="C125" s="475" t="s">
        <v>126</v>
      </c>
      <c r="D125" s="476" t="s">
        <v>127</v>
      </c>
      <c r="F125" s="487">
        <f>IF(F126=0,0,F$79/F126)</f>
        <v>32.9375</v>
      </c>
      <c r="G125" s="488">
        <f t="shared" ref="G125:Q125" si="51">IF(G126=0,0,G$79/G126)</f>
        <v>28</v>
      </c>
      <c r="H125" s="488">
        <f t="shared" si="51"/>
        <v>31</v>
      </c>
      <c r="I125" s="488">
        <f t="shared" si="51"/>
        <v>20.454545454545457</v>
      </c>
      <c r="J125" s="488">
        <f t="shared" si="51"/>
        <v>0</v>
      </c>
      <c r="K125" s="488">
        <f t="shared" si="51"/>
        <v>0</v>
      </c>
      <c r="L125" s="488">
        <f t="shared" si="51"/>
        <v>0</v>
      </c>
      <c r="M125" s="488">
        <f t="shared" si="51"/>
        <v>0</v>
      </c>
      <c r="N125" s="488">
        <f t="shared" si="51"/>
        <v>0</v>
      </c>
      <c r="O125" s="488">
        <f t="shared" si="51"/>
        <v>0</v>
      </c>
      <c r="P125" s="488">
        <f t="shared" si="51"/>
        <v>0</v>
      </c>
      <c r="Q125" s="489">
        <f t="shared" si="51"/>
        <v>0</v>
      </c>
      <c r="S125" s="490">
        <f>SUMIF($F$23:$Q$23,"&lt;&gt;0",$F$24:$Q$24)/S126</f>
        <v>84.545454545454547</v>
      </c>
    </row>
    <row r="126" spans="2:31" hidden="1" outlineLevel="1" x14ac:dyDescent="0.2">
      <c r="B126" s="474"/>
      <c r="C126" s="481" t="s">
        <v>126</v>
      </c>
      <c r="D126" s="482" t="s">
        <v>86</v>
      </c>
      <c r="F126" s="483">
        <f>'[7]Taux de Rotation des Stocks PF'!H122</f>
        <v>0.94117647058823528</v>
      </c>
      <c r="G126" s="484">
        <f>'[7]Taux de Rotation des Stocks PF'!I122</f>
        <v>1</v>
      </c>
      <c r="H126" s="484">
        <f>'[7]Taux de Rotation des Stocks PF'!J122</f>
        <v>1</v>
      </c>
      <c r="I126" s="484">
        <f>'[7]Taux de Rotation des Stocks PF'!K122</f>
        <v>1.4666666666666666</v>
      </c>
      <c r="J126" s="484">
        <f>'[7]Taux de Rotation des Stocks PF'!L122</f>
        <v>0</v>
      </c>
      <c r="K126" s="484">
        <f>'[7]Taux de Rotation des Stocks PF'!M122</f>
        <v>0</v>
      </c>
      <c r="L126" s="484">
        <f>'[7]Taux de Rotation des Stocks PF'!N122</f>
        <v>0</v>
      </c>
      <c r="M126" s="484">
        <f>'[7]Taux de Rotation des Stocks PF'!O122</f>
        <v>0</v>
      </c>
      <c r="N126" s="484">
        <f>'[7]Taux de Rotation des Stocks PF'!P122</f>
        <v>0</v>
      </c>
      <c r="O126" s="484">
        <f>'[7]Taux de Rotation des Stocks PF'!Q122</f>
        <v>0</v>
      </c>
      <c r="P126" s="484">
        <f>'[7]Taux de Rotation des Stocks PF'!R122</f>
        <v>0</v>
      </c>
      <c r="Q126" s="485">
        <f>'[7]Taux de Rotation des Stocks PF'!S122</f>
        <v>0</v>
      </c>
      <c r="S126" s="486">
        <f>'[7]Taux de Rotation des Stocks PF'!U122</f>
        <v>1.4193548387096775</v>
      </c>
      <c r="T126" s="502"/>
      <c r="U126" s="502"/>
      <c r="V126" s="502"/>
      <c r="W126" s="502"/>
      <c r="X126" s="502"/>
      <c r="Y126" s="502"/>
      <c r="Z126" s="502"/>
      <c r="AA126" s="502"/>
      <c r="AB126" s="502"/>
      <c r="AC126" s="502"/>
      <c r="AD126" s="502"/>
      <c r="AE126" s="502"/>
    </row>
    <row r="127" spans="2:31" hidden="1" outlineLevel="1" x14ac:dyDescent="0.2">
      <c r="B127" s="474"/>
      <c r="C127" s="475" t="s">
        <v>44</v>
      </c>
      <c r="D127" s="476" t="s">
        <v>127</v>
      </c>
      <c r="F127" s="487">
        <f>IF(F128=0,0,F$79/F128)</f>
        <v>15.5</v>
      </c>
      <c r="G127" s="488">
        <f t="shared" ref="G127:Q127" si="52">IF(G128=0,0,G$79/G128)</f>
        <v>0</v>
      </c>
      <c r="H127" s="488">
        <f t="shared" si="52"/>
        <v>0</v>
      </c>
      <c r="I127" s="488">
        <f t="shared" si="52"/>
        <v>0</v>
      </c>
      <c r="J127" s="488">
        <f t="shared" si="52"/>
        <v>0</v>
      </c>
      <c r="K127" s="488">
        <f t="shared" si="52"/>
        <v>0</v>
      </c>
      <c r="L127" s="488">
        <f t="shared" si="52"/>
        <v>0</v>
      </c>
      <c r="M127" s="488">
        <f t="shared" si="52"/>
        <v>0</v>
      </c>
      <c r="N127" s="488">
        <f t="shared" si="52"/>
        <v>0</v>
      </c>
      <c r="O127" s="488">
        <f t="shared" si="52"/>
        <v>0</v>
      </c>
      <c r="P127" s="488">
        <f t="shared" si="52"/>
        <v>0</v>
      </c>
      <c r="Q127" s="489">
        <f t="shared" si="52"/>
        <v>0</v>
      </c>
      <c r="S127" s="490">
        <f>SUMIF($F$23:$Q$23,"&lt;&gt;0",$F$24:$Q$24)/S128</f>
        <v>60</v>
      </c>
      <c r="T127" s="503"/>
      <c r="U127" s="503"/>
      <c r="V127" s="503"/>
      <c r="W127" s="503"/>
      <c r="X127" s="503"/>
      <c r="Y127" s="503"/>
      <c r="Z127" s="503"/>
      <c r="AA127" s="503"/>
      <c r="AB127" s="503"/>
      <c r="AC127" s="503"/>
      <c r="AD127" s="503"/>
      <c r="AE127" s="503"/>
    </row>
    <row r="128" spans="2:31" hidden="1" outlineLevel="1" x14ac:dyDescent="0.2">
      <c r="B128" s="474"/>
      <c r="C128" s="481" t="s">
        <v>44</v>
      </c>
      <c r="D128" s="482" t="s">
        <v>86</v>
      </c>
      <c r="F128" s="483">
        <f>'[7]Taux de Rotation des Stocks PF'!H124</f>
        <v>2</v>
      </c>
      <c r="G128" s="484">
        <f>'[7]Taux de Rotation des Stocks PF'!I124</f>
        <v>0</v>
      </c>
      <c r="H128" s="484">
        <f>'[7]Taux de Rotation des Stocks PF'!J124</f>
        <v>0</v>
      </c>
      <c r="I128" s="484">
        <f>'[7]Taux de Rotation des Stocks PF'!K124</f>
        <v>0</v>
      </c>
      <c r="J128" s="484">
        <f>'[7]Taux de Rotation des Stocks PF'!L124</f>
        <v>0</v>
      </c>
      <c r="K128" s="484">
        <f>'[7]Taux de Rotation des Stocks PF'!M124</f>
        <v>0</v>
      </c>
      <c r="L128" s="484">
        <f>'[7]Taux de Rotation des Stocks PF'!N124</f>
        <v>0</v>
      </c>
      <c r="M128" s="484">
        <f>'[7]Taux de Rotation des Stocks PF'!O124</f>
        <v>0</v>
      </c>
      <c r="N128" s="484">
        <f>'[7]Taux de Rotation des Stocks PF'!P124</f>
        <v>0</v>
      </c>
      <c r="O128" s="484">
        <f>'[7]Taux de Rotation des Stocks PF'!Q124</f>
        <v>0</v>
      </c>
      <c r="P128" s="484">
        <f>'[7]Taux de Rotation des Stocks PF'!R124</f>
        <v>0</v>
      </c>
      <c r="Q128" s="485">
        <f>'[7]Taux de Rotation des Stocks PF'!S124</f>
        <v>0</v>
      </c>
      <c r="S128" s="486">
        <f>'[7]Taux de Rotation des Stocks PF'!U124</f>
        <v>2</v>
      </c>
    </row>
    <row r="129" spans="2:19" hidden="1" outlineLevel="1" x14ac:dyDescent="0.2">
      <c r="B129" s="474"/>
      <c r="C129" s="475" t="s">
        <v>45</v>
      </c>
      <c r="D129" s="476" t="s">
        <v>127</v>
      </c>
      <c r="F129" s="487">
        <f>IF(F130=0,0,F$79/F130)</f>
        <v>32.784848484848482</v>
      </c>
      <c r="G129" s="488">
        <f t="shared" ref="G129:Q129" si="53">IF(G130=0,0,G$79/G130)</f>
        <v>23.705882352941174</v>
      </c>
      <c r="H129" s="488">
        <f t="shared" si="53"/>
        <v>29.949152542372879</v>
      </c>
      <c r="I129" s="488">
        <f t="shared" si="53"/>
        <v>33.333333333333336</v>
      </c>
      <c r="J129" s="488">
        <f t="shared" si="53"/>
        <v>0</v>
      </c>
      <c r="K129" s="488">
        <f t="shared" si="53"/>
        <v>0</v>
      </c>
      <c r="L129" s="488">
        <f t="shared" si="53"/>
        <v>0</v>
      </c>
      <c r="M129" s="488">
        <f t="shared" si="53"/>
        <v>0</v>
      </c>
      <c r="N129" s="488">
        <f t="shared" si="53"/>
        <v>0</v>
      </c>
      <c r="O129" s="488">
        <f t="shared" si="53"/>
        <v>0</v>
      </c>
      <c r="P129" s="488">
        <f t="shared" si="53"/>
        <v>0</v>
      </c>
      <c r="Q129" s="489">
        <f t="shared" si="53"/>
        <v>0</v>
      </c>
      <c r="S129" s="491">
        <f>SUMIF($F$23:$Q$23,"&lt;&gt;0",$F$24:$Q$24)/S130</f>
        <v>141.77777777777777</v>
      </c>
    </row>
    <row r="130" spans="2:19" hidden="1" outlineLevel="1" x14ac:dyDescent="0.2">
      <c r="B130" s="504"/>
      <c r="C130" s="505" t="s">
        <v>45</v>
      </c>
      <c r="D130" s="506" t="s">
        <v>86</v>
      </c>
      <c r="F130" s="507">
        <f>'[7]Taux de Rotation des Stocks PF'!H126</f>
        <v>0.94555873925501432</v>
      </c>
      <c r="G130" s="508">
        <f>'[7]Taux de Rotation des Stocks PF'!I126</f>
        <v>1.1811414392059554</v>
      </c>
      <c r="H130" s="508">
        <f>'[7]Taux de Rotation des Stocks PF'!J126</f>
        <v>1.0350877192982457</v>
      </c>
      <c r="I130" s="508">
        <f>'[7]Taux de Rotation des Stocks PF'!K126</f>
        <v>0.9</v>
      </c>
      <c r="J130" s="508">
        <f>'[7]Taux de Rotation des Stocks PF'!L126</f>
        <v>0</v>
      </c>
      <c r="K130" s="508">
        <f>'[7]Taux de Rotation des Stocks PF'!M126</f>
        <v>0</v>
      </c>
      <c r="L130" s="508">
        <f>'[7]Taux de Rotation des Stocks PF'!N126</f>
        <v>0</v>
      </c>
      <c r="M130" s="508">
        <f>'[7]Taux de Rotation des Stocks PF'!O126</f>
        <v>0</v>
      </c>
      <c r="N130" s="508">
        <f>'[7]Taux de Rotation des Stocks PF'!P126</f>
        <v>0</v>
      </c>
      <c r="O130" s="508">
        <f>'[7]Taux de Rotation des Stocks PF'!Q126</f>
        <v>0</v>
      </c>
      <c r="P130" s="508">
        <f>'[7]Taux de Rotation des Stocks PF'!R126</f>
        <v>0</v>
      </c>
      <c r="Q130" s="509">
        <f>'[7]Taux de Rotation des Stocks PF'!S126</f>
        <v>0</v>
      </c>
      <c r="S130" s="510">
        <f>'[7]Taux de Rotation des Stocks PF'!U126</f>
        <v>0.84639498432601878</v>
      </c>
    </row>
    <row r="131" spans="2:19" collapsed="1" x14ac:dyDescent="0.2"/>
  </sheetData>
  <mergeCells count="4">
    <mergeCell ref="A1:B1"/>
    <mergeCell ref="S17:S21"/>
    <mergeCell ref="B23:C25"/>
    <mergeCell ref="B78:C80"/>
  </mergeCells>
  <conditionalFormatting sqref="F19:Q19">
    <cfRule type="cellIs" dxfId="2" priority="2" operator="greaterThanOrEqual">
      <formula>0.9</formula>
    </cfRule>
    <cfRule type="cellIs" dxfId="1" priority="3" operator="lessThanOrEqual">
      <formula>0.5</formula>
    </cfRule>
  </conditionalFormatting>
  <conditionalFormatting sqref="D17:Q17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{14FB866C-EFFA-42EC-A874-98E6B9B6BC3D}</x14:id>
        </ext>
      </extLst>
    </cfRule>
  </conditionalFormatting>
  <hyperlinks>
    <hyperlink ref="A1:B1" r:id="rId1" location="Récapitulatif!A1" display="TBD CCE" xr:uid="{2F86FD7D-89B7-4077-88A3-19E7B64492F8}"/>
  </hyperlinks>
  <pageMargins left="0.7" right="0.7" top="0.75" bottom="0.75" header="0.3" footer="0.3"/>
  <ignoredErrors>
    <ignoredError sqref="F27:S130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4FB866C-EFFA-42EC-A874-98E6B9B6BC3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D17:Q17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E9E4C-2D61-4E60-BFDB-191FA0C214B7}">
  <sheetPr>
    <tabColor theme="9" tint="-0.499984740745262"/>
  </sheetPr>
  <dimension ref="B1:R18"/>
  <sheetViews>
    <sheetView showGridLines="0" zoomScale="90" zoomScaleNormal="90" workbookViewId="0">
      <selection activeCell="B5" sqref="B5:H6"/>
    </sheetView>
  </sheetViews>
  <sheetFormatPr baseColWidth="10" defaultRowHeight="15" x14ac:dyDescent="0.25"/>
  <cols>
    <col min="2" max="2" width="30.140625" bestFit="1" customWidth="1"/>
    <col min="3" max="3" width="12.5703125" customWidth="1"/>
    <col min="4" max="4" width="11.42578125" style="1" customWidth="1"/>
    <col min="5" max="5" width="14.140625" style="1" customWidth="1"/>
    <col min="6" max="8" width="11.42578125" style="1" customWidth="1"/>
    <col min="9" max="16" width="11.42578125" customWidth="1"/>
    <col min="17" max="17" width="1.140625" customWidth="1"/>
    <col min="18" max="18" width="14.85546875" style="1" bestFit="1" customWidth="1"/>
  </cols>
  <sheetData>
    <row r="1" spans="2:18" x14ac:dyDescent="0.25">
      <c r="B1" s="739" t="s">
        <v>139</v>
      </c>
      <c r="C1" s="740"/>
      <c r="D1" s="740"/>
      <c r="E1" s="740"/>
      <c r="F1" s="740"/>
      <c r="G1" s="740"/>
      <c r="H1" s="740"/>
      <c r="I1" s="740"/>
      <c r="J1" s="740"/>
      <c r="K1" s="740"/>
      <c r="L1" s="740"/>
      <c r="M1" s="740"/>
      <c r="N1" s="740"/>
      <c r="O1" s="740"/>
      <c r="P1" s="741"/>
    </row>
    <row r="2" spans="2:18" x14ac:dyDescent="0.25">
      <c r="B2" s="742"/>
      <c r="C2" s="743"/>
      <c r="D2" s="743"/>
      <c r="E2" s="743"/>
      <c r="F2" s="743"/>
      <c r="G2" s="743"/>
      <c r="H2" s="743"/>
      <c r="I2" s="743"/>
      <c r="J2" s="743"/>
      <c r="K2" s="743"/>
      <c r="L2" s="743"/>
      <c r="M2" s="743"/>
      <c r="N2" s="743"/>
      <c r="O2" s="743"/>
      <c r="P2" s="744"/>
    </row>
    <row r="3" spans="2:18" ht="5.0999999999999996" customHeight="1" x14ac:dyDescent="0.25"/>
    <row r="4" spans="2:18" ht="5.0999999999999996" customHeight="1" x14ac:dyDescent="0.25"/>
    <row r="5" spans="2:18" x14ac:dyDescent="0.25">
      <c r="B5" s="2" t="s">
        <v>1</v>
      </c>
      <c r="C5" s="3" t="s">
        <v>143</v>
      </c>
      <c r="D5" s="3" t="s">
        <v>20</v>
      </c>
      <c r="E5" s="3" t="s">
        <v>8</v>
      </c>
      <c r="F5" s="3" t="s">
        <v>9</v>
      </c>
      <c r="G5" s="3" t="s">
        <v>10</v>
      </c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  <c r="P5" s="4" t="s">
        <v>19</v>
      </c>
      <c r="R5" s="4" t="s">
        <v>28</v>
      </c>
    </row>
    <row r="6" spans="2:18" x14ac:dyDescent="0.25">
      <c r="B6" s="516" t="s">
        <v>142</v>
      </c>
      <c r="C6" s="695" t="s">
        <v>145</v>
      </c>
      <c r="D6" s="5"/>
      <c r="E6" s="699">
        <f>'Tendence CA'!E21</f>
        <v>1.0798778315777722</v>
      </c>
      <c r="F6" s="699">
        <f>'Tendence CA'!F21</f>
        <v>0.46464189222259961</v>
      </c>
      <c r="G6" s="699">
        <f>'Tendence CA'!G21</f>
        <v>-0.40598124377939976</v>
      </c>
      <c r="H6" s="699">
        <f>'Tendence CA'!H21</f>
        <v>-0.34722428629664748</v>
      </c>
      <c r="I6" s="699">
        <f>'Tendence CA'!I21</f>
        <v>-1</v>
      </c>
      <c r="J6" s="699">
        <f>'Tendence CA'!J21</f>
        <v>-1</v>
      </c>
      <c r="K6" s="699">
        <f>'Tendence CA'!K21</f>
        <v>-1</v>
      </c>
      <c r="L6" s="699">
        <f>'Tendence CA'!L21</f>
        <v>-1</v>
      </c>
      <c r="M6" s="699">
        <f>'Tendence CA'!M21</f>
        <v>-1</v>
      </c>
      <c r="N6" s="699">
        <f>'Tendence CA'!N21</f>
        <v>-1</v>
      </c>
      <c r="O6" s="699">
        <f>'Tendence CA'!O21</f>
        <v>-1</v>
      </c>
      <c r="P6" s="703">
        <f>'Tendence CA'!P21</f>
        <v>-1</v>
      </c>
      <c r="R6" s="706">
        <f>'Tendence CA'!$C$21</f>
        <v>-0.20562138873515726</v>
      </c>
    </row>
    <row r="7" spans="2:18" x14ac:dyDescent="0.25">
      <c r="B7" s="517" t="s">
        <v>23</v>
      </c>
      <c r="C7" s="695" t="s">
        <v>145</v>
      </c>
      <c r="D7" s="6"/>
      <c r="E7" s="8">
        <f>'Tendence CA'!E19</f>
        <v>2639910.3059999999</v>
      </c>
      <c r="F7" s="8">
        <f>'Tendence CA'!F19</f>
        <v>5546038.612999999</v>
      </c>
      <c r="G7" s="8">
        <f>'Tendence CA'!G19</f>
        <v>6771803.0269999988</v>
      </c>
      <c r="H7" s="8">
        <f>'Tendence CA'!H19</f>
        <v>8692284.6019999962</v>
      </c>
      <c r="I7" s="619">
        <f>'Tendence CA'!I19</f>
        <v>0</v>
      </c>
      <c r="J7" s="619">
        <f>'Tendence CA'!J19</f>
        <v>0</v>
      </c>
      <c r="K7" s="619">
        <f>'Tendence CA'!K19</f>
        <v>0</v>
      </c>
      <c r="L7" s="619">
        <f>'Tendence CA'!L19</f>
        <v>0</v>
      </c>
      <c r="M7" s="619">
        <f>'Tendence CA'!M19</f>
        <v>0</v>
      </c>
      <c r="N7" s="619">
        <f>'Tendence CA'!N19</f>
        <v>0</v>
      </c>
      <c r="O7" s="619">
        <f>'Tendence CA'!O19</f>
        <v>0</v>
      </c>
      <c r="P7" s="620">
        <f>'Tendence CA'!P19</f>
        <v>0</v>
      </c>
      <c r="R7" s="709">
        <f>'Tendence CA'!$C$19</f>
        <v>23650036.547999993</v>
      </c>
    </row>
    <row r="8" spans="2:18" x14ac:dyDescent="0.25">
      <c r="B8" s="517" t="s">
        <v>4</v>
      </c>
      <c r="C8" s="696" t="s">
        <v>144</v>
      </c>
      <c r="D8" s="6">
        <v>0.9</v>
      </c>
      <c r="E8" s="7">
        <f>+'Taux de Remplissage Magasin PF'!F$10</f>
        <v>0.42399103139013455</v>
      </c>
      <c r="F8" s="615">
        <f>+'Taux de Remplissage Magasin PF'!G$10</f>
        <v>0.45706278026905828</v>
      </c>
      <c r="G8" s="615">
        <f>+'Taux de Remplissage Magasin PF'!H$10</f>
        <v>0.50930493273542599</v>
      </c>
      <c r="H8" s="615">
        <f>+'Taux de Remplissage Magasin PF'!I$10</f>
        <v>0.58374439461883409</v>
      </c>
      <c r="I8" s="615">
        <f>+'Taux de Remplissage Magasin PF'!J$10</f>
        <v>0</v>
      </c>
      <c r="J8" s="615">
        <f>+'Taux de Remplissage Magasin PF'!K$10</f>
        <v>0</v>
      </c>
      <c r="K8" s="615">
        <f>+'Taux de Remplissage Magasin PF'!L$10</f>
        <v>0</v>
      </c>
      <c r="L8" s="615">
        <f>+'Taux de Remplissage Magasin PF'!M$10</f>
        <v>0</v>
      </c>
      <c r="M8" s="615">
        <f>+'Taux de Remplissage Magasin PF'!N$10</f>
        <v>0</v>
      </c>
      <c r="N8" s="615">
        <f>+'Taux de Remplissage Magasin PF'!O$10</f>
        <v>0</v>
      </c>
      <c r="O8" s="615">
        <f>+'Taux de Remplissage Magasin PF'!P$10</f>
        <v>0</v>
      </c>
      <c r="P8" s="616">
        <f>+'Taux de Remplissage Magasin PF'!Q$10</f>
        <v>0</v>
      </c>
      <c r="R8" s="710">
        <f>'Taux de Remplissage Magasin PF'!$D$10</f>
        <v>0.49352578475336323</v>
      </c>
    </row>
    <row r="9" spans="2:18" x14ac:dyDescent="0.25">
      <c r="B9" s="517" t="s">
        <v>21</v>
      </c>
      <c r="C9" s="696" t="s">
        <v>144</v>
      </c>
      <c r="D9" s="6">
        <v>0.01</v>
      </c>
      <c r="E9" s="7">
        <f>'Taux de Retours Client'!C2</f>
        <v>1.1673151750972763E-2</v>
      </c>
      <c r="F9" s="7">
        <f>'Taux de Retours Client'!D2</f>
        <v>6.5146579804560263E-3</v>
      </c>
      <c r="G9" s="7">
        <f>'Taux de Retours Client'!E2</f>
        <v>2.5706940874035988E-3</v>
      </c>
      <c r="H9" s="7">
        <f>'Taux de Retours Client'!F2</f>
        <v>0</v>
      </c>
      <c r="I9" s="619">
        <f>'Taux de Retours Client'!G2</f>
        <v>0</v>
      </c>
      <c r="J9" s="619">
        <f>'Taux de Retours Client'!H2</f>
        <v>0</v>
      </c>
      <c r="K9" s="619">
        <f>'Taux de Retours Client'!I2</f>
        <v>0</v>
      </c>
      <c r="L9" s="619">
        <f>'Taux de Retours Client'!J2</f>
        <v>0</v>
      </c>
      <c r="M9" s="619">
        <f>'Taux de Retours Client'!K2</f>
        <v>0</v>
      </c>
      <c r="N9" s="619">
        <f>'Taux de Retours Client'!L2</f>
        <v>0</v>
      </c>
      <c r="O9" s="619">
        <f>'Taux de Retours Client'!M2</f>
        <v>0</v>
      </c>
      <c r="P9" s="620">
        <f>'Taux de Retours Client'!N2</f>
        <v>0</v>
      </c>
      <c r="R9" s="708">
        <f>'Taux de Retours Client'!$O$2</f>
        <v>4.4809559372666168E-3</v>
      </c>
    </row>
    <row r="10" spans="2:18" x14ac:dyDescent="0.25">
      <c r="B10" s="517" t="s">
        <v>2</v>
      </c>
      <c r="C10" s="696" t="s">
        <v>31</v>
      </c>
      <c r="D10" s="6">
        <v>0.85</v>
      </c>
      <c r="E10" s="615">
        <f>'[1]Suivi Prod.2022'!F$8</f>
        <v>0.7756449383441586</v>
      </c>
      <c r="F10" s="615">
        <f>'[1]Suivi Prod.2022'!G$8</f>
        <v>0.59910108937849949</v>
      </c>
      <c r="G10" s="615">
        <f>'[1]Suivi Prod.2022'!H$8</f>
        <v>0.32306032470598584</v>
      </c>
      <c r="H10" s="615">
        <f>'[1]Suivi Prod.2022'!I$8</f>
        <v>0.49007648723004782</v>
      </c>
      <c r="I10" s="615">
        <f>'[1]Suivi Prod.2022'!J$8</f>
        <v>0</v>
      </c>
      <c r="J10" s="615">
        <f>'[1]Suivi Prod.2022'!K$8</f>
        <v>0</v>
      </c>
      <c r="K10" s="615">
        <f>'[1]Suivi Prod.2022'!L$8</f>
        <v>0</v>
      </c>
      <c r="L10" s="615">
        <f>'[1]Suivi Prod.2022'!M$8</f>
        <v>0</v>
      </c>
      <c r="M10" s="615">
        <f>'[1]Suivi Prod.2022'!N$8</f>
        <v>0</v>
      </c>
      <c r="N10" s="615">
        <f>'[1]Suivi Prod.2022'!O$8</f>
        <v>0</v>
      </c>
      <c r="O10" s="615">
        <f>'[1]Suivi Prod.2022'!P$8</f>
        <v>0</v>
      </c>
      <c r="P10" s="616">
        <f>'[1]Suivi Prod.2022'!Q$8</f>
        <v>0</v>
      </c>
      <c r="R10" s="711">
        <f>'Réalisation Vs PIC Prod'!$E$16</f>
        <v>0.16344446626165274</v>
      </c>
    </row>
    <row r="11" spans="2:18" x14ac:dyDescent="0.25">
      <c r="B11" s="517" t="s">
        <v>3</v>
      </c>
      <c r="C11" s="696" t="s">
        <v>31</v>
      </c>
      <c r="D11" s="6">
        <v>0.85</v>
      </c>
      <c r="E11" s="615">
        <f>'[1]Suivi Liv.2022'!F$8</f>
        <v>0.61986854234365441</v>
      </c>
      <c r="F11" s="615">
        <f>'[1]Suivi Liv.2022'!G$8</f>
        <v>0.56619365286686363</v>
      </c>
      <c r="G11" s="615">
        <f>'[1]Suivi Liv.2022'!H$8</f>
        <v>0.25319727282038401</v>
      </c>
      <c r="H11" s="615">
        <f>'[1]Suivi Liv.2022'!I$8</f>
        <v>0.41979807011889464</v>
      </c>
      <c r="I11" s="615">
        <f>'[1]Suivi Liv.2022'!J$8</f>
        <v>0</v>
      </c>
      <c r="J11" s="615">
        <f>'[1]Suivi Liv.2022'!K$8</f>
        <v>0</v>
      </c>
      <c r="K11" s="615">
        <f>'[1]Suivi Liv.2022'!L$8</f>
        <v>0</v>
      </c>
      <c r="L11" s="615">
        <f>'[1]Suivi Liv.2022'!M$8</f>
        <v>0</v>
      </c>
      <c r="M11" s="615">
        <f>'[1]Suivi Liv.2022'!N$8</f>
        <v>0</v>
      </c>
      <c r="N11" s="615">
        <f>'[1]Suivi Liv.2022'!O$8</f>
        <v>0</v>
      </c>
      <c r="O11" s="615">
        <f>'[1]Suivi Liv.2022'!P$8</f>
        <v>0</v>
      </c>
      <c r="P11" s="616">
        <f>'[1]Suivi Liv.2022'!Q$8</f>
        <v>0</v>
      </c>
      <c r="R11" s="711">
        <f>'Réalisation Vs PIC Liv'!$E$18</f>
        <v>0.13310759062024502</v>
      </c>
    </row>
    <row r="12" spans="2:18" x14ac:dyDescent="0.25">
      <c r="B12" s="517" t="s">
        <v>140</v>
      </c>
      <c r="C12" s="696" t="s">
        <v>31</v>
      </c>
      <c r="D12" s="6"/>
      <c r="E12" s="615">
        <f>'Tendence Prod 22 Vs 21'!E7</f>
        <v>-0.12236168715958433</v>
      </c>
      <c r="F12" s="615">
        <f>'Tendence Prod 22 Vs 21'!F7</f>
        <v>-0.31129070583767954</v>
      </c>
      <c r="G12" s="615">
        <f>'Tendence Prod 22 Vs 21'!G7</f>
        <v>-0.67571139901269983</v>
      </c>
      <c r="H12" s="615">
        <f>'Tendence Prod 22 Vs 21'!H7</f>
        <v>-0.503417339492502</v>
      </c>
      <c r="I12" s="615">
        <f>'Tendence Prod 22 Vs 21'!I7</f>
        <v>-1</v>
      </c>
      <c r="J12" s="615">
        <f>'Tendence Prod 22 Vs 21'!J7</f>
        <v>-1</v>
      </c>
      <c r="K12" s="615">
        <f>'Tendence Prod 22 Vs 21'!K7</f>
        <v>-1</v>
      </c>
      <c r="L12" s="615">
        <f>'Tendence Prod 22 Vs 21'!L7</f>
        <v>-1</v>
      </c>
      <c r="M12" s="615">
        <f>'Tendence Prod 22 Vs 21'!M7</f>
        <v>-1</v>
      </c>
      <c r="N12" s="615">
        <f>'Tendence Prod 22 Vs 21'!N7</f>
        <v>-1</v>
      </c>
      <c r="O12" s="615">
        <f>'Tendence Prod 22 Vs 21'!O7</f>
        <v>-1</v>
      </c>
      <c r="P12" s="616">
        <f>'Tendence Prod 22 Vs 21'!P7</f>
        <v>-1</v>
      </c>
      <c r="R12" s="711">
        <f>'Tendence Prod 22 Vs 21'!C7</f>
        <v>-0.51955600391276435</v>
      </c>
    </row>
    <row r="13" spans="2:18" x14ac:dyDescent="0.25">
      <c r="B13" s="517" t="s">
        <v>0</v>
      </c>
      <c r="C13" s="696" t="s">
        <v>71</v>
      </c>
      <c r="D13" s="6">
        <v>0.05</v>
      </c>
      <c r="E13" s="7">
        <f>+'Taux de Déchet'!F$9</f>
        <v>2.6244534001835951E-2</v>
      </c>
      <c r="F13" s="615">
        <f>+'Taux de Déchet'!G$9</f>
        <v>2.8682380938109358E-2</v>
      </c>
      <c r="G13" s="615">
        <f>+'Taux de Déchet'!H$9</f>
        <v>2.2860661309416944E-2</v>
      </c>
      <c r="H13" s="615">
        <f>+'Taux de Déchet'!I$9</f>
        <v>0.1533648150534766</v>
      </c>
      <c r="I13" s="615">
        <f>+'Taux de Déchet'!J$9</f>
        <v>0</v>
      </c>
      <c r="J13" s="615">
        <f>+'Taux de Déchet'!K$9</f>
        <v>0</v>
      </c>
      <c r="K13" s="615">
        <f>+'Taux de Déchet'!L$9</f>
        <v>0</v>
      </c>
      <c r="L13" s="615">
        <f>+'Taux de Déchet'!M$9</f>
        <v>0</v>
      </c>
      <c r="M13" s="615">
        <f>+'Taux de Déchet'!N$9</f>
        <v>0</v>
      </c>
      <c r="N13" s="615">
        <f>+'Taux de Déchet'!O$9</f>
        <v>0</v>
      </c>
      <c r="O13" s="615">
        <f>+'Taux de Déchet'!P$9</f>
        <v>0</v>
      </c>
      <c r="P13" s="616">
        <f>+'Taux de Déchet'!Q$9</f>
        <v>0</v>
      </c>
      <c r="R13" s="710">
        <f>'Taux de Déchet'!$D$9</f>
        <v>6.0088614843844597E-2</v>
      </c>
    </row>
    <row r="14" spans="2:18" x14ac:dyDescent="0.25">
      <c r="B14" s="517" t="s">
        <v>146</v>
      </c>
      <c r="C14" s="696" t="s">
        <v>71</v>
      </c>
      <c r="D14" s="6">
        <v>0.9</v>
      </c>
      <c r="E14" s="621">
        <f>+'Rotation des Stocks PF'!H$15</f>
        <v>1.070629865534324</v>
      </c>
      <c r="F14" s="621">
        <f>+'Rotation des Stocks PF'!I$15</f>
        <v>1.9994749331423083</v>
      </c>
      <c r="G14" s="621">
        <f>+'Rotation des Stocks PF'!J$15</f>
        <v>1.9991201429420751</v>
      </c>
      <c r="H14" s="621">
        <f>+'Rotation des Stocks PF'!K$15</f>
        <v>1.9992324359836378</v>
      </c>
      <c r="I14" s="622">
        <f>+'Rotation des Stocks PF'!L$15</f>
        <v>0</v>
      </c>
      <c r="J14" s="622">
        <f>+'Rotation des Stocks PF'!M$15</f>
        <v>0</v>
      </c>
      <c r="K14" s="622">
        <f>+'Rotation des Stocks PF'!N$15</f>
        <v>0</v>
      </c>
      <c r="L14" s="622">
        <f>+'Rotation des Stocks PF'!O$15</f>
        <v>0</v>
      </c>
      <c r="M14" s="622">
        <f>+'Rotation des Stocks PF'!P$15</f>
        <v>0</v>
      </c>
      <c r="N14" s="622">
        <f>+'Rotation des Stocks PF'!Q$15</f>
        <v>0</v>
      </c>
      <c r="O14" s="622">
        <f>+'Rotation des Stocks PF'!R$15</f>
        <v>0</v>
      </c>
      <c r="P14" s="623">
        <f>+'Rotation des Stocks PF'!S$15</f>
        <v>0</v>
      </c>
      <c r="R14" s="712">
        <f>'Rotation des Stocks PF'!$F$15</f>
        <v>1.2266195524146055</v>
      </c>
    </row>
    <row r="15" spans="2:18" x14ac:dyDescent="0.25">
      <c r="B15" s="517" t="s">
        <v>5</v>
      </c>
      <c r="C15" s="696" t="s">
        <v>71</v>
      </c>
      <c r="D15" s="10">
        <v>54</v>
      </c>
      <c r="E15" s="8">
        <f>+'Durée Moy.de Stockage Fer Nu'!E$16</f>
        <v>110.03939807679832</v>
      </c>
      <c r="F15" s="8">
        <f>+'Durée Moy.de Stockage Fer Nu'!F$16</f>
        <v>57.184415572874421</v>
      </c>
      <c r="G15" s="8">
        <f>+'Durée Moy.de Stockage Fer Nu'!G$16</f>
        <v>65.251625757676493</v>
      </c>
      <c r="H15" s="8">
        <f>+'Durée Moy.de Stockage Fer Nu'!H$16</f>
        <v>63.431879541744152</v>
      </c>
      <c r="I15" s="617">
        <f>+'Durée Moy.de Stockage Fer Nu'!I$16</f>
        <v>0</v>
      </c>
      <c r="J15" s="617">
        <f>+'Durée Moy.de Stockage Fer Nu'!J$16</f>
        <v>0</v>
      </c>
      <c r="K15" s="617">
        <f>+'Durée Moy.de Stockage Fer Nu'!K$16</f>
        <v>0</v>
      </c>
      <c r="L15" s="617">
        <f>+'Durée Moy.de Stockage Fer Nu'!L$16</f>
        <v>0</v>
      </c>
      <c r="M15" s="617">
        <f>+'Durée Moy.de Stockage Fer Nu'!M$16</f>
        <v>0</v>
      </c>
      <c r="N15" s="617">
        <f>+'Durée Moy.de Stockage Fer Nu'!N$16</f>
        <v>0</v>
      </c>
      <c r="O15" s="617">
        <f>+'Durée Moy.de Stockage Fer Nu'!O$16</f>
        <v>0</v>
      </c>
      <c r="P15" s="618">
        <f>+'Durée Moy.de Stockage Fer Nu'!P$16</f>
        <v>0</v>
      </c>
      <c r="R15" s="713">
        <f>'Durée Moyenne de Stockage PF'!$D$17</f>
        <v>97.829844440176672</v>
      </c>
    </row>
    <row r="16" spans="2:18" x14ac:dyDescent="0.25">
      <c r="B16" s="517" t="s">
        <v>6</v>
      </c>
      <c r="C16" s="696" t="s">
        <v>71</v>
      </c>
      <c r="D16" s="6">
        <v>0.85</v>
      </c>
      <c r="E16" s="7">
        <f>+'Taux de Couverture de Stock Fer'!G$15</f>
        <v>0.88388902938558311</v>
      </c>
      <c r="F16" s="615">
        <f>+'Taux de Couverture de Stock Fer'!H$15</f>
        <v>0.86878866829180534</v>
      </c>
      <c r="G16" s="615">
        <f>+'Taux de Couverture de Stock Fer'!I$15</f>
        <v>0.8161315246234544</v>
      </c>
      <c r="H16" s="615">
        <f>+'Taux de Couverture de Stock Fer'!J$15</f>
        <v>0.78968535891045255</v>
      </c>
      <c r="I16" s="615">
        <f>+'Taux de Couverture de Stock Fer'!K$15</f>
        <v>0</v>
      </c>
      <c r="J16" s="615">
        <f>+'Taux de Couverture de Stock Fer'!L$15</f>
        <v>0</v>
      </c>
      <c r="K16" s="615">
        <f>+'Taux de Couverture de Stock Fer'!M$15</f>
        <v>0</v>
      </c>
      <c r="L16" s="615">
        <f>+'Taux de Couverture de Stock Fer'!N$15</f>
        <v>0</v>
      </c>
      <c r="M16" s="615">
        <f>+'Taux de Couverture de Stock Fer'!O$15</f>
        <v>0</v>
      </c>
      <c r="N16" s="615">
        <f>+'Taux de Couverture de Stock Fer'!P$15</f>
        <v>0</v>
      </c>
      <c r="O16" s="615">
        <f>+'Taux de Couverture de Stock Fer'!Q$15</f>
        <v>0</v>
      </c>
      <c r="P16" s="616">
        <f>+'Taux de Couverture de Stock Fer'!R$15</f>
        <v>0</v>
      </c>
      <c r="R16" s="711">
        <f>'Taux de Couverture de Stock Fer'!$E$15</f>
        <v>0.83962364530282385</v>
      </c>
    </row>
    <row r="17" spans="2:18" x14ac:dyDescent="0.25">
      <c r="B17" s="693" t="s">
        <v>147</v>
      </c>
      <c r="C17" s="697" t="s">
        <v>71</v>
      </c>
      <c r="D17" s="694">
        <v>0.85</v>
      </c>
      <c r="E17" s="700">
        <f>+'Rotation de Stock Fer Nu'!G$18</f>
        <v>0.60427085527854862</v>
      </c>
      <c r="F17" s="700">
        <f>+'Rotation de Stock Fer Nu'!H$18</f>
        <v>0.98152386854801821</v>
      </c>
      <c r="G17" s="700">
        <f>+'Rotation de Stock Fer Nu'!I$18</f>
        <v>0.95715412349227624</v>
      </c>
      <c r="H17" s="700">
        <f>+'Rotation de Stock Fer Nu'!J$18</f>
        <v>0.93525690359216707</v>
      </c>
      <c r="I17" s="701">
        <f>+'Rotation de Stock Fer Nu'!K$18</f>
        <v>0</v>
      </c>
      <c r="J17" s="701">
        <f>+'Rotation de Stock Fer Nu'!L$18</f>
        <v>0</v>
      </c>
      <c r="K17" s="701">
        <f>+'Rotation de Stock Fer Nu'!M$18</f>
        <v>0</v>
      </c>
      <c r="L17" s="701">
        <f>+'Rotation de Stock Fer Nu'!N$18</f>
        <v>0</v>
      </c>
      <c r="M17" s="701">
        <f>+'Rotation de Stock Fer Nu'!O$18</f>
        <v>0</v>
      </c>
      <c r="N17" s="701">
        <f>+'Rotation de Stock Fer Nu'!P$18</f>
        <v>0</v>
      </c>
      <c r="O17" s="701">
        <f>+'Rotation de Stock Fer Nu'!Q$18</f>
        <v>0</v>
      </c>
      <c r="P17" s="704">
        <f>+'Rotation de Stock Fer Nu'!R$18</f>
        <v>0</v>
      </c>
      <c r="R17" s="712">
        <f>'Rotation de Stock Fer Nu'!$E$18</f>
        <v>0.50341810781618856</v>
      </c>
    </row>
    <row r="18" spans="2:18" x14ac:dyDescent="0.25">
      <c r="B18" s="518" t="s">
        <v>7</v>
      </c>
      <c r="C18" s="698" t="s">
        <v>71</v>
      </c>
      <c r="D18" s="9" t="s">
        <v>22</v>
      </c>
      <c r="E18" s="11">
        <f>+'Durée Moy.de Stockage Fer Nu'!E$16</f>
        <v>110.03939807679832</v>
      </c>
      <c r="F18" s="11">
        <f>+'Durée Moy.de Stockage Fer Nu'!F$16</f>
        <v>57.184415572874421</v>
      </c>
      <c r="G18" s="11">
        <f>+'Durée Moy.de Stockage Fer Nu'!G$16</f>
        <v>65.251625757676493</v>
      </c>
      <c r="H18" s="11">
        <f>+'Durée Moy.de Stockage Fer Nu'!H$16</f>
        <v>63.431879541744152</v>
      </c>
      <c r="I18" s="702">
        <f>+'Durée Moy.de Stockage Fer Nu'!I$16</f>
        <v>0</v>
      </c>
      <c r="J18" s="702">
        <f>+'Durée Moy.de Stockage Fer Nu'!J$16</f>
        <v>0</v>
      </c>
      <c r="K18" s="702">
        <f>+'Durée Moy.de Stockage Fer Nu'!K$16</f>
        <v>0</v>
      </c>
      <c r="L18" s="702">
        <f>+'Durée Moy.de Stockage Fer Nu'!L$16</f>
        <v>0</v>
      </c>
      <c r="M18" s="702">
        <f>+'Durée Moy.de Stockage Fer Nu'!M$16</f>
        <v>0</v>
      </c>
      <c r="N18" s="702">
        <f>+'Durée Moy.de Stockage Fer Nu'!N$16</f>
        <v>0</v>
      </c>
      <c r="O18" s="702">
        <f>+'Durée Moy.de Stockage Fer Nu'!O$16</f>
        <v>0</v>
      </c>
      <c r="P18" s="705">
        <f>+'Durée Moy.de Stockage Fer Nu'!P$16</f>
        <v>0</v>
      </c>
      <c r="R18" s="714">
        <f>'Durée Moy.de Stockage Fer Nu'!$C$16</f>
        <v>238.3704482156117</v>
      </c>
    </row>
  </sheetData>
  <sortState xmlns:xlrd2="http://schemas.microsoft.com/office/spreadsheetml/2017/richdata2" ref="B6:P18">
    <sortCondition ref="C6:C18"/>
  </sortState>
  <mergeCells count="1">
    <mergeCell ref="B1:P2"/>
  </mergeCells>
  <phoneticPr fontId="3" type="noConversion"/>
  <conditionalFormatting sqref="E6:P6">
    <cfRule type="cellIs" dxfId="84" priority="12" operator="greaterThan">
      <formula>0.05</formula>
    </cfRule>
    <cfRule type="cellIs" dxfId="83" priority="13" operator="lessThanOrEqual">
      <formula>0.05</formula>
    </cfRule>
  </conditionalFormatting>
  <conditionalFormatting sqref="E7:P9">
    <cfRule type="cellIs" dxfId="82" priority="9" operator="between">
      <formula>0.301</formula>
      <formula>0.85</formula>
    </cfRule>
    <cfRule type="cellIs" dxfId="81" priority="10" operator="greaterThanOrEqual">
      <formula>0.85</formula>
    </cfRule>
    <cfRule type="cellIs" dxfId="80" priority="11" operator="lessThanOrEqual">
      <formula>0.3</formula>
    </cfRule>
  </conditionalFormatting>
  <conditionalFormatting sqref="E13:P13">
    <cfRule type="cellIs" dxfId="79" priority="6" operator="lessThan">
      <formula>0.65</formula>
    </cfRule>
    <cfRule type="cellIs" dxfId="78" priority="7" operator="between">
      <formula>0.65</formula>
      <formula>0.849</formula>
    </cfRule>
    <cfRule type="cellIs" dxfId="77" priority="8" operator="greaterThanOrEqual">
      <formula>0.85</formula>
    </cfRule>
  </conditionalFormatting>
  <conditionalFormatting sqref="E10:P10">
    <cfRule type="cellIs" dxfId="76" priority="3" operator="greaterThanOrEqual">
      <formula>0.9</formula>
    </cfRule>
    <cfRule type="cellIs" dxfId="75" priority="4" operator="between">
      <formula>0.651</formula>
      <formula>0.89</formula>
    </cfRule>
    <cfRule type="cellIs" dxfId="74" priority="5" operator="lessThanOrEqual">
      <formula>0.65</formula>
    </cfRule>
  </conditionalFormatting>
  <conditionalFormatting sqref="E16:P17">
    <cfRule type="cellIs" dxfId="73" priority="1" operator="lessThanOrEqual">
      <formula>0%</formula>
    </cfRule>
    <cfRule type="cellIs" dxfId="72" priority="2" operator="greaterThan">
      <formula>0%</formula>
    </cfRule>
  </conditionalFormatting>
  <hyperlinks>
    <hyperlink ref="B13" r:id="rId1" location="'Taux de Déchet'!A1" xr:uid="{2AC862BC-B191-44E0-BF49-A5F7EC84F37B}"/>
    <hyperlink ref="B8" r:id="rId2" location="'Taux de Remplissage Magasin PF'!A1" xr:uid="{956D7266-0F84-423B-93B6-953118E85C0E}"/>
    <hyperlink ref="B14" r:id="rId3" location="'Rotation des Stocks PF'!A1" display="Taux de Rotation des Stocks PF" xr:uid="{21B161D8-253D-486A-BAB6-651CF50D74A0}"/>
    <hyperlink ref="B15" r:id="rId4" location="'Durée Moyenne de Stockage PF'!A1" xr:uid="{8328BC74-A741-4D0D-89C3-B7597BC1C3C6}"/>
    <hyperlink ref="B16" r:id="rId5" location="'Taux de Couverture de Stock Fer'!A1" xr:uid="{84C4EF69-4AAF-4E89-95B6-BF34AE8339D5}"/>
    <hyperlink ref="B17" r:id="rId6" location="'Rotation de Stock Fer Nu'!A1" display="Taux Rotation des Stocks Fer Nu" xr:uid="{0EAB3E05-E254-4532-963D-F6AB36236B5B}"/>
    <hyperlink ref="B18" r:id="rId7" location="'Durée Moy.de Stockage Fer Nu'!A1" xr:uid="{C3439DFF-E393-4C94-9F68-240139159C3F}"/>
    <hyperlink ref="B7" r:id="rId8" location="'Tendence CA'!A1" xr:uid="{46EF6B03-CF1D-4409-BFFA-CA7C2C6046E6}"/>
    <hyperlink ref="B10" r:id="rId9" location="'Réalisation Vs PIC Prod'!A1" xr:uid="{DE5C7D14-3D34-4FBD-BA1F-BE77F23F367C}"/>
    <hyperlink ref="B11" r:id="rId10" location="'Réalisation Vs PIC Liv'!A1" xr:uid="{5E44577B-5761-4406-A614-8CC1B799889F}"/>
    <hyperlink ref="B9" r:id="rId11" location="'Taux de Retours Client'!A1" xr:uid="{A20377F9-9E63-4C1D-AEEA-2DBCC4A736FC}"/>
    <hyperlink ref="B6" r:id="rId12" location="'Tendence CA'!A1" xr:uid="{40BDC140-55A7-41B7-84F1-3903F057EB4F}"/>
    <hyperlink ref="B12" r:id="rId13" location="'Tendence Prod 22 Vs 21'!A1" xr:uid="{1A176088-4F4A-4E88-BAAA-CEC706BC9B6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91231-EF4D-4869-B565-9C521B8243DA}">
  <dimension ref="A1:Q119"/>
  <sheetViews>
    <sheetView topLeftCell="A10" zoomScale="90" zoomScaleNormal="90" workbookViewId="0">
      <selection activeCell="G32" sqref="G32"/>
    </sheetView>
  </sheetViews>
  <sheetFormatPr baseColWidth="10" defaultRowHeight="15" x14ac:dyDescent="0.25"/>
  <cols>
    <col min="1" max="1" width="21" bestFit="1" customWidth="1"/>
    <col min="2" max="2" width="23.85546875" bestFit="1" customWidth="1"/>
    <col min="3" max="3" width="7.28515625" bestFit="1" customWidth="1"/>
    <col min="4" max="4" width="5.42578125" bestFit="1" customWidth="1"/>
    <col min="5" max="5" width="5.28515625" bestFit="1" customWidth="1"/>
    <col min="6" max="6" width="12.5703125" bestFit="1" customWidth="1"/>
    <col min="8" max="8" width="21" bestFit="1" customWidth="1"/>
    <col min="9" max="9" width="16.28515625" bestFit="1" customWidth="1"/>
    <col min="10" max="10" width="11.5703125" bestFit="1" customWidth="1"/>
    <col min="11" max="11" width="22.85546875" bestFit="1" customWidth="1"/>
    <col min="12" max="12" width="17.42578125" bestFit="1" customWidth="1"/>
    <col min="13" max="13" width="17.28515625" bestFit="1" customWidth="1"/>
    <col min="14" max="14" width="15.28515625" bestFit="1" customWidth="1"/>
    <col min="15" max="15" width="15" bestFit="1" customWidth="1"/>
    <col min="16" max="16" width="16.140625" bestFit="1" customWidth="1"/>
    <col min="17" max="17" width="15" bestFit="1" customWidth="1"/>
    <col min="18" max="18" width="17.28515625" bestFit="1" customWidth="1"/>
    <col min="19" max="19" width="15.28515625" bestFit="1" customWidth="1"/>
    <col min="20" max="20" width="15" bestFit="1" customWidth="1"/>
    <col min="21" max="21" width="17.28515625" bestFit="1" customWidth="1"/>
    <col min="22" max="22" width="15.28515625" bestFit="1" customWidth="1"/>
    <col min="23" max="23" width="15" bestFit="1" customWidth="1"/>
    <col min="24" max="24" width="22.28515625" bestFit="1" customWidth="1"/>
    <col min="25" max="25" width="20.28515625" bestFit="1" customWidth="1"/>
    <col min="26" max="26" width="20" bestFit="1" customWidth="1"/>
  </cols>
  <sheetData>
    <row r="1" spans="1:17" x14ac:dyDescent="0.25">
      <c r="A1" s="718" t="s">
        <v>1</v>
      </c>
      <c r="B1" t="s">
        <v>23</v>
      </c>
    </row>
    <row r="3" spans="1:17" x14ac:dyDescent="0.25">
      <c r="A3" s="718" t="s">
        <v>157</v>
      </c>
      <c r="B3" s="718" t="s">
        <v>158</v>
      </c>
    </row>
    <row r="4" spans="1:17" x14ac:dyDescent="0.25">
      <c r="A4" s="718" t="s">
        <v>149</v>
      </c>
      <c r="B4" t="s">
        <v>8</v>
      </c>
      <c r="C4" t="s">
        <v>9</v>
      </c>
      <c r="D4" t="s">
        <v>10</v>
      </c>
      <c r="E4" t="s">
        <v>11</v>
      </c>
      <c r="F4" t="s">
        <v>150</v>
      </c>
      <c r="H4" t="s">
        <v>56</v>
      </c>
      <c r="I4" t="s">
        <v>159</v>
      </c>
      <c r="L4" s="1" t="s">
        <v>8</v>
      </c>
      <c r="M4" s="1" t="s">
        <v>9</v>
      </c>
      <c r="N4" s="1" t="s">
        <v>10</v>
      </c>
      <c r="O4" s="1" t="s">
        <v>11</v>
      </c>
      <c r="P4" s="1" t="s">
        <v>150</v>
      </c>
    </row>
    <row r="5" spans="1:17" x14ac:dyDescent="0.25">
      <c r="A5" s="719" t="s">
        <v>62</v>
      </c>
      <c r="B5" s="725">
        <v>1525.64</v>
      </c>
      <c r="C5" s="725">
        <v>44679.460000000006</v>
      </c>
      <c r="D5" s="725">
        <v>7673.518</v>
      </c>
      <c r="E5" s="725">
        <v>8211.6899999999987</v>
      </c>
      <c r="F5" s="725">
        <v>62090.308000000005</v>
      </c>
      <c r="H5" t="s">
        <v>58</v>
      </c>
      <c r="I5" s="717">
        <f t="shared" ref="I5:I10" si="0">GETPIVOTDATA("Valeur",$A$3,"Secteur",$H5)</f>
        <v>10615804.764999993</v>
      </c>
      <c r="K5" s="1" t="s">
        <v>159</v>
      </c>
      <c r="L5" s="732">
        <f>GETPIVOTDATA("Valeur",$A$3,"Mois",L$4)</f>
        <v>2639910.3059999999</v>
      </c>
      <c r="M5" s="732">
        <f t="shared" ref="M5:O5" si="1">GETPIVOTDATA("Valeur",$A$3,"Mois",M$4)</f>
        <v>5546038.612999999</v>
      </c>
      <c r="N5" s="732">
        <f t="shared" si="1"/>
        <v>6771803.0269999988</v>
      </c>
      <c r="O5" s="732">
        <f t="shared" si="1"/>
        <v>8692284.6019999962</v>
      </c>
      <c r="P5" s="732">
        <f>SUM(L5:O5)</f>
        <v>23650036.547999993</v>
      </c>
    </row>
    <row r="6" spans="1:17" x14ac:dyDescent="0.25">
      <c r="A6" s="719" t="s">
        <v>64</v>
      </c>
      <c r="B6" s="725">
        <v>9585.8080000000009</v>
      </c>
      <c r="C6" s="725">
        <v>10358.508</v>
      </c>
      <c r="D6" s="725">
        <v>98023.623999999996</v>
      </c>
      <c r="E6" s="725">
        <v>8486.18</v>
      </c>
      <c r="F6" s="725">
        <v>126454.12</v>
      </c>
      <c r="H6" t="s">
        <v>63</v>
      </c>
      <c r="I6" s="717">
        <f t="shared" si="0"/>
        <v>7590329.6030000001</v>
      </c>
    </row>
    <row r="7" spans="1:17" x14ac:dyDescent="0.25">
      <c r="A7" s="719" t="s">
        <v>61</v>
      </c>
      <c r="B7" s="725">
        <v>41268.627</v>
      </c>
      <c r="C7" s="725">
        <v>672140.12800000003</v>
      </c>
      <c r="D7" s="725">
        <v>337187.87699999998</v>
      </c>
      <c r="E7" s="725">
        <v>418530.57799999998</v>
      </c>
      <c r="F7" s="725">
        <v>1469127.21</v>
      </c>
      <c r="H7" t="s">
        <v>65</v>
      </c>
      <c r="I7" s="717">
        <f t="shared" si="0"/>
        <v>3786230.5419999994</v>
      </c>
      <c r="K7" s="718" t="s">
        <v>149</v>
      </c>
      <c r="L7" t="s">
        <v>152</v>
      </c>
      <c r="M7" t="s">
        <v>153</v>
      </c>
      <c r="N7" t="s">
        <v>154</v>
      </c>
      <c r="O7" t="s">
        <v>155</v>
      </c>
      <c r="P7" s="1" t="s">
        <v>28</v>
      </c>
    </row>
    <row r="8" spans="1:17" x14ac:dyDescent="0.25">
      <c r="A8" s="719" t="s">
        <v>65</v>
      </c>
      <c r="B8" s="725">
        <v>630084.93000000005</v>
      </c>
      <c r="C8" s="725">
        <v>1994626.0679999997</v>
      </c>
      <c r="D8" s="725">
        <v>952058.41399999999</v>
      </c>
      <c r="E8" s="725">
        <v>209461.13</v>
      </c>
      <c r="F8" s="725">
        <v>3786230.5419999994</v>
      </c>
      <c r="H8" t="s">
        <v>61</v>
      </c>
      <c r="I8" s="717">
        <f t="shared" si="0"/>
        <v>1469127.21</v>
      </c>
      <c r="K8" s="719" t="s">
        <v>142</v>
      </c>
      <c r="L8" s="722">
        <v>1.0798778315777722</v>
      </c>
      <c r="M8" s="722">
        <v>0.46464189222259961</v>
      </c>
      <c r="N8" s="722">
        <v>-0.40598124377939976</v>
      </c>
      <c r="O8" s="722">
        <v>-0.34722428629664748</v>
      </c>
      <c r="P8" s="729">
        <f>SUM(L8:O8)</f>
        <v>0.79131419372432465</v>
      </c>
      <c r="Q8" s="722">
        <f>1-P8</f>
        <v>0.20868580627567535</v>
      </c>
    </row>
    <row r="9" spans="1:17" x14ac:dyDescent="0.25">
      <c r="A9" s="719" t="s">
        <v>63</v>
      </c>
      <c r="B9" s="725">
        <v>1109775.953</v>
      </c>
      <c r="C9" s="725">
        <v>2040602.8209999993</v>
      </c>
      <c r="D9" s="725">
        <v>2485211.7800000012</v>
      </c>
      <c r="E9" s="725">
        <v>1954739.0489999999</v>
      </c>
      <c r="F9" s="725">
        <v>7590329.6030000001</v>
      </c>
      <c r="H9" t="s">
        <v>64</v>
      </c>
      <c r="I9" s="717">
        <f t="shared" si="0"/>
        <v>126454.12</v>
      </c>
      <c r="K9" s="719" t="s">
        <v>150</v>
      </c>
      <c r="L9" s="723">
        <v>1.0798778315777722</v>
      </c>
      <c r="M9" s="723">
        <v>0.46464189222259961</v>
      </c>
      <c r="N9" s="723">
        <v>-0.40598124377939976</v>
      </c>
      <c r="O9" s="723">
        <v>-0.34722428629664748</v>
      </c>
    </row>
    <row r="10" spans="1:17" x14ac:dyDescent="0.25">
      <c r="A10" s="719" t="s">
        <v>58</v>
      </c>
      <c r="B10" s="725">
        <v>847669.34800000011</v>
      </c>
      <c r="C10" s="725">
        <v>783631.62799999991</v>
      </c>
      <c r="D10" s="725">
        <v>2891647.8139999979</v>
      </c>
      <c r="E10" s="725">
        <v>6092855.9749999959</v>
      </c>
      <c r="F10" s="725">
        <v>10615804.764999993</v>
      </c>
      <c r="H10" t="s">
        <v>62</v>
      </c>
      <c r="I10" s="717">
        <f t="shared" si="0"/>
        <v>62090.308000000005</v>
      </c>
    </row>
    <row r="11" spans="1:17" x14ac:dyDescent="0.25">
      <c r="A11" s="719" t="s">
        <v>150</v>
      </c>
      <c r="B11" s="725">
        <v>2639910.3059999999</v>
      </c>
      <c r="C11" s="725">
        <v>5546038.612999999</v>
      </c>
      <c r="D11" s="725">
        <v>6771803.0269999988</v>
      </c>
      <c r="E11" s="725">
        <v>8692284.6019999962</v>
      </c>
      <c r="F11" s="725">
        <v>23650036.547999993</v>
      </c>
    </row>
    <row r="14" spans="1:17" x14ac:dyDescent="0.25">
      <c r="A14" s="718" t="s">
        <v>1</v>
      </c>
      <c r="B14" t="s">
        <v>6</v>
      </c>
    </row>
    <row r="16" spans="1:17" x14ac:dyDescent="0.25">
      <c r="A16" s="718" t="s">
        <v>149</v>
      </c>
      <c r="B16" t="s">
        <v>161</v>
      </c>
    </row>
    <row r="17" spans="1:12" x14ac:dyDescent="0.25">
      <c r="A17" s="719" t="s">
        <v>58</v>
      </c>
      <c r="B17" s="729">
        <v>0.84402464569732571</v>
      </c>
    </row>
    <row r="18" spans="1:12" x14ac:dyDescent="0.25">
      <c r="A18" s="719" t="s">
        <v>63</v>
      </c>
      <c r="B18" s="729">
        <v>0.82095581973263987</v>
      </c>
      <c r="G18" s="724"/>
    </row>
    <row r="19" spans="1:12" x14ac:dyDescent="0.25">
      <c r="A19" s="719" t="s">
        <v>150</v>
      </c>
      <c r="B19" s="729">
        <v>0.83249023271498279</v>
      </c>
      <c r="C19" s="724">
        <f>1-GETPIVOTDATA("Valeur",$A$16)</f>
        <v>0.16750976728501721</v>
      </c>
      <c r="D19" s="818">
        <f>GETPIVOTDATA("Valeur",$A$16)</f>
        <v>0.83249023271498279</v>
      </c>
      <c r="G19" s="724"/>
    </row>
    <row r="23" spans="1:12" x14ac:dyDescent="0.25">
      <c r="A23" s="718" t="s">
        <v>1</v>
      </c>
      <c r="B23" t="s">
        <v>7</v>
      </c>
    </row>
    <row r="25" spans="1:12" x14ac:dyDescent="0.25">
      <c r="A25" s="718" t="s">
        <v>157</v>
      </c>
      <c r="B25" s="718" t="s">
        <v>158</v>
      </c>
    </row>
    <row r="26" spans="1:12" x14ac:dyDescent="0.25">
      <c r="A26" s="718" t="s">
        <v>149</v>
      </c>
      <c r="B26" t="s">
        <v>8</v>
      </c>
      <c r="C26" t="s">
        <v>9</v>
      </c>
      <c r="D26" t="s">
        <v>10</v>
      </c>
      <c r="E26" t="s">
        <v>11</v>
      </c>
      <c r="F26" t="s">
        <v>150</v>
      </c>
      <c r="H26" t="s">
        <v>149</v>
      </c>
      <c r="I26" t="s">
        <v>8</v>
      </c>
      <c r="J26" t="s">
        <v>9</v>
      </c>
      <c r="K26" t="s">
        <v>10</v>
      </c>
      <c r="L26" t="s">
        <v>11</v>
      </c>
    </row>
    <row r="27" spans="1:12" x14ac:dyDescent="0.25">
      <c r="A27" s="821" t="s">
        <v>58</v>
      </c>
      <c r="B27" s="822">
        <v>49.139291686971525</v>
      </c>
      <c r="C27" s="822">
        <v>28.489869211085701</v>
      </c>
      <c r="D27" s="822">
        <v>32.25892543524224</v>
      </c>
      <c r="E27" s="822">
        <v>32.289792672477802</v>
      </c>
      <c r="F27" s="822">
        <v>142.17787900577727</v>
      </c>
      <c r="H27" t="s">
        <v>58</v>
      </c>
      <c r="I27" s="823">
        <f>GETPIVOTDATA("Valeur",$A$25,"Secteur","Alimentaire","Mois",I$26)</f>
        <v>49.139291686971525</v>
      </c>
      <c r="J27" s="823">
        <f t="shared" ref="J27:L27" si="2">GETPIVOTDATA("Valeur",$A$25,"Secteur","Alimentaire","Mois",J$26)</f>
        <v>28.489869211085701</v>
      </c>
      <c r="K27" s="823">
        <f t="shared" si="2"/>
        <v>32.25892543524224</v>
      </c>
      <c r="L27" s="823">
        <f t="shared" si="2"/>
        <v>32.289792672477802</v>
      </c>
    </row>
    <row r="28" spans="1:12" x14ac:dyDescent="0.25">
      <c r="A28" s="821" t="s">
        <v>63</v>
      </c>
      <c r="B28" s="822">
        <v>60.900106389826796</v>
      </c>
      <c r="C28" s="822">
        <v>28.694546361788721</v>
      </c>
      <c r="D28" s="822">
        <v>32.992700322434246</v>
      </c>
      <c r="E28" s="822">
        <v>31.142086869266347</v>
      </c>
      <c r="F28" s="822">
        <v>153.72943994331609</v>
      </c>
      <c r="H28" t="s">
        <v>63</v>
      </c>
      <c r="I28" s="823">
        <f>GETPIVOTDATA("Valeur",$A$25,"Secteur",$H$28,"Mois",I$26)</f>
        <v>60.900106389826796</v>
      </c>
      <c r="J28" s="823">
        <f t="shared" ref="J28:L28" si="3">GETPIVOTDATA("Valeur",$A$25,"Secteur",$H$28,"Mois",J$26)</f>
        <v>28.694546361788721</v>
      </c>
      <c r="K28" s="823">
        <f t="shared" si="3"/>
        <v>32.992700322434246</v>
      </c>
      <c r="L28" s="823">
        <f t="shared" si="3"/>
        <v>31.142086869266347</v>
      </c>
    </row>
    <row r="29" spans="1:12" x14ac:dyDescent="0.25">
      <c r="A29" s="821" t="s">
        <v>150</v>
      </c>
      <c r="B29" s="822">
        <v>110.03939807679832</v>
      </c>
      <c r="C29" s="822">
        <v>57.184415572874421</v>
      </c>
      <c r="D29" s="822">
        <v>65.251625757676493</v>
      </c>
      <c r="E29" s="822">
        <v>63.431879541744152</v>
      </c>
      <c r="F29" s="822">
        <v>295.90731894909334</v>
      </c>
    </row>
    <row r="32" spans="1:12" x14ac:dyDescent="0.25">
      <c r="A32" s="718" t="s">
        <v>1</v>
      </c>
      <c r="B32" t="s">
        <v>5</v>
      </c>
    </row>
    <row r="34" spans="1:12" x14ac:dyDescent="0.25">
      <c r="A34" s="718" t="s">
        <v>157</v>
      </c>
      <c r="B34" s="718" t="s">
        <v>156</v>
      </c>
    </row>
    <row r="35" spans="1:12" x14ac:dyDescent="0.25">
      <c r="A35" s="718" t="s">
        <v>149</v>
      </c>
      <c r="B35" t="s">
        <v>8</v>
      </c>
      <c r="C35" t="s">
        <v>9</v>
      </c>
      <c r="D35" t="s">
        <v>10</v>
      </c>
      <c r="E35" t="s">
        <v>11</v>
      </c>
      <c r="F35" t="s">
        <v>150</v>
      </c>
      <c r="H35" t="s">
        <v>149</v>
      </c>
      <c r="I35" t="s">
        <v>8</v>
      </c>
      <c r="J35" t="s">
        <v>9</v>
      </c>
      <c r="K35" t="s">
        <v>10</v>
      </c>
      <c r="L35" t="s">
        <v>11</v>
      </c>
    </row>
    <row r="36" spans="1:12" x14ac:dyDescent="0.25">
      <c r="A36" s="719" t="s">
        <v>58</v>
      </c>
      <c r="B36" s="725">
        <v>27.724986025712688</v>
      </c>
      <c r="C36" s="725">
        <v>24.552350427350429</v>
      </c>
      <c r="D36" s="725">
        <v>24.826439232409381</v>
      </c>
      <c r="E36" s="725">
        <v>21.927986906710313</v>
      </c>
      <c r="F36" s="725">
        <v>99.031762592182815</v>
      </c>
      <c r="H36" t="s">
        <v>58</v>
      </c>
      <c r="I36" s="823">
        <f>GETPIVOTDATA("Valeur",$A$34,"Secteur",$H36,"Mois",I$35)</f>
        <v>27.724986025712688</v>
      </c>
      <c r="J36" s="823">
        <f t="shared" ref="J36:L37" si="4">GETPIVOTDATA("Valeur",$A$34,"Secteur",$H36,"Mois",J$35)</f>
        <v>24.552350427350429</v>
      </c>
      <c r="K36" s="823">
        <f t="shared" si="4"/>
        <v>24.826439232409381</v>
      </c>
      <c r="L36" s="823">
        <f t="shared" si="4"/>
        <v>21.927986906710313</v>
      </c>
    </row>
    <row r="37" spans="1:12" x14ac:dyDescent="0.25">
      <c r="A37" s="719" t="s">
        <v>63</v>
      </c>
      <c r="B37" s="725">
        <v>30.058956347215251</v>
      </c>
      <c r="C37" s="725">
        <v>26.653968253968255</v>
      </c>
      <c r="D37" s="725">
        <v>31.04936305732484</v>
      </c>
      <c r="E37" s="725">
        <v>30.320631970260223</v>
      </c>
      <c r="F37" s="725">
        <v>118.08291962876856</v>
      </c>
      <c r="H37" t="s">
        <v>63</v>
      </c>
      <c r="I37" s="823">
        <f>GETPIVOTDATA("Valeur",$A$34,"Secteur",$H37,"Mois",I$35)</f>
        <v>30.058956347215251</v>
      </c>
      <c r="J37" s="823">
        <f t="shared" si="4"/>
        <v>26.653968253968255</v>
      </c>
      <c r="K37" s="823">
        <f t="shared" si="4"/>
        <v>31.04936305732484</v>
      </c>
      <c r="L37" s="823">
        <f t="shared" si="4"/>
        <v>30.320631970260223</v>
      </c>
    </row>
    <row r="38" spans="1:12" x14ac:dyDescent="0.25">
      <c r="A38" s="719" t="s">
        <v>150</v>
      </c>
      <c r="B38" s="725">
        <v>57.783942372927939</v>
      </c>
      <c r="C38" s="725">
        <v>51.206318681318685</v>
      </c>
      <c r="D38" s="725">
        <v>55.875802289734224</v>
      </c>
      <c r="E38" s="725">
        <v>52.248618876970539</v>
      </c>
      <c r="F38" s="725">
        <v>217.11468222095138</v>
      </c>
    </row>
    <row r="41" spans="1:12" x14ac:dyDescent="0.25">
      <c r="A41" s="718" t="s">
        <v>1</v>
      </c>
      <c r="B41" t="s">
        <v>3</v>
      </c>
    </row>
    <row r="43" spans="1:12" x14ac:dyDescent="0.25">
      <c r="A43" s="718" t="s">
        <v>157</v>
      </c>
      <c r="B43" s="718" t="s">
        <v>158</v>
      </c>
    </row>
    <row r="44" spans="1:12" x14ac:dyDescent="0.25">
      <c r="A44" s="718" t="s">
        <v>149</v>
      </c>
      <c r="B44" t="s">
        <v>8</v>
      </c>
      <c r="C44" t="s">
        <v>9</v>
      </c>
      <c r="D44" t="s">
        <v>10</v>
      </c>
      <c r="E44" t="s">
        <v>11</v>
      </c>
      <c r="F44" t="s">
        <v>150</v>
      </c>
    </row>
    <row r="45" spans="1:12" x14ac:dyDescent="0.25">
      <c r="A45" s="719" t="s">
        <v>58</v>
      </c>
      <c r="B45" s="722">
        <v>0.41318159241947794</v>
      </c>
      <c r="C45" s="722">
        <v>0.1743085517503454</v>
      </c>
      <c r="D45" s="722">
        <v>0.18386030535905762</v>
      </c>
      <c r="E45" s="722">
        <v>0.43071902610845325</v>
      </c>
      <c r="F45" s="722">
        <v>1.2020694756373342</v>
      </c>
    </row>
    <row r="46" spans="1:12" x14ac:dyDescent="0.25">
      <c r="A46" s="719" t="s">
        <v>61</v>
      </c>
      <c r="B46" s="722">
        <v>1</v>
      </c>
      <c r="C46" s="722">
        <v>1</v>
      </c>
      <c r="D46" s="722">
        <v>0.48556828169782612</v>
      </c>
      <c r="E46" s="722">
        <v>0.78373476827633048</v>
      </c>
      <c r="F46" s="722">
        <v>3.2693030499741567</v>
      </c>
    </row>
    <row r="47" spans="1:12" x14ac:dyDescent="0.25">
      <c r="A47" s="719" t="s">
        <v>62</v>
      </c>
      <c r="B47" s="722">
        <v>1</v>
      </c>
      <c r="C47" s="722">
        <v>0.68244568782749759</v>
      </c>
      <c r="D47" s="722">
        <v>0.40340148340301929</v>
      </c>
      <c r="E47" s="722">
        <v>1</v>
      </c>
      <c r="F47" s="722">
        <v>3.0858471712305171</v>
      </c>
    </row>
    <row r="48" spans="1:12" x14ac:dyDescent="0.25">
      <c r="A48" s="719" t="s">
        <v>63</v>
      </c>
      <c r="B48" s="722">
        <v>1</v>
      </c>
      <c r="C48" s="722">
        <v>0.68244568782749759</v>
      </c>
      <c r="D48" s="722">
        <v>0.40340148340301929</v>
      </c>
      <c r="E48" s="722">
        <v>1</v>
      </c>
      <c r="F48" s="722">
        <v>3.0858471712305171</v>
      </c>
    </row>
    <row r="49" spans="1:6" x14ac:dyDescent="0.25">
      <c r="A49" s="719" t="s">
        <v>65</v>
      </c>
      <c r="B49" s="722">
        <v>0.67547542677355288</v>
      </c>
      <c r="C49" s="722">
        <v>0.80399191924413327</v>
      </c>
      <c r="D49" s="722">
        <v>0.5230638051554698</v>
      </c>
      <c r="E49" s="722">
        <v>0.21078173306563269</v>
      </c>
      <c r="F49" s="722">
        <v>2.2133128842387886</v>
      </c>
    </row>
    <row r="50" spans="1:6" x14ac:dyDescent="0.25">
      <c r="A50" s="719" t="s">
        <v>150</v>
      </c>
      <c r="B50" s="722">
        <v>4.0886570191930307</v>
      </c>
      <c r="C50" s="722">
        <v>3.3431918466494737</v>
      </c>
      <c r="D50" s="722">
        <v>1.9992953590183919</v>
      </c>
      <c r="E50" s="722">
        <v>3.425235527450416</v>
      </c>
      <c r="F50" s="722">
        <v>12.856379752311314</v>
      </c>
    </row>
    <row r="53" spans="1:6" x14ac:dyDescent="0.25">
      <c r="A53" s="718" t="s">
        <v>1</v>
      </c>
      <c r="B53" t="s">
        <v>2</v>
      </c>
    </row>
    <row r="55" spans="1:6" x14ac:dyDescent="0.25">
      <c r="A55" s="718" t="s">
        <v>157</v>
      </c>
      <c r="B55" s="718" t="s">
        <v>156</v>
      </c>
    </row>
    <row r="56" spans="1:6" x14ac:dyDescent="0.25">
      <c r="A56" s="718" t="s">
        <v>149</v>
      </c>
      <c r="B56" t="s">
        <v>8</v>
      </c>
      <c r="C56" t="s">
        <v>9</v>
      </c>
      <c r="D56" t="s">
        <v>10</v>
      </c>
      <c r="E56" t="s">
        <v>11</v>
      </c>
      <c r="F56" t="s">
        <v>150</v>
      </c>
    </row>
    <row r="57" spans="1:6" x14ac:dyDescent="0.25">
      <c r="A57" s="719" t="s">
        <v>58</v>
      </c>
      <c r="B57" s="722">
        <v>0.37600267557817052</v>
      </c>
      <c r="C57" s="722">
        <v>0.11794437996776497</v>
      </c>
      <c r="D57" s="722">
        <v>0.28183796995369825</v>
      </c>
      <c r="E57" s="722">
        <v>0.48663250257994023</v>
      </c>
      <c r="F57" s="722">
        <v>1.262417528079574</v>
      </c>
    </row>
    <row r="58" spans="1:6" x14ac:dyDescent="0.25">
      <c r="A58" s="719" t="s">
        <v>61</v>
      </c>
      <c r="B58" s="722">
        <v>1</v>
      </c>
      <c r="C58" s="722">
        <v>1</v>
      </c>
      <c r="D58" s="722">
        <v>8.9462288036555482E-2</v>
      </c>
      <c r="E58" s="722">
        <v>0.83019080482493401</v>
      </c>
      <c r="F58" s="722">
        <v>2.9196530928614894</v>
      </c>
    </row>
    <row r="59" spans="1:6" x14ac:dyDescent="0.25">
      <c r="A59" s="719" t="s">
        <v>62</v>
      </c>
      <c r="B59" s="722">
        <v>1</v>
      </c>
      <c r="C59" s="722">
        <v>0.94964150325741015</v>
      </c>
      <c r="D59" s="722">
        <v>0.92061521800466295</v>
      </c>
      <c r="E59" s="722">
        <v>1</v>
      </c>
      <c r="F59" s="722">
        <v>3.8702567212620731</v>
      </c>
    </row>
    <row r="60" spans="1:6" x14ac:dyDescent="0.25">
      <c r="A60" s="719" t="s">
        <v>63</v>
      </c>
      <c r="B60" s="722">
        <v>0.40693104169206823</v>
      </c>
      <c r="C60" s="722">
        <v>0.5750090096858046</v>
      </c>
      <c r="D60" s="722">
        <v>1</v>
      </c>
      <c r="E60" s="722">
        <v>0.36723417271239239</v>
      </c>
      <c r="F60" s="722">
        <v>2.3491742240902651</v>
      </c>
    </row>
    <row r="61" spans="1:6" x14ac:dyDescent="0.25">
      <c r="A61" s="719" t="s">
        <v>65</v>
      </c>
      <c r="B61" s="722">
        <v>0.78972382322442924</v>
      </c>
      <c r="C61" s="722">
        <v>0.91184385910576471</v>
      </c>
      <c r="D61" s="722">
        <v>0.36008397199999381</v>
      </c>
      <c r="E61" s="722">
        <v>0.51250282358197452</v>
      </c>
      <c r="F61" s="722">
        <v>2.5741544779121623</v>
      </c>
    </row>
    <row r="62" spans="1:6" x14ac:dyDescent="0.25">
      <c r="A62" s="719" t="s">
        <v>150</v>
      </c>
      <c r="B62" s="722">
        <v>3.5726575404946681</v>
      </c>
      <c r="C62" s="722">
        <v>3.5544387520167442</v>
      </c>
      <c r="D62" s="722">
        <v>2.6519994479949105</v>
      </c>
      <c r="E62" s="722">
        <v>3.1965603036992412</v>
      </c>
      <c r="F62" s="722">
        <v>12.975656044205564</v>
      </c>
    </row>
    <row r="65" spans="1:9" x14ac:dyDescent="0.25">
      <c r="A65" s="718" t="s">
        <v>1</v>
      </c>
      <c r="B65" t="s">
        <v>0</v>
      </c>
    </row>
    <row r="67" spans="1:9" x14ac:dyDescent="0.25">
      <c r="A67" s="718" t="s">
        <v>157</v>
      </c>
      <c r="B67" s="718" t="s">
        <v>158</v>
      </c>
    </row>
    <row r="68" spans="1:9" x14ac:dyDescent="0.25">
      <c r="A68" s="718" t="s">
        <v>149</v>
      </c>
      <c r="B68" t="s">
        <v>8</v>
      </c>
      <c r="C68" t="s">
        <v>9</v>
      </c>
      <c r="D68" t="s">
        <v>10</v>
      </c>
      <c r="E68" t="s">
        <v>11</v>
      </c>
      <c r="F68" t="s">
        <v>150</v>
      </c>
    </row>
    <row r="69" spans="1:9" x14ac:dyDescent="0.25">
      <c r="A69" s="719" t="s">
        <v>29</v>
      </c>
      <c r="B69" s="722">
        <v>4.7263893698938346E-2</v>
      </c>
      <c r="C69" s="722">
        <v>3.5636457261683581E-2</v>
      </c>
      <c r="D69" s="722">
        <v>2.9838229955779328E-2</v>
      </c>
      <c r="E69" s="722">
        <v>0.14637514817393255</v>
      </c>
      <c r="F69" s="722">
        <v>0.25911372909033381</v>
      </c>
    </row>
    <row r="70" spans="1:9" x14ac:dyDescent="0.25">
      <c r="A70" s="719" t="s">
        <v>52</v>
      </c>
      <c r="B70" s="722">
        <v>4.8195273415699028E-2</v>
      </c>
      <c r="C70" s="722">
        <v>1.6626313367778262E-4</v>
      </c>
      <c r="D70" s="722">
        <v>2.196424346207057E-4</v>
      </c>
      <c r="E70" s="722">
        <v>2.9089281718506278E-3</v>
      </c>
      <c r="F70" s="722">
        <v>5.1490107155848147E-2</v>
      </c>
    </row>
    <row r="71" spans="1:9" x14ac:dyDescent="0.25">
      <c r="A71" s="719" t="s">
        <v>36</v>
      </c>
      <c r="B71" s="722">
        <v>3.7046571654618998E-2</v>
      </c>
      <c r="C71" s="722">
        <v>8.8330894375903218E-2</v>
      </c>
      <c r="D71" s="722">
        <v>2.9765803661432423E-2</v>
      </c>
      <c r="E71" s="722">
        <v>2.3294732909973852E-2</v>
      </c>
      <c r="F71" s="722">
        <v>0.17843800260192849</v>
      </c>
    </row>
    <row r="72" spans="1:9" x14ac:dyDescent="0.25">
      <c r="A72" s="719" t="s">
        <v>46</v>
      </c>
      <c r="B72" s="722">
        <v>4.5404588260298277E-3</v>
      </c>
      <c r="C72" s="722">
        <v>8.2933505959798988E-3</v>
      </c>
      <c r="D72" s="722">
        <v>2.8695879285214796E-3</v>
      </c>
      <c r="E72" s="722">
        <v>3.1538340468663748E-3</v>
      </c>
      <c r="F72" s="722">
        <v>1.8857231397397582E-2</v>
      </c>
    </row>
    <row r="73" spans="1:9" x14ac:dyDescent="0.25">
      <c r="A73" s="719" t="s">
        <v>53</v>
      </c>
      <c r="B73" s="722">
        <v>2.0057550783051596E-2</v>
      </c>
      <c r="C73" s="722">
        <v>2.4467479668969394E-2</v>
      </c>
      <c r="D73" s="722">
        <v>2.1535258672101699E-2</v>
      </c>
      <c r="E73" s="722">
        <v>0.16194634337054428</v>
      </c>
      <c r="F73" s="722">
        <v>0.22800663249466696</v>
      </c>
    </row>
    <row r="74" spans="1:9" x14ac:dyDescent="0.25">
      <c r="A74" s="719" t="s">
        <v>150</v>
      </c>
      <c r="B74" s="722">
        <v>0.15710374837833779</v>
      </c>
      <c r="C74" s="722">
        <v>0.15689444503621389</v>
      </c>
      <c r="D74" s="722">
        <v>8.4228522652455631E-2</v>
      </c>
      <c r="E74" s="722">
        <v>0.33767898667316765</v>
      </c>
      <c r="F74" s="722">
        <v>0.73590570274017497</v>
      </c>
    </row>
    <row r="77" spans="1:9" x14ac:dyDescent="0.25">
      <c r="A77" s="718" t="s">
        <v>1</v>
      </c>
      <c r="B77" t="s">
        <v>160</v>
      </c>
    </row>
    <row r="79" spans="1:9" x14ac:dyDescent="0.25">
      <c r="A79" s="718" t="s">
        <v>157</v>
      </c>
      <c r="B79" s="718" t="s">
        <v>158</v>
      </c>
    </row>
    <row r="80" spans="1:9" x14ac:dyDescent="0.25">
      <c r="A80" s="718" t="s">
        <v>149</v>
      </c>
      <c r="B80" t="s">
        <v>8</v>
      </c>
      <c r="C80" t="s">
        <v>9</v>
      </c>
      <c r="D80" t="s">
        <v>10</v>
      </c>
      <c r="E80" t="s">
        <v>11</v>
      </c>
      <c r="F80" t="s">
        <v>150</v>
      </c>
      <c r="H80" t="s">
        <v>149</v>
      </c>
      <c r="I80" t="s">
        <v>28</v>
      </c>
    </row>
    <row r="81" spans="1:9" x14ac:dyDescent="0.25">
      <c r="A81" s="719" t="s">
        <v>58</v>
      </c>
      <c r="B81" s="737">
        <v>191004</v>
      </c>
      <c r="C81" s="737">
        <v>384075</v>
      </c>
      <c r="D81" s="737">
        <v>5812633</v>
      </c>
      <c r="E81" s="737">
        <v>10320986</v>
      </c>
      <c r="F81" s="737">
        <v>16708698</v>
      </c>
      <c r="H81" t="s">
        <v>58</v>
      </c>
      <c r="I81">
        <f>GETPIVOTDATA("Valeur",$A$79,"Secteur",$H81)</f>
        <v>16708698</v>
      </c>
    </row>
    <row r="82" spans="1:9" x14ac:dyDescent="0.25">
      <c r="A82" s="719" t="s">
        <v>61</v>
      </c>
      <c r="B82" s="737">
        <v>771645</v>
      </c>
      <c r="C82" s="737">
        <v>363715</v>
      </c>
      <c r="D82" s="737">
        <v>50616</v>
      </c>
      <c r="E82" s="737">
        <v>386619</v>
      </c>
      <c r="F82" s="737">
        <v>1572595</v>
      </c>
      <c r="H82" t="s">
        <v>61</v>
      </c>
      <c r="I82">
        <f t="shared" ref="I82:I85" si="5">GETPIVOTDATA("Valeur",$A$79,"Secteur",$H82)</f>
        <v>1572595</v>
      </c>
    </row>
    <row r="83" spans="1:9" x14ac:dyDescent="0.25">
      <c r="A83" s="719" t="s">
        <v>62</v>
      </c>
      <c r="B83" s="737">
        <v>125224</v>
      </c>
      <c r="C83" s="737">
        <v>335048</v>
      </c>
      <c r="D83" s="737">
        <v>428744</v>
      </c>
      <c r="E83" s="737">
        <v>45178</v>
      </c>
      <c r="F83" s="737">
        <v>934194</v>
      </c>
      <c r="H83" t="s">
        <v>62</v>
      </c>
      <c r="I83">
        <f t="shared" si="5"/>
        <v>934194</v>
      </c>
    </row>
    <row r="84" spans="1:9" x14ac:dyDescent="0.25">
      <c r="A84" s="719" t="s">
        <v>63</v>
      </c>
      <c r="B84" s="737">
        <v>661040</v>
      </c>
      <c r="C84" s="737">
        <v>719519</v>
      </c>
      <c r="D84" s="737">
        <v>900749</v>
      </c>
      <c r="E84" s="737">
        <v>528824</v>
      </c>
      <c r="F84" s="737">
        <v>2810132</v>
      </c>
      <c r="H84" t="s">
        <v>63</v>
      </c>
      <c r="I84">
        <f t="shared" si="5"/>
        <v>2810132</v>
      </c>
    </row>
    <row r="85" spans="1:9" x14ac:dyDescent="0.25">
      <c r="A85" s="719" t="s">
        <v>65</v>
      </c>
      <c r="B85" s="737">
        <v>2302927</v>
      </c>
      <c r="C85" s="737">
        <v>3510532</v>
      </c>
      <c r="D85" s="737">
        <v>815054</v>
      </c>
      <c r="E85" s="737">
        <v>1422601</v>
      </c>
      <c r="F85" s="737">
        <v>8051114</v>
      </c>
      <c r="H85" t="s">
        <v>65</v>
      </c>
      <c r="I85">
        <f t="shared" si="5"/>
        <v>8051114</v>
      </c>
    </row>
    <row r="86" spans="1:9" x14ac:dyDescent="0.25">
      <c r="A86" s="719" t="s">
        <v>150</v>
      </c>
      <c r="B86" s="737">
        <v>4051840</v>
      </c>
      <c r="C86" s="737">
        <v>5312889</v>
      </c>
      <c r="D86" s="737">
        <v>8007796</v>
      </c>
      <c r="E86" s="737">
        <v>12704208</v>
      </c>
      <c r="F86" s="737">
        <v>30076733</v>
      </c>
    </row>
    <row r="88" spans="1:9" x14ac:dyDescent="0.25">
      <c r="A88" s="718" t="s">
        <v>1</v>
      </c>
      <c r="B88" t="s">
        <v>147</v>
      </c>
    </row>
    <row r="90" spans="1:9" x14ac:dyDescent="0.25">
      <c r="A90" s="718" t="s">
        <v>149</v>
      </c>
      <c r="B90" t="s">
        <v>161</v>
      </c>
    </row>
    <row r="91" spans="1:9" x14ac:dyDescent="0.25">
      <c r="A91" s="719" t="s">
        <v>58</v>
      </c>
      <c r="B91" s="843">
        <v>0.87593143696222364</v>
      </c>
      <c r="C91" s="820">
        <f>1-GETPIVOTDATA("Valeur",$A$90,"Secteur","Alimentaire")</f>
        <v>0.12406856303777636</v>
      </c>
      <c r="D91" s="726">
        <f>GETPIVOTDATA("Valeur",$A$90)</f>
        <v>0.86143494955778444</v>
      </c>
    </row>
    <row r="92" spans="1:9" x14ac:dyDescent="0.25">
      <c r="A92" s="719" t="s">
        <v>63</v>
      </c>
      <c r="B92" s="843">
        <v>0.84693846215334545</v>
      </c>
    </row>
    <row r="93" spans="1:9" x14ac:dyDescent="0.25">
      <c r="A93" s="719" t="s">
        <v>150</v>
      </c>
      <c r="B93" s="843">
        <v>0.86143494955778444</v>
      </c>
    </row>
    <row r="97" spans="1:4" x14ac:dyDescent="0.25">
      <c r="A97" s="718" t="s">
        <v>1</v>
      </c>
      <c r="B97" t="s">
        <v>146</v>
      </c>
    </row>
    <row r="99" spans="1:4" x14ac:dyDescent="0.25">
      <c r="A99" s="718" t="s">
        <v>149</v>
      </c>
      <c r="B99" t="s">
        <v>161</v>
      </c>
    </row>
    <row r="100" spans="1:4" x14ac:dyDescent="0.25">
      <c r="A100" s="719" t="s">
        <v>58</v>
      </c>
      <c r="B100" s="824">
        <v>1.2188321969530518</v>
      </c>
      <c r="C100" s="819">
        <f>1-GETPIVOTDATA("Valeur",$A$99,"Secteur","Alimentaire")</f>
        <v>-0.21883219695305178</v>
      </c>
      <c r="D100" s="820">
        <f>GETPIVOTDATA("Valeur",$A$99)</f>
        <v>1.1181213857411716</v>
      </c>
    </row>
    <row r="101" spans="1:4" x14ac:dyDescent="0.25">
      <c r="A101" s="719" t="s">
        <v>63</v>
      </c>
      <c r="B101" s="824">
        <v>1.0174105745292914</v>
      </c>
    </row>
    <row r="102" spans="1:4" x14ac:dyDescent="0.25">
      <c r="A102" s="719" t="s">
        <v>150</v>
      </c>
      <c r="B102" s="824">
        <v>1.1181213857411716</v>
      </c>
    </row>
    <row r="105" spans="1:4" x14ac:dyDescent="0.25">
      <c r="A105" s="718" t="s">
        <v>1</v>
      </c>
      <c r="B105" t="s">
        <v>4</v>
      </c>
    </row>
    <row r="107" spans="1:4" x14ac:dyDescent="0.25">
      <c r="A107" s="718" t="s">
        <v>149</v>
      </c>
      <c r="B107" t="s">
        <v>161</v>
      </c>
    </row>
    <row r="108" spans="1:4" x14ac:dyDescent="0.25">
      <c r="A108" s="719" t="s">
        <v>58</v>
      </c>
      <c r="B108" s="729">
        <v>0.68230421686746978</v>
      </c>
      <c r="C108" s="818">
        <f>1-GETPIVOTDATA("Valeur",$A$107,"Secteur","Alimentaire")</f>
        <v>0.31769578313253022</v>
      </c>
      <c r="D108" s="818">
        <f>GETPIVOTDATA("Valeur",$A$107)</f>
        <v>0.5319556798623063</v>
      </c>
    </row>
    <row r="109" spans="1:4" x14ac:dyDescent="0.25">
      <c r="A109" s="719" t="s">
        <v>63</v>
      </c>
      <c r="B109" s="729">
        <v>0.38160714285714281</v>
      </c>
    </row>
    <row r="110" spans="1:4" x14ac:dyDescent="0.25">
      <c r="A110" s="719" t="s">
        <v>150</v>
      </c>
      <c r="B110" s="729">
        <v>0.5319556798623063</v>
      </c>
    </row>
    <row r="113" spans="1:8" x14ac:dyDescent="0.25">
      <c r="A113" s="718" t="s">
        <v>1</v>
      </c>
      <c r="B113" t="s">
        <v>21</v>
      </c>
    </row>
    <row r="115" spans="1:8" x14ac:dyDescent="0.25">
      <c r="A115" s="718" t="s">
        <v>161</v>
      </c>
      <c r="B115" s="718" t="s">
        <v>156</v>
      </c>
    </row>
    <row r="116" spans="1:8" x14ac:dyDescent="0.25">
      <c r="A116" s="718" t="s">
        <v>149</v>
      </c>
      <c r="B116" t="s">
        <v>8</v>
      </c>
      <c r="C116" t="s">
        <v>9</v>
      </c>
      <c r="D116" t="s">
        <v>10</v>
      </c>
      <c r="E116" t="s">
        <v>11</v>
      </c>
      <c r="F116" t="s">
        <v>150</v>
      </c>
    </row>
    <row r="117" spans="1:8" x14ac:dyDescent="0.25">
      <c r="A117" s="719" t="s">
        <v>58</v>
      </c>
      <c r="B117" s="848">
        <v>0</v>
      </c>
      <c r="C117" s="848">
        <v>0</v>
      </c>
      <c r="D117" s="848">
        <v>0</v>
      </c>
      <c r="E117" s="848">
        <v>0</v>
      </c>
      <c r="F117" s="848">
        <v>0</v>
      </c>
    </row>
    <row r="118" spans="1:8" x14ac:dyDescent="0.25">
      <c r="A118" s="719" t="s">
        <v>63</v>
      </c>
      <c r="B118" s="848">
        <v>1.8404907975460124E-2</v>
      </c>
      <c r="C118" s="848">
        <v>1.11731843575419E-2</v>
      </c>
      <c r="D118" s="848">
        <v>4.4247787610619468E-3</v>
      </c>
      <c r="E118" s="848">
        <v>0</v>
      </c>
      <c r="F118" s="848">
        <v>8.5007177735159922E-3</v>
      </c>
    </row>
    <row r="119" spans="1:8" x14ac:dyDescent="0.25">
      <c r="A119" s="719" t="s">
        <v>150</v>
      </c>
      <c r="B119" s="848">
        <v>9.202453987730062E-3</v>
      </c>
      <c r="C119" s="848">
        <v>5.5865921787709499E-3</v>
      </c>
      <c r="D119" s="848">
        <v>2.2123893805309734E-3</v>
      </c>
      <c r="E119" s="848">
        <v>0</v>
      </c>
      <c r="F119" s="848">
        <v>4.2503588867579961E-3</v>
      </c>
      <c r="G119" s="850">
        <f>1-GETPIVOTDATA("Valeur",$A$115)</f>
        <v>0.99574964111324205</v>
      </c>
      <c r="H119" s="849">
        <f>GETPIVOTDATA("Valeur",$A$115)</f>
        <v>4.2503588867579961E-3</v>
      </c>
    </row>
  </sheetData>
  <sortState xmlns:xlrd2="http://schemas.microsoft.com/office/spreadsheetml/2017/richdata2" ref="H5:I10">
    <sortCondition descending="1" ref="I5:I1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39092-C797-4CD8-A8E9-576AEDF3E303}">
  <dimension ref="A1:AA161"/>
  <sheetViews>
    <sheetView topLeftCell="A145" zoomScale="80" zoomScaleNormal="80" workbookViewId="0">
      <selection activeCell="B5" sqref="B5:H6"/>
    </sheetView>
  </sheetViews>
  <sheetFormatPr baseColWidth="10" defaultRowHeight="15" x14ac:dyDescent="0.25"/>
  <cols>
    <col min="1" max="1" width="34.28515625" style="1" bestFit="1" customWidth="1"/>
    <col min="2" max="2" width="18" style="1" bestFit="1" customWidth="1"/>
    <col min="3" max="3" width="20.140625" style="1" bestFit="1" customWidth="1"/>
    <col min="4" max="4" width="12.28515625" style="1" customWidth="1"/>
    <col min="5" max="5" width="13.7109375" style="1" bestFit="1" customWidth="1"/>
    <col min="6" max="7" width="22.7109375" style="1" bestFit="1" customWidth="1"/>
    <col min="8" max="12" width="24.5703125" style="1" bestFit="1" customWidth="1"/>
    <col min="13" max="14" width="27.42578125" style="1" bestFit="1" customWidth="1"/>
    <col min="15" max="16" width="23.42578125" style="1" bestFit="1" customWidth="1"/>
    <col min="17" max="18" width="32.28515625" style="1" bestFit="1" customWidth="1"/>
    <col min="19" max="19" width="20.140625" style="1" bestFit="1" customWidth="1"/>
    <col min="20" max="23" width="16" style="1" bestFit="1" customWidth="1"/>
    <col min="24" max="25" width="34.28515625" style="1" bestFit="1" customWidth="1"/>
    <col min="26" max="27" width="22.140625" style="1" bestFit="1" customWidth="1"/>
  </cols>
  <sheetData>
    <row r="1" spans="1:5" x14ac:dyDescent="0.25">
      <c r="A1" s="1" t="s">
        <v>1</v>
      </c>
      <c r="B1" s="1" t="s">
        <v>143</v>
      </c>
      <c r="C1" s="1" t="s">
        <v>56</v>
      </c>
      <c r="D1" s="1" t="s">
        <v>148</v>
      </c>
      <c r="E1" s="1" t="s">
        <v>151</v>
      </c>
    </row>
    <row r="2" spans="1:5" x14ac:dyDescent="0.25">
      <c r="A2" s="1" t="s">
        <v>23</v>
      </c>
      <c r="B2" s="1" t="s">
        <v>145</v>
      </c>
      <c r="C2" s="1" t="s">
        <v>58</v>
      </c>
      <c r="D2" s="1" t="s">
        <v>8</v>
      </c>
      <c r="E2" s="143">
        <v>847669.34800000011</v>
      </c>
    </row>
    <row r="3" spans="1:5" x14ac:dyDescent="0.25">
      <c r="A3" s="1" t="s">
        <v>23</v>
      </c>
      <c r="B3" s="1" t="s">
        <v>145</v>
      </c>
      <c r="C3" s="1" t="s">
        <v>61</v>
      </c>
      <c r="D3" s="1" t="s">
        <v>8</v>
      </c>
      <c r="E3" s="143">
        <v>41268.627</v>
      </c>
    </row>
    <row r="4" spans="1:5" x14ac:dyDescent="0.25">
      <c r="A4" s="1" t="s">
        <v>23</v>
      </c>
      <c r="B4" s="1" t="s">
        <v>145</v>
      </c>
      <c r="C4" s="1" t="s">
        <v>62</v>
      </c>
      <c r="D4" s="1" t="s">
        <v>8</v>
      </c>
      <c r="E4" s="143">
        <v>1525.64</v>
      </c>
    </row>
    <row r="5" spans="1:5" x14ac:dyDescent="0.25">
      <c r="A5" s="1" t="s">
        <v>23</v>
      </c>
      <c r="B5" s="1" t="s">
        <v>145</v>
      </c>
      <c r="C5" s="1" t="s">
        <v>63</v>
      </c>
      <c r="D5" s="1" t="s">
        <v>8</v>
      </c>
      <c r="E5" s="143">
        <v>1109775.953</v>
      </c>
    </row>
    <row r="6" spans="1:5" x14ac:dyDescent="0.25">
      <c r="A6" s="1" t="s">
        <v>23</v>
      </c>
      <c r="B6" s="1" t="s">
        <v>145</v>
      </c>
      <c r="C6" s="1" t="s">
        <v>64</v>
      </c>
      <c r="D6" s="1" t="s">
        <v>8</v>
      </c>
      <c r="E6" s="143">
        <v>9585.8080000000009</v>
      </c>
    </row>
    <row r="7" spans="1:5" x14ac:dyDescent="0.25">
      <c r="A7" s="1" t="s">
        <v>23</v>
      </c>
      <c r="B7" s="1" t="s">
        <v>145</v>
      </c>
      <c r="C7" s="1" t="s">
        <v>65</v>
      </c>
      <c r="D7" s="1" t="s">
        <v>8</v>
      </c>
      <c r="E7" s="143">
        <v>630084.93000000005</v>
      </c>
    </row>
    <row r="8" spans="1:5" x14ac:dyDescent="0.25">
      <c r="A8" s="1" t="s">
        <v>7</v>
      </c>
      <c r="B8" s="1" t="s">
        <v>71</v>
      </c>
      <c r="C8" s="1" t="s">
        <v>58</v>
      </c>
      <c r="D8" s="1" t="s">
        <v>8</v>
      </c>
      <c r="E8" s="715">
        <v>49.139291686971525</v>
      </c>
    </row>
    <row r="9" spans="1:5" x14ac:dyDescent="0.25">
      <c r="A9" s="1" t="s">
        <v>7</v>
      </c>
      <c r="B9" s="1" t="s">
        <v>71</v>
      </c>
      <c r="C9" s="1" t="s">
        <v>63</v>
      </c>
      <c r="D9" s="1" t="s">
        <v>8</v>
      </c>
      <c r="E9" s="715">
        <v>60.900106389826796</v>
      </c>
    </row>
    <row r="10" spans="1:5" x14ac:dyDescent="0.25">
      <c r="A10" s="1" t="s">
        <v>5</v>
      </c>
      <c r="B10" s="1" t="s">
        <v>71</v>
      </c>
      <c r="C10" s="1" t="s">
        <v>58</v>
      </c>
      <c r="D10" s="1" t="s">
        <v>8</v>
      </c>
      <c r="E10" s="715">
        <v>27.724986025712688</v>
      </c>
    </row>
    <row r="11" spans="1:5" x14ac:dyDescent="0.25">
      <c r="A11" s="1" t="s">
        <v>5</v>
      </c>
      <c r="B11" s="1" t="s">
        <v>71</v>
      </c>
      <c r="C11" s="1" t="s">
        <v>63</v>
      </c>
      <c r="D11" s="1" t="s">
        <v>8</v>
      </c>
      <c r="E11" s="715">
        <v>30.058956347215251</v>
      </c>
    </row>
    <row r="12" spans="1:5" x14ac:dyDescent="0.25">
      <c r="A12" s="1" t="s">
        <v>3</v>
      </c>
      <c r="B12" s="1" t="s">
        <v>31</v>
      </c>
      <c r="C12" s="1" t="s">
        <v>58</v>
      </c>
      <c r="D12" s="1" t="s">
        <v>8</v>
      </c>
      <c r="E12" s="724">
        <v>0.41318159241947794</v>
      </c>
    </row>
    <row r="13" spans="1:5" x14ac:dyDescent="0.25">
      <c r="A13" s="1" t="s">
        <v>3</v>
      </c>
      <c r="B13" s="1" t="s">
        <v>31</v>
      </c>
      <c r="C13" s="1" t="s">
        <v>61</v>
      </c>
      <c r="D13" s="1" t="s">
        <v>8</v>
      </c>
      <c r="E13" s="724">
        <v>1</v>
      </c>
    </row>
    <row r="14" spans="1:5" x14ac:dyDescent="0.25">
      <c r="A14" s="1" t="s">
        <v>3</v>
      </c>
      <c r="B14" s="1" t="s">
        <v>31</v>
      </c>
      <c r="C14" s="1" t="s">
        <v>62</v>
      </c>
      <c r="D14" s="1" t="s">
        <v>8</v>
      </c>
      <c r="E14" s="724">
        <v>1</v>
      </c>
    </row>
    <row r="15" spans="1:5" x14ac:dyDescent="0.25">
      <c r="A15" s="1" t="s">
        <v>3</v>
      </c>
      <c r="B15" s="1" t="s">
        <v>31</v>
      </c>
      <c r="C15" s="1" t="s">
        <v>63</v>
      </c>
      <c r="D15" s="1" t="s">
        <v>8</v>
      </c>
      <c r="E15" s="724">
        <v>1</v>
      </c>
    </row>
    <row r="16" spans="1:5" x14ac:dyDescent="0.25">
      <c r="A16" s="1" t="s">
        <v>3</v>
      </c>
      <c r="B16" s="1" t="s">
        <v>31</v>
      </c>
      <c r="C16" s="1" t="s">
        <v>65</v>
      </c>
      <c r="D16" s="1" t="s">
        <v>8</v>
      </c>
      <c r="E16" s="724">
        <v>0.67547542677355288</v>
      </c>
    </row>
    <row r="17" spans="1:5" x14ac:dyDescent="0.25">
      <c r="A17" s="1" t="s">
        <v>2</v>
      </c>
      <c r="B17" s="1" t="s">
        <v>31</v>
      </c>
      <c r="C17" s="1" t="s">
        <v>58</v>
      </c>
      <c r="D17" s="1" t="s">
        <v>8</v>
      </c>
      <c r="E17" s="724">
        <v>0.37600267557817052</v>
      </c>
    </row>
    <row r="18" spans="1:5" x14ac:dyDescent="0.25">
      <c r="A18" s="1" t="s">
        <v>2</v>
      </c>
      <c r="B18" s="1" t="s">
        <v>31</v>
      </c>
      <c r="C18" s="1" t="s">
        <v>61</v>
      </c>
      <c r="D18" s="1" t="s">
        <v>8</v>
      </c>
      <c r="E18" s="724">
        <v>1</v>
      </c>
    </row>
    <row r="19" spans="1:5" x14ac:dyDescent="0.25">
      <c r="A19" s="1" t="s">
        <v>2</v>
      </c>
      <c r="B19" s="1" t="s">
        <v>31</v>
      </c>
      <c r="C19" s="1" t="s">
        <v>62</v>
      </c>
      <c r="D19" s="1" t="s">
        <v>8</v>
      </c>
      <c r="E19" s="724">
        <v>1</v>
      </c>
    </row>
    <row r="20" spans="1:5" x14ac:dyDescent="0.25">
      <c r="A20" s="1" t="s">
        <v>2</v>
      </c>
      <c r="B20" s="1" t="s">
        <v>31</v>
      </c>
      <c r="C20" s="1" t="s">
        <v>63</v>
      </c>
      <c r="D20" s="1" t="s">
        <v>8</v>
      </c>
      <c r="E20" s="724">
        <v>0.40693104169206823</v>
      </c>
    </row>
    <row r="21" spans="1:5" x14ac:dyDescent="0.25">
      <c r="A21" s="1" t="s">
        <v>2</v>
      </c>
      <c r="B21" s="1" t="s">
        <v>31</v>
      </c>
      <c r="C21" s="1" t="s">
        <v>65</v>
      </c>
      <c r="D21" s="1" t="s">
        <v>8</v>
      </c>
      <c r="E21" s="724">
        <v>0.78972382322442924</v>
      </c>
    </row>
    <row r="22" spans="1:5" x14ac:dyDescent="0.25">
      <c r="A22" s="1" t="s">
        <v>147</v>
      </c>
      <c r="B22" s="1" t="s">
        <v>71</v>
      </c>
      <c r="C22" s="1" t="s">
        <v>58</v>
      </c>
      <c r="D22" s="1" t="s">
        <v>8</v>
      </c>
      <c r="E22" s="726">
        <v>0.63085972417911629</v>
      </c>
    </row>
    <row r="23" spans="1:5" x14ac:dyDescent="0.25">
      <c r="A23" s="1" t="s">
        <v>147</v>
      </c>
      <c r="B23" s="1" t="s">
        <v>71</v>
      </c>
      <c r="C23" s="1" t="s">
        <v>63</v>
      </c>
      <c r="D23" s="1" t="s">
        <v>8</v>
      </c>
      <c r="E23" s="726">
        <v>0.50903030943109273</v>
      </c>
    </row>
    <row r="24" spans="1:5" x14ac:dyDescent="0.25">
      <c r="A24" s="1" t="s">
        <v>146</v>
      </c>
      <c r="B24" s="1" t="s">
        <v>71</v>
      </c>
      <c r="C24" s="1" t="s">
        <v>58</v>
      </c>
      <c r="D24" s="1" t="s">
        <v>8</v>
      </c>
      <c r="E24" s="726">
        <v>1.118125</v>
      </c>
    </row>
    <row r="25" spans="1:5" x14ac:dyDescent="0.25">
      <c r="A25" s="1" t="s">
        <v>146</v>
      </c>
      <c r="B25" s="1" t="s">
        <v>71</v>
      </c>
      <c r="C25" s="1" t="s">
        <v>63</v>
      </c>
      <c r="D25" s="1" t="s">
        <v>8</v>
      </c>
      <c r="E25" s="726">
        <v>1.0313065976714102</v>
      </c>
    </row>
    <row r="26" spans="1:5" x14ac:dyDescent="0.25">
      <c r="A26" s="1" t="s">
        <v>6</v>
      </c>
      <c r="B26" s="1" t="s">
        <v>71</v>
      </c>
      <c r="C26" s="1" t="s">
        <v>58</v>
      </c>
      <c r="D26" s="1" t="s">
        <v>8</v>
      </c>
      <c r="E26" s="724">
        <v>0.87251423460425315</v>
      </c>
    </row>
    <row r="27" spans="1:5" x14ac:dyDescent="0.25">
      <c r="A27" s="1" t="s">
        <v>6</v>
      </c>
      <c r="B27" s="1" t="s">
        <v>71</v>
      </c>
      <c r="C27" s="1" t="s">
        <v>63</v>
      </c>
      <c r="D27" s="1" t="s">
        <v>8</v>
      </c>
      <c r="E27" s="724">
        <v>0.93213776054674991</v>
      </c>
    </row>
    <row r="28" spans="1:5" x14ac:dyDescent="0.25">
      <c r="A28" s="1" t="s">
        <v>0</v>
      </c>
      <c r="B28" s="1" t="s">
        <v>31</v>
      </c>
      <c r="C28" s="1" t="s">
        <v>29</v>
      </c>
      <c r="D28" s="1" t="s">
        <v>8</v>
      </c>
      <c r="E28" s="727">
        <v>4.7263893698938346E-2</v>
      </c>
    </row>
    <row r="29" spans="1:5" x14ac:dyDescent="0.25">
      <c r="A29" s="1" t="s">
        <v>0</v>
      </c>
      <c r="B29" s="1" t="s">
        <v>31</v>
      </c>
      <c r="C29" s="1" t="s">
        <v>36</v>
      </c>
      <c r="D29" s="1" t="s">
        <v>8</v>
      </c>
      <c r="E29" s="727">
        <v>3.7046571654618998E-2</v>
      </c>
    </row>
    <row r="30" spans="1:5" x14ac:dyDescent="0.25">
      <c r="A30" s="1" t="s">
        <v>0</v>
      </c>
      <c r="B30" s="1" t="s">
        <v>31</v>
      </c>
      <c r="C30" s="1" t="s">
        <v>46</v>
      </c>
      <c r="D30" s="1" t="s">
        <v>8</v>
      </c>
      <c r="E30" s="727">
        <v>4.5404588260298277E-3</v>
      </c>
    </row>
    <row r="31" spans="1:5" x14ac:dyDescent="0.25">
      <c r="A31" s="1" t="s">
        <v>0</v>
      </c>
      <c r="B31" s="1" t="s">
        <v>31</v>
      </c>
      <c r="C31" s="1" t="s">
        <v>52</v>
      </c>
      <c r="D31" s="1" t="s">
        <v>8</v>
      </c>
      <c r="E31" s="727">
        <v>4.8195273415699028E-2</v>
      </c>
    </row>
    <row r="32" spans="1:5" x14ac:dyDescent="0.25">
      <c r="A32" s="1" t="s">
        <v>0</v>
      </c>
      <c r="B32" s="1" t="s">
        <v>31</v>
      </c>
      <c r="C32" s="1" t="s">
        <v>53</v>
      </c>
      <c r="D32" s="1" t="s">
        <v>8</v>
      </c>
      <c r="E32" s="727">
        <v>2.0057550783051596E-2</v>
      </c>
    </row>
    <row r="33" spans="1:5" x14ac:dyDescent="0.25">
      <c r="A33" s="1" t="s">
        <v>4</v>
      </c>
      <c r="B33" s="1" t="s">
        <v>144</v>
      </c>
      <c r="C33" s="1" t="s">
        <v>58</v>
      </c>
      <c r="D33" s="1" t="s">
        <v>8</v>
      </c>
      <c r="E33" s="724">
        <v>0.53885542168674694</v>
      </c>
    </row>
    <row r="34" spans="1:5" x14ac:dyDescent="0.25">
      <c r="A34" s="1" t="s">
        <v>4</v>
      </c>
      <c r="B34" s="1" t="s">
        <v>144</v>
      </c>
      <c r="C34" s="1" t="s">
        <v>63</v>
      </c>
      <c r="D34" s="1" t="s">
        <v>8</v>
      </c>
      <c r="E34" s="724">
        <v>0.35589285714285712</v>
      </c>
    </row>
    <row r="35" spans="1:5" x14ac:dyDescent="0.25">
      <c r="A35" s="1" t="s">
        <v>21</v>
      </c>
      <c r="B35" s="1" t="s">
        <v>144</v>
      </c>
      <c r="C35" s="1" t="s">
        <v>58</v>
      </c>
      <c r="D35" s="1" t="s">
        <v>8</v>
      </c>
      <c r="E35" s="724">
        <v>0</v>
      </c>
    </row>
    <row r="36" spans="1:5" x14ac:dyDescent="0.25">
      <c r="A36" s="1" t="s">
        <v>21</v>
      </c>
      <c r="B36" s="1" t="s">
        <v>144</v>
      </c>
      <c r="C36" s="1" t="s">
        <v>63</v>
      </c>
      <c r="D36" s="1" t="s">
        <v>8</v>
      </c>
      <c r="E36" s="724">
        <v>1.8404907975460124E-2</v>
      </c>
    </row>
    <row r="37" spans="1:5" x14ac:dyDescent="0.25">
      <c r="A37" s="1" t="s">
        <v>23</v>
      </c>
      <c r="B37" s="1" t="s">
        <v>145</v>
      </c>
      <c r="C37" s="1" t="s">
        <v>58</v>
      </c>
      <c r="D37" s="1" t="s">
        <v>9</v>
      </c>
      <c r="E37" s="143">
        <v>783631.62799999991</v>
      </c>
    </row>
    <row r="38" spans="1:5" x14ac:dyDescent="0.25">
      <c r="A38" s="1" t="s">
        <v>23</v>
      </c>
      <c r="B38" s="1" t="s">
        <v>145</v>
      </c>
      <c r="C38" s="1" t="s">
        <v>61</v>
      </c>
      <c r="D38" s="1" t="s">
        <v>9</v>
      </c>
      <c r="E38" s="143">
        <v>672140.12800000003</v>
      </c>
    </row>
    <row r="39" spans="1:5" x14ac:dyDescent="0.25">
      <c r="A39" s="1" t="s">
        <v>23</v>
      </c>
      <c r="B39" s="1" t="s">
        <v>145</v>
      </c>
      <c r="C39" s="1" t="s">
        <v>62</v>
      </c>
      <c r="D39" s="1" t="s">
        <v>9</v>
      </c>
      <c r="E39" s="143">
        <v>44679.460000000006</v>
      </c>
    </row>
    <row r="40" spans="1:5" x14ac:dyDescent="0.25">
      <c r="A40" s="1" t="s">
        <v>23</v>
      </c>
      <c r="B40" s="1" t="s">
        <v>145</v>
      </c>
      <c r="C40" s="1" t="s">
        <v>63</v>
      </c>
      <c r="D40" s="1" t="s">
        <v>9</v>
      </c>
      <c r="E40" s="143">
        <v>2040602.8209999993</v>
      </c>
    </row>
    <row r="41" spans="1:5" x14ac:dyDescent="0.25">
      <c r="A41" s="1" t="s">
        <v>23</v>
      </c>
      <c r="B41" s="1" t="s">
        <v>145</v>
      </c>
      <c r="C41" s="1" t="s">
        <v>64</v>
      </c>
      <c r="D41" s="1" t="s">
        <v>9</v>
      </c>
      <c r="E41" s="143">
        <v>10358.508</v>
      </c>
    </row>
    <row r="42" spans="1:5" x14ac:dyDescent="0.25">
      <c r="A42" s="1" t="s">
        <v>23</v>
      </c>
      <c r="B42" s="1" t="s">
        <v>145</v>
      </c>
      <c r="C42" s="1" t="s">
        <v>65</v>
      </c>
      <c r="D42" s="1" t="s">
        <v>9</v>
      </c>
      <c r="E42" s="143">
        <v>1994626.0679999997</v>
      </c>
    </row>
    <row r="43" spans="1:5" x14ac:dyDescent="0.25">
      <c r="A43" s="1" t="s">
        <v>7</v>
      </c>
      <c r="B43" s="1" t="s">
        <v>71</v>
      </c>
      <c r="C43" s="1" t="s">
        <v>58</v>
      </c>
      <c r="D43" s="1" t="s">
        <v>9</v>
      </c>
      <c r="E43" s="715">
        <v>28.489869211085701</v>
      </c>
    </row>
    <row r="44" spans="1:5" x14ac:dyDescent="0.25">
      <c r="A44" s="1" t="s">
        <v>7</v>
      </c>
      <c r="B44" s="1" t="s">
        <v>71</v>
      </c>
      <c r="C44" s="1" t="s">
        <v>63</v>
      </c>
      <c r="D44" s="1" t="s">
        <v>9</v>
      </c>
      <c r="E44" s="715">
        <v>28.694546361788721</v>
      </c>
    </row>
    <row r="45" spans="1:5" x14ac:dyDescent="0.25">
      <c r="A45" s="1" t="s">
        <v>5</v>
      </c>
      <c r="B45" s="1" t="s">
        <v>71</v>
      </c>
      <c r="C45" s="1" t="s">
        <v>58</v>
      </c>
      <c r="D45" s="1" t="s">
        <v>9</v>
      </c>
      <c r="E45" s="715">
        <v>24.552350427350429</v>
      </c>
    </row>
    <row r="46" spans="1:5" x14ac:dyDescent="0.25">
      <c r="A46" s="1" t="s">
        <v>5</v>
      </c>
      <c r="B46" s="1" t="s">
        <v>71</v>
      </c>
      <c r="C46" s="1" t="s">
        <v>63</v>
      </c>
      <c r="D46" s="1" t="s">
        <v>9</v>
      </c>
      <c r="E46" s="715">
        <v>26.653968253968255</v>
      </c>
    </row>
    <row r="47" spans="1:5" x14ac:dyDescent="0.25">
      <c r="A47" s="1" t="s">
        <v>3</v>
      </c>
      <c r="B47" s="1" t="s">
        <v>31</v>
      </c>
      <c r="C47" s="1" t="s">
        <v>58</v>
      </c>
      <c r="D47" s="1" t="s">
        <v>9</v>
      </c>
      <c r="E47" s="724">
        <v>0.1743085517503454</v>
      </c>
    </row>
    <row r="48" spans="1:5" x14ac:dyDescent="0.25">
      <c r="A48" s="1" t="s">
        <v>3</v>
      </c>
      <c r="B48" s="1" t="s">
        <v>31</v>
      </c>
      <c r="C48" s="1" t="s">
        <v>61</v>
      </c>
      <c r="D48" s="1" t="s">
        <v>9</v>
      </c>
      <c r="E48" s="724">
        <v>1</v>
      </c>
    </row>
    <row r="49" spans="1:5" x14ac:dyDescent="0.25">
      <c r="A49" s="1" t="s">
        <v>3</v>
      </c>
      <c r="B49" s="1" t="s">
        <v>31</v>
      </c>
      <c r="C49" s="1" t="s">
        <v>62</v>
      </c>
      <c r="D49" s="1" t="s">
        <v>9</v>
      </c>
      <c r="E49" s="724">
        <v>0.68244568782749759</v>
      </c>
    </row>
    <row r="50" spans="1:5" x14ac:dyDescent="0.25">
      <c r="A50" s="1" t="s">
        <v>3</v>
      </c>
      <c r="B50" s="1" t="s">
        <v>31</v>
      </c>
      <c r="C50" s="1" t="s">
        <v>63</v>
      </c>
      <c r="D50" s="1" t="s">
        <v>9</v>
      </c>
      <c r="E50" s="724">
        <v>0.68244568782749759</v>
      </c>
    </row>
    <row r="51" spans="1:5" x14ac:dyDescent="0.25">
      <c r="A51" s="1" t="s">
        <v>3</v>
      </c>
      <c r="B51" s="1" t="s">
        <v>31</v>
      </c>
      <c r="C51" s="1" t="s">
        <v>65</v>
      </c>
      <c r="D51" s="1" t="s">
        <v>9</v>
      </c>
      <c r="E51" s="724">
        <v>0.80399191924413327</v>
      </c>
    </row>
    <row r="52" spans="1:5" x14ac:dyDescent="0.25">
      <c r="A52" s="1" t="s">
        <v>2</v>
      </c>
      <c r="B52" s="1" t="s">
        <v>31</v>
      </c>
      <c r="C52" s="1" t="s">
        <v>58</v>
      </c>
      <c r="D52" s="1" t="s">
        <v>9</v>
      </c>
      <c r="E52" s="724">
        <v>0.11794437996776497</v>
      </c>
    </row>
    <row r="53" spans="1:5" x14ac:dyDescent="0.25">
      <c r="A53" s="1" t="s">
        <v>2</v>
      </c>
      <c r="B53" s="1" t="s">
        <v>31</v>
      </c>
      <c r="C53" s="1" t="s">
        <v>61</v>
      </c>
      <c r="D53" s="1" t="s">
        <v>9</v>
      </c>
      <c r="E53" s="724">
        <v>1</v>
      </c>
    </row>
    <row r="54" spans="1:5" x14ac:dyDescent="0.25">
      <c r="A54" s="1" t="s">
        <v>2</v>
      </c>
      <c r="B54" s="1" t="s">
        <v>31</v>
      </c>
      <c r="C54" s="1" t="s">
        <v>62</v>
      </c>
      <c r="D54" s="1" t="s">
        <v>9</v>
      </c>
      <c r="E54" s="724">
        <v>0.94964150325741015</v>
      </c>
    </row>
    <row r="55" spans="1:5" x14ac:dyDescent="0.25">
      <c r="A55" s="1" t="s">
        <v>2</v>
      </c>
      <c r="B55" s="1" t="s">
        <v>31</v>
      </c>
      <c r="C55" s="1" t="s">
        <v>63</v>
      </c>
      <c r="D55" s="1" t="s">
        <v>9</v>
      </c>
      <c r="E55" s="724">
        <v>0.5750090096858046</v>
      </c>
    </row>
    <row r="56" spans="1:5" x14ac:dyDescent="0.25">
      <c r="A56" s="1" t="s">
        <v>2</v>
      </c>
      <c r="B56" s="1" t="s">
        <v>31</v>
      </c>
      <c r="C56" s="1" t="s">
        <v>65</v>
      </c>
      <c r="D56" s="1" t="s">
        <v>9</v>
      </c>
      <c r="E56" s="724">
        <v>0.91184385910576471</v>
      </c>
    </row>
    <row r="57" spans="1:5" x14ac:dyDescent="0.25">
      <c r="A57" s="1" t="s">
        <v>147</v>
      </c>
      <c r="B57" s="1" t="s">
        <v>71</v>
      </c>
      <c r="C57" s="1" t="s">
        <v>58</v>
      </c>
      <c r="D57" s="1" t="s">
        <v>9</v>
      </c>
      <c r="E57" s="726">
        <v>0.98280549456172694</v>
      </c>
    </row>
    <row r="58" spans="1:5" x14ac:dyDescent="0.25">
      <c r="A58" s="1" t="s">
        <v>147</v>
      </c>
      <c r="B58" s="1" t="s">
        <v>71</v>
      </c>
      <c r="C58" s="1" t="s">
        <v>63</v>
      </c>
      <c r="D58" s="1" t="s">
        <v>9</v>
      </c>
      <c r="E58" s="726">
        <v>0.97579517888062461</v>
      </c>
    </row>
    <row r="59" spans="1:5" x14ac:dyDescent="0.25">
      <c r="A59" s="1" t="s">
        <v>146</v>
      </c>
      <c r="B59" s="1" t="s">
        <v>71</v>
      </c>
      <c r="C59" s="1" t="s">
        <v>58</v>
      </c>
      <c r="D59" s="1" t="s">
        <v>9</v>
      </c>
      <c r="E59" s="726">
        <v>1.1404203472433749</v>
      </c>
    </row>
    <row r="60" spans="1:5" x14ac:dyDescent="0.25">
      <c r="A60" s="1" t="s">
        <v>146</v>
      </c>
      <c r="B60" s="1" t="s">
        <v>71</v>
      </c>
      <c r="C60" s="1" t="s">
        <v>63</v>
      </c>
      <c r="D60" s="1" t="s">
        <v>9</v>
      </c>
      <c r="E60" s="726">
        <v>1.0505002382086708</v>
      </c>
    </row>
    <row r="61" spans="1:5" x14ac:dyDescent="0.25">
      <c r="A61" s="1" t="s">
        <v>6</v>
      </c>
      <c r="B61" s="1" t="s">
        <v>71</v>
      </c>
      <c r="C61" s="1" t="s">
        <v>58</v>
      </c>
      <c r="D61" s="1" t="s">
        <v>9</v>
      </c>
      <c r="E61" s="724">
        <v>0.86885405998875653</v>
      </c>
    </row>
    <row r="62" spans="1:5" x14ac:dyDescent="0.25">
      <c r="A62" s="1" t="s">
        <v>6</v>
      </c>
      <c r="B62" s="1" t="s">
        <v>71</v>
      </c>
      <c r="C62" s="1" t="s">
        <v>63</v>
      </c>
      <c r="D62" s="1" t="s">
        <v>9</v>
      </c>
      <c r="E62" s="724">
        <v>0.86851129481236955</v>
      </c>
    </row>
    <row r="63" spans="1:5" x14ac:dyDescent="0.25">
      <c r="A63" s="1" t="s">
        <v>0</v>
      </c>
      <c r="B63" s="1" t="s">
        <v>31</v>
      </c>
      <c r="C63" s="1" t="s">
        <v>29</v>
      </c>
      <c r="D63" s="1" t="s">
        <v>9</v>
      </c>
      <c r="E63" s="727">
        <v>3.5636457261683581E-2</v>
      </c>
    </row>
    <row r="64" spans="1:5" x14ac:dyDescent="0.25">
      <c r="A64" s="1" t="s">
        <v>0</v>
      </c>
      <c r="B64" s="1" t="s">
        <v>31</v>
      </c>
      <c r="C64" s="1" t="s">
        <v>36</v>
      </c>
      <c r="D64" s="1" t="s">
        <v>9</v>
      </c>
      <c r="E64" s="727">
        <v>8.8330894375903218E-2</v>
      </c>
    </row>
    <row r="65" spans="1:5" x14ac:dyDescent="0.25">
      <c r="A65" s="1" t="s">
        <v>0</v>
      </c>
      <c r="B65" s="1" t="s">
        <v>31</v>
      </c>
      <c r="C65" s="1" t="s">
        <v>46</v>
      </c>
      <c r="D65" s="1" t="s">
        <v>9</v>
      </c>
      <c r="E65" s="727">
        <v>8.2933505959798988E-3</v>
      </c>
    </row>
    <row r="66" spans="1:5" x14ac:dyDescent="0.25">
      <c r="A66" s="1" t="s">
        <v>0</v>
      </c>
      <c r="B66" s="1" t="s">
        <v>31</v>
      </c>
      <c r="C66" s="1" t="s">
        <v>52</v>
      </c>
      <c r="D66" s="1" t="s">
        <v>9</v>
      </c>
      <c r="E66" s="727">
        <v>1.6626313367778262E-4</v>
      </c>
    </row>
    <row r="67" spans="1:5" x14ac:dyDescent="0.25">
      <c r="A67" s="1" t="s">
        <v>0</v>
      </c>
      <c r="B67" s="1" t="s">
        <v>31</v>
      </c>
      <c r="C67" s="1" t="s">
        <v>53</v>
      </c>
      <c r="D67" s="1" t="s">
        <v>9</v>
      </c>
      <c r="E67" s="727">
        <v>2.4467479668969394E-2</v>
      </c>
    </row>
    <row r="68" spans="1:5" x14ac:dyDescent="0.25">
      <c r="A68" s="1" t="s">
        <v>4</v>
      </c>
      <c r="B68" s="1" t="s">
        <v>144</v>
      </c>
      <c r="C68" s="1" t="s">
        <v>58</v>
      </c>
      <c r="D68" s="1" t="s">
        <v>9</v>
      </c>
      <c r="E68" s="724">
        <v>0.56385542168674696</v>
      </c>
    </row>
    <row r="69" spans="1:5" x14ac:dyDescent="0.25">
      <c r="A69" s="1" t="s">
        <v>4</v>
      </c>
      <c r="B69" s="1" t="s">
        <v>144</v>
      </c>
      <c r="C69" s="1" t="s">
        <v>63</v>
      </c>
      <c r="D69" s="1" t="s">
        <v>9</v>
      </c>
      <c r="E69" s="724">
        <v>0.39374999999999999</v>
      </c>
    </row>
    <row r="70" spans="1:5" x14ac:dyDescent="0.25">
      <c r="A70" s="1" t="s">
        <v>21</v>
      </c>
      <c r="B70" s="1" t="s">
        <v>144</v>
      </c>
      <c r="C70" s="1" t="s">
        <v>58</v>
      </c>
      <c r="D70" s="1" t="s">
        <v>9</v>
      </c>
      <c r="E70" s="724">
        <v>0</v>
      </c>
    </row>
    <row r="71" spans="1:5" x14ac:dyDescent="0.25">
      <c r="A71" s="1" t="s">
        <v>21</v>
      </c>
      <c r="B71" s="1" t="s">
        <v>144</v>
      </c>
      <c r="C71" s="1" t="s">
        <v>63</v>
      </c>
      <c r="D71" s="1" t="s">
        <v>9</v>
      </c>
      <c r="E71" s="724">
        <v>1.11731843575419E-2</v>
      </c>
    </row>
    <row r="72" spans="1:5" x14ac:dyDescent="0.25">
      <c r="A72" s="1" t="s">
        <v>23</v>
      </c>
      <c r="B72" s="1" t="s">
        <v>145</v>
      </c>
      <c r="C72" s="1" t="s">
        <v>58</v>
      </c>
      <c r="D72" s="1" t="s">
        <v>10</v>
      </c>
      <c r="E72" s="143">
        <v>2891647.8139999979</v>
      </c>
    </row>
    <row r="73" spans="1:5" x14ac:dyDescent="0.25">
      <c r="A73" s="1" t="s">
        <v>23</v>
      </c>
      <c r="B73" s="1" t="s">
        <v>145</v>
      </c>
      <c r="C73" s="1" t="s">
        <v>61</v>
      </c>
      <c r="D73" s="1" t="s">
        <v>10</v>
      </c>
      <c r="E73" s="143">
        <v>337187.87699999998</v>
      </c>
    </row>
    <row r="74" spans="1:5" x14ac:dyDescent="0.25">
      <c r="A74" s="1" t="s">
        <v>23</v>
      </c>
      <c r="B74" s="1" t="s">
        <v>145</v>
      </c>
      <c r="C74" s="1" t="s">
        <v>62</v>
      </c>
      <c r="D74" s="1" t="s">
        <v>10</v>
      </c>
      <c r="E74" s="143">
        <v>7673.518</v>
      </c>
    </row>
    <row r="75" spans="1:5" x14ac:dyDescent="0.25">
      <c r="A75" s="1" t="s">
        <v>23</v>
      </c>
      <c r="B75" s="1" t="s">
        <v>145</v>
      </c>
      <c r="C75" s="1" t="s">
        <v>63</v>
      </c>
      <c r="D75" s="1" t="s">
        <v>10</v>
      </c>
      <c r="E75" s="143">
        <v>2485211.7800000012</v>
      </c>
    </row>
    <row r="76" spans="1:5" x14ac:dyDescent="0.25">
      <c r="A76" s="1" t="s">
        <v>23</v>
      </c>
      <c r="B76" s="1" t="s">
        <v>145</v>
      </c>
      <c r="C76" s="1" t="s">
        <v>64</v>
      </c>
      <c r="D76" s="1" t="s">
        <v>10</v>
      </c>
      <c r="E76" s="143">
        <v>98023.623999999996</v>
      </c>
    </row>
    <row r="77" spans="1:5" x14ac:dyDescent="0.25">
      <c r="A77" s="1" t="s">
        <v>23</v>
      </c>
      <c r="B77" s="1" t="s">
        <v>145</v>
      </c>
      <c r="C77" s="1" t="s">
        <v>65</v>
      </c>
      <c r="D77" s="1" t="s">
        <v>10</v>
      </c>
      <c r="E77" s="143">
        <v>952058.41399999999</v>
      </c>
    </row>
    <row r="78" spans="1:5" x14ac:dyDescent="0.25">
      <c r="A78" s="1" t="s">
        <v>7</v>
      </c>
      <c r="B78" s="1" t="s">
        <v>71</v>
      </c>
      <c r="C78" s="1" t="s">
        <v>58</v>
      </c>
      <c r="D78" s="1" t="s">
        <v>10</v>
      </c>
      <c r="E78" s="715">
        <v>32.25892543524224</v>
      </c>
    </row>
    <row r="79" spans="1:5" x14ac:dyDescent="0.25">
      <c r="A79" s="1" t="s">
        <v>7</v>
      </c>
      <c r="B79" s="1" t="s">
        <v>71</v>
      </c>
      <c r="C79" s="1" t="s">
        <v>63</v>
      </c>
      <c r="D79" s="1" t="s">
        <v>10</v>
      </c>
      <c r="E79" s="715">
        <v>32.992700322434246</v>
      </c>
    </row>
    <row r="80" spans="1:5" x14ac:dyDescent="0.25">
      <c r="A80" s="1" t="s">
        <v>5</v>
      </c>
      <c r="B80" s="1" t="s">
        <v>71</v>
      </c>
      <c r="C80" s="1" t="s">
        <v>58</v>
      </c>
      <c r="D80" s="1" t="s">
        <v>10</v>
      </c>
      <c r="E80" s="715">
        <v>24.826439232409381</v>
      </c>
    </row>
    <row r="81" spans="1:5" x14ac:dyDescent="0.25">
      <c r="A81" s="1" t="s">
        <v>5</v>
      </c>
      <c r="B81" s="1" t="s">
        <v>71</v>
      </c>
      <c r="C81" s="1" t="s">
        <v>63</v>
      </c>
      <c r="D81" s="1" t="s">
        <v>10</v>
      </c>
      <c r="E81" s="715">
        <v>31.04936305732484</v>
      </c>
    </row>
    <row r="82" spans="1:5" x14ac:dyDescent="0.25">
      <c r="A82" s="1" t="s">
        <v>3</v>
      </c>
      <c r="B82" s="1" t="s">
        <v>31</v>
      </c>
      <c r="C82" s="1" t="s">
        <v>58</v>
      </c>
      <c r="D82" s="1" t="s">
        <v>10</v>
      </c>
      <c r="E82" s="724">
        <v>0.18386030535905762</v>
      </c>
    </row>
    <row r="83" spans="1:5" x14ac:dyDescent="0.25">
      <c r="A83" s="1" t="s">
        <v>3</v>
      </c>
      <c r="B83" s="1" t="s">
        <v>31</v>
      </c>
      <c r="C83" s="1" t="s">
        <v>61</v>
      </c>
      <c r="D83" s="1" t="s">
        <v>10</v>
      </c>
      <c r="E83" s="724">
        <v>0.48556828169782612</v>
      </c>
    </row>
    <row r="84" spans="1:5" x14ac:dyDescent="0.25">
      <c r="A84" s="1" t="s">
        <v>3</v>
      </c>
      <c r="B84" s="1" t="s">
        <v>31</v>
      </c>
      <c r="C84" s="1" t="s">
        <v>62</v>
      </c>
      <c r="D84" s="1" t="s">
        <v>10</v>
      </c>
      <c r="E84" s="724">
        <v>0.40340148340301929</v>
      </c>
    </row>
    <row r="85" spans="1:5" x14ac:dyDescent="0.25">
      <c r="A85" s="1" t="s">
        <v>3</v>
      </c>
      <c r="B85" s="1" t="s">
        <v>31</v>
      </c>
      <c r="C85" s="1" t="s">
        <v>63</v>
      </c>
      <c r="D85" s="1" t="s">
        <v>10</v>
      </c>
      <c r="E85" s="724">
        <v>0.40340148340301929</v>
      </c>
    </row>
    <row r="86" spans="1:5" x14ac:dyDescent="0.25">
      <c r="A86" s="1" t="s">
        <v>3</v>
      </c>
      <c r="B86" s="1" t="s">
        <v>31</v>
      </c>
      <c r="C86" s="1" t="s">
        <v>65</v>
      </c>
      <c r="D86" s="1" t="s">
        <v>10</v>
      </c>
      <c r="E86" s="724">
        <v>0.5230638051554698</v>
      </c>
    </row>
    <row r="87" spans="1:5" x14ac:dyDescent="0.25">
      <c r="A87" s="1" t="s">
        <v>2</v>
      </c>
      <c r="B87" s="1" t="s">
        <v>31</v>
      </c>
      <c r="C87" s="1" t="s">
        <v>58</v>
      </c>
      <c r="D87" s="1" t="s">
        <v>10</v>
      </c>
      <c r="E87" s="724">
        <v>0.28183796995369825</v>
      </c>
    </row>
    <row r="88" spans="1:5" x14ac:dyDescent="0.25">
      <c r="A88" s="1" t="s">
        <v>2</v>
      </c>
      <c r="B88" s="1" t="s">
        <v>31</v>
      </c>
      <c r="C88" s="1" t="s">
        <v>61</v>
      </c>
      <c r="D88" s="1" t="s">
        <v>10</v>
      </c>
      <c r="E88" s="724">
        <v>8.9462288036555482E-2</v>
      </c>
    </row>
    <row r="89" spans="1:5" x14ac:dyDescent="0.25">
      <c r="A89" s="1" t="s">
        <v>2</v>
      </c>
      <c r="B89" s="1" t="s">
        <v>31</v>
      </c>
      <c r="C89" s="1" t="s">
        <v>62</v>
      </c>
      <c r="D89" s="1" t="s">
        <v>10</v>
      </c>
      <c r="E89" s="724">
        <v>0.92061521800466295</v>
      </c>
    </row>
    <row r="90" spans="1:5" x14ac:dyDescent="0.25">
      <c r="A90" s="1" t="s">
        <v>2</v>
      </c>
      <c r="B90" s="1" t="s">
        <v>31</v>
      </c>
      <c r="C90" s="1" t="s">
        <v>63</v>
      </c>
      <c r="D90" s="1" t="s">
        <v>10</v>
      </c>
      <c r="E90" s="724">
        <v>1</v>
      </c>
    </row>
    <row r="91" spans="1:5" x14ac:dyDescent="0.25">
      <c r="A91" s="1" t="s">
        <v>2</v>
      </c>
      <c r="B91" s="1" t="s">
        <v>31</v>
      </c>
      <c r="C91" s="1" t="s">
        <v>65</v>
      </c>
      <c r="D91" s="1" t="s">
        <v>10</v>
      </c>
      <c r="E91" s="724">
        <v>0.36008397199999381</v>
      </c>
    </row>
    <row r="92" spans="1:5" x14ac:dyDescent="0.25">
      <c r="A92" s="1" t="s">
        <v>147</v>
      </c>
      <c r="B92" s="1" t="s">
        <v>71</v>
      </c>
      <c r="C92" s="1" t="s">
        <v>58</v>
      </c>
      <c r="D92" s="1" t="s">
        <v>10</v>
      </c>
      <c r="E92" s="726">
        <v>0.96097435304317702</v>
      </c>
    </row>
    <row r="93" spans="1:5" x14ac:dyDescent="0.25">
      <c r="A93" s="1" t="s">
        <v>147</v>
      </c>
      <c r="B93" s="1" t="s">
        <v>71</v>
      </c>
      <c r="C93" s="1" t="s">
        <v>63</v>
      </c>
      <c r="D93" s="1" t="s">
        <v>10</v>
      </c>
      <c r="E93" s="726">
        <v>0.93960178151652363</v>
      </c>
    </row>
    <row r="94" spans="1:5" x14ac:dyDescent="0.25">
      <c r="A94" s="1" t="s">
        <v>146</v>
      </c>
      <c r="B94" s="1" t="s">
        <v>71</v>
      </c>
      <c r="C94" s="1" t="s">
        <v>58</v>
      </c>
      <c r="D94" s="1" t="s">
        <v>10</v>
      </c>
      <c r="E94" s="726">
        <v>1.2486687965921193</v>
      </c>
    </row>
    <row r="95" spans="1:5" x14ac:dyDescent="0.25">
      <c r="A95" s="1" t="s">
        <v>146</v>
      </c>
      <c r="B95" s="1" t="s">
        <v>71</v>
      </c>
      <c r="C95" s="1" t="s">
        <v>63</v>
      </c>
      <c r="D95" s="1" t="s">
        <v>10</v>
      </c>
      <c r="E95" s="726">
        <v>0.99841017488076311</v>
      </c>
    </row>
    <row r="96" spans="1:5" x14ac:dyDescent="0.25">
      <c r="A96" s="1" t="s">
        <v>6</v>
      </c>
      <c r="B96" s="1" t="s">
        <v>71</v>
      </c>
      <c r="C96" s="1" t="s">
        <v>58</v>
      </c>
      <c r="D96" s="1" t="s">
        <v>10</v>
      </c>
      <c r="E96" s="724">
        <v>0.82809245656123676</v>
      </c>
    </row>
    <row r="97" spans="1:5" x14ac:dyDescent="0.25">
      <c r="A97" s="1" t="s">
        <v>6</v>
      </c>
      <c r="B97" s="1" t="s">
        <v>71</v>
      </c>
      <c r="C97" s="1" t="s">
        <v>63</v>
      </c>
      <c r="D97" s="1" t="s">
        <v>10</v>
      </c>
      <c r="E97" s="724">
        <v>0.76539656187491389</v>
      </c>
    </row>
    <row r="98" spans="1:5" x14ac:dyDescent="0.25">
      <c r="A98" s="1" t="s">
        <v>0</v>
      </c>
      <c r="B98" s="1" t="s">
        <v>31</v>
      </c>
      <c r="C98" s="1" t="s">
        <v>29</v>
      </c>
      <c r="D98" s="1" t="s">
        <v>10</v>
      </c>
      <c r="E98" s="727">
        <v>2.9838229955779328E-2</v>
      </c>
    </row>
    <row r="99" spans="1:5" x14ac:dyDescent="0.25">
      <c r="A99" s="1" t="s">
        <v>0</v>
      </c>
      <c r="B99" s="1" t="s">
        <v>31</v>
      </c>
      <c r="C99" s="1" t="s">
        <v>36</v>
      </c>
      <c r="D99" s="1" t="s">
        <v>10</v>
      </c>
      <c r="E99" s="727">
        <v>2.9765803661432423E-2</v>
      </c>
    </row>
    <row r="100" spans="1:5" x14ac:dyDescent="0.25">
      <c r="A100" s="1" t="s">
        <v>0</v>
      </c>
      <c r="B100" s="1" t="s">
        <v>31</v>
      </c>
      <c r="C100" s="1" t="s">
        <v>46</v>
      </c>
      <c r="D100" s="1" t="s">
        <v>10</v>
      </c>
      <c r="E100" s="727">
        <v>2.8695879285214796E-3</v>
      </c>
    </row>
    <row r="101" spans="1:5" x14ac:dyDescent="0.25">
      <c r="A101" s="1" t="s">
        <v>0</v>
      </c>
      <c r="B101" s="1" t="s">
        <v>31</v>
      </c>
      <c r="C101" s="1" t="s">
        <v>52</v>
      </c>
      <c r="D101" s="1" t="s">
        <v>10</v>
      </c>
      <c r="E101" s="727">
        <v>2.196424346207057E-4</v>
      </c>
    </row>
    <row r="102" spans="1:5" x14ac:dyDescent="0.25">
      <c r="A102" s="1" t="s">
        <v>0</v>
      </c>
      <c r="B102" s="1" t="s">
        <v>31</v>
      </c>
      <c r="C102" s="1" t="s">
        <v>53</v>
      </c>
      <c r="D102" s="1" t="s">
        <v>10</v>
      </c>
      <c r="E102" s="727">
        <v>2.1535258672101699E-2</v>
      </c>
    </row>
    <row r="103" spans="1:5" x14ac:dyDescent="0.25">
      <c r="A103" s="1" t="s">
        <v>4</v>
      </c>
      <c r="B103" s="1" t="s">
        <v>144</v>
      </c>
      <c r="C103" s="1" t="s">
        <v>58</v>
      </c>
      <c r="D103" s="1" t="s">
        <v>10</v>
      </c>
      <c r="E103" s="724">
        <v>0.70632530120481929</v>
      </c>
    </row>
    <row r="104" spans="1:5" x14ac:dyDescent="0.25">
      <c r="A104" s="1" t="s">
        <v>4</v>
      </c>
      <c r="B104" s="1" t="s">
        <v>144</v>
      </c>
      <c r="C104" s="1" t="s">
        <v>63</v>
      </c>
      <c r="D104" s="1" t="s">
        <v>10</v>
      </c>
      <c r="E104" s="724">
        <v>0.39250000000000002</v>
      </c>
    </row>
    <row r="105" spans="1:5" x14ac:dyDescent="0.25">
      <c r="A105" s="1" t="s">
        <v>21</v>
      </c>
      <c r="B105" s="1" t="s">
        <v>144</v>
      </c>
      <c r="C105" s="1" t="s">
        <v>58</v>
      </c>
      <c r="D105" s="1" t="s">
        <v>10</v>
      </c>
      <c r="E105" s="724">
        <v>0</v>
      </c>
    </row>
    <row r="106" spans="1:5" x14ac:dyDescent="0.25">
      <c r="A106" s="1" t="s">
        <v>21</v>
      </c>
      <c r="B106" s="1" t="s">
        <v>144</v>
      </c>
      <c r="C106" s="1" t="s">
        <v>63</v>
      </c>
      <c r="D106" s="1" t="s">
        <v>10</v>
      </c>
      <c r="E106" s="724">
        <v>4.4247787610619468E-3</v>
      </c>
    </row>
    <row r="107" spans="1:5" x14ac:dyDescent="0.25">
      <c r="A107" s="1" t="s">
        <v>23</v>
      </c>
      <c r="B107" s="1" t="s">
        <v>145</v>
      </c>
      <c r="C107" s="1" t="s">
        <v>58</v>
      </c>
      <c r="D107" s="1" t="s">
        <v>11</v>
      </c>
      <c r="E107" s="143">
        <v>6092855.9749999959</v>
      </c>
    </row>
    <row r="108" spans="1:5" x14ac:dyDescent="0.25">
      <c r="A108" s="1" t="s">
        <v>23</v>
      </c>
      <c r="B108" s="1" t="s">
        <v>145</v>
      </c>
      <c r="C108" s="1" t="s">
        <v>61</v>
      </c>
      <c r="D108" s="1" t="s">
        <v>11</v>
      </c>
      <c r="E108" s="143">
        <v>418530.57799999998</v>
      </c>
    </row>
    <row r="109" spans="1:5" x14ac:dyDescent="0.25">
      <c r="A109" s="1" t="s">
        <v>23</v>
      </c>
      <c r="B109" s="1" t="s">
        <v>145</v>
      </c>
      <c r="C109" s="1" t="s">
        <v>62</v>
      </c>
      <c r="D109" s="1" t="s">
        <v>11</v>
      </c>
      <c r="E109" s="143">
        <v>8211.6899999999987</v>
      </c>
    </row>
    <row r="110" spans="1:5" x14ac:dyDescent="0.25">
      <c r="A110" s="1" t="s">
        <v>23</v>
      </c>
      <c r="B110" s="1" t="s">
        <v>145</v>
      </c>
      <c r="C110" s="1" t="s">
        <v>63</v>
      </c>
      <c r="D110" s="1" t="s">
        <v>11</v>
      </c>
      <c r="E110" s="143">
        <v>1954739.0489999999</v>
      </c>
    </row>
    <row r="111" spans="1:5" x14ac:dyDescent="0.25">
      <c r="A111" s="1" t="s">
        <v>23</v>
      </c>
      <c r="B111" s="1" t="s">
        <v>145</v>
      </c>
      <c r="C111" s="1" t="s">
        <v>64</v>
      </c>
      <c r="D111" s="1" t="s">
        <v>11</v>
      </c>
      <c r="E111" s="143">
        <v>8486.18</v>
      </c>
    </row>
    <row r="112" spans="1:5" x14ac:dyDescent="0.25">
      <c r="A112" s="1" t="s">
        <v>23</v>
      </c>
      <c r="B112" s="1" t="s">
        <v>145</v>
      </c>
      <c r="C112" s="1" t="s">
        <v>65</v>
      </c>
      <c r="D112" s="1" t="s">
        <v>11</v>
      </c>
      <c r="E112" s="143">
        <v>209461.13</v>
      </c>
    </row>
    <row r="113" spans="1:5" x14ac:dyDescent="0.25">
      <c r="A113" s="1" t="s">
        <v>7</v>
      </c>
      <c r="B113" s="1" t="s">
        <v>71</v>
      </c>
      <c r="C113" s="1" t="s">
        <v>58</v>
      </c>
      <c r="D113" s="1" t="s">
        <v>11</v>
      </c>
      <c r="E113" s="715">
        <v>32.289792672477802</v>
      </c>
    </row>
    <row r="114" spans="1:5" x14ac:dyDescent="0.25">
      <c r="A114" s="1" t="s">
        <v>7</v>
      </c>
      <c r="B114" s="1" t="s">
        <v>71</v>
      </c>
      <c r="C114" s="1" t="s">
        <v>63</v>
      </c>
      <c r="D114" s="1" t="s">
        <v>11</v>
      </c>
      <c r="E114" s="715">
        <v>31.142086869266347</v>
      </c>
    </row>
    <row r="115" spans="1:5" x14ac:dyDescent="0.25">
      <c r="A115" s="1" t="s">
        <v>5</v>
      </c>
      <c r="B115" s="1" t="s">
        <v>71</v>
      </c>
      <c r="C115" s="1" t="s">
        <v>58</v>
      </c>
      <c r="D115" s="1" t="s">
        <v>11</v>
      </c>
      <c r="E115" s="715">
        <v>21.927986906710313</v>
      </c>
    </row>
    <row r="116" spans="1:5" x14ac:dyDescent="0.25">
      <c r="A116" s="1" t="s">
        <v>5</v>
      </c>
      <c r="B116" s="1" t="s">
        <v>71</v>
      </c>
      <c r="C116" s="1" t="s">
        <v>63</v>
      </c>
      <c r="D116" s="1" t="s">
        <v>11</v>
      </c>
      <c r="E116" s="715">
        <v>30.320631970260223</v>
      </c>
    </row>
    <row r="117" spans="1:5" x14ac:dyDescent="0.25">
      <c r="A117" s="1" t="s">
        <v>3</v>
      </c>
      <c r="B117" s="1" t="s">
        <v>31</v>
      </c>
      <c r="C117" s="1" t="s">
        <v>58</v>
      </c>
      <c r="D117" s="1" t="s">
        <v>11</v>
      </c>
      <c r="E117" s="724">
        <v>0.43071902610845325</v>
      </c>
    </row>
    <row r="118" spans="1:5" x14ac:dyDescent="0.25">
      <c r="A118" s="1" t="s">
        <v>3</v>
      </c>
      <c r="B118" s="1" t="s">
        <v>31</v>
      </c>
      <c r="C118" s="1" t="s">
        <v>61</v>
      </c>
      <c r="D118" s="1" t="s">
        <v>11</v>
      </c>
      <c r="E118" s="724">
        <v>0.78373476827633048</v>
      </c>
    </row>
    <row r="119" spans="1:5" x14ac:dyDescent="0.25">
      <c r="A119" s="1" t="s">
        <v>3</v>
      </c>
      <c r="B119" s="1" t="s">
        <v>31</v>
      </c>
      <c r="C119" s="1" t="s">
        <v>62</v>
      </c>
      <c r="D119" s="1" t="s">
        <v>11</v>
      </c>
      <c r="E119" s="724">
        <v>1</v>
      </c>
    </row>
    <row r="120" spans="1:5" x14ac:dyDescent="0.25">
      <c r="A120" s="1" t="s">
        <v>3</v>
      </c>
      <c r="B120" s="1" t="s">
        <v>31</v>
      </c>
      <c r="C120" s="1" t="s">
        <v>63</v>
      </c>
      <c r="D120" s="1" t="s">
        <v>11</v>
      </c>
      <c r="E120" s="724">
        <v>1</v>
      </c>
    </row>
    <row r="121" spans="1:5" x14ac:dyDescent="0.25">
      <c r="A121" s="1" t="s">
        <v>3</v>
      </c>
      <c r="B121" s="1" t="s">
        <v>31</v>
      </c>
      <c r="C121" s="1" t="s">
        <v>65</v>
      </c>
      <c r="D121" s="1" t="s">
        <v>11</v>
      </c>
      <c r="E121" s="724">
        <v>0.21078173306563269</v>
      </c>
    </row>
    <row r="122" spans="1:5" x14ac:dyDescent="0.25">
      <c r="A122" s="1" t="s">
        <v>2</v>
      </c>
      <c r="B122" s="1" t="s">
        <v>31</v>
      </c>
      <c r="C122" s="1" t="s">
        <v>58</v>
      </c>
      <c r="D122" s="1" t="s">
        <v>11</v>
      </c>
      <c r="E122" s="724">
        <v>0.48663250257994023</v>
      </c>
    </row>
    <row r="123" spans="1:5" x14ac:dyDescent="0.25">
      <c r="A123" s="1" t="s">
        <v>2</v>
      </c>
      <c r="B123" s="1" t="s">
        <v>31</v>
      </c>
      <c r="C123" s="1" t="s">
        <v>61</v>
      </c>
      <c r="D123" s="1" t="s">
        <v>11</v>
      </c>
      <c r="E123" s="724">
        <v>0.83019080482493401</v>
      </c>
    </row>
    <row r="124" spans="1:5" x14ac:dyDescent="0.25">
      <c r="A124" s="1" t="s">
        <v>2</v>
      </c>
      <c r="B124" s="1" t="s">
        <v>31</v>
      </c>
      <c r="C124" s="1" t="s">
        <v>62</v>
      </c>
      <c r="D124" s="1" t="s">
        <v>11</v>
      </c>
      <c r="E124" s="724">
        <v>1</v>
      </c>
    </row>
    <row r="125" spans="1:5" x14ac:dyDescent="0.25">
      <c r="A125" s="1" t="s">
        <v>2</v>
      </c>
      <c r="B125" s="1" t="s">
        <v>31</v>
      </c>
      <c r="C125" s="1" t="s">
        <v>63</v>
      </c>
      <c r="D125" s="1" t="s">
        <v>11</v>
      </c>
      <c r="E125" s="724">
        <v>0.36723417271239239</v>
      </c>
    </row>
    <row r="126" spans="1:5" x14ac:dyDescent="0.25">
      <c r="A126" s="1" t="s">
        <v>2</v>
      </c>
      <c r="B126" s="1" t="s">
        <v>31</v>
      </c>
      <c r="C126" s="1" t="s">
        <v>65</v>
      </c>
      <c r="D126" s="1" t="s">
        <v>11</v>
      </c>
      <c r="E126" s="724">
        <v>0.51250282358197452</v>
      </c>
    </row>
    <row r="127" spans="1:5" x14ac:dyDescent="0.25">
      <c r="A127" s="1" t="s">
        <v>160</v>
      </c>
      <c r="B127" s="1" t="s">
        <v>31</v>
      </c>
      <c r="C127" s="1" t="s">
        <v>58</v>
      </c>
      <c r="D127" s="1" t="s">
        <v>8</v>
      </c>
      <c r="E127" s="1">
        <v>191004</v>
      </c>
    </row>
    <row r="128" spans="1:5" x14ac:dyDescent="0.25">
      <c r="A128" s="1" t="s">
        <v>160</v>
      </c>
      <c r="B128" s="1" t="s">
        <v>31</v>
      </c>
      <c r="C128" s="1" t="s">
        <v>61</v>
      </c>
      <c r="D128" s="1" t="s">
        <v>8</v>
      </c>
      <c r="E128" s="1">
        <v>771645</v>
      </c>
    </row>
    <row r="129" spans="1:5" x14ac:dyDescent="0.25">
      <c r="A129" s="1" t="s">
        <v>160</v>
      </c>
      <c r="B129" s="1" t="s">
        <v>31</v>
      </c>
      <c r="C129" s="1" t="s">
        <v>62</v>
      </c>
      <c r="D129" s="1" t="s">
        <v>8</v>
      </c>
      <c r="E129" s="1">
        <v>125224</v>
      </c>
    </row>
    <row r="130" spans="1:5" x14ac:dyDescent="0.25">
      <c r="A130" s="1" t="s">
        <v>160</v>
      </c>
      <c r="B130" s="1" t="s">
        <v>31</v>
      </c>
      <c r="C130" s="1" t="s">
        <v>63</v>
      </c>
      <c r="D130" s="1" t="s">
        <v>8</v>
      </c>
      <c r="E130" s="1">
        <v>661040</v>
      </c>
    </row>
    <row r="131" spans="1:5" x14ac:dyDescent="0.25">
      <c r="A131" s="1" t="s">
        <v>160</v>
      </c>
      <c r="B131" s="1" t="s">
        <v>31</v>
      </c>
      <c r="C131" s="1" t="s">
        <v>65</v>
      </c>
      <c r="D131" s="1" t="s">
        <v>8</v>
      </c>
      <c r="E131" s="1">
        <v>2302927</v>
      </c>
    </row>
    <row r="132" spans="1:5" x14ac:dyDescent="0.25">
      <c r="A132" s="1" t="s">
        <v>160</v>
      </c>
      <c r="B132" s="1" t="s">
        <v>31</v>
      </c>
      <c r="C132" s="1" t="s">
        <v>58</v>
      </c>
      <c r="D132" s="1" t="s">
        <v>9</v>
      </c>
      <c r="E132" s="1">
        <v>384075</v>
      </c>
    </row>
    <row r="133" spans="1:5" x14ac:dyDescent="0.25">
      <c r="A133" s="1" t="s">
        <v>160</v>
      </c>
      <c r="B133" s="1" t="s">
        <v>31</v>
      </c>
      <c r="C133" s="1" t="s">
        <v>61</v>
      </c>
      <c r="D133" s="1" t="s">
        <v>9</v>
      </c>
      <c r="E133" s="1">
        <v>363715</v>
      </c>
    </row>
    <row r="134" spans="1:5" x14ac:dyDescent="0.25">
      <c r="A134" s="1" t="s">
        <v>160</v>
      </c>
      <c r="B134" s="1" t="s">
        <v>31</v>
      </c>
      <c r="C134" s="1" t="s">
        <v>62</v>
      </c>
      <c r="D134" s="1" t="s">
        <v>9</v>
      </c>
      <c r="E134" s="1">
        <v>335048</v>
      </c>
    </row>
    <row r="135" spans="1:5" x14ac:dyDescent="0.25">
      <c r="A135" s="1" t="s">
        <v>160</v>
      </c>
      <c r="B135" s="1" t="s">
        <v>31</v>
      </c>
      <c r="C135" s="1" t="s">
        <v>63</v>
      </c>
      <c r="D135" s="1" t="s">
        <v>9</v>
      </c>
      <c r="E135" s="1">
        <v>719519</v>
      </c>
    </row>
    <row r="136" spans="1:5" x14ac:dyDescent="0.25">
      <c r="A136" s="1" t="s">
        <v>160</v>
      </c>
      <c r="B136" s="1" t="s">
        <v>31</v>
      </c>
      <c r="C136" s="1" t="s">
        <v>65</v>
      </c>
      <c r="D136" s="1" t="s">
        <v>9</v>
      </c>
      <c r="E136" s="1">
        <v>3510532</v>
      </c>
    </row>
    <row r="137" spans="1:5" x14ac:dyDescent="0.25">
      <c r="A137" s="1" t="s">
        <v>160</v>
      </c>
      <c r="B137" s="1" t="s">
        <v>31</v>
      </c>
      <c r="C137" s="1" t="s">
        <v>58</v>
      </c>
      <c r="D137" s="1" t="s">
        <v>10</v>
      </c>
      <c r="E137" s="1">
        <v>5812633</v>
      </c>
    </row>
    <row r="138" spans="1:5" x14ac:dyDescent="0.25">
      <c r="A138" s="1" t="s">
        <v>160</v>
      </c>
      <c r="B138" s="1" t="s">
        <v>31</v>
      </c>
      <c r="C138" s="1" t="s">
        <v>61</v>
      </c>
      <c r="D138" s="1" t="s">
        <v>10</v>
      </c>
      <c r="E138" s="1">
        <v>50616</v>
      </c>
    </row>
    <row r="139" spans="1:5" x14ac:dyDescent="0.25">
      <c r="A139" s="1" t="s">
        <v>160</v>
      </c>
      <c r="B139" s="1" t="s">
        <v>31</v>
      </c>
      <c r="C139" s="1" t="s">
        <v>62</v>
      </c>
      <c r="D139" s="1" t="s">
        <v>10</v>
      </c>
      <c r="E139" s="1">
        <v>428744</v>
      </c>
    </row>
    <row r="140" spans="1:5" x14ac:dyDescent="0.25">
      <c r="A140" s="1" t="s">
        <v>160</v>
      </c>
      <c r="B140" s="1" t="s">
        <v>31</v>
      </c>
      <c r="C140" s="1" t="s">
        <v>63</v>
      </c>
      <c r="D140" s="1" t="s">
        <v>10</v>
      </c>
      <c r="E140" s="1">
        <v>900749</v>
      </c>
    </row>
    <row r="141" spans="1:5" x14ac:dyDescent="0.25">
      <c r="A141" s="1" t="s">
        <v>160</v>
      </c>
      <c r="B141" s="1" t="s">
        <v>31</v>
      </c>
      <c r="C141" s="1" t="s">
        <v>65</v>
      </c>
      <c r="D141" s="1" t="s">
        <v>10</v>
      </c>
      <c r="E141" s="1">
        <v>815054</v>
      </c>
    </row>
    <row r="142" spans="1:5" x14ac:dyDescent="0.25">
      <c r="A142" s="1" t="s">
        <v>160</v>
      </c>
      <c r="B142" s="1" t="s">
        <v>31</v>
      </c>
      <c r="C142" s="1" t="s">
        <v>58</v>
      </c>
      <c r="D142" s="1" t="s">
        <v>11</v>
      </c>
      <c r="E142" s="1">
        <v>10320986</v>
      </c>
    </row>
    <row r="143" spans="1:5" x14ac:dyDescent="0.25">
      <c r="A143" s="1" t="s">
        <v>160</v>
      </c>
      <c r="B143" s="1" t="s">
        <v>31</v>
      </c>
      <c r="C143" s="1" t="s">
        <v>61</v>
      </c>
      <c r="D143" s="1" t="s">
        <v>11</v>
      </c>
      <c r="E143" s="1">
        <v>386619</v>
      </c>
    </row>
    <row r="144" spans="1:5" x14ac:dyDescent="0.25">
      <c r="A144" s="1" t="s">
        <v>160</v>
      </c>
      <c r="B144" s="1" t="s">
        <v>31</v>
      </c>
      <c r="C144" s="1" t="s">
        <v>62</v>
      </c>
      <c r="D144" s="1" t="s">
        <v>11</v>
      </c>
      <c r="E144" s="1">
        <v>45178</v>
      </c>
    </row>
    <row r="145" spans="1:5" x14ac:dyDescent="0.25">
      <c r="A145" s="1" t="s">
        <v>160</v>
      </c>
      <c r="B145" s="1" t="s">
        <v>31</v>
      </c>
      <c r="C145" s="1" t="s">
        <v>63</v>
      </c>
      <c r="D145" s="1" t="s">
        <v>11</v>
      </c>
      <c r="E145" s="1">
        <v>528824</v>
      </c>
    </row>
    <row r="146" spans="1:5" x14ac:dyDescent="0.25">
      <c r="A146" s="1" t="s">
        <v>160</v>
      </c>
      <c r="B146" s="1" t="s">
        <v>31</v>
      </c>
      <c r="C146" s="1" t="s">
        <v>65</v>
      </c>
      <c r="D146" s="1" t="s">
        <v>11</v>
      </c>
      <c r="E146" s="1">
        <v>1422601</v>
      </c>
    </row>
    <row r="147" spans="1:5" x14ac:dyDescent="0.25">
      <c r="A147" s="1" t="s">
        <v>147</v>
      </c>
      <c r="B147" s="1" t="s">
        <v>71</v>
      </c>
      <c r="C147" s="1" t="s">
        <v>58</v>
      </c>
      <c r="D147" s="1" t="s">
        <v>11</v>
      </c>
      <c r="E147" s="726">
        <v>0.92908617606487442</v>
      </c>
    </row>
    <row r="148" spans="1:5" x14ac:dyDescent="0.25">
      <c r="A148" s="1" t="s">
        <v>147</v>
      </c>
      <c r="B148" s="1" t="s">
        <v>71</v>
      </c>
      <c r="C148" s="1" t="s">
        <v>63</v>
      </c>
      <c r="D148" s="1" t="s">
        <v>11</v>
      </c>
      <c r="E148" s="726">
        <v>0.96332657878514061</v>
      </c>
    </row>
    <row r="149" spans="1:5" x14ac:dyDescent="0.25">
      <c r="A149" s="1" t="s">
        <v>146</v>
      </c>
      <c r="B149" s="1" t="s">
        <v>71</v>
      </c>
      <c r="C149" s="1" t="s">
        <v>58</v>
      </c>
      <c r="D149" s="1" t="s">
        <v>11</v>
      </c>
      <c r="E149" s="726">
        <v>1.3681146439767129</v>
      </c>
    </row>
    <row r="150" spans="1:5" x14ac:dyDescent="0.25">
      <c r="A150" s="1" t="s">
        <v>146</v>
      </c>
      <c r="B150" s="1" t="s">
        <v>71</v>
      </c>
      <c r="C150" s="1" t="s">
        <v>63</v>
      </c>
      <c r="D150" s="1" t="s">
        <v>11</v>
      </c>
      <c r="E150" s="726">
        <v>0.98942528735632185</v>
      </c>
    </row>
    <row r="151" spans="1:5" x14ac:dyDescent="0.25">
      <c r="A151" s="1" t="s">
        <v>6</v>
      </c>
      <c r="B151" s="1" t="s">
        <v>71</v>
      </c>
      <c r="C151" s="1" t="s">
        <v>58</v>
      </c>
      <c r="D151" s="1" t="s">
        <v>11</v>
      </c>
      <c r="E151" s="724">
        <v>0.80663783163505653</v>
      </c>
    </row>
    <row r="152" spans="1:5" x14ac:dyDescent="0.25">
      <c r="A152" s="1" t="s">
        <v>6</v>
      </c>
      <c r="B152" s="1" t="s">
        <v>71</v>
      </c>
      <c r="C152" s="1" t="s">
        <v>63</v>
      </c>
      <c r="D152" s="1" t="s">
        <v>11</v>
      </c>
      <c r="E152" s="724">
        <v>0.7177776616965259</v>
      </c>
    </row>
    <row r="153" spans="1:5" x14ac:dyDescent="0.25">
      <c r="A153" s="1" t="s">
        <v>0</v>
      </c>
      <c r="B153" s="1" t="s">
        <v>31</v>
      </c>
      <c r="C153" s="1" t="s">
        <v>29</v>
      </c>
      <c r="D153" s="1" t="s">
        <v>11</v>
      </c>
      <c r="E153" s="727">
        <v>0.14637514817393255</v>
      </c>
    </row>
    <row r="154" spans="1:5" x14ac:dyDescent="0.25">
      <c r="A154" s="1" t="s">
        <v>0</v>
      </c>
      <c r="B154" s="1" t="s">
        <v>31</v>
      </c>
      <c r="C154" s="1" t="s">
        <v>36</v>
      </c>
      <c r="D154" s="1" t="s">
        <v>11</v>
      </c>
      <c r="E154" s="727">
        <v>2.3294732909973852E-2</v>
      </c>
    </row>
    <row r="155" spans="1:5" x14ac:dyDescent="0.25">
      <c r="A155" s="1" t="s">
        <v>0</v>
      </c>
      <c r="B155" s="1" t="s">
        <v>31</v>
      </c>
      <c r="C155" s="1" t="s">
        <v>46</v>
      </c>
      <c r="D155" s="1" t="s">
        <v>11</v>
      </c>
      <c r="E155" s="727">
        <v>3.1538340468663748E-3</v>
      </c>
    </row>
    <row r="156" spans="1:5" x14ac:dyDescent="0.25">
      <c r="A156" s="1" t="s">
        <v>0</v>
      </c>
      <c r="B156" s="1" t="s">
        <v>31</v>
      </c>
      <c r="C156" s="1" t="s">
        <v>52</v>
      </c>
      <c r="D156" s="1" t="s">
        <v>11</v>
      </c>
      <c r="E156" s="727">
        <v>2.9089281718506278E-3</v>
      </c>
    </row>
    <row r="157" spans="1:5" x14ac:dyDescent="0.25">
      <c r="A157" s="1" t="s">
        <v>0</v>
      </c>
      <c r="B157" s="1" t="s">
        <v>31</v>
      </c>
      <c r="C157" s="1" t="s">
        <v>53</v>
      </c>
      <c r="D157" s="1" t="s">
        <v>11</v>
      </c>
      <c r="E157" s="727">
        <v>0.16194634337054428</v>
      </c>
    </row>
    <row r="158" spans="1:5" x14ac:dyDescent="0.25">
      <c r="A158" s="1" t="s">
        <v>4</v>
      </c>
      <c r="B158" s="1" t="s">
        <v>144</v>
      </c>
      <c r="C158" s="1" t="s">
        <v>58</v>
      </c>
      <c r="D158" s="1" t="s">
        <v>11</v>
      </c>
      <c r="E158" s="724">
        <v>0.92018072289156627</v>
      </c>
    </row>
    <row r="159" spans="1:5" x14ac:dyDescent="0.25">
      <c r="A159" s="1" t="s">
        <v>4</v>
      </c>
      <c r="B159" s="1" t="s">
        <v>144</v>
      </c>
      <c r="C159" s="1" t="s">
        <v>63</v>
      </c>
      <c r="D159" s="1" t="s">
        <v>11</v>
      </c>
      <c r="E159" s="724">
        <v>0.38428571428571429</v>
      </c>
    </row>
    <row r="160" spans="1:5" x14ac:dyDescent="0.25">
      <c r="A160" s="1" t="s">
        <v>21</v>
      </c>
      <c r="B160" s="1" t="s">
        <v>144</v>
      </c>
      <c r="C160" s="1" t="s">
        <v>58</v>
      </c>
      <c r="D160" s="1" t="s">
        <v>11</v>
      </c>
      <c r="E160" s="724">
        <v>0</v>
      </c>
    </row>
    <row r="161" spans="1:5" x14ac:dyDescent="0.25">
      <c r="A161" s="1" t="s">
        <v>21</v>
      </c>
      <c r="B161" s="1" t="s">
        <v>144</v>
      </c>
      <c r="C161" s="1" t="s">
        <v>63</v>
      </c>
      <c r="D161" s="1" t="s">
        <v>11</v>
      </c>
      <c r="E161" s="724">
        <v>0</v>
      </c>
    </row>
  </sheetData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1E6F6-1081-4F72-890B-0B496F3B437D}">
  <sheetPr>
    <tabColor rgb="FFFF66FF"/>
  </sheetPr>
  <dimension ref="A1:O11"/>
  <sheetViews>
    <sheetView showGridLines="0" zoomScale="80" zoomScaleNormal="80" workbookViewId="0">
      <selection activeCell="B5" sqref="B5:H6"/>
    </sheetView>
  </sheetViews>
  <sheetFormatPr baseColWidth="10" defaultRowHeight="15" x14ac:dyDescent="0.25"/>
  <cols>
    <col min="1" max="1" width="17.7109375" customWidth="1"/>
    <col min="2" max="2" width="11.5703125" customWidth="1"/>
    <col min="3" max="15" width="10.7109375" style="1" customWidth="1"/>
    <col min="257" max="257" width="11.5703125" bestFit="1" customWidth="1"/>
    <col min="258" max="258" width="11.5703125" customWidth="1"/>
    <col min="259" max="271" width="10.7109375" customWidth="1"/>
    <col min="513" max="513" width="11.5703125" bestFit="1" customWidth="1"/>
    <col min="514" max="514" width="11.5703125" customWidth="1"/>
    <col min="515" max="527" width="10.7109375" customWidth="1"/>
    <col min="769" max="769" width="11.5703125" bestFit="1" customWidth="1"/>
    <col min="770" max="770" width="11.5703125" customWidth="1"/>
    <col min="771" max="783" width="10.7109375" customWidth="1"/>
    <col min="1025" max="1025" width="11.5703125" bestFit="1" customWidth="1"/>
    <col min="1026" max="1026" width="11.5703125" customWidth="1"/>
    <col min="1027" max="1039" width="10.7109375" customWidth="1"/>
    <col min="1281" max="1281" width="11.5703125" bestFit="1" customWidth="1"/>
    <col min="1282" max="1282" width="11.5703125" customWidth="1"/>
    <col min="1283" max="1295" width="10.7109375" customWidth="1"/>
    <col min="1537" max="1537" width="11.5703125" bestFit="1" customWidth="1"/>
    <col min="1538" max="1538" width="11.5703125" customWidth="1"/>
    <col min="1539" max="1551" width="10.7109375" customWidth="1"/>
    <col min="1793" max="1793" width="11.5703125" bestFit="1" customWidth="1"/>
    <col min="1794" max="1794" width="11.5703125" customWidth="1"/>
    <col min="1795" max="1807" width="10.7109375" customWidth="1"/>
    <col min="2049" max="2049" width="11.5703125" bestFit="1" customWidth="1"/>
    <col min="2050" max="2050" width="11.5703125" customWidth="1"/>
    <col min="2051" max="2063" width="10.7109375" customWidth="1"/>
    <col min="2305" max="2305" width="11.5703125" bestFit="1" customWidth="1"/>
    <col min="2306" max="2306" width="11.5703125" customWidth="1"/>
    <col min="2307" max="2319" width="10.7109375" customWidth="1"/>
    <col min="2561" max="2561" width="11.5703125" bestFit="1" customWidth="1"/>
    <col min="2562" max="2562" width="11.5703125" customWidth="1"/>
    <col min="2563" max="2575" width="10.7109375" customWidth="1"/>
    <col min="2817" max="2817" width="11.5703125" bestFit="1" customWidth="1"/>
    <col min="2818" max="2818" width="11.5703125" customWidth="1"/>
    <col min="2819" max="2831" width="10.7109375" customWidth="1"/>
    <col min="3073" max="3073" width="11.5703125" bestFit="1" customWidth="1"/>
    <col min="3074" max="3074" width="11.5703125" customWidth="1"/>
    <col min="3075" max="3087" width="10.7109375" customWidth="1"/>
    <col min="3329" max="3329" width="11.5703125" bestFit="1" customWidth="1"/>
    <col min="3330" max="3330" width="11.5703125" customWidth="1"/>
    <col min="3331" max="3343" width="10.7109375" customWidth="1"/>
    <col min="3585" max="3585" width="11.5703125" bestFit="1" customWidth="1"/>
    <col min="3586" max="3586" width="11.5703125" customWidth="1"/>
    <col min="3587" max="3599" width="10.7109375" customWidth="1"/>
    <col min="3841" max="3841" width="11.5703125" bestFit="1" customWidth="1"/>
    <col min="3842" max="3842" width="11.5703125" customWidth="1"/>
    <col min="3843" max="3855" width="10.7109375" customWidth="1"/>
    <col min="4097" max="4097" width="11.5703125" bestFit="1" customWidth="1"/>
    <col min="4098" max="4098" width="11.5703125" customWidth="1"/>
    <col min="4099" max="4111" width="10.7109375" customWidth="1"/>
    <col min="4353" max="4353" width="11.5703125" bestFit="1" customWidth="1"/>
    <col min="4354" max="4354" width="11.5703125" customWidth="1"/>
    <col min="4355" max="4367" width="10.7109375" customWidth="1"/>
    <col min="4609" max="4609" width="11.5703125" bestFit="1" customWidth="1"/>
    <col min="4610" max="4610" width="11.5703125" customWidth="1"/>
    <col min="4611" max="4623" width="10.7109375" customWidth="1"/>
    <col min="4865" max="4865" width="11.5703125" bestFit="1" customWidth="1"/>
    <col min="4866" max="4866" width="11.5703125" customWidth="1"/>
    <col min="4867" max="4879" width="10.7109375" customWidth="1"/>
    <col min="5121" max="5121" width="11.5703125" bestFit="1" customWidth="1"/>
    <col min="5122" max="5122" width="11.5703125" customWidth="1"/>
    <col min="5123" max="5135" width="10.7109375" customWidth="1"/>
    <col min="5377" max="5377" width="11.5703125" bestFit="1" customWidth="1"/>
    <col min="5378" max="5378" width="11.5703125" customWidth="1"/>
    <col min="5379" max="5391" width="10.7109375" customWidth="1"/>
    <col min="5633" max="5633" width="11.5703125" bestFit="1" customWidth="1"/>
    <col min="5634" max="5634" width="11.5703125" customWidth="1"/>
    <col min="5635" max="5647" width="10.7109375" customWidth="1"/>
    <col min="5889" max="5889" width="11.5703125" bestFit="1" customWidth="1"/>
    <col min="5890" max="5890" width="11.5703125" customWidth="1"/>
    <col min="5891" max="5903" width="10.7109375" customWidth="1"/>
    <col min="6145" max="6145" width="11.5703125" bestFit="1" customWidth="1"/>
    <col min="6146" max="6146" width="11.5703125" customWidth="1"/>
    <col min="6147" max="6159" width="10.7109375" customWidth="1"/>
    <col min="6401" max="6401" width="11.5703125" bestFit="1" customWidth="1"/>
    <col min="6402" max="6402" width="11.5703125" customWidth="1"/>
    <col min="6403" max="6415" width="10.7109375" customWidth="1"/>
    <col min="6657" max="6657" width="11.5703125" bestFit="1" customWidth="1"/>
    <col min="6658" max="6658" width="11.5703125" customWidth="1"/>
    <col min="6659" max="6671" width="10.7109375" customWidth="1"/>
    <col min="6913" max="6913" width="11.5703125" bestFit="1" customWidth="1"/>
    <col min="6914" max="6914" width="11.5703125" customWidth="1"/>
    <col min="6915" max="6927" width="10.7109375" customWidth="1"/>
    <col min="7169" max="7169" width="11.5703125" bestFit="1" customWidth="1"/>
    <col min="7170" max="7170" width="11.5703125" customWidth="1"/>
    <col min="7171" max="7183" width="10.7109375" customWidth="1"/>
    <col min="7425" max="7425" width="11.5703125" bestFit="1" customWidth="1"/>
    <col min="7426" max="7426" width="11.5703125" customWidth="1"/>
    <col min="7427" max="7439" width="10.7109375" customWidth="1"/>
    <col min="7681" max="7681" width="11.5703125" bestFit="1" customWidth="1"/>
    <col min="7682" max="7682" width="11.5703125" customWidth="1"/>
    <col min="7683" max="7695" width="10.7109375" customWidth="1"/>
    <col min="7937" max="7937" width="11.5703125" bestFit="1" customWidth="1"/>
    <col min="7938" max="7938" width="11.5703125" customWidth="1"/>
    <col min="7939" max="7951" width="10.7109375" customWidth="1"/>
    <col min="8193" max="8193" width="11.5703125" bestFit="1" customWidth="1"/>
    <col min="8194" max="8194" width="11.5703125" customWidth="1"/>
    <col min="8195" max="8207" width="10.7109375" customWidth="1"/>
    <col min="8449" max="8449" width="11.5703125" bestFit="1" customWidth="1"/>
    <col min="8450" max="8450" width="11.5703125" customWidth="1"/>
    <col min="8451" max="8463" width="10.7109375" customWidth="1"/>
    <col min="8705" max="8705" width="11.5703125" bestFit="1" customWidth="1"/>
    <col min="8706" max="8706" width="11.5703125" customWidth="1"/>
    <col min="8707" max="8719" width="10.7109375" customWidth="1"/>
    <col min="8961" max="8961" width="11.5703125" bestFit="1" customWidth="1"/>
    <col min="8962" max="8962" width="11.5703125" customWidth="1"/>
    <col min="8963" max="8975" width="10.7109375" customWidth="1"/>
    <col min="9217" max="9217" width="11.5703125" bestFit="1" customWidth="1"/>
    <col min="9218" max="9218" width="11.5703125" customWidth="1"/>
    <col min="9219" max="9231" width="10.7109375" customWidth="1"/>
    <col min="9473" max="9473" width="11.5703125" bestFit="1" customWidth="1"/>
    <col min="9474" max="9474" width="11.5703125" customWidth="1"/>
    <col min="9475" max="9487" width="10.7109375" customWidth="1"/>
    <col min="9729" max="9729" width="11.5703125" bestFit="1" customWidth="1"/>
    <col min="9730" max="9730" width="11.5703125" customWidth="1"/>
    <col min="9731" max="9743" width="10.7109375" customWidth="1"/>
    <col min="9985" max="9985" width="11.5703125" bestFit="1" customWidth="1"/>
    <col min="9986" max="9986" width="11.5703125" customWidth="1"/>
    <col min="9987" max="9999" width="10.7109375" customWidth="1"/>
    <col min="10241" max="10241" width="11.5703125" bestFit="1" customWidth="1"/>
    <col min="10242" max="10242" width="11.5703125" customWidth="1"/>
    <col min="10243" max="10255" width="10.7109375" customWidth="1"/>
    <col min="10497" max="10497" width="11.5703125" bestFit="1" customWidth="1"/>
    <col min="10498" max="10498" width="11.5703125" customWidth="1"/>
    <col min="10499" max="10511" width="10.7109375" customWidth="1"/>
    <col min="10753" max="10753" width="11.5703125" bestFit="1" customWidth="1"/>
    <col min="10754" max="10754" width="11.5703125" customWidth="1"/>
    <col min="10755" max="10767" width="10.7109375" customWidth="1"/>
    <col min="11009" max="11009" width="11.5703125" bestFit="1" customWidth="1"/>
    <col min="11010" max="11010" width="11.5703125" customWidth="1"/>
    <col min="11011" max="11023" width="10.7109375" customWidth="1"/>
    <col min="11265" max="11265" width="11.5703125" bestFit="1" customWidth="1"/>
    <col min="11266" max="11266" width="11.5703125" customWidth="1"/>
    <col min="11267" max="11279" width="10.7109375" customWidth="1"/>
    <col min="11521" max="11521" width="11.5703125" bestFit="1" customWidth="1"/>
    <col min="11522" max="11522" width="11.5703125" customWidth="1"/>
    <col min="11523" max="11535" width="10.7109375" customWidth="1"/>
    <col min="11777" max="11777" width="11.5703125" bestFit="1" customWidth="1"/>
    <col min="11778" max="11778" width="11.5703125" customWidth="1"/>
    <col min="11779" max="11791" width="10.7109375" customWidth="1"/>
    <col min="12033" max="12033" width="11.5703125" bestFit="1" customWidth="1"/>
    <col min="12034" max="12034" width="11.5703125" customWidth="1"/>
    <col min="12035" max="12047" width="10.7109375" customWidth="1"/>
    <col min="12289" max="12289" width="11.5703125" bestFit="1" customWidth="1"/>
    <col min="12290" max="12290" width="11.5703125" customWidth="1"/>
    <col min="12291" max="12303" width="10.7109375" customWidth="1"/>
    <col min="12545" max="12545" width="11.5703125" bestFit="1" customWidth="1"/>
    <col min="12546" max="12546" width="11.5703125" customWidth="1"/>
    <col min="12547" max="12559" width="10.7109375" customWidth="1"/>
    <col min="12801" max="12801" width="11.5703125" bestFit="1" customWidth="1"/>
    <col min="12802" max="12802" width="11.5703125" customWidth="1"/>
    <col min="12803" max="12815" width="10.7109375" customWidth="1"/>
    <col min="13057" max="13057" width="11.5703125" bestFit="1" customWidth="1"/>
    <col min="13058" max="13058" width="11.5703125" customWidth="1"/>
    <col min="13059" max="13071" width="10.7109375" customWidth="1"/>
    <col min="13313" max="13313" width="11.5703125" bestFit="1" customWidth="1"/>
    <col min="13314" max="13314" width="11.5703125" customWidth="1"/>
    <col min="13315" max="13327" width="10.7109375" customWidth="1"/>
    <col min="13569" max="13569" width="11.5703125" bestFit="1" customWidth="1"/>
    <col min="13570" max="13570" width="11.5703125" customWidth="1"/>
    <col min="13571" max="13583" width="10.7109375" customWidth="1"/>
    <col min="13825" max="13825" width="11.5703125" bestFit="1" customWidth="1"/>
    <col min="13826" max="13826" width="11.5703125" customWidth="1"/>
    <col min="13827" max="13839" width="10.7109375" customWidth="1"/>
    <col min="14081" max="14081" width="11.5703125" bestFit="1" customWidth="1"/>
    <col min="14082" max="14082" width="11.5703125" customWidth="1"/>
    <col min="14083" max="14095" width="10.7109375" customWidth="1"/>
    <col min="14337" max="14337" width="11.5703125" bestFit="1" customWidth="1"/>
    <col min="14338" max="14338" width="11.5703125" customWidth="1"/>
    <col min="14339" max="14351" width="10.7109375" customWidth="1"/>
    <col min="14593" max="14593" width="11.5703125" bestFit="1" customWidth="1"/>
    <col min="14594" max="14594" width="11.5703125" customWidth="1"/>
    <col min="14595" max="14607" width="10.7109375" customWidth="1"/>
    <col min="14849" max="14849" width="11.5703125" bestFit="1" customWidth="1"/>
    <col min="14850" max="14850" width="11.5703125" customWidth="1"/>
    <col min="14851" max="14863" width="10.7109375" customWidth="1"/>
    <col min="15105" max="15105" width="11.5703125" bestFit="1" customWidth="1"/>
    <col min="15106" max="15106" width="11.5703125" customWidth="1"/>
    <col min="15107" max="15119" width="10.7109375" customWidth="1"/>
    <col min="15361" max="15361" width="11.5703125" bestFit="1" customWidth="1"/>
    <col min="15362" max="15362" width="11.5703125" customWidth="1"/>
    <col min="15363" max="15375" width="10.7109375" customWidth="1"/>
    <col min="15617" max="15617" width="11.5703125" bestFit="1" customWidth="1"/>
    <col min="15618" max="15618" width="11.5703125" customWidth="1"/>
    <col min="15619" max="15631" width="10.7109375" customWidth="1"/>
    <col min="15873" max="15873" width="11.5703125" bestFit="1" customWidth="1"/>
    <col min="15874" max="15874" width="11.5703125" customWidth="1"/>
    <col min="15875" max="15887" width="10.7109375" customWidth="1"/>
    <col min="16129" max="16129" width="11.5703125" bestFit="1" customWidth="1"/>
    <col min="16130" max="16130" width="11.5703125" customWidth="1"/>
    <col min="16131" max="16143" width="10.7109375" customWidth="1"/>
  </cols>
  <sheetData>
    <row r="1" spans="1:15" ht="18.75" x14ac:dyDescent="0.25">
      <c r="A1" s="624" t="s">
        <v>66</v>
      </c>
      <c r="O1" s="625">
        <f>(O7+O10)/(O6+O9)</f>
        <v>4.4809559372666168E-3</v>
      </c>
    </row>
    <row r="2" spans="1:15" x14ac:dyDescent="0.25">
      <c r="B2" s="626" t="s">
        <v>28</v>
      </c>
      <c r="C2" s="627">
        <f>(C10+C7)/(C6+C9)</f>
        <v>1.1673151750972763E-2</v>
      </c>
      <c r="D2" s="628">
        <f>(D10+D7)/(D6+D9)</f>
        <v>6.5146579804560263E-3</v>
      </c>
      <c r="E2" s="628">
        <f>(E10+E7)/(E6+E9)</f>
        <v>2.5706940874035988E-3</v>
      </c>
      <c r="F2" s="628">
        <f>(F10+F7)/(F6+F9)</f>
        <v>0</v>
      </c>
      <c r="G2" s="628"/>
      <c r="H2" s="628"/>
      <c r="I2" s="628"/>
      <c r="J2" s="628"/>
      <c r="K2" s="628"/>
      <c r="L2" s="628"/>
      <c r="M2" s="628"/>
      <c r="N2" s="629"/>
      <c r="O2" s="707">
        <f>(O7+O10)/(O6+O9)</f>
        <v>4.4809559372666168E-3</v>
      </c>
    </row>
    <row r="3" spans="1:15" ht="18.75" x14ac:dyDescent="0.25">
      <c r="O3" s="625"/>
    </row>
    <row r="4" spans="1:15" ht="4.5" customHeight="1" x14ac:dyDescent="0.25">
      <c r="O4"/>
    </row>
    <row r="5" spans="1:15" x14ac:dyDescent="0.25">
      <c r="C5" s="626" t="s">
        <v>8</v>
      </c>
      <c r="D5" s="626" t="s">
        <v>9</v>
      </c>
      <c r="E5" s="626" t="s">
        <v>10</v>
      </c>
      <c r="F5" s="626" t="s">
        <v>11</v>
      </c>
      <c r="G5" s="626" t="s">
        <v>12</v>
      </c>
      <c r="H5" s="626" t="s">
        <v>13</v>
      </c>
      <c r="I5" s="626" t="s">
        <v>14</v>
      </c>
      <c r="J5" s="626" t="s">
        <v>15</v>
      </c>
      <c r="K5" s="626" t="s">
        <v>16</v>
      </c>
      <c r="L5" s="626" t="s">
        <v>17</v>
      </c>
      <c r="M5" s="626" t="s">
        <v>18</v>
      </c>
      <c r="N5" s="626" t="s">
        <v>19</v>
      </c>
      <c r="O5" s="626" t="s">
        <v>28</v>
      </c>
    </row>
    <row r="6" spans="1:15" x14ac:dyDescent="0.25">
      <c r="A6" s="745" t="s">
        <v>58</v>
      </c>
      <c r="B6" s="630" t="s">
        <v>136</v>
      </c>
      <c r="C6" s="631">
        <v>94</v>
      </c>
      <c r="D6" s="632">
        <v>128</v>
      </c>
      <c r="E6" s="632">
        <v>163</v>
      </c>
      <c r="F6" s="632">
        <v>209</v>
      </c>
      <c r="G6" s="632"/>
      <c r="H6" s="632"/>
      <c r="I6" s="632"/>
      <c r="J6" s="632"/>
      <c r="K6" s="632"/>
      <c r="L6" s="632"/>
      <c r="M6" s="632"/>
      <c r="N6" s="632"/>
      <c r="O6" s="633">
        <f>SUM(C6:N6)</f>
        <v>594</v>
      </c>
    </row>
    <row r="7" spans="1:15" x14ac:dyDescent="0.25">
      <c r="A7" s="746"/>
      <c r="B7" s="634" t="s">
        <v>137</v>
      </c>
      <c r="C7" s="635">
        <v>0</v>
      </c>
      <c r="D7" s="636">
        <v>0</v>
      </c>
      <c r="E7" s="636">
        <v>0</v>
      </c>
      <c r="F7" s="636">
        <v>0</v>
      </c>
      <c r="G7" s="636"/>
      <c r="H7" s="636"/>
      <c r="I7" s="636"/>
      <c r="J7" s="636"/>
      <c r="K7" s="636"/>
      <c r="L7" s="636"/>
      <c r="M7" s="636"/>
      <c r="N7" s="636"/>
      <c r="O7" s="637">
        <f>SUM(C7:N7)</f>
        <v>0</v>
      </c>
    </row>
    <row r="8" spans="1:15" x14ac:dyDescent="0.25">
      <c r="A8" s="747"/>
      <c r="B8" s="638" t="s">
        <v>138</v>
      </c>
      <c r="C8" s="635">
        <f>C7/C6</f>
        <v>0</v>
      </c>
      <c r="D8" s="636">
        <f>D7/D6</f>
        <v>0</v>
      </c>
      <c r="E8" s="636">
        <f>E7/E6</f>
        <v>0</v>
      </c>
      <c r="F8" s="636">
        <f>F7/F6</f>
        <v>0</v>
      </c>
      <c r="G8" s="636"/>
      <c r="H8" s="636"/>
      <c r="I8" s="636"/>
      <c r="J8" s="636"/>
      <c r="K8" s="636"/>
      <c r="L8" s="636"/>
      <c r="M8" s="636"/>
      <c r="N8" s="636"/>
      <c r="O8" s="728">
        <f>O7/O6</f>
        <v>0</v>
      </c>
    </row>
    <row r="9" spans="1:15" x14ac:dyDescent="0.25">
      <c r="A9" s="748" t="s">
        <v>63</v>
      </c>
      <c r="B9" s="639" t="s">
        <v>136</v>
      </c>
      <c r="C9" s="631">
        <v>163</v>
      </c>
      <c r="D9" s="632">
        <v>179</v>
      </c>
      <c r="E9" s="632">
        <v>226</v>
      </c>
      <c r="F9" s="632">
        <v>177</v>
      </c>
      <c r="G9" s="632"/>
      <c r="H9" s="632"/>
      <c r="I9" s="632"/>
      <c r="J9" s="632"/>
      <c r="K9" s="632"/>
      <c r="L9" s="632"/>
      <c r="M9" s="632"/>
      <c r="N9" s="632"/>
      <c r="O9" s="633">
        <f>SUM(C9:N9)</f>
        <v>745</v>
      </c>
    </row>
    <row r="10" spans="1:15" x14ac:dyDescent="0.25">
      <c r="A10" s="748"/>
      <c r="B10" s="639" t="s">
        <v>137</v>
      </c>
      <c r="C10" s="635">
        <v>3</v>
      </c>
      <c r="D10" s="636">
        <v>2</v>
      </c>
      <c r="E10" s="636">
        <v>1</v>
      </c>
      <c r="F10" s="636">
        <v>0</v>
      </c>
      <c r="G10" s="636"/>
      <c r="H10" s="636"/>
      <c r="I10" s="636"/>
      <c r="J10" s="636"/>
      <c r="K10" s="636"/>
      <c r="L10" s="636"/>
      <c r="M10" s="636"/>
      <c r="N10" s="636"/>
      <c r="O10" s="637">
        <f>SUM(C10:N10)</f>
        <v>6</v>
      </c>
    </row>
    <row r="11" spans="1:15" x14ac:dyDescent="0.25">
      <c r="A11" s="748"/>
      <c r="B11" s="640" t="s">
        <v>138</v>
      </c>
      <c r="C11" s="641">
        <f>C10/C9</f>
        <v>1.8404907975460124E-2</v>
      </c>
      <c r="D11" s="642">
        <f>D10/D9</f>
        <v>1.11731843575419E-2</v>
      </c>
      <c r="E11" s="642">
        <f>E10/E9</f>
        <v>4.4247787610619468E-3</v>
      </c>
      <c r="F11" s="642">
        <f>F10/F9</f>
        <v>0</v>
      </c>
      <c r="G11" s="643"/>
      <c r="H11" s="643"/>
      <c r="I11" s="643"/>
      <c r="J11" s="643"/>
      <c r="K11" s="643"/>
      <c r="L11" s="643"/>
      <c r="M11" s="643"/>
      <c r="N11" s="643"/>
      <c r="O11" s="644">
        <f>O10/O9</f>
        <v>8.0536912751677861E-3</v>
      </c>
    </row>
  </sheetData>
  <mergeCells count="2">
    <mergeCell ref="A6:A8"/>
    <mergeCell ref="A9:A11"/>
  </mergeCells>
  <conditionalFormatting sqref="C2:N2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{686B2032-EDEC-4694-B5A0-80615BAC3000}</x14:id>
        </ext>
      </extLst>
    </cfRule>
  </conditionalFormatting>
  <hyperlinks>
    <hyperlink ref="A1" r:id="rId1" location="Récapitulatif!A1" xr:uid="{096BFC80-3F23-4210-B4F7-DCD28D7BF495}"/>
  </hyperlinks>
  <pageMargins left="0.7" right="0.7" top="0.75" bottom="0.75" header="0.3" footer="0.3"/>
  <ignoredErrors>
    <ignoredError sqref="O8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86B2032-EDEC-4694-B5A0-80615BAC30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C2:N2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9C7EA-228B-43FE-B380-EC3C4ABEA980}">
  <sheetPr>
    <tabColor theme="8"/>
  </sheetPr>
  <dimension ref="A1:R16"/>
  <sheetViews>
    <sheetView showGridLines="0" zoomScale="80" zoomScaleNormal="80" workbookViewId="0">
      <selection activeCell="M28" sqref="M28"/>
    </sheetView>
  </sheetViews>
  <sheetFormatPr baseColWidth="10" defaultRowHeight="12.75" outlineLevelCol="1" x14ac:dyDescent="0.2"/>
  <cols>
    <col min="1" max="1" width="10.28515625" style="17" bestFit="1" customWidth="1"/>
    <col min="2" max="2" width="14" style="17" bestFit="1" customWidth="1"/>
    <col min="3" max="3" width="12.5703125" style="176" bestFit="1" customWidth="1"/>
    <col min="4" max="4" width="0.85546875" style="176" customWidth="1"/>
    <col min="5" max="5" width="21.28515625" style="17" bestFit="1" customWidth="1"/>
    <col min="6" max="6" width="15.5703125" style="17" bestFit="1" customWidth="1"/>
    <col min="7" max="8" width="16.5703125" style="17" bestFit="1" customWidth="1"/>
    <col min="9" max="16" width="15.7109375" style="17" customWidth="1" outlineLevel="1"/>
    <col min="17" max="17" width="0.85546875" style="176" customWidth="1" outlineLevel="1"/>
    <col min="18" max="18" width="13" style="18" bestFit="1" customWidth="1"/>
    <col min="19" max="16384" width="11.42578125" style="17"/>
  </cols>
  <sheetData>
    <row r="1" spans="1:18" ht="15" x14ac:dyDescent="0.25">
      <c r="A1" s="290" t="s">
        <v>66</v>
      </c>
    </row>
    <row r="3" spans="1:18" ht="15" customHeight="1" x14ac:dyDescent="0.2">
      <c r="B3" s="645">
        <v>2021</v>
      </c>
      <c r="C3" s="646">
        <f>SUM(E3:H3)</f>
        <v>63699210</v>
      </c>
      <c r="D3" s="647"/>
      <c r="E3" s="648">
        <f t="shared" ref="E3:P3" si="0">+E11+E14</f>
        <v>4615497</v>
      </c>
      <c r="F3" s="649">
        <f t="shared" si="0"/>
        <v>8134859</v>
      </c>
      <c r="G3" s="650">
        <f t="shared" si="0"/>
        <v>25245818</v>
      </c>
      <c r="H3" s="650">
        <f t="shared" si="0"/>
        <v>25703036</v>
      </c>
      <c r="I3" s="650">
        <f t="shared" si="0"/>
        <v>20889266</v>
      </c>
      <c r="J3" s="650">
        <f t="shared" si="0"/>
        <v>23614027</v>
      </c>
      <c r="K3" s="650">
        <f t="shared" si="0"/>
        <v>21581289</v>
      </c>
      <c r="L3" s="650">
        <f t="shared" si="0"/>
        <v>18783635</v>
      </c>
      <c r="M3" s="650">
        <f t="shared" si="0"/>
        <v>14333906</v>
      </c>
      <c r="N3" s="650">
        <f t="shared" si="0"/>
        <v>16109618</v>
      </c>
      <c r="O3" s="650">
        <f t="shared" si="0"/>
        <v>10815363</v>
      </c>
      <c r="P3" s="651">
        <f t="shared" si="0"/>
        <v>6601389</v>
      </c>
      <c r="Q3" s="647"/>
      <c r="R3" s="749">
        <f>$C$7</f>
        <v>-0.51955600391276435</v>
      </c>
    </row>
    <row r="4" spans="1:18" ht="4.5" customHeight="1" x14ac:dyDescent="0.2">
      <c r="B4" s="27"/>
      <c r="C4" s="17"/>
      <c r="D4" s="17"/>
      <c r="E4" s="652"/>
      <c r="F4" s="652"/>
      <c r="G4" s="652"/>
      <c r="H4" s="652"/>
      <c r="I4" s="652"/>
      <c r="J4" s="652"/>
      <c r="K4" s="652"/>
      <c r="L4" s="652"/>
      <c r="M4" s="652"/>
      <c r="N4" s="652"/>
      <c r="O4" s="652"/>
      <c r="P4" s="652"/>
      <c r="Q4" s="17"/>
      <c r="R4" s="750"/>
    </row>
    <row r="5" spans="1:18" ht="15" customHeight="1" x14ac:dyDescent="0.2">
      <c r="B5" s="645">
        <v>2022</v>
      </c>
      <c r="C5" s="646">
        <f>SUM(E5:H5)</f>
        <v>30603903</v>
      </c>
      <c r="D5" s="647"/>
      <c r="E5" s="648">
        <f t="shared" ref="E5:P5" si="1">+E12+E15</f>
        <v>4050737</v>
      </c>
      <c r="F5" s="650">
        <f t="shared" si="1"/>
        <v>5602553</v>
      </c>
      <c r="G5" s="650">
        <f t="shared" si="1"/>
        <v>8186931</v>
      </c>
      <c r="H5" s="650">
        <f t="shared" si="1"/>
        <v>12763682</v>
      </c>
      <c r="I5" s="650">
        <f t="shared" si="1"/>
        <v>0</v>
      </c>
      <c r="J5" s="650">
        <f t="shared" si="1"/>
        <v>0</v>
      </c>
      <c r="K5" s="650">
        <f t="shared" si="1"/>
        <v>0</v>
      </c>
      <c r="L5" s="650">
        <f t="shared" si="1"/>
        <v>0</v>
      </c>
      <c r="M5" s="650">
        <f t="shared" si="1"/>
        <v>0</v>
      </c>
      <c r="N5" s="650">
        <f t="shared" si="1"/>
        <v>0</v>
      </c>
      <c r="O5" s="650">
        <f t="shared" si="1"/>
        <v>0</v>
      </c>
      <c r="P5" s="651">
        <f t="shared" si="1"/>
        <v>0</v>
      </c>
      <c r="Q5" s="647"/>
      <c r="R5" s="750"/>
    </row>
    <row r="6" spans="1:18" ht="4.5" customHeight="1" x14ac:dyDescent="0.2">
      <c r="B6" s="27"/>
      <c r="C6" s="17"/>
      <c r="D6" s="17"/>
      <c r="Q6" s="17"/>
      <c r="R6" s="750"/>
    </row>
    <row r="7" spans="1:18" ht="15" customHeight="1" x14ac:dyDescent="0.25">
      <c r="B7" s="645" t="s">
        <v>141</v>
      </c>
      <c r="C7" s="653">
        <f>+(C5-C3)/C3</f>
        <v>-0.51955600391276435</v>
      </c>
      <c r="D7" s="654"/>
      <c r="E7" s="655">
        <f>+(E5-E3)/E3</f>
        <v>-0.12236168715958433</v>
      </c>
      <c r="F7" s="656">
        <f t="shared" ref="F7:P7" si="2">+(F5-F3)/F3</f>
        <v>-0.31129070583767954</v>
      </c>
      <c r="G7" s="657">
        <f t="shared" si="2"/>
        <v>-0.67571139901269983</v>
      </c>
      <c r="H7" s="657">
        <f t="shared" si="2"/>
        <v>-0.503417339492502</v>
      </c>
      <c r="I7" s="657">
        <f t="shared" si="2"/>
        <v>-1</v>
      </c>
      <c r="J7" s="657">
        <f t="shared" si="2"/>
        <v>-1</v>
      </c>
      <c r="K7" s="657">
        <f t="shared" si="2"/>
        <v>-1</v>
      </c>
      <c r="L7" s="657">
        <f t="shared" si="2"/>
        <v>-1</v>
      </c>
      <c r="M7" s="657">
        <f t="shared" si="2"/>
        <v>-1</v>
      </c>
      <c r="N7" s="657">
        <f t="shared" si="2"/>
        <v>-1</v>
      </c>
      <c r="O7" s="657">
        <f t="shared" si="2"/>
        <v>-1</v>
      </c>
      <c r="P7" s="658">
        <f t="shared" si="2"/>
        <v>-1</v>
      </c>
      <c r="Q7" s="654"/>
      <c r="R7" s="750"/>
    </row>
    <row r="10" spans="1:18" ht="15" x14ac:dyDescent="0.25">
      <c r="A10" s="690"/>
      <c r="B10" s="691"/>
      <c r="C10" s="659" t="s">
        <v>57</v>
      </c>
      <c r="D10" s="660"/>
      <c r="E10" s="661" t="s">
        <v>8</v>
      </c>
      <c r="F10" s="662" t="s">
        <v>9</v>
      </c>
      <c r="G10" s="662" t="s">
        <v>10</v>
      </c>
      <c r="H10" s="662" t="s">
        <v>11</v>
      </c>
      <c r="I10" s="662" t="s">
        <v>12</v>
      </c>
      <c r="J10" s="662" t="s">
        <v>13</v>
      </c>
      <c r="K10" s="662" t="s">
        <v>14</v>
      </c>
      <c r="L10" s="662" t="s">
        <v>15</v>
      </c>
      <c r="M10" s="662" t="s">
        <v>16</v>
      </c>
      <c r="N10" s="662" t="s">
        <v>17</v>
      </c>
      <c r="O10" s="662" t="s">
        <v>18</v>
      </c>
      <c r="P10" s="663" t="s">
        <v>19</v>
      </c>
      <c r="Q10" s="660"/>
      <c r="R10" s="664" t="s">
        <v>28</v>
      </c>
    </row>
    <row r="11" spans="1:18" ht="18" customHeight="1" x14ac:dyDescent="0.2">
      <c r="A11" s="751" t="s">
        <v>58</v>
      </c>
      <c r="B11" s="752"/>
      <c r="C11" s="692">
        <v>2021</v>
      </c>
      <c r="D11" s="665"/>
      <c r="E11" s="686">
        <f>'[2]2021 Vs 2022'!E$11</f>
        <v>3390870</v>
      </c>
      <c r="F11" s="687">
        <f>'[2]2021 Vs 2022'!F$11</f>
        <v>6850548</v>
      </c>
      <c r="G11" s="687">
        <f>'[2]2021 Vs 2022'!G$11</f>
        <v>23902696</v>
      </c>
      <c r="H11" s="687">
        <f>'[2]2021 Vs 2022'!H$11</f>
        <v>24330512</v>
      </c>
      <c r="I11" s="687">
        <f>'[2]2021 Vs 2022'!I$11</f>
        <v>19769240</v>
      </c>
      <c r="J11" s="687">
        <f>'[2]2021 Vs 2022'!J$11</f>
        <v>22091597</v>
      </c>
      <c r="K11" s="687">
        <f>'[2]2021 Vs 2022'!K$11</f>
        <v>20701623</v>
      </c>
      <c r="L11" s="687">
        <f>'[2]2021 Vs 2022'!L$11</f>
        <v>17643449</v>
      </c>
      <c r="M11" s="687">
        <f>'[2]2021 Vs 2022'!M$11</f>
        <v>13532817</v>
      </c>
      <c r="N11" s="687">
        <f>'[2]2021 Vs 2022'!N$11</f>
        <v>15403059</v>
      </c>
      <c r="O11" s="687">
        <f>'[2]2021 Vs 2022'!O$11</f>
        <v>10273875</v>
      </c>
      <c r="P11" s="688">
        <f>'[2]2021 Vs 2022'!P$11</f>
        <v>5896465</v>
      </c>
      <c r="Q11" s="665"/>
      <c r="R11" s="689">
        <f>SUM(E11:H11)</f>
        <v>58474626</v>
      </c>
    </row>
    <row r="12" spans="1:18" ht="18" customHeight="1" x14ac:dyDescent="0.2">
      <c r="A12" s="753"/>
      <c r="B12" s="754"/>
      <c r="C12" s="666">
        <v>2022</v>
      </c>
      <c r="D12" s="665"/>
      <c r="E12" s="667">
        <f>'[2]2021 Vs 2022'!E$12</f>
        <v>3298574</v>
      </c>
      <c r="F12" s="681">
        <f>'[2]2021 Vs 2022'!F$12</f>
        <v>4430393</v>
      </c>
      <c r="G12" s="681">
        <f>'[2]2021 Vs 2022'!G$12</f>
        <v>6764961</v>
      </c>
      <c r="H12" s="681">
        <f>'[2]2021 Vs 2022'!H$12</f>
        <v>12161102</v>
      </c>
      <c r="I12" s="681">
        <f>'[2]2021 Vs 2022'!I$12</f>
        <v>0</v>
      </c>
      <c r="J12" s="681">
        <f>'[2]2021 Vs 2022'!J$12</f>
        <v>0</v>
      </c>
      <c r="K12" s="681">
        <f>'[2]2021 Vs 2022'!K$12</f>
        <v>0</v>
      </c>
      <c r="L12" s="681">
        <f>'[2]2021 Vs 2022'!L$12</f>
        <v>0</v>
      </c>
      <c r="M12" s="681">
        <f>'[2]2021 Vs 2022'!M$12</f>
        <v>0</v>
      </c>
      <c r="N12" s="681">
        <f>'[2]2021 Vs 2022'!N$12</f>
        <v>0</v>
      </c>
      <c r="O12" s="681">
        <f>'[2]2021 Vs 2022'!O$12</f>
        <v>0</v>
      </c>
      <c r="P12" s="668">
        <f>'[2]2021 Vs 2022'!P$12</f>
        <v>0</v>
      </c>
      <c r="Q12" s="665"/>
      <c r="R12" s="669">
        <f>SUM(E12:H12)</f>
        <v>26655030</v>
      </c>
    </row>
    <row r="13" spans="1:18" ht="18" customHeight="1" x14ac:dyDescent="0.2">
      <c r="A13" s="755"/>
      <c r="B13" s="756"/>
      <c r="C13" s="679" t="s">
        <v>141</v>
      </c>
      <c r="D13" s="665"/>
      <c r="E13" s="682">
        <f>IF(E11=0,0,(E12-E11)/E11)</f>
        <v>-2.7218973301836993E-2</v>
      </c>
      <c r="F13" s="683">
        <f t="shared" ref="F13:P13" si="3">IF(F11=0,0,(F12-F11)/F11)</f>
        <v>-0.35327903694711721</v>
      </c>
      <c r="G13" s="683">
        <f t="shared" si="3"/>
        <v>-0.7169791641913531</v>
      </c>
      <c r="H13" s="683">
        <f t="shared" si="3"/>
        <v>-0.50017073212433838</v>
      </c>
      <c r="I13" s="683">
        <f t="shared" si="3"/>
        <v>-1</v>
      </c>
      <c r="J13" s="683">
        <f t="shared" si="3"/>
        <v>-1</v>
      </c>
      <c r="K13" s="683">
        <f t="shared" si="3"/>
        <v>-1</v>
      </c>
      <c r="L13" s="683">
        <f t="shared" si="3"/>
        <v>-1</v>
      </c>
      <c r="M13" s="683">
        <f t="shared" si="3"/>
        <v>-1</v>
      </c>
      <c r="N13" s="683">
        <f t="shared" si="3"/>
        <v>-1</v>
      </c>
      <c r="O13" s="683">
        <f t="shared" si="3"/>
        <v>-1</v>
      </c>
      <c r="P13" s="684">
        <f t="shared" si="3"/>
        <v>-1</v>
      </c>
      <c r="Q13" s="665"/>
      <c r="R13" s="685">
        <f>(R12-R11)/R11</f>
        <v>-0.54416074418329752</v>
      </c>
    </row>
    <row r="14" spans="1:18" ht="18" customHeight="1" x14ac:dyDescent="0.2">
      <c r="A14" s="753" t="s">
        <v>63</v>
      </c>
      <c r="B14" s="754"/>
      <c r="C14" s="666">
        <v>2021</v>
      </c>
      <c r="D14" s="665"/>
      <c r="E14" s="674">
        <f>'[2]2021 Vs 2022'!E$89</f>
        <v>1224627</v>
      </c>
      <c r="F14" s="680">
        <f>'[2]2021 Vs 2022'!F$89</f>
        <v>1284311</v>
      </c>
      <c r="G14" s="680">
        <f>'[2]2021 Vs 2022'!G$89</f>
        <v>1343122</v>
      </c>
      <c r="H14" s="680">
        <f>'[2]2021 Vs 2022'!H$89</f>
        <v>1372524</v>
      </c>
      <c r="I14" s="680">
        <f>'[2]2021 Vs 2022'!I$89</f>
        <v>1120026</v>
      </c>
      <c r="J14" s="680">
        <f>'[2]2021 Vs 2022'!J$89</f>
        <v>1522430</v>
      </c>
      <c r="K14" s="680">
        <f>'[2]2021 Vs 2022'!K$89</f>
        <v>879666</v>
      </c>
      <c r="L14" s="680">
        <f>'[2]2021 Vs 2022'!L$89</f>
        <v>1140186</v>
      </c>
      <c r="M14" s="680">
        <f>'[2]2021 Vs 2022'!M$89</f>
        <v>801089</v>
      </c>
      <c r="N14" s="680">
        <f>'[2]2021 Vs 2022'!N$89</f>
        <v>706559</v>
      </c>
      <c r="O14" s="680">
        <f>'[2]2021 Vs 2022'!O$89</f>
        <v>541488</v>
      </c>
      <c r="P14" s="676">
        <f>'[2]2021 Vs 2022'!P$89</f>
        <v>704924</v>
      </c>
      <c r="Q14" s="665"/>
      <c r="R14" s="677">
        <f>SUM(E14:H14)</f>
        <v>5224584</v>
      </c>
    </row>
    <row r="15" spans="1:18" ht="18" customHeight="1" x14ac:dyDescent="0.2">
      <c r="A15" s="753"/>
      <c r="B15" s="757"/>
      <c r="C15" s="666">
        <v>2022</v>
      </c>
      <c r="D15" s="665"/>
      <c r="E15" s="674">
        <f>'[2]2021 Vs 2022'!E$90</f>
        <v>752163</v>
      </c>
      <c r="F15" s="675">
        <f>'[2]2021 Vs 2022'!F$90</f>
        <v>1172160</v>
      </c>
      <c r="G15" s="675">
        <f>'[2]2021 Vs 2022'!G$90</f>
        <v>1421970</v>
      </c>
      <c r="H15" s="675">
        <f>'[2]2021 Vs 2022'!H$90</f>
        <v>602580</v>
      </c>
      <c r="I15" s="675">
        <f>'[2]2021 Vs 2022'!I$90</f>
        <v>0</v>
      </c>
      <c r="J15" s="675">
        <f>'[2]2021 Vs 2022'!J$90</f>
        <v>0</v>
      </c>
      <c r="K15" s="675">
        <f>'[2]2021 Vs 2022'!K$90</f>
        <v>0</v>
      </c>
      <c r="L15" s="675">
        <f>'[2]2021 Vs 2022'!L$90</f>
        <v>0</v>
      </c>
      <c r="M15" s="675">
        <f>'[2]2021 Vs 2022'!M$90</f>
        <v>0</v>
      </c>
      <c r="N15" s="675">
        <f>'[2]2021 Vs 2022'!N$90</f>
        <v>0</v>
      </c>
      <c r="O15" s="675">
        <f>'[2]2021 Vs 2022'!O$90</f>
        <v>0</v>
      </c>
      <c r="P15" s="676">
        <f>'[2]2021 Vs 2022'!P$90</f>
        <v>0</v>
      </c>
      <c r="Q15" s="665"/>
      <c r="R15" s="677">
        <f>SUM(E15:H15)</f>
        <v>3948873</v>
      </c>
    </row>
    <row r="16" spans="1:18" ht="18" customHeight="1" x14ac:dyDescent="0.25">
      <c r="A16" s="758"/>
      <c r="B16" s="759"/>
      <c r="C16" s="670" t="s">
        <v>141</v>
      </c>
      <c r="D16" s="665"/>
      <c r="E16" s="671">
        <f t="shared" ref="E16:P16" si="4">IF(E14=0,0,(E15-E14)/E14)</f>
        <v>-0.38580237084434688</v>
      </c>
      <c r="F16" s="672">
        <f t="shared" si="4"/>
        <v>-8.7323864702552573E-2</v>
      </c>
      <c r="G16" s="672">
        <f t="shared" si="4"/>
        <v>5.870501711683674E-2</v>
      </c>
      <c r="H16" s="672">
        <f t="shared" si="4"/>
        <v>-0.56096942567124508</v>
      </c>
      <c r="I16" s="672">
        <f t="shared" si="4"/>
        <v>-1</v>
      </c>
      <c r="J16" s="672">
        <f t="shared" si="4"/>
        <v>-1</v>
      </c>
      <c r="K16" s="672">
        <f t="shared" si="4"/>
        <v>-1</v>
      </c>
      <c r="L16" s="672">
        <f t="shared" si="4"/>
        <v>-1</v>
      </c>
      <c r="M16" s="672">
        <f t="shared" si="4"/>
        <v>-1</v>
      </c>
      <c r="N16" s="672">
        <f t="shared" si="4"/>
        <v>-1</v>
      </c>
      <c r="O16" s="672">
        <f t="shared" si="4"/>
        <v>-1</v>
      </c>
      <c r="P16" s="673">
        <f t="shared" si="4"/>
        <v>-1</v>
      </c>
      <c r="Q16" s="665"/>
      <c r="R16" s="678">
        <f>(R15-R14)/R14</f>
        <v>-0.24417465581948725</v>
      </c>
    </row>
  </sheetData>
  <mergeCells count="3">
    <mergeCell ref="R3:R7"/>
    <mergeCell ref="A11:B13"/>
    <mergeCell ref="A14:B16"/>
  </mergeCells>
  <conditionalFormatting sqref="C3:P3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{63086FF0-38BC-47F5-8A98-518EF3F438E0}</x14:id>
        </ext>
      </extLst>
    </cfRule>
  </conditionalFormatting>
  <conditionalFormatting sqref="C5:P5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{32C2ED7C-C249-46D3-BE18-3002E145145B}</x14:id>
        </ext>
      </extLst>
    </cfRule>
  </conditionalFormatting>
  <hyperlinks>
    <hyperlink ref="A1" r:id="rId1" location="Récapitulatif!A1" xr:uid="{321DAACE-4587-4705-BA88-D9E39A7550FF}"/>
  </hyperlinks>
  <pageMargins left="0.7" right="0.7" top="0.75" bottom="0.75" header="0.3" footer="0.3"/>
  <ignoredErrors>
    <ignoredError sqref="R13 E16:P16 R14:R16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3086FF0-38BC-47F5-8A98-518EF3F438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C3:P3</xm:sqref>
        </x14:conditionalFormatting>
        <x14:conditionalFormatting xmlns:xm="http://schemas.microsoft.com/office/excel/2006/main">
          <x14:cfRule type="dataBar" id="{32C2ED7C-C249-46D3-BE18-3002E14514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C5:P5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ACBFA-07D9-4500-BB1F-57E88472BC67}">
  <sheetPr>
    <tabColor theme="8"/>
  </sheetPr>
  <dimension ref="A1:T35"/>
  <sheetViews>
    <sheetView showGridLines="0" zoomScale="80" zoomScaleNormal="80" workbookViewId="0">
      <selection activeCell="C18" sqref="C18:I33"/>
    </sheetView>
  </sheetViews>
  <sheetFormatPr baseColWidth="10" defaultRowHeight="15" x14ac:dyDescent="0.25"/>
  <cols>
    <col min="1" max="1" width="5.28515625" customWidth="1"/>
    <col min="3" max="3" width="12.85546875" customWidth="1"/>
    <col min="4" max="4" width="26" style="519" customWidth="1"/>
    <col min="5" max="5" width="19.140625" bestFit="1" customWidth="1"/>
    <col min="6" max="7" width="13.140625" style="1" customWidth="1"/>
    <col min="8" max="10" width="13.85546875" style="1" customWidth="1"/>
    <col min="11" max="15" width="13.5703125" style="1" customWidth="1"/>
    <col min="16" max="17" width="14.5703125" style="1" customWidth="1"/>
    <col min="18" max="18" width="15.28515625" style="520" bestFit="1" customWidth="1"/>
    <col min="19" max="19" width="6" bestFit="1" customWidth="1"/>
  </cols>
  <sheetData>
    <row r="1" spans="1:20" x14ac:dyDescent="0.25">
      <c r="A1" s="760" t="s">
        <v>66</v>
      </c>
      <c r="B1" s="760"/>
      <c r="C1" s="760"/>
    </row>
    <row r="2" spans="1:20" x14ac:dyDescent="0.25">
      <c r="A2" s="351"/>
      <c r="B2" s="351"/>
      <c r="C2" s="351"/>
    </row>
    <row r="3" spans="1:20" x14ac:dyDescent="0.25">
      <c r="A3" s="351"/>
      <c r="B3" s="351"/>
      <c r="C3" s="351"/>
    </row>
    <row r="4" spans="1:20" x14ac:dyDescent="0.25">
      <c r="A4" s="351"/>
      <c r="B4" s="351"/>
      <c r="C4" s="351"/>
    </row>
    <row r="5" spans="1:20" x14ac:dyDescent="0.25">
      <c r="A5" s="351"/>
      <c r="B5" s="351"/>
      <c r="C5" s="351"/>
    </row>
    <row r="6" spans="1:20" x14ac:dyDescent="0.25">
      <c r="A6" s="351"/>
      <c r="B6" s="351"/>
      <c r="C6" s="351"/>
    </row>
    <row r="7" spans="1:20" x14ac:dyDescent="0.25">
      <c r="A7" s="351"/>
      <c r="B7" s="351"/>
      <c r="C7" s="351"/>
    </row>
    <row r="8" spans="1:20" x14ac:dyDescent="0.25">
      <c r="A8" s="351"/>
      <c r="B8" s="351"/>
      <c r="C8" s="351"/>
    </row>
    <row r="9" spans="1:20" ht="15.75" thickBot="1" x14ac:dyDescent="0.3">
      <c r="A9" s="351"/>
      <c r="B9" s="351"/>
      <c r="C9" s="351"/>
    </row>
    <row r="10" spans="1:20" ht="20.25" thickTop="1" thickBot="1" x14ac:dyDescent="0.35">
      <c r="F10" s="761" t="s">
        <v>128</v>
      </c>
      <c r="G10" s="762"/>
      <c r="H10" s="762"/>
      <c r="I10" s="762"/>
      <c r="J10" s="762"/>
      <c r="K10" s="762"/>
      <c r="L10" s="762"/>
      <c r="M10" s="762"/>
      <c r="N10" s="762"/>
      <c r="O10" s="762"/>
      <c r="P10" s="762"/>
      <c r="Q10" s="762"/>
      <c r="R10" s="763"/>
    </row>
    <row r="11" spans="1:20" ht="15.75" thickTop="1" x14ac:dyDescent="0.25">
      <c r="B11" s="521"/>
      <c r="C11" s="522"/>
      <c r="D11" s="523"/>
      <c r="E11" s="522"/>
      <c r="F11" s="524"/>
      <c r="G11" s="524"/>
      <c r="H11" s="524"/>
      <c r="I11" s="524"/>
      <c r="J11" s="524"/>
      <c r="K11" s="524"/>
      <c r="L11" s="524"/>
      <c r="M11" s="524"/>
      <c r="N11" s="524"/>
      <c r="O11" s="524"/>
      <c r="P11" s="524"/>
      <c r="Q11" s="524"/>
      <c r="R11" s="525"/>
      <c r="S11" s="522"/>
      <c r="T11" s="526"/>
    </row>
    <row r="12" spans="1:20" ht="18.75" x14ac:dyDescent="0.25">
      <c r="A12" s="527"/>
      <c r="B12" s="528"/>
      <c r="C12" s="764" t="s">
        <v>129</v>
      </c>
      <c r="D12" s="765"/>
      <c r="E12" s="529">
        <f>SUM(F12:Q12)</f>
        <v>184018056.33389369</v>
      </c>
      <c r="F12" s="530">
        <f t="shared" ref="F12:Q12" si="0">SUBTOTAL(9,F19,F22,F25,F28,F31)</f>
        <v>5223833.4832041059</v>
      </c>
      <c r="G12" s="531">
        <f t="shared" si="0"/>
        <v>8868101.0503778737</v>
      </c>
      <c r="H12" s="531">
        <f t="shared" si="0"/>
        <v>24787308.708637681</v>
      </c>
      <c r="I12" s="531">
        <f t="shared" si="0"/>
        <v>25922908.629641093</v>
      </c>
      <c r="J12" s="531">
        <f t="shared" si="0"/>
        <v>16013786.65091682</v>
      </c>
      <c r="K12" s="531">
        <f t="shared" si="0"/>
        <v>26946566.684341334</v>
      </c>
      <c r="L12" s="531">
        <f t="shared" si="0"/>
        <v>18675344.608031109</v>
      </c>
      <c r="M12" s="531">
        <f t="shared" si="0"/>
        <v>14348128.628529023</v>
      </c>
      <c r="N12" s="531">
        <f t="shared" si="0"/>
        <v>16734407.842180256</v>
      </c>
      <c r="O12" s="531">
        <f t="shared" si="0"/>
        <v>13876576.579989692</v>
      </c>
      <c r="P12" s="531">
        <f t="shared" si="0"/>
        <v>7320752.3797199745</v>
      </c>
      <c r="Q12" s="532">
        <f t="shared" si="0"/>
        <v>5300341.0883247238</v>
      </c>
      <c r="R12" s="766">
        <f>SUM(F14:Q14)/SUM(F12:Q12)</f>
        <v>0.16344446626165274</v>
      </c>
      <c r="S12" s="768" t="str">
        <f>IF(R12&gt;70%,"J",IF(R12&lt;=30%,"L","K"))</f>
        <v>L</v>
      </c>
      <c r="T12" s="533"/>
    </row>
    <row r="13" spans="1:20" ht="5.0999999999999996" customHeight="1" x14ac:dyDescent="0.25">
      <c r="B13" s="534"/>
      <c r="C13" s="535"/>
      <c r="D13" s="535"/>
      <c r="E13" s="536"/>
      <c r="F13" s="537"/>
      <c r="G13" s="537"/>
      <c r="H13" s="537"/>
      <c r="I13" s="537"/>
      <c r="J13" s="537"/>
      <c r="K13" s="537"/>
      <c r="L13" s="537"/>
      <c r="M13" s="537"/>
      <c r="N13" s="537"/>
      <c r="O13" s="537"/>
      <c r="P13" s="537"/>
      <c r="Q13" s="537"/>
      <c r="R13" s="767"/>
      <c r="S13" s="769"/>
      <c r="T13" s="538"/>
    </row>
    <row r="14" spans="1:20" ht="18.75" x14ac:dyDescent="0.25">
      <c r="A14" s="527"/>
      <c r="B14" s="528"/>
      <c r="C14" s="764" t="s">
        <v>130</v>
      </c>
      <c r="D14" s="770"/>
      <c r="E14" s="539">
        <f>SUM(F14:Q14)</f>
        <v>30076733</v>
      </c>
      <c r="F14" s="540">
        <f t="shared" ref="F14:Q14" si="1">SUBTOTAL(9,F20,F23,F26,F29,F32)</f>
        <v>4051840</v>
      </c>
      <c r="G14" s="541">
        <f t="shared" si="1"/>
        <v>5312889</v>
      </c>
      <c r="H14" s="541">
        <f t="shared" si="1"/>
        <v>8007796</v>
      </c>
      <c r="I14" s="541">
        <f t="shared" si="1"/>
        <v>12704208</v>
      </c>
      <c r="J14" s="541">
        <f t="shared" si="1"/>
        <v>0</v>
      </c>
      <c r="K14" s="541">
        <f t="shared" si="1"/>
        <v>0</v>
      </c>
      <c r="L14" s="541">
        <f t="shared" si="1"/>
        <v>0</v>
      </c>
      <c r="M14" s="541">
        <f t="shared" si="1"/>
        <v>0</v>
      </c>
      <c r="N14" s="541">
        <f t="shared" si="1"/>
        <v>0</v>
      </c>
      <c r="O14" s="541">
        <f t="shared" si="1"/>
        <v>0</v>
      </c>
      <c r="P14" s="541">
        <f t="shared" si="1"/>
        <v>0</v>
      </c>
      <c r="Q14" s="542">
        <f t="shared" si="1"/>
        <v>0</v>
      </c>
      <c r="R14" s="767"/>
      <c r="S14" s="769"/>
      <c r="T14" s="533"/>
    </row>
    <row r="15" spans="1:20" ht="5.0999999999999996" customHeight="1" x14ac:dyDescent="0.25">
      <c r="B15" s="534"/>
      <c r="C15" s="535"/>
      <c r="D15" s="535"/>
      <c r="E15" s="536"/>
      <c r="F15" s="537"/>
      <c r="G15" s="537"/>
      <c r="H15" s="537"/>
      <c r="I15" s="537"/>
      <c r="J15" s="537"/>
      <c r="K15" s="537"/>
      <c r="L15" s="537"/>
      <c r="M15" s="537"/>
      <c r="N15" s="537"/>
      <c r="O15" s="537"/>
      <c r="P15" s="537"/>
      <c r="Q15" s="537"/>
      <c r="R15" s="543"/>
      <c r="S15" s="544"/>
      <c r="T15" s="538"/>
    </row>
    <row r="16" spans="1:20" ht="18.75" customHeight="1" x14ac:dyDescent="0.25">
      <c r="A16" s="527"/>
      <c r="B16" s="528"/>
      <c r="C16" s="764" t="s">
        <v>55</v>
      </c>
      <c r="D16" s="770"/>
      <c r="E16" s="545">
        <f>E14/E12</f>
        <v>0.16344446626165274</v>
      </c>
      <c r="F16" s="546">
        <f t="shared" ref="F16:Q16" si="2">F14/F12</f>
        <v>0.7756449383441586</v>
      </c>
      <c r="G16" s="547">
        <f t="shared" si="2"/>
        <v>0.59910108937849949</v>
      </c>
      <c r="H16" s="548">
        <f t="shared" si="2"/>
        <v>0.32306032470598584</v>
      </c>
      <c r="I16" s="547">
        <f t="shared" si="2"/>
        <v>0.49007648723004782</v>
      </c>
      <c r="J16" s="547">
        <f t="shared" si="2"/>
        <v>0</v>
      </c>
      <c r="K16" s="547">
        <f t="shared" si="2"/>
        <v>0</v>
      </c>
      <c r="L16" s="547">
        <f t="shared" si="2"/>
        <v>0</v>
      </c>
      <c r="M16" s="547">
        <f t="shared" si="2"/>
        <v>0</v>
      </c>
      <c r="N16" s="547">
        <f t="shared" si="2"/>
        <v>0</v>
      </c>
      <c r="O16" s="547">
        <f t="shared" si="2"/>
        <v>0</v>
      </c>
      <c r="P16" s="547">
        <f t="shared" si="2"/>
        <v>0</v>
      </c>
      <c r="Q16" s="549">
        <f t="shared" si="2"/>
        <v>0</v>
      </c>
      <c r="R16" s="550"/>
      <c r="S16" s="544"/>
      <c r="T16" s="533"/>
    </row>
    <row r="17" spans="1:20" ht="5.0999999999999996" customHeight="1" x14ac:dyDescent="0.25">
      <c r="B17" s="534"/>
      <c r="C17" s="551"/>
      <c r="D17" s="552"/>
      <c r="E17" s="551"/>
      <c r="F17" s="553"/>
      <c r="R17" s="554"/>
      <c r="S17" s="555"/>
      <c r="T17" s="538"/>
    </row>
    <row r="18" spans="1:20" x14ac:dyDescent="0.25">
      <c r="B18" s="534"/>
      <c r="C18" s="556" t="s">
        <v>131</v>
      </c>
      <c r="D18" s="557"/>
      <c r="E18" s="558"/>
      <c r="F18" s="559" t="s">
        <v>8</v>
      </c>
      <c r="G18" s="560" t="s">
        <v>9</v>
      </c>
      <c r="H18" s="560" t="s">
        <v>10</v>
      </c>
      <c r="I18" s="560" t="s">
        <v>11</v>
      </c>
      <c r="J18" s="560" t="s">
        <v>12</v>
      </c>
      <c r="K18" s="560" t="s">
        <v>13</v>
      </c>
      <c r="L18" s="560" t="s">
        <v>14</v>
      </c>
      <c r="M18" s="560" t="s">
        <v>15</v>
      </c>
      <c r="N18" s="560" t="s">
        <v>16</v>
      </c>
      <c r="O18" s="560" t="s">
        <v>17</v>
      </c>
      <c r="P18" s="560" t="s">
        <v>18</v>
      </c>
      <c r="Q18" s="561" t="s">
        <v>19</v>
      </c>
      <c r="R18" s="774" t="s">
        <v>28</v>
      </c>
      <c r="S18" s="775"/>
      <c r="T18" s="538"/>
    </row>
    <row r="19" spans="1:20" x14ac:dyDescent="0.25">
      <c r="A19" s="562"/>
      <c r="B19" s="563"/>
      <c r="C19" s="564" t="s">
        <v>58</v>
      </c>
      <c r="D19" s="771"/>
      <c r="E19" s="565" t="s">
        <v>132</v>
      </c>
      <c r="F19" s="566">
        <f>'[1]Suivi Prod.2022'!F11</f>
        <v>507985.74692666112</v>
      </c>
      <c r="G19" s="567">
        <f>'[1]Suivi Prod.2022'!G11</f>
        <v>3256407.8093841388</v>
      </c>
      <c r="H19" s="567">
        <f>'[1]Suivi Prod.2022'!H11</f>
        <v>20624023.799756039</v>
      </c>
      <c r="I19" s="567">
        <f>'[1]Suivi Prod.2022'!I11</f>
        <v>21208994.354635298</v>
      </c>
      <c r="J19" s="567">
        <f>'[1]Suivi Prod.2022'!J11</f>
        <v>14289638.281341184</v>
      </c>
      <c r="K19" s="567">
        <f>'[1]Suivi Prod.2022'!K11</f>
        <v>22013644.230739068</v>
      </c>
      <c r="L19" s="567">
        <f>'[1]Suivi Prod.2022'!L11</f>
        <v>16645857.193568034</v>
      </c>
      <c r="M19" s="567">
        <f>'[1]Suivi Prod.2022'!M11</f>
        <v>12975977.902131693</v>
      </c>
      <c r="N19" s="567">
        <f>'[1]Suivi Prod.2022'!N11</f>
        <v>14182898.415348502</v>
      </c>
      <c r="O19" s="567">
        <f>'[1]Suivi Prod.2022'!O11</f>
        <v>10269675.732009031</v>
      </c>
      <c r="P19" s="567">
        <f>'[1]Suivi Prod.2022'!P11</f>
        <v>5307682.8595377766</v>
      </c>
      <c r="Q19" s="568">
        <f>'[1]Suivi Prod.2022'!Q11</f>
        <v>2642941.7926015663</v>
      </c>
      <c r="R19" s="569">
        <f>SUM(F19:Q19)</f>
        <v>143925728.11797899</v>
      </c>
      <c r="S19" s="570"/>
      <c r="T19" s="571"/>
    </row>
    <row r="20" spans="1:20" x14ac:dyDescent="0.25">
      <c r="A20" s="562"/>
      <c r="B20" s="563"/>
      <c r="C20" s="572" t="s">
        <v>58</v>
      </c>
      <c r="D20" s="772"/>
      <c r="E20" s="573" t="s">
        <v>133</v>
      </c>
      <c r="F20" s="574">
        <f>'[1]Suivi Prod.2022'!F12</f>
        <v>191004</v>
      </c>
      <c r="G20" s="575">
        <f>'[1]Suivi Prod.2022'!G12</f>
        <v>384075</v>
      </c>
      <c r="H20" s="575">
        <f>'[1]Suivi Prod.2022'!H12</f>
        <v>5812633</v>
      </c>
      <c r="I20" s="575">
        <f>'[1]Suivi Prod.2022'!I12</f>
        <v>10320986</v>
      </c>
      <c r="J20" s="575">
        <f>'[1]Suivi Prod.2022'!J12</f>
        <v>0</v>
      </c>
      <c r="K20" s="575">
        <f>'[1]Suivi Prod.2022'!K12</f>
        <v>0</v>
      </c>
      <c r="L20" s="575">
        <f>'[1]Suivi Prod.2022'!L12</f>
        <v>0</v>
      </c>
      <c r="M20" s="575">
        <f>'[1]Suivi Prod.2022'!M12</f>
        <v>0</v>
      </c>
      <c r="N20" s="575">
        <f>'[1]Suivi Prod.2022'!N12</f>
        <v>0</v>
      </c>
      <c r="O20" s="575">
        <f>'[1]Suivi Prod.2022'!O12</f>
        <v>0</v>
      </c>
      <c r="P20" s="575">
        <f>'[1]Suivi Prod.2022'!P12</f>
        <v>0</v>
      </c>
      <c r="Q20" s="576">
        <f>'[1]Suivi Prod.2022'!Q12</f>
        <v>0</v>
      </c>
      <c r="R20" s="569">
        <f>SUM(F20:Q20)</f>
        <v>16708698</v>
      </c>
      <c r="S20" s="570"/>
      <c r="T20" s="571"/>
    </row>
    <row r="21" spans="1:20" ht="22.5" x14ac:dyDescent="0.25">
      <c r="A21" s="562"/>
      <c r="B21" s="563"/>
      <c r="C21" s="577" t="s">
        <v>58</v>
      </c>
      <c r="D21" s="773"/>
      <c r="E21" s="578" t="s">
        <v>134</v>
      </c>
      <c r="F21" s="579">
        <f>IF(F20&gt;F19,1,IF(F19=0,0,F20/F19))</f>
        <v>0.37600267557817052</v>
      </c>
      <c r="G21" s="580">
        <f t="shared" ref="G21:R21" si="3">IF(G20&gt;G19,1,IF(G19=0,0,G20/G19))</f>
        <v>0.11794437996776497</v>
      </c>
      <c r="H21" s="580">
        <f t="shared" si="3"/>
        <v>0.28183796995369825</v>
      </c>
      <c r="I21" s="580">
        <f t="shared" si="3"/>
        <v>0.48663250257994023</v>
      </c>
      <c r="J21" s="580">
        <f t="shared" si="3"/>
        <v>0</v>
      </c>
      <c r="K21" s="580">
        <f t="shared" si="3"/>
        <v>0</v>
      </c>
      <c r="L21" s="580">
        <f t="shared" si="3"/>
        <v>0</v>
      </c>
      <c r="M21" s="580">
        <f t="shared" si="3"/>
        <v>0</v>
      </c>
      <c r="N21" s="580">
        <f t="shared" si="3"/>
        <v>0</v>
      </c>
      <c r="O21" s="580">
        <f t="shared" si="3"/>
        <v>0</v>
      </c>
      <c r="P21" s="580">
        <f t="shared" si="3"/>
        <v>0</v>
      </c>
      <c r="Q21" s="581">
        <f t="shared" si="3"/>
        <v>0</v>
      </c>
      <c r="R21" s="582">
        <f t="shared" si="3"/>
        <v>0.11609250283801603</v>
      </c>
      <c r="S21" s="583" t="str">
        <f>IF(R21&gt;70%,"J",IF(R21&lt;=30%,"L","K"))</f>
        <v>L</v>
      </c>
      <c r="T21" s="571"/>
    </row>
    <row r="22" spans="1:20" x14ac:dyDescent="0.25">
      <c r="A22" s="562"/>
      <c r="B22" s="563"/>
      <c r="C22" s="564" t="s">
        <v>61</v>
      </c>
      <c r="D22" s="771"/>
      <c r="E22" s="584" t="s">
        <v>132</v>
      </c>
      <c r="F22" s="566">
        <f>'[1]Suivi Prod.2022'!F32</f>
        <v>129167.74218200092</v>
      </c>
      <c r="G22" s="567">
        <f>'[1]Suivi Prod.2022'!G32</f>
        <v>157633.53250390157</v>
      </c>
      <c r="H22" s="567">
        <f>'[1]Suivi Prod.2022'!H32</f>
        <v>565780.2981667273</v>
      </c>
      <c r="I22" s="567">
        <f>'[1]Suivi Prod.2022'!I32</f>
        <v>465698.96673515678</v>
      </c>
      <c r="J22" s="567">
        <f>'[1]Suivi Prod.2022'!J32</f>
        <v>0</v>
      </c>
      <c r="K22" s="567">
        <f>'[1]Suivi Prod.2022'!K32</f>
        <v>100965.61413365873</v>
      </c>
      <c r="L22" s="567">
        <f>'[1]Suivi Prod.2022'!L32</f>
        <v>0</v>
      </c>
      <c r="M22" s="567">
        <f>'[1]Suivi Prod.2022'!M32</f>
        <v>0</v>
      </c>
      <c r="N22" s="567">
        <f>'[1]Suivi Prod.2022'!N32</f>
        <v>300660.17505266686</v>
      </c>
      <c r="O22" s="567">
        <f>'[1]Suivi Prod.2022'!O32</f>
        <v>204253.89008023366</v>
      </c>
      <c r="P22" s="567">
        <f>'[1]Suivi Prod.2022'!P32</f>
        <v>139091.99015873973</v>
      </c>
      <c r="Q22" s="568">
        <f>'[1]Suivi Prod.2022'!Q32</f>
        <v>89581.082795673356</v>
      </c>
      <c r="R22" s="569">
        <f>SUM(F22:Q22)</f>
        <v>2152833.2918087589</v>
      </c>
      <c r="S22" s="570"/>
      <c r="T22" s="571"/>
    </row>
    <row r="23" spans="1:20" x14ac:dyDescent="0.25">
      <c r="A23" s="562"/>
      <c r="B23" s="563"/>
      <c r="C23" s="572" t="s">
        <v>61</v>
      </c>
      <c r="D23" s="772"/>
      <c r="E23" s="585" t="s">
        <v>133</v>
      </c>
      <c r="F23" s="586">
        <f>'[1]Suivi Prod.2022'!F33</f>
        <v>771645</v>
      </c>
      <c r="G23" s="587">
        <f>'[1]Suivi Prod.2022'!G33</f>
        <v>363715</v>
      </c>
      <c r="H23" s="587">
        <f>'[1]Suivi Prod.2022'!H33</f>
        <v>50616</v>
      </c>
      <c r="I23" s="587">
        <f>'[1]Suivi Prod.2022'!I33</f>
        <v>386619</v>
      </c>
      <c r="J23" s="587">
        <f>'[1]Suivi Prod.2022'!J33</f>
        <v>0</v>
      </c>
      <c r="K23" s="587">
        <f>'[1]Suivi Prod.2022'!K33</f>
        <v>0</v>
      </c>
      <c r="L23" s="587">
        <f>'[1]Suivi Prod.2022'!L33</f>
        <v>0</v>
      </c>
      <c r="M23" s="587">
        <f>'[1]Suivi Prod.2022'!M33</f>
        <v>0</v>
      </c>
      <c r="N23" s="587">
        <f>'[1]Suivi Prod.2022'!N33</f>
        <v>0</v>
      </c>
      <c r="O23" s="587">
        <f>'[1]Suivi Prod.2022'!O33</f>
        <v>0</v>
      </c>
      <c r="P23" s="587">
        <f>'[1]Suivi Prod.2022'!P33</f>
        <v>0</v>
      </c>
      <c r="Q23" s="588">
        <f>'[1]Suivi Prod.2022'!Q33</f>
        <v>0</v>
      </c>
      <c r="R23" s="569">
        <f>SUM(F23:Q23)</f>
        <v>1572595</v>
      </c>
      <c r="S23" s="570"/>
      <c r="T23" s="571"/>
    </row>
    <row r="24" spans="1:20" ht="22.5" x14ac:dyDescent="0.25">
      <c r="A24" s="562"/>
      <c r="B24" s="563"/>
      <c r="C24" s="577" t="s">
        <v>61</v>
      </c>
      <c r="D24" s="773"/>
      <c r="E24" s="589" t="s">
        <v>134</v>
      </c>
      <c r="F24" s="579">
        <f>IF(F23&gt;F22,1,IF(F22=0,0,F23/F22))</f>
        <v>1</v>
      </c>
      <c r="G24" s="580">
        <f t="shared" ref="G24:R24" si="4">IF(G23&gt;G22,1,IF(G22=0,0,G23/G22))</f>
        <v>1</v>
      </c>
      <c r="H24" s="580">
        <f t="shared" si="4"/>
        <v>8.9462288036555482E-2</v>
      </c>
      <c r="I24" s="580">
        <f t="shared" si="4"/>
        <v>0.83019080482493401</v>
      </c>
      <c r="J24" s="580">
        <f t="shared" si="4"/>
        <v>0</v>
      </c>
      <c r="K24" s="580">
        <f t="shared" si="4"/>
        <v>0</v>
      </c>
      <c r="L24" s="580">
        <f t="shared" si="4"/>
        <v>0</v>
      </c>
      <c r="M24" s="580">
        <f t="shared" si="4"/>
        <v>0</v>
      </c>
      <c r="N24" s="580">
        <f t="shared" si="4"/>
        <v>0</v>
      </c>
      <c r="O24" s="580">
        <f t="shared" si="4"/>
        <v>0</v>
      </c>
      <c r="P24" s="580">
        <f t="shared" si="4"/>
        <v>0</v>
      </c>
      <c r="Q24" s="581">
        <f t="shared" si="4"/>
        <v>0</v>
      </c>
      <c r="R24" s="582">
        <f t="shared" si="4"/>
        <v>0.73047690500862861</v>
      </c>
      <c r="S24" s="583" t="str">
        <f>IF(R24&gt;70%,"J",IF(R24&lt;=30%,"L","K"))</f>
        <v>J</v>
      </c>
      <c r="T24" s="571"/>
    </row>
    <row r="25" spans="1:20" x14ac:dyDescent="0.25">
      <c r="A25" s="562"/>
      <c r="B25" s="563"/>
      <c r="C25" s="564" t="s">
        <v>62</v>
      </c>
      <c r="D25" s="771"/>
      <c r="E25" s="590" t="s">
        <v>132</v>
      </c>
      <c r="F25" s="591">
        <f>'[1]Suivi Prod.2022'!F53</f>
        <v>46110.941643080732</v>
      </c>
      <c r="G25" s="592">
        <f>'[1]Suivi Prod.2022'!G53</f>
        <v>352815.24538548075</v>
      </c>
      <c r="H25" s="592">
        <f>'[1]Suivi Prod.2022'!H53</f>
        <v>465714.65647641337</v>
      </c>
      <c r="I25" s="592">
        <f>'[1]Suivi Prod.2022'!I53</f>
        <v>32405.278937861021</v>
      </c>
      <c r="J25" s="592">
        <f>'[1]Suivi Prod.2022'!J53</f>
        <v>38250.03104997932</v>
      </c>
      <c r="K25" s="592">
        <f>'[1]Suivi Prod.2022'!K53</f>
        <v>222781.21912825276</v>
      </c>
      <c r="L25" s="592">
        <f>'[1]Suivi Prod.2022'!L53</f>
        <v>200551.17904370028</v>
      </c>
      <c r="M25" s="592">
        <f>'[1]Suivi Prod.2022'!M53</f>
        <v>8445.5419141452967</v>
      </c>
      <c r="N25" s="592">
        <f>'[1]Suivi Prod.2022'!N53</f>
        <v>303017.77005843451</v>
      </c>
      <c r="O25" s="592">
        <f>'[1]Suivi Prod.2022'!O53</f>
        <v>175362.85764171605</v>
      </c>
      <c r="P25" s="592">
        <f>'[1]Suivi Prod.2022'!P53</f>
        <v>6499.6328575866828</v>
      </c>
      <c r="Q25" s="593">
        <f>'[1]Suivi Prod.2022'!Q53</f>
        <v>24268.053942023245</v>
      </c>
      <c r="R25" s="569">
        <f>SUM(F25:Q25)</f>
        <v>1876222.4080786738</v>
      </c>
      <c r="S25" s="570"/>
      <c r="T25" s="571"/>
    </row>
    <row r="26" spans="1:20" x14ac:dyDescent="0.25">
      <c r="A26" s="562"/>
      <c r="B26" s="563"/>
      <c r="C26" s="572" t="s">
        <v>62</v>
      </c>
      <c r="D26" s="772"/>
      <c r="E26" s="585" t="s">
        <v>133</v>
      </c>
      <c r="F26" s="586">
        <f>'[1]Suivi Prod.2022'!F54</f>
        <v>125224</v>
      </c>
      <c r="G26" s="587">
        <f>'[1]Suivi Prod.2022'!G54</f>
        <v>335048</v>
      </c>
      <c r="H26" s="587">
        <f>'[1]Suivi Prod.2022'!H54</f>
        <v>428744</v>
      </c>
      <c r="I26" s="587">
        <f>'[1]Suivi Prod.2022'!I54</f>
        <v>45178</v>
      </c>
      <c r="J26" s="587">
        <f>'[1]Suivi Prod.2022'!J54</f>
        <v>0</v>
      </c>
      <c r="K26" s="587">
        <f>'[1]Suivi Prod.2022'!K54</f>
        <v>0</v>
      </c>
      <c r="L26" s="587">
        <f>'[1]Suivi Prod.2022'!L54</f>
        <v>0</v>
      </c>
      <c r="M26" s="587">
        <f>'[1]Suivi Prod.2022'!M54</f>
        <v>0</v>
      </c>
      <c r="N26" s="587">
        <f>'[1]Suivi Prod.2022'!N54</f>
        <v>0</v>
      </c>
      <c r="O26" s="587">
        <f>'[1]Suivi Prod.2022'!O54</f>
        <v>0</v>
      </c>
      <c r="P26" s="587">
        <f>'[1]Suivi Prod.2022'!P54</f>
        <v>0</v>
      </c>
      <c r="Q26" s="588">
        <f>'[1]Suivi Prod.2022'!Q54</f>
        <v>0</v>
      </c>
      <c r="R26" s="569">
        <f>SUM(F26:Q26)</f>
        <v>934194</v>
      </c>
      <c r="S26" s="570"/>
      <c r="T26" s="571"/>
    </row>
    <row r="27" spans="1:20" ht="22.5" x14ac:dyDescent="0.25">
      <c r="A27" s="562"/>
      <c r="B27" s="563"/>
      <c r="C27" s="577" t="s">
        <v>62</v>
      </c>
      <c r="D27" s="773"/>
      <c r="E27" s="589" t="s">
        <v>134</v>
      </c>
      <c r="F27" s="579">
        <f>IF(F26&gt;F25,1,IF(F25=0,0,F26/F25))</f>
        <v>1</v>
      </c>
      <c r="G27" s="580">
        <f t="shared" ref="G27:R27" si="5">IF(G26&gt;G25,1,IF(G25=0,0,G26/G25))</f>
        <v>0.94964150325741015</v>
      </c>
      <c r="H27" s="580">
        <f t="shared" si="5"/>
        <v>0.92061521800466295</v>
      </c>
      <c r="I27" s="580">
        <f t="shared" si="5"/>
        <v>1</v>
      </c>
      <c r="J27" s="580">
        <f t="shared" si="5"/>
        <v>0</v>
      </c>
      <c r="K27" s="580">
        <f t="shared" si="5"/>
        <v>0</v>
      </c>
      <c r="L27" s="580">
        <f t="shared" si="5"/>
        <v>0</v>
      </c>
      <c r="M27" s="580">
        <f t="shared" si="5"/>
        <v>0</v>
      </c>
      <c r="N27" s="580">
        <f t="shared" si="5"/>
        <v>0</v>
      </c>
      <c r="O27" s="580">
        <f t="shared" si="5"/>
        <v>0</v>
      </c>
      <c r="P27" s="580">
        <f t="shared" si="5"/>
        <v>0</v>
      </c>
      <c r="Q27" s="581">
        <f t="shared" si="5"/>
        <v>0</v>
      </c>
      <c r="R27" s="582">
        <f t="shared" si="5"/>
        <v>0.49791218566494561</v>
      </c>
      <c r="S27" s="583" t="str">
        <f>IF(R27&gt;70%,"J",IF(R27&lt;=30%,"L","K"))</f>
        <v>K</v>
      </c>
      <c r="T27" s="571"/>
    </row>
    <row r="28" spans="1:20" x14ac:dyDescent="0.25">
      <c r="A28" s="562"/>
      <c r="B28" s="563"/>
      <c r="C28" s="594" t="s">
        <v>63</v>
      </c>
      <c r="D28" s="771"/>
      <c r="E28" s="595" t="s">
        <v>132</v>
      </c>
      <c r="F28" s="566">
        <f>'[1]Suivi Prod.2022'!F77</f>
        <v>1624452.136291486</v>
      </c>
      <c r="G28" s="567">
        <f>'[1]Suivi Prod.2022'!G77</f>
        <v>1251317.7843824713</v>
      </c>
      <c r="H28" s="567">
        <f>'[1]Suivi Prod.2022'!H77</f>
        <v>868279.04184495157</v>
      </c>
      <c r="I28" s="567">
        <f>'[1]Suivi Prod.2022'!I77</f>
        <v>1440018.493088769</v>
      </c>
      <c r="J28" s="567">
        <f>'[1]Suivi Prod.2022'!J77</f>
        <v>1043883.5905236241</v>
      </c>
      <c r="K28" s="567">
        <f>'[1]Suivi Prod.2022'!K77</f>
        <v>1292409.0638707783</v>
      </c>
      <c r="L28" s="567">
        <f>'[1]Suivi Prod.2022'!L77</f>
        <v>804026.52262042125</v>
      </c>
      <c r="M28" s="567">
        <f>'[1]Suivi Prod.2022'!M77</f>
        <v>1057464.0190118048</v>
      </c>
      <c r="N28" s="567">
        <f>'[1]Suivi Prod.2022'!N77</f>
        <v>504863.07745118433</v>
      </c>
      <c r="O28" s="567">
        <f>'[1]Suivi Prod.2022'!O77</f>
        <v>495841.37615305517</v>
      </c>
      <c r="P28" s="567">
        <f>'[1]Suivi Prod.2022'!P77</f>
        <v>611735.62364518468</v>
      </c>
      <c r="Q28" s="568">
        <f>'[1]Suivi Prod.2022'!Q77</f>
        <v>587539.81037959165</v>
      </c>
      <c r="R28" s="596">
        <f>SUM(F28:Q28)</f>
        <v>11581830.539263321</v>
      </c>
      <c r="S28" s="597"/>
      <c r="T28" s="571"/>
    </row>
    <row r="29" spans="1:20" x14ac:dyDescent="0.25">
      <c r="A29" s="562"/>
      <c r="B29" s="563"/>
      <c r="C29" s="598" t="s">
        <v>63</v>
      </c>
      <c r="D29" s="772"/>
      <c r="E29" s="599" t="s">
        <v>133</v>
      </c>
      <c r="F29" s="586">
        <f>'[1]Suivi Prod.2022'!F78</f>
        <v>661040</v>
      </c>
      <c r="G29" s="587">
        <f>'[1]Suivi Prod.2022'!G78</f>
        <v>719519</v>
      </c>
      <c r="H29" s="587">
        <f>'[1]Suivi Prod.2022'!H78</f>
        <v>900749</v>
      </c>
      <c r="I29" s="587">
        <f>'[1]Suivi Prod.2022'!I78</f>
        <v>528824</v>
      </c>
      <c r="J29" s="587">
        <f>'[1]Suivi Prod.2022'!J78</f>
        <v>0</v>
      </c>
      <c r="K29" s="587">
        <f>'[1]Suivi Prod.2022'!K78</f>
        <v>0</v>
      </c>
      <c r="L29" s="587">
        <f>'[1]Suivi Prod.2022'!L78</f>
        <v>0</v>
      </c>
      <c r="M29" s="587">
        <f>'[1]Suivi Prod.2022'!M78</f>
        <v>0</v>
      </c>
      <c r="N29" s="587">
        <f>'[1]Suivi Prod.2022'!N78</f>
        <v>0</v>
      </c>
      <c r="O29" s="587">
        <f>'[1]Suivi Prod.2022'!O78</f>
        <v>0</v>
      </c>
      <c r="P29" s="587">
        <f>'[1]Suivi Prod.2022'!P78</f>
        <v>0</v>
      </c>
      <c r="Q29" s="588">
        <f>'[1]Suivi Prod.2022'!Q78</f>
        <v>0</v>
      </c>
      <c r="R29" s="569">
        <f>SUM(F29:Q29)</f>
        <v>2810132</v>
      </c>
      <c r="S29" s="600"/>
      <c r="T29" s="571"/>
    </row>
    <row r="30" spans="1:20" ht="22.5" x14ac:dyDescent="0.25">
      <c r="A30" s="562"/>
      <c r="B30" s="563"/>
      <c r="C30" s="601" t="s">
        <v>63</v>
      </c>
      <c r="D30" s="773"/>
      <c r="E30" s="602" t="s">
        <v>134</v>
      </c>
      <c r="F30" s="579">
        <f>IF(F29&gt;F28,1,IF(F28=0,0,F29/F28))</f>
        <v>0.40693104169206823</v>
      </c>
      <c r="G30" s="580">
        <f t="shared" ref="G30:R30" si="6">IF(G29&gt;G28,1,IF(G28=0,0,G29/G28))</f>
        <v>0.5750090096858046</v>
      </c>
      <c r="H30" s="580">
        <f t="shared" si="6"/>
        <v>1</v>
      </c>
      <c r="I30" s="580">
        <f t="shared" si="6"/>
        <v>0.36723417271239239</v>
      </c>
      <c r="J30" s="580">
        <f t="shared" si="6"/>
        <v>0</v>
      </c>
      <c r="K30" s="580">
        <f t="shared" si="6"/>
        <v>0</v>
      </c>
      <c r="L30" s="580">
        <f t="shared" si="6"/>
        <v>0</v>
      </c>
      <c r="M30" s="580">
        <f t="shared" si="6"/>
        <v>0</v>
      </c>
      <c r="N30" s="580">
        <f t="shared" si="6"/>
        <v>0</v>
      </c>
      <c r="O30" s="580">
        <f t="shared" si="6"/>
        <v>0</v>
      </c>
      <c r="P30" s="580">
        <f t="shared" si="6"/>
        <v>0</v>
      </c>
      <c r="Q30" s="581">
        <f t="shared" si="6"/>
        <v>0</v>
      </c>
      <c r="R30" s="582">
        <f t="shared" si="6"/>
        <v>0.24263280234272383</v>
      </c>
      <c r="S30" s="603" t="str">
        <f>IF(R30&gt;70%,"J",IF(R30&lt;=30%,"L","K"))</f>
        <v>L</v>
      </c>
      <c r="T30" s="571"/>
    </row>
    <row r="31" spans="1:20" x14ac:dyDescent="0.25">
      <c r="A31" s="562"/>
      <c r="B31" s="563"/>
      <c r="C31" s="594" t="s">
        <v>65</v>
      </c>
      <c r="D31" s="771"/>
      <c r="E31" s="595" t="s">
        <v>132</v>
      </c>
      <c r="F31" s="566">
        <f>'[1]Suivi Prod.2022'!F143</f>
        <v>2916116.9161608769</v>
      </c>
      <c r="G31" s="567">
        <f>'[1]Suivi Prod.2022'!G143</f>
        <v>3849926.6787218815</v>
      </c>
      <c r="H31" s="567">
        <f>'[1]Suivi Prod.2022'!H143</f>
        <v>2263510.9123935513</v>
      </c>
      <c r="I31" s="567">
        <f>'[1]Suivi Prod.2022'!I143</f>
        <v>2775791.5362440064</v>
      </c>
      <c r="J31" s="567">
        <f>'[1]Suivi Prod.2022'!J143</f>
        <v>642014.74800203252</v>
      </c>
      <c r="K31" s="567">
        <f>'[1]Suivi Prod.2022'!K143</f>
        <v>3316766.5564695764</v>
      </c>
      <c r="L31" s="567">
        <f>'[1]Suivi Prod.2022'!L143</f>
        <v>1024909.7127989543</v>
      </c>
      <c r="M31" s="567">
        <f>'[1]Suivi Prod.2022'!M143</f>
        <v>306241.16547138122</v>
      </c>
      <c r="N31" s="567">
        <f>'[1]Suivi Prod.2022'!N143</f>
        <v>1442968.4042694685</v>
      </c>
      <c r="O31" s="567">
        <f>'[1]Suivi Prod.2022'!O143</f>
        <v>2731442.7241056557</v>
      </c>
      <c r="P31" s="567">
        <f>'[1]Suivi Prod.2022'!P143</f>
        <v>1255742.2735206878</v>
      </c>
      <c r="Q31" s="568">
        <f>'[1]Suivi Prod.2022'!Q143</f>
        <v>1956010.3486058684</v>
      </c>
      <c r="R31" s="569">
        <f>SUM(F31:Q31)</f>
        <v>24481441.976763941</v>
      </c>
      <c r="S31" s="570"/>
      <c r="T31" s="571"/>
    </row>
    <row r="32" spans="1:20" x14ac:dyDescent="0.25">
      <c r="A32" s="562"/>
      <c r="B32" s="563"/>
      <c r="C32" s="598" t="s">
        <v>65</v>
      </c>
      <c r="D32" s="772"/>
      <c r="E32" s="599" t="s">
        <v>133</v>
      </c>
      <c r="F32" s="586">
        <f>'[1]Suivi Prod.2022'!F144</f>
        <v>2302927</v>
      </c>
      <c r="G32" s="587">
        <f>'[1]Suivi Prod.2022'!G144</f>
        <v>3510532</v>
      </c>
      <c r="H32" s="587">
        <f>'[1]Suivi Prod.2022'!H144</f>
        <v>815054</v>
      </c>
      <c r="I32" s="587">
        <f>'[1]Suivi Prod.2022'!I144</f>
        <v>1422601</v>
      </c>
      <c r="J32" s="587">
        <f>'[1]Suivi Prod.2022'!J144</f>
        <v>0</v>
      </c>
      <c r="K32" s="587">
        <f>'[1]Suivi Prod.2022'!K144</f>
        <v>0</v>
      </c>
      <c r="L32" s="587">
        <f>'[1]Suivi Prod.2022'!L144</f>
        <v>0</v>
      </c>
      <c r="M32" s="587">
        <f>'[1]Suivi Prod.2022'!M144</f>
        <v>0</v>
      </c>
      <c r="N32" s="587">
        <f>'[1]Suivi Prod.2022'!N144</f>
        <v>0</v>
      </c>
      <c r="O32" s="587">
        <f>'[1]Suivi Prod.2022'!O144</f>
        <v>0</v>
      </c>
      <c r="P32" s="587">
        <f>'[1]Suivi Prod.2022'!P144</f>
        <v>0</v>
      </c>
      <c r="Q32" s="588">
        <f>'[1]Suivi Prod.2022'!Q144</f>
        <v>0</v>
      </c>
      <c r="R32" s="569">
        <f>SUM(F32:Q32)</f>
        <v>8051114</v>
      </c>
      <c r="S32" s="570"/>
      <c r="T32" s="571"/>
    </row>
    <row r="33" spans="1:20" ht="22.5" x14ac:dyDescent="0.25">
      <c r="A33" s="562"/>
      <c r="B33" s="563"/>
      <c r="C33" s="601" t="s">
        <v>65</v>
      </c>
      <c r="D33" s="773"/>
      <c r="E33" s="602" t="s">
        <v>134</v>
      </c>
      <c r="F33" s="579">
        <f>IF(F32&gt;F31,1,IF(F31=0,0,F32/F31))</f>
        <v>0.78972382322442924</v>
      </c>
      <c r="G33" s="580">
        <f t="shared" ref="G33:R33" si="7">IF(G32&gt;G31,1,IF(G31=0,0,G32/G31))</f>
        <v>0.91184385910576471</v>
      </c>
      <c r="H33" s="580">
        <f t="shared" si="7"/>
        <v>0.36008397199999381</v>
      </c>
      <c r="I33" s="580">
        <f t="shared" si="7"/>
        <v>0.51250282358197452</v>
      </c>
      <c r="J33" s="580">
        <f t="shared" si="7"/>
        <v>0</v>
      </c>
      <c r="K33" s="580">
        <f t="shared" si="7"/>
        <v>0</v>
      </c>
      <c r="L33" s="580">
        <f t="shared" si="7"/>
        <v>0</v>
      </c>
      <c r="M33" s="580">
        <f t="shared" si="7"/>
        <v>0</v>
      </c>
      <c r="N33" s="580">
        <f t="shared" si="7"/>
        <v>0</v>
      </c>
      <c r="O33" s="580">
        <f t="shared" si="7"/>
        <v>0</v>
      </c>
      <c r="P33" s="580">
        <f t="shared" si="7"/>
        <v>0</v>
      </c>
      <c r="Q33" s="581">
        <f t="shared" si="7"/>
        <v>0</v>
      </c>
      <c r="R33" s="582">
        <f t="shared" si="7"/>
        <v>0.32886600420193995</v>
      </c>
      <c r="S33" s="583" t="str">
        <f>IF(R33&gt;70%,"J",IF(R33&lt;=30%,"L","K"))</f>
        <v>K</v>
      </c>
      <c r="T33" s="571"/>
    </row>
    <row r="34" spans="1:20" ht="15.75" thickBot="1" x14ac:dyDescent="0.3">
      <c r="B34" s="604"/>
      <c r="C34" s="605"/>
      <c r="D34" s="606"/>
      <c r="E34" s="605"/>
      <c r="F34" s="607"/>
      <c r="G34" s="607"/>
      <c r="H34" s="607"/>
      <c r="I34" s="607"/>
      <c r="J34" s="607"/>
      <c r="K34" s="607"/>
      <c r="L34" s="607"/>
      <c r="M34" s="607"/>
      <c r="N34" s="607"/>
      <c r="O34" s="607"/>
      <c r="P34" s="607"/>
      <c r="Q34" s="607"/>
      <c r="R34" s="608"/>
      <c r="S34" s="605"/>
      <c r="T34" s="609"/>
    </row>
    <row r="35" spans="1:20" ht="15.75" thickTop="1" x14ac:dyDescent="0.25"/>
  </sheetData>
  <mergeCells count="13">
    <mergeCell ref="D31:D33"/>
    <mergeCell ref="C16:D16"/>
    <mergeCell ref="R18:S18"/>
    <mergeCell ref="D19:D21"/>
    <mergeCell ref="D22:D24"/>
    <mergeCell ref="D25:D27"/>
    <mergeCell ref="D28:D30"/>
    <mergeCell ref="A1:C1"/>
    <mergeCell ref="F10:R10"/>
    <mergeCell ref="C12:D12"/>
    <mergeCell ref="R12:R14"/>
    <mergeCell ref="S12:S14"/>
    <mergeCell ref="C14:D14"/>
  </mergeCells>
  <conditionalFormatting sqref="F12:Q12">
    <cfRule type="dataBar" priority="5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{E41C7DCD-D71A-4C15-AB31-4C2E32D9F8ED}</x14:id>
        </ext>
      </extLst>
    </cfRule>
  </conditionalFormatting>
  <conditionalFormatting sqref="R24 R27 R30 R33">
    <cfRule type="cellIs" dxfId="71" priority="55" operator="greaterThan">
      <formula>0.7</formula>
    </cfRule>
    <cfRule type="cellIs" dxfId="70" priority="56" operator="between">
      <formula>0.31</formula>
      <formula>0.7</formula>
    </cfRule>
    <cfRule type="cellIs" dxfId="69" priority="57" operator="between">
      <formula>0</formula>
      <formula>0.3</formula>
    </cfRule>
  </conditionalFormatting>
  <conditionalFormatting sqref="R21">
    <cfRule type="cellIs" dxfId="68" priority="52" operator="greaterThan">
      <formula>0.7</formula>
    </cfRule>
    <cfRule type="cellIs" dxfId="67" priority="53" operator="between">
      <formula>0.31</formula>
      <formula>0.7</formula>
    </cfRule>
    <cfRule type="cellIs" dxfId="66" priority="54" operator="between">
      <formula>0</formula>
      <formula>0.3</formula>
    </cfRule>
  </conditionalFormatting>
  <conditionalFormatting sqref="S19:S33">
    <cfRule type="cellIs" dxfId="65" priority="43" operator="equal">
      <formula>"L"</formula>
    </cfRule>
    <cfRule type="cellIs" dxfId="64" priority="44" operator="equal">
      <formula>"K"</formula>
    </cfRule>
    <cfRule type="cellIs" dxfId="63" priority="45" operator="equal">
      <formula>"J"</formula>
    </cfRule>
  </conditionalFormatting>
  <conditionalFormatting sqref="R12">
    <cfRule type="cellIs" dxfId="62" priority="40" operator="greaterThan">
      <formula>0.7</formula>
    </cfRule>
    <cfRule type="cellIs" dxfId="61" priority="41" operator="between">
      <formula>0.31</formula>
      <formula>0.7</formula>
    </cfRule>
    <cfRule type="cellIs" dxfId="60" priority="42" operator="between">
      <formula>0</formula>
      <formula>0.3</formula>
    </cfRule>
  </conditionalFormatting>
  <conditionalFormatting sqref="S12">
    <cfRule type="cellIs" dxfId="59" priority="37" operator="equal">
      <formula>"L"</formula>
    </cfRule>
    <cfRule type="cellIs" dxfId="58" priority="38" operator="equal">
      <formula>"K"</formula>
    </cfRule>
    <cfRule type="cellIs" dxfId="57" priority="39" operator="equal">
      <formula>"J"</formula>
    </cfRule>
  </conditionalFormatting>
  <conditionalFormatting sqref="F14:Q14">
    <cfRule type="dataBar" priority="3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{827A6332-DA56-46E0-9ED7-51B50730999C}</x14:id>
        </ext>
      </extLst>
    </cfRule>
  </conditionalFormatting>
  <conditionalFormatting sqref="S17">
    <cfRule type="cellIs" dxfId="56" priority="33" operator="equal">
      <formula>"L"</formula>
    </cfRule>
    <cfRule type="cellIs" dxfId="55" priority="34" operator="equal">
      <formula>"K"</formula>
    </cfRule>
    <cfRule type="cellIs" dxfId="54" priority="35" operator="equal">
      <formula>"J"</formula>
    </cfRule>
  </conditionalFormatting>
  <conditionalFormatting sqref="E12:E15"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{EF7F2516-034F-4A1A-9F6E-E6E24E9BFC65}</x14:id>
        </ext>
      </extLst>
    </cfRule>
  </conditionalFormatting>
  <conditionalFormatting sqref="E16:Q16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{B5DB8A14-08D8-45FD-9057-DE58004080A4}</x14:id>
        </ext>
      </extLst>
    </cfRule>
  </conditionalFormatting>
  <hyperlinks>
    <hyperlink ref="A1:C1" r:id="rId1" location="Récapitulatif!A1" display="TBD CCE" xr:uid="{15615794-7974-4F74-9BDD-0325AACFF898}"/>
  </hyperlinks>
  <pageMargins left="0.7" right="0.7" top="0.75" bottom="0.75" header="0.3" footer="0.3"/>
  <ignoredErrors>
    <ignoredError sqref="R21:R33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1C7DCD-D71A-4C15-AB31-4C2E32D9F8ED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F12:Q12</xm:sqref>
        </x14:conditionalFormatting>
        <x14:conditionalFormatting xmlns:xm="http://schemas.microsoft.com/office/excel/2006/main">
          <x14:cfRule type="dataBar" id="{827A6332-DA56-46E0-9ED7-51B50730999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F14:Q14</xm:sqref>
        </x14:conditionalFormatting>
        <x14:conditionalFormatting xmlns:xm="http://schemas.microsoft.com/office/excel/2006/main">
          <x14:cfRule type="dataBar" id="{EF7F2516-034F-4A1A-9F6E-E6E24E9BFC6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E12:E15</xm:sqref>
        </x14:conditionalFormatting>
        <x14:conditionalFormatting xmlns:xm="http://schemas.microsoft.com/office/excel/2006/main">
          <x14:cfRule type="dataBar" id="{B5DB8A14-08D8-45FD-9057-DE58004080A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E16:Q16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89183-8980-49B4-A310-8B8225A4A8C8}">
  <sheetPr>
    <tabColor theme="8"/>
  </sheetPr>
  <dimension ref="A1:T37"/>
  <sheetViews>
    <sheetView showGridLines="0" topLeftCell="A7" zoomScale="80" zoomScaleNormal="80" workbookViewId="0">
      <selection activeCell="J40" sqref="J40"/>
    </sheetView>
  </sheetViews>
  <sheetFormatPr baseColWidth="10" defaultRowHeight="15" x14ac:dyDescent="0.25"/>
  <cols>
    <col min="1" max="1" width="5.28515625" customWidth="1"/>
    <col min="3" max="3" width="12.85546875" customWidth="1"/>
    <col min="4" max="4" width="22.42578125" style="519" customWidth="1"/>
    <col min="5" max="5" width="19.140625" customWidth="1"/>
    <col min="6" max="6" width="15" style="1" customWidth="1"/>
    <col min="7" max="10" width="13.85546875" style="1" customWidth="1"/>
    <col min="11" max="15" width="13.5703125" style="1" customWidth="1"/>
    <col min="16" max="17" width="14.5703125" style="1" customWidth="1"/>
    <col min="18" max="18" width="15.28515625" style="520" bestFit="1" customWidth="1"/>
    <col min="19" max="19" width="6" bestFit="1" customWidth="1"/>
  </cols>
  <sheetData>
    <row r="1" spans="1:20" x14ac:dyDescent="0.25">
      <c r="A1" s="760" t="s">
        <v>66</v>
      </c>
      <c r="B1" s="760"/>
      <c r="C1" s="760"/>
    </row>
    <row r="2" spans="1:20" x14ac:dyDescent="0.25">
      <c r="A2" s="614"/>
      <c r="B2" s="614"/>
      <c r="C2" s="614"/>
    </row>
    <row r="3" spans="1:20" x14ac:dyDescent="0.25">
      <c r="A3" s="614"/>
      <c r="B3" s="614"/>
      <c r="C3" s="614"/>
    </row>
    <row r="4" spans="1:20" x14ac:dyDescent="0.25">
      <c r="A4" s="614"/>
      <c r="B4" s="614"/>
      <c r="C4" s="614"/>
    </row>
    <row r="5" spans="1:20" x14ac:dyDescent="0.25">
      <c r="A5" s="614"/>
      <c r="B5" s="614"/>
      <c r="C5" s="614"/>
    </row>
    <row r="6" spans="1:20" x14ac:dyDescent="0.25">
      <c r="A6" s="614"/>
      <c r="B6" s="614"/>
      <c r="C6" s="614"/>
    </row>
    <row r="7" spans="1:20" x14ac:dyDescent="0.25">
      <c r="A7" s="614"/>
      <c r="B7" s="614"/>
      <c r="C7" s="614"/>
    </row>
    <row r="8" spans="1:20" x14ac:dyDescent="0.25">
      <c r="A8" s="614"/>
      <c r="B8" s="614"/>
      <c r="C8" s="614"/>
    </row>
    <row r="9" spans="1:20" x14ac:dyDescent="0.25">
      <c r="A9" s="614"/>
      <c r="B9" s="614"/>
      <c r="C9" s="614"/>
    </row>
    <row r="10" spans="1:20" x14ac:dyDescent="0.25">
      <c r="A10" s="614"/>
      <c r="B10" s="614"/>
      <c r="C10" s="614"/>
    </row>
    <row r="11" spans="1:20" ht="15.75" thickBot="1" x14ac:dyDescent="0.3">
      <c r="A11" s="614"/>
      <c r="B11" s="614"/>
      <c r="C11" s="614"/>
    </row>
    <row r="12" spans="1:20" ht="20.25" thickTop="1" thickBot="1" x14ac:dyDescent="0.35">
      <c r="F12" s="761" t="s">
        <v>135</v>
      </c>
      <c r="G12" s="762"/>
      <c r="H12" s="762"/>
      <c r="I12" s="762"/>
      <c r="J12" s="762"/>
      <c r="K12" s="762"/>
      <c r="L12" s="762"/>
      <c r="M12" s="762"/>
      <c r="N12" s="762"/>
      <c r="O12" s="762"/>
      <c r="P12" s="762"/>
      <c r="Q12" s="762"/>
      <c r="R12" s="763"/>
    </row>
    <row r="13" spans="1:20" ht="15.75" thickTop="1" x14ac:dyDescent="0.25">
      <c r="B13" s="521"/>
      <c r="C13" s="522"/>
      <c r="D13" s="523"/>
      <c r="E13" s="522"/>
      <c r="F13" s="524"/>
      <c r="G13" s="524"/>
      <c r="H13" s="524"/>
      <c r="I13" s="524"/>
      <c r="J13" s="524"/>
      <c r="K13" s="524"/>
      <c r="L13" s="524"/>
      <c r="M13" s="524"/>
      <c r="N13" s="524"/>
      <c r="O13" s="524"/>
      <c r="P13" s="524"/>
      <c r="Q13" s="524"/>
      <c r="R13" s="525"/>
      <c r="S13" s="522"/>
      <c r="T13" s="526"/>
    </row>
    <row r="14" spans="1:20" ht="18.75" x14ac:dyDescent="0.25">
      <c r="A14" s="527"/>
      <c r="B14" s="528"/>
      <c r="C14" s="764" t="s">
        <v>129</v>
      </c>
      <c r="D14" s="765"/>
      <c r="E14" s="529">
        <f>SUM(F14:Q14)</f>
        <v>173927135.8764933</v>
      </c>
      <c r="F14" s="530">
        <f t="shared" ref="F14:Q14" si="0">SUBTOTAL(9,F21,F24,F27,F30,F33)</f>
        <v>3579252.1299103517</v>
      </c>
      <c r="G14" s="531">
        <f t="shared" si="0"/>
        <v>7915236.3218563944</v>
      </c>
      <c r="H14" s="531">
        <f t="shared" si="0"/>
        <v>24377066.703925237</v>
      </c>
      <c r="I14" s="531">
        <f t="shared" si="0"/>
        <v>24448850.369298168</v>
      </c>
      <c r="J14" s="531">
        <f t="shared" si="0"/>
        <v>14999343.973682195</v>
      </c>
      <c r="K14" s="531">
        <f t="shared" si="0"/>
        <v>25824601.610407446</v>
      </c>
      <c r="L14" s="531">
        <f t="shared" si="0"/>
        <v>18072369.769069359</v>
      </c>
      <c r="M14" s="531">
        <f t="shared" si="0"/>
        <v>13294775.610059828</v>
      </c>
      <c r="N14" s="531">
        <f t="shared" si="0"/>
        <v>16529445.734541466</v>
      </c>
      <c r="O14" s="531">
        <f t="shared" si="0"/>
        <v>13508987.265412213</v>
      </c>
      <c r="P14" s="531">
        <f t="shared" si="0"/>
        <v>6684997.2435975708</v>
      </c>
      <c r="Q14" s="532">
        <f t="shared" si="0"/>
        <v>4692209.1447331086</v>
      </c>
      <c r="R14" s="766">
        <f>SUM(F16:Q16)/SUM(F14:Q14)</f>
        <v>0.13310759062024502</v>
      </c>
      <c r="S14" s="768" t="str">
        <f>IF(R14&gt;70%,"J",IF(R14&lt;=30%,"L","K"))</f>
        <v>L</v>
      </c>
      <c r="T14" s="533"/>
    </row>
    <row r="15" spans="1:20" ht="5.0999999999999996" customHeight="1" x14ac:dyDescent="0.25">
      <c r="B15" s="534"/>
      <c r="C15" s="535"/>
      <c r="D15" s="535"/>
      <c r="E15" s="536"/>
      <c r="F15" s="537"/>
      <c r="G15" s="537"/>
      <c r="H15" s="537"/>
      <c r="I15" s="537"/>
      <c r="J15" s="537"/>
      <c r="K15" s="537"/>
      <c r="L15" s="537"/>
      <c r="M15" s="537"/>
      <c r="N15" s="537"/>
      <c r="O15" s="537"/>
      <c r="P15" s="537"/>
      <c r="Q15" s="537"/>
      <c r="R15" s="767"/>
      <c r="S15" s="769"/>
      <c r="T15" s="538"/>
    </row>
    <row r="16" spans="1:20" ht="18.75" x14ac:dyDescent="0.25">
      <c r="A16" s="527"/>
      <c r="B16" s="528"/>
      <c r="C16" s="764" t="s">
        <v>130</v>
      </c>
      <c r="D16" s="770"/>
      <c r="E16" s="539">
        <f>SUM(F16:Q16)</f>
        <v>23151022</v>
      </c>
      <c r="F16" s="540">
        <f t="shared" ref="F16:Q16" si="1">SUBTOTAL(9,F22,F25,F28,F31,F34)</f>
        <v>2709224</v>
      </c>
      <c r="G16" s="541">
        <f t="shared" si="1"/>
        <v>4497133</v>
      </c>
      <c r="H16" s="541">
        <f t="shared" si="1"/>
        <v>5615390</v>
      </c>
      <c r="I16" s="541">
        <f t="shared" si="1"/>
        <v>10329275</v>
      </c>
      <c r="J16" s="541">
        <f t="shared" si="1"/>
        <v>0</v>
      </c>
      <c r="K16" s="541">
        <f t="shared" si="1"/>
        <v>0</v>
      </c>
      <c r="L16" s="541">
        <f t="shared" si="1"/>
        <v>0</v>
      </c>
      <c r="M16" s="541">
        <f t="shared" si="1"/>
        <v>0</v>
      </c>
      <c r="N16" s="541">
        <f t="shared" si="1"/>
        <v>0</v>
      </c>
      <c r="O16" s="541">
        <f t="shared" si="1"/>
        <v>0</v>
      </c>
      <c r="P16" s="541">
        <f t="shared" si="1"/>
        <v>0</v>
      </c>
      <c r="Q16" s="542">
        <f t="shared" si="1"/>
        <v>0</v>
      </c>
      <c r="R16" s="767"/>
      <c r="S16" s="769"/>
      <c r="T16" s="533"/>
    </row>
    <row r="17" spans="1:20" ht="5.0999999999999996" customHeight="1" x14ac:dyDescent="0.25">
      <c r="B17" s="534"/>
      <c r="C17" s="535"/>
      <c r="D17" s="535"/>
      <c r="E17" s="536"/>
      <c r="F17" s="537"/>
      <c r="G17" s="537"/>
      <c r="H17" s="537"/>
      <c r="I17" s="537"/>
      <c r="J17" s="537"/>
      <c r="K17" s="537"/>
      <c r="L17" s="537"/>
      <c r="M17" s="537"/>
      <c r="N17" s="537"/>
      <c r="O17" s="537"/>
      <c r="P17" s="537"/>
      <c r="Q17" s="537"/>
      <c r="R17" s="543"/>
      <c r="S17" s="544"/>
      <c r="T17" s="538"/>
    </row>
    <row r="18" spans="1:20" ht="18.75" customHeight="1" x14ac:dyDescent="0.25">
      <c r="A18" s="527"/>
      <c r="B18" s="528"/>
      <c r="C18" s="764" t="s">
        <v>55</v>
      </c>
      <c r="D18" s="770"/>
      <c r="E18" s="545">
        <f>E16/E14</f>
        <v>0.13310759062024502</v>
      </c>
      <c r="F18" s="546">
        <f t="shared" ref="F18:Q18" si="2">F16/F14</f>
        <v>0.75692460370704784</v>
      </c>
      <c r="G18" s="547">
        <f t="shared" si="2"/>
        <v>0.56816155792873002</v>
      </c>
      <c r="H18" s="547">
        <f t="shared" si="2"/>
        <v>0.23035544301545519</v>
      </c>
      <c r="I18" s="547">
        <f t="shared" si="2"/>
        <v>0.42248510027985064</v>
      </c>
      <c r="J18" s="547">
        <f t="shared" si="2"/>
        <v>0</v>
      </c>
      <c r="K18" s="547">
        <f t="shared" si="2"/>
        <v>0</v>
      </c>
      <c r="L18" s="547">
        <f t="shared" si="2"/>
        <v>0</v>
      </c>
      <c r="M18" s="547">
        <f t="shared" si="2"/>
        <v>0</v>
      </c>
      <c r="N18" s="547">
        <f t="shared" si="2"/>
        <v>0</v>
      </c>
      <c r="O18" s="547">
        <f t="shared" si="2"/>
        <v>0</v>
      </c>
      <c r="P18" s="547">
        <f t="shared" si="2"/>
        <v>0</v>
      </c>
      <c r="Q18" s="549">
        <f t="shared" si="2"/>
        <v>0</v>
      </c>
      <c r="R18" s="550"/>
      <c r="S18" s="544"/>
      <c r="T18" s="533"/>
    </row>
    <row r="19" spans="1:20" ht="5.0999999999999996" customHeight="1" x14ac:dyDescent="0.25">
      <c r="B19" s="534"/>
      <c r="C19" s="551"/>
      <c r="D19" s="552"/>
      <c r="E19" s="551"/>
      <c r="F19" s="553"/>
      <c r="R19" s="554"/>
      <c r="S19" s="555"/>
      <c r="T19" s="538"/>
    </row>
    <row r="20" spans="1:20" x14ac:dyDescent="0.25">
      <c r="B20" s="534"/>
      <c r="C20" s="556" t="s">
        <v>131</v>
      </c>
      <c r="D20" s="557"/>
      <c r="E20" s="558"/>
      <c r="F20" s="559" t="s">
        <v>8</v>
      </c>
      <c r="G20" s="560" t="s">
        <v>9</v>
      </c>
      <c r="H20" s="560" t="s">
        <v>10</v>
      </c>
      <c r="I20" s="560" t="s">
        <v>11</v>
      </c>
      <c r="J20" s="560" t="s">
        <v>12</v>
      </c>
      <c r="K20" s="560" t="s">
        <v>13</v>
      </c>
      <c r="L20" s="560" t="s">
        <v>14</v>
      </c>
      <c r="M20" s="560" t="s">
        <v>15</v>
      </c>
      <c r="N20" s="560" t="s">
        <v>16</v>
      </c>
      <c r="O20" s="560" t="s">
        <v>17</v>
      </c>
      <c r="P20" s="560" t="s">
        <v>18</v>
      </c>
      <c r="Q20" s="561" t="s">
        <v>19</v>
      </c>
      <c r="R20" s="776" t="s">
        <v>28</v>
      </c>
      <c r="S20" s="777"/>
      <c r="T20" s="538"/>
    </row>
    <row r="21" spans="1:20" x14ac:dyDescent="0.25">
      <c r="A21" s="562"/>
      <c r="B21" s="563"/>
      <c r="C21" s="564" t="s">
        <v>58</v>
      </c>
      <c r="D21" s="771"/>
      <c r="E21" s="565" t="s">
        <v>132</v>
      </c>
      <c r="F21" s="566">
        <f>'[1]Suivi Liv.2022'!F11</f>
        <v>508064.74405296851</v>
      </c>
      <c r="G21" s="567">
        <f>'[1]Suivi Liv.2022'!G11</f>
        <v>3256914.2150472547</v>
      </c>
      <c r="H21" s="567">
        <f>'[1]Suivi Liv.2022'!H11</f>
        <v>20627231.052366827</v>
      </c>
      <c r="I21" s="567">
        <f>'[1]Suivi Liv.2022'!I11</f>
        <v>21212292.576319713</v>
      </c>
      <c r="J21" s="567">
        <f>'[1]Suivi Liv.2022'!J11</f>
        <v>14291860.470382962</v>
      </c>
      <c r="K21" s="567">
        <f>'[1]Suivi Liv.2022'!K11</f>
        <v>22017067.583941989</v>
      </c>
      <c r="L21" s="567">
        <f>'[1]Suivi Liv.2022'!L11</f>
        <v>16648445.799431823</v>
      </c>
      <c r="M21" s="567">
        <f>'[1]Suivi Liv.2022'!M11</f>
        <v>12977995.803168284</v>
      </c>
      <c r="N21" s="567">
        <f>'[1]Suivi Liv.2022'!N11</f>
        <v>14185104.005218497</v>
      </c>
      <c r="O21" s="567">
        <f>'[1]Suivi Liv.2022'!O11</f>
        <v>10271272.774595061</v>
      </c>
      <c r="P21" s="567">
        <f>'[1]Suivi Liv.2022'!P11</f>
        <v>5308508.2600451559</v>
      </c>
      <c r="Q21" s="568">
        <f>'[1]Suivi Liv.2022'!Q11</f>
        <v>2643352.79784704</v>
      </c>
      <c r="R21" s="610">
        <f>SUM(F21:Q21)</f>
        <v>143948110.08241755</v>
      </c>
      <c r="S21" s="611"/>
      <c r="T21" s="571"/>
    </row>
    <row r="22" spans="1:20" x14ac:dyDescent="0.25">
      <c r="A22" s="562"/>
      <c r="B22" s="563"/>
      <c r="C22" s="572" t="s">
        <v>58</v>
      </c>
      <c r="D22" s="772"/>
      <c r="E22" s="573" t="s">
        <v>133</v>
      </c>
      <c r="F22" s="574">
        <f>'[1]Suivi Liv.2022'!F12</f>
        <v>209923</v>
      </c>
      <c r="G22" s="575">
        <f>'[1]Suivi Liv.2022'!G12</f>
        <v>567708</v>
      </c>
      <c r="H22" s="575">
        <f>'[1]Suivi Liv.2022'!H12</f>
        <v>3792529</v>
      </c>
      <c r="I22" s="575">
        <f>'[1]Suivi Liv.2022'!I12</f>
        <v>9136538</v>
      </c>
      <c r="J22" s="575">
        <f>'[1]Suivi Liv.2022'!J12</f>
        <v>0</v>
      </c>
      <c r="K22" s="575">
        <f>'[1]Suivi Liv.2022'!K12</f>
        <v>0</v>
      </c>
      <c r="L22" s="575">
        <f>'[1]Suivi Liv.2022'!L12</f>
        <v>0</v>
      </c>
      <c r="M22" s="575">
        <f>'[1]Suivi Liv.2022'!M12</f>
        <v>0</v>
      </c>
      <c r="N22" s="575">
        <f>'[1]Suivi Liv.2022'!N12</f>
        <v>0</v>
      </c>
      <c r="O22" s="575">
        <f>'[1]Suivi Liv.2022'!O12</f>
        <v>0</v>
      </c>
      <c r="P22" s="575">
        <f>'[1]Suivi Liv.2022'!P12</f>
        <v>0</v>
      </c>
      <c r="Q22" s="576">
        <f>'[1]Suivi Liv.2022'!Q12</f>
        <v>0</v>
      </c>
      <c r="R22" s="612">
        <f>SUM(F22:Q22)</f>
        <v>13706698</v>
      </c>
      <c r="S22" s="613"/>
      <c r="T22" s="571"/>
    </row>
    <row r="23" spans="1:20" ht="22.5" x14ac:dyDescent="0.25">
      <c r="A23" s="562"/>
      <c r="B23" s="563"/>
      <c r="C23" s="577" t="s">
        <v>58</v>
      </c>
      <c r="D23" s="773"/>
      <c r="E23" s="578" t="s">
        <v>134</v>
      </c>
      <c r="F23" s="579">
        <f>IF(F22&gt;F21,1,IF(F21=0,0,F22/F21))</f>
        <v>0.41318159241947794</v>
      </c>
      <c r="G23" s="580">
        <f t="shared" ref="G23:R23" si="3">IF(G22&gt;G21,1,IF(G21=0,0,G22/G21))</f>
        <v>0.1743085517503454</v>
      </c>
      <c r="H23" s="580">
        <f t="shared" si="3"/>
        <v>0.18386030535905762</v>
      </c>
      <c r="I23" s="580">
        <f t="shared" si="3"/>
        <v>0.43071902610845325</v>
      </c>
      <c r="J23" s="580">
        <f t="shared" si="3"/>
        <v>0</v>
      </c>
      <c r="K23" s="580">
        <f t="shared" si="3"/>
        <v>0</v>
      </c>
      <c r="L23" s="580">
        <f t="shared" si="3"/>
        <v>0</v>
      </c>
      <c r="M23" s="580">
        <f t="shared" si="3"/>
        <v>0</v>
      </c>
      <c r="N23" s="580">
        <f t="shared" si="3"/>
        <v>0</v>
      </c>
      <c r="O23" s="580">
        <f t="shared" si="3"/>
        <v>0</v>
      </c>
      <c r="P23" s="580">
        <f t="shared" si="3"/>
        <v>0</v>
      </c>
      <c r="Q23" s="581">
        <f t="shared" si="3"/>
        <v>0</v>
      </c>
      <c r="R23" s="582">
        <f t="shared" si="3"/>
        <v>9.5219714883038237E-2</v>
      </c>
      <c r="S23" s="583" t="str">
        <f>IF(R23&gt;70%,"J",IF(R23&lt;=30%,"L","K"))</f>
        <v>L</v>
      </c>
      <c r="T23" s="571"/>
    </row>
    <row r="24" spans="1:20" x14ac:dyDescent="0.25">
      <c r="A24" s="562"/>
      <c r="B24" s="563"/>
      <c r="C24" s="564" t="s">
        <v>61</v>
      </c>
      <c r="D24" s="771"/>
      <c r="E24" s="584" t="s">
        <v>132</v>
      </c>
      <c r="F24" s="566">
        <f>'[1]Suivi Liv.2022'!F32</f>
        <v>127156.36560456174</v>
      </c>
      <c r="G24" s="567">
        <f>'[1]Suivi Liv.2022'!G32</f>
        <v>155178.89181930551</v>
      </c>
      <c r="H24" s="567">
        <f>'[1]Suivi Liv.2022'!H32</f>
        <v>556970.07031505776</v>
      </c>
      <c r="I24" s="567">
        <f>'[1]Suivi Liv.2022'!I32</f>
        <v>458447.18716538686</v>
      </c>
      <c r="J24" s="567">
        <f>'[1]Suivi Liv.2022'!J32</f>
        <v>0</v>
      </c>
      <c r="K24" s="567">
        <f>'[1]Suivi Liv.2022'!K32</f>
        <v>99393.395962429437</v>
      </c>
      <c r="L24" s="567">
        <f>'[1]Suivi Liv.2022'!L32</f>
        <v>0</v>
      </c>
      <c r="M24" s="567">
        <f>'[1]Suivi Liv.2022'!M32</f>
        <v>0</v>
      </c>
      <c r="N24" s="567">
        <f>'[1]Suivi Liv.2022'!N32</f>
        <v>295978.34951593488</v>
      </c>
      <c r="O24" s="567">
        <f>'[1]Suivi Liv.2022'!O32</f>
        <v>201073.28567066402</v>
      </c>
      <c r="P24" s="567">
        <f>'[1]Suivi Liv.2022'!P32</f>
        <v>136926.07499765797</v>
      </c>
      <c r="Q24" s="568">
        <f>'[1]Suivi Liv.2022'!Q32</f>
        <v>88186.142474869586</v>
      </c>
      <c r="R24" s="610">
        <f>SUM(F24:Q24)</f>
        <v>2119309.7635258678</v>
      </c>
      <c r="S24" s="611"/>
      <c r="T24" s="571"/>
    </row>
    <row r="25" spans="1:20" x14ac:dyDescent="0.25">
      <c r="A25" s="562"/>
      <c r="B25" s="563"/>
      <c r="C25" s="572" t="s">
        <v>61</v>
      </c>
      <c r="D25" s="772"/>
      <c r="E25" s="585" t="s">
        <v>133</v>
      </c>
      <c r="F25" s="586">
        <f>'[1]Suivi Liv.2022'!F33</f>
        <v>280708</v>
      </c>
      <c r="G25" s="587">
        <f>'[1]Suivi Liv.2022'!G33</f>
        <v>399473</v>
      </c>
      <c r="H25" s="587">
        <f>'[1]Suivi Liv.2022'!H33</f>
        <v>270447</v>
      </c>
      <c r="I25" s="587">
        <f>'[1]Suivi Liv.2022'!I33</f>
        <v>359301</v>
      </c>
      <c r="J25" s="587">
        <f>'[1]Suivi Liv.2022'!J33</f>
        <v>0</v>
      </c>
      <c r="K25" s="587">
        <f>'[1]Suivi Liv.2022'!K33</f>
        <v>0</v>
      </c>
      <c r="L25" s="587">
        <f>'[1]Suivi Liv.2022'!L33</f>
        <v>0</v>
      </c>
      <c r="M25" s="587">
        <f>'[1]Suivi Liv.2022'!M33</f>
        <v>0</v>
      </c>
      <c r="N25" s="587">
        <f>'[1]Suivi Liv.2022'!N33</f>
        <v>0</v>
      </c>
      <c r="O25" s="587">
        <f>'[1]Suivi Liv.2022'!O33</f>
        <v>0</v>
      </c>
      <c r="P25" s="587">
        <f>'[1]Suivi Liv.2022'!P33</f>
        <v>0</v>
      </c>
      <c r="Q25" s="588">
        <f>'[1]Suivi Liv.2022'!Q33</f>
        <v>0</v>
      </c>
      <c r="R25" s="612">
        <f>SUM(F25:Q25)</f>
        <v>1309929</v>
      </c>
      <c r="S25" s="613"/>
      <c r="T25" s="571"/>
    </row>
    <row r="26" spans="1:20" ht="22.5" x14ac:dyDescent="0.25">
      <c r="A26" s="562"/>
      <c r="B26" s="563"/>
      <c r="C26" s="577" t="s">
        <v>61</v>
      </c>
      <c r="D26" s="773"/>
      <c r="E26" s="589" t="s">
        <v>134</v>
      </c>
      <c r="F26" s="579">
        <f>IF(F25&gt;F24,1,IF(F24=0,0,F25/F24))</f>
        <v>1</v>
      </c>
      <c r="G26" s="580">
        <f t="shared" ref="G26:R26" si="4">IF(G25&gt;G24,1,IF(G24=0,0,G25/G24))</f>
        <v>1</v>
      </c>
      <c r="H26" s="580">
        <f t="shared" si="4"/>
        <v>0.48556828169782612</v>
      </c>
      <c r="I26" s="580">
        <f t="shared" si="4"/>
        <v>0.78373476827633048</v>
      </c>
      <c r="J26" s="580">
        <f t="shared" si="4"/>
        <v>0</v>
      </c>
      <c r="K26" s="580">
        <f t="shared" si="4"/>
        <v>0</v>
      </c>
      <c r="L26" s="580">
        <f t="shared" si="4"/>
        <v>0</v>
      </c>
      <c r="M26" s="580">
        <f t="shared" si="4"/>
        <v>0</v>
      </c>
      <c r="N26" s="580">
        <f t="shared" si="4"/>
        <v>0</v>
      </c>
      <c r="O26" s="580">
        <f t="shared" si="4"/>
        <v>0</v>
      </c>
      <c r="P26" s="580">
        <f t="shared" si="4"/>
        <v>0</v>
      </c>
      <c r="Q26" s="581">
        <f t="shared" si="4"/>
        <v>0</v>
      </c>
      <c r="R26" s="582">
        <f t="shared" si="4"/>
        <v>0.61809227822396684</v>
      </c>
      <c r="S26" s="583" t="str">
        <f>IF(R26&gt;70%,"J",IF(R26&lt;=30%,"L","K"))</f>
        <v>K</v>
      </c>
      <c r="T26" s="571"/>
    </row>
    <row r="27" spans="1:20" x14ac:dyDescent="0.25">
      <c r="A27" s="562"/>
      <c r="B27" s="563"/>
      <c r="C27" s="564" t="s">
        <v>62</v>
      </c>
      <c r="D27" s="771"/>
      <c r="E27" s="590" t="s">
        <v>132</v>
      </c>
      <c r="F27" s="591">
        <f>'[1]Suivi Liv.2022'!F53</f>
        <v>48676.537467807895</v>
      </c>
      <c r="G27" s="592">
        <f>'[1]Suivi Liv.2022'!G53</f>
        <v>372445.75580679439</v>
      </c>
      <c r="H27" s="592">
        <f>'[1]Suivi Liv.2022'!H53</f>
        <v>491626.84858514735</v>
      </c>
      <c r="I27" s="592">
        <f>'[1]Suivi Liv.2022'!I53</f>
        <v>34208.296733195304</v>
      </c>
      <c r="J27" s="592">
        <f>'[1]Suivi Liv.2022'!J53</f>
        <v>40378.248702030607</v>
      </c>
      <c r="K27" s="592">
        <f>'[1]Suivi Liv.2022'!K53</f>
        <v>235176.68417963365</v>
      </c>
      <c r="L27" s="592">
        <f>'[1]Suivi Liv.2022'!L53</f>
        <v>211709.77284517456</v>
      </c>
      <c r="M27" s="592">
        <f>'[1]Suivi Liv.2022'!M53</f>
        <v>8915.448758386483</v>
      </c>
      <c r="N27" s="592">
        <f>'[1]Suivi Liv.2022'!N53</f>
        <v>319877.5672774468</v>
      </c>
      <c r="O27" s="592">
        <f>'[1]Suivi Liv.2022'!O53</f>
        <v>185119.98250939531</v>
      </c>
      <c r="P27" s="592">
        <f>'[1]Suivi Liv.2022'!P53</f>
        <v>6861.2700379929975</v>
      </c>
      <c r="Q27" s="593">
        <f>'[1]Suivi Liv.2022'!Q53</f>
        <v>25618.319532993904</v>
      </c>
      <c r="R27" s="610">
        <f>SUM(F27:Q27)</f>
        <v>1980614.7324359997</v>
      </c>
      <c r="S27" s="611"/>
      <c r="T27" s="571"/>
    </row>
    <row r="28" spans="1:20" x14ac:dyDescent="0.25">
      <c r="A28" s="562"/>
      <c r="B28" s="563"/>
      <c r="C28" s="572" t="s">
        <v>62</v>
      </c>
      <c r="D28" s="772"/>
      <c r="E28" s="585" t="s">
        <v>133</v>
      </c>
      <c r="F28" s="586">
        <f>'[1]Suivi Liv.2022'!F54</f>
        <v>147866</v>
      </c>
      <c r="G28" s="587">
        <f>'[1]Suivi Liv.2022'!G54</f>
        <v>254174</v>
      </c>
      <c r="H28" s="587">
        <f>'[1]Suivi Liv.2022'!H54</f>
        <v>198323</v>
      </c>
      <c r="I28" s="587">
        <f>'[1]Suivi Liv.2022'!I54</f>
        <v>131141</v>
      </c>
      <c r="J28" s="587">
        <f>'[1]Suivi Liv.2022'!J54</f>
        <v>0</v>
      </c>
      <c r="K28" s="587">
        <f>'[1]Suivi Liv.2022'!K54</f>
        <v>0</v>
      </c>
      <c r="L28" s="587">
        <f>'[1]Suivi Liv.2022'!L54</f>
        <v>0</v>
      </c>
      <c r="M28" s="587">
        <f>'[1]Suivi Liv.2022'!M54</f>
        <v>0</v>
      </c>
      <c r="N28" s="587">
        <f>'[1]Suivi Liv.2022'!N54</f>
        <v>0</v>
      </c>
      <c r="O28" s="587">
        <f>'[1]Suivi Liv.2022'!O54</f>
        <v>0</v>
      </c>
      <c r="P28" s="587">
        <f>'[1]Suivi Liv.2022'!P54</f>
        <v>0</v>
      </c>
      <c r="Q28" s="588">
        <f>'[1]Suivi Liv.2022'!Q54</f>
        <v>0</v>
      </c>
      <c r="R28" s="612">
        <f>SUM(F28:Q28)</f>
        <v>731504</v>
      </c>
      <c r="S28" s="613"/>
      <c r="T28" s="571"/>
    </row>
    <row r="29" spans="1:20" ht="22.5" x14ac:dyDescent="0.25">
      <c r="A29" s="562"/>
      <c r="B29" s="563"/>
      <c r="C29" s="577" t="s">
        <v>62</v>
      </c>
      <c r="D29" s="773"/>
      <c r="E29" s="589" t="s">
        <v>134</v>
      </c>
      <c r="F29" s="579">
        <f>IF(F28&gt;F27,1,IF(F27=0,0,F28/F27))</f>
        <v>1</v>
      </c>
      <c r="G29" s="580">
        <f t="shared" ref="G29:R29" si="5">IF(G28&gt;G27,1,IF(G27=0,0,G28/G27))</f>
        <v>0.68244568782749759</v>
      </c>
      <c r="H29" s="580">
        <f t="shared" si="5"/>
        <v>0.40340148340301929</v>
      </c>
      <c r="I29" s="580">
        <f t="shared" si="5"/>
        <v>1</v>
      </c>
      <c r="J29" s="580">
        <f t="shared" si="5"/>
        <v>0</v>
      </c>
      <c r="K29" s="580">
        <f t="shared" si="5"/>
        <v>0</v>
      </c>
      <c r="L29" s="580">
        <f t="shared" si="5"/>
        <v>0</v>
      </c>
      <c r="M29" s="580">
        <f t="shared" si="5"/>
        <v>0</v>
      </c>
      <c r="N29" s="580">
        <f t="shared" si="5"/>
        <v>0</v>
      </c>
      <c r="O29" s="580">
        <f t="shared" si="5"/>
        <v>0</v>
      </c>
      <c r="P29" s="580">
        <f t="shared" si="5"/>
        <v>0</v>
      </c>
      <c r="Q29" s="581">
        <f t="shared" si="5"/>
        <v>0</v>
      </c>
      <c r="R29" s="582">
        <f t="shared" si="5"/>
        <v>0.36933179786071157</v>
      </c>
      <c r="S29" s="583" t="str">
        <f>IF(R29&gt;70%,"J",IF(R29&lt;=30%,"L","K"))</f>
        <v>K</v>
      </c>
      <c r="T29" s="571"/>
    </row>
    <row r="30" spans="1:20" x14ac:dyDescent="0.25">
      <c r="A30" s="562"/>
      <c r="B30" s="563"/>
      <c r="C30" s="594" t="s">
        <v>63</v>
      </c>
      <c r="D30" s="771"/>
      <c r="E30" s="595" t="s">
        <v>132</v>
      </c>
      <c r="F30" s="566">
        <f>'[1]Suivi Liv.2022'!F53</f>
        <v>48676.537467807895</v>
      </c>
      <c r="G30" s="567">
        <f>'[1]Suivi Liv.2022'!G53</f>
        <v>372445.75580679439</v>
      </c>
      <c r="H30" s="567">
        <f>'[1]Suivi Liv.2022'!H53</f>
        <v>491626.84858514735</v>
      </c>
      <c r="I30" s="567">
        <f>'[1]Suivi Liv.2022'!I53</f>
        <v>34208.296733195304</v>
      </c>
      <c r="J30" s="567">
        <f>'[1]Suivi Liv.2022'!J53</f>
        <v>40378.248702030607</v>
      </c>
      <c r="K30" s="567">
        <f>'[1]Suivi Liv.2022'!K53</f>
        <v>235176.68417963365</v>
      </c>
      <c r="L30" s="567">
        <f>'[1]Suivi Liv.2022'!L53</f>
        <v>211709.77284517456</v>
      </c>
      <c r="M30" s="567">
        <f>'[1]Suivi Liv.2022'!M53</f>
        <v>8915.448758386483</v>
      </c>
      <c r="N30" s="567">
        <f>'[1]Suivi Liv.2022'!N53</f>
        <v>319877.5672774468</v>
      </c>
      <c r="O30" s="567">
        <f>'[1]Suivi Liv.2022'!O53</f>
        <v>185119.98250939531</v>
      </c>
      <c r="P30" s="567">
        <f>'[1]Suivi Liv.2022'!P53</f>
        <v>6861.2700379929975</v>
      </c>
      <c r="Q30" s="568">
        <f>'[1]Suivi Liv.2022'!Q53</f>
        <v>25618.319532993904</v>
      </c>
      <c r="R30" s="610">
        <f>SUM(F30:Q30)</f>
        <v>1980614.7324359997</v>
      </c>
      <c r="S30" s="611"/>
      <c r="T30" s="571"/>
    </row>
    <row r="31" spans="1:20" x14ac:dyDescent="0.25">
      <c r="A31" s="562"/>
      <c r="B31" s="563"/>
      <c r="C31" s="598" t="s">
        <v>63</v>
      </c>
      <c r="D31" s="772"/>
      <c r="E31" s="599" t="s">
        <v>133</v>
      </c>
      <c r="F31" s="586">
        <f>'[1]Suivi Liv.2022'!F54</f>
        <v>147866</v>
      </c>
      <c r="G31" s="587">
        <f>'[1]Suivi Liv.2022'!G54</f>
        <v>254174</v>
      </c>
      <c r="H31" s="587">
        <f>'[1]Suivi Liv.2022'!H54</f>
        <v>198323</v>
      </c>
      <c r="I31" s="587">
        <f>'[1]Suivi Liv.2022'!I54</f>
        <v>131141</v>
      </c>
      <c r="J31" s="587">
        <f>'[1]Suivi Liv.2022'!J54</f>
        <v>0</v>
      </c>
      <c r="K31" s="587">
        <f>'[1]Suivi Liv.2022'!K54</f>
        <v>0</v>
      </c>
      <c r="L31" s="587">
        <f>'[1]Suivi Liv.2022'!L54</f>
        <v>0</v>
      </c>
      <c r="M31" s="587">
        <f>'[1]Suivi Liv.2022'!M54</f>
        <v>0</v>
      </c>
      <c r="N31" s="587">
        <f>'[1]Suivi Liv.2022'!N54</f>
        <v>0</v>
      </c>
      <c r="O31" s="587">
        <f>'[1]Suivi Liv.2022'!O54</f>
        <v>0</v>
      </c>
      <c r="P31" s="587">
        <f>'[1]Suivi Liv.2022'!P54</f>
        <v>0</v>
      </c>
      <c r="Q31" s="588">
        <f>'[1]Suivi Liv.2022'!Q54</f>
        <v>0</v>
      </c>
      <c r="R31" s="612">
        <f>SUM(F31:Q31)</f>
        <v>731504</v>
      </c>
      <c r="S31" s="613"/>
      <c r="T31" s="571"/>
    </row>
    <row r="32" spans="1:20" ht="22.5" x14ac:dyDescent="0.25">
      <c r="A32" s="562"/>
      <c r="B32" s="563"/>
      <c r="C32" s="601" t="s">
        <v>63</v>
      </c>
      <c r="D32" s="773"/>
      <c r="E32" s="602" t="s">
        <v>134</v>
      </c>
      <c r="F32" s="579">
        <f>IF(F31&gt;F30,1,IF(F30=0,0,F31/F30))</f>
        <v>1</v>
      </c>
      <c r="G32" s="580">
        <f t="shared" ref="G32:R32" si="6">IF(G31&gt;G30,1,IF(G30=0,0,G31/G30))</f>
        <v>0.68244568782749759</v>
      </c>
      <c r="H32" s="580">
        <f t="shared" si="6"/>
        <v>0.40340148340301929</v>
      </c>
      <c r="I32" s="580">
        <f t="shared" si="6"/>
        <v>1</v>
      </c>
      <c r="J32" s="580">
        <f t="shared" si="6"/>
        <v>0</v>
      </c>
      <c r="K32" s="580">
        <f t="shared" si="6"/>
        <v>0</v>
      </c>
      <c r="L32" s="580">
        <f t="shared" si="6"/>
        <v>0</v>
      </c>
      <c r="M32" s="580">
        <f t="shared" si="6"/>
        <v>0</v>
      </c>
      <c r="N32" s="580">
        <f t="shared" si="6"/>
        <v>0</v>
      </c>
      <c r="O32" s="580">
        <f t="shared" si="6"/>
        <v>0</v>
      </c>
      <c r="P32" s="580">
        <f t="shared" si="6"/>
        <v>0</v>
      </c>
      <c r="Q32" s="581">
        <f t="shared" si="6"/>
        <v>0</v>
      </c>
      <c r="R32" s="582">
        <f t="shared" si="6"/>
        <v>0.36933179786071157</v>
      </c>
      <c r="S32" s="603" t="str">
        <f>IF(R32&gt;70%,"J",IF(R32&lt;=30%,"L","K"))</f>
        <v>K</v>
      </c>
      <c r="T32" s="571"/>
    </row>
    <row r="33" spans="1:20" x14ac:dyDescent="0.25">
      <c r="A33" s="562"/>
      <c r="B33" s="563"/>
      <c r="C33" s="594" t="s">
        <v>65</v>
      </c>
      <c r="D33" s="771"/>
      <c r="E33" s="595" t="s">
        <v>132</v>
      </c>
      <c r="F33" s="566">
        <f>'[1]Suivi Liv.2022'!F143</f>
        <v>2846677.9453172055</v>
      </c>
      <c r="G33" s="567">
        <f>'[1]Suivi Liv.2022'!G143</f>
        <v>3758251.7033762448</v>
      </c>
      <c r="H33" s="567">
        <f>'[1]Suivi Liv.2022'!H143</f>
        <v>2209611.8840730572</v>
      </c>
      <c r="I33" s="567">
        <f>'[1]Suivi Liv.2022'!I143</f>
        <v>2709694.0123466747</v>
      </c>
      <c r="J33" s="567">
        <f>'[1]Suivi Liv.2022'!J143</f>
        <v>626727.00589517225</v>
      </c>
      <c r="K33" s="567">
        <f>'[1]Suivi Liv.2022'!K143</f>
        <v>3237787.2621437619</v>
      </c>
      <c r="L33" s="567">
        <f>'[1]Suivi Liv.2022'!L143</f>
        <v>1000504.4239471834</v>
      </c>
      <c r="M33" s="567">
        <f>'[1]Suivi Liv.2022'!M143</f>
        <v>298948.90937477211</v>
      </c>
      <c r="N33" s="567">
        <f>'[1]Suivi Liv.2022'!N143</f>
        <v>1408608.245252141</v>
      </c>
      <c r="O33" s="567">
        <f>'[1]Suivi Liv.2022'!O143</f>
        <v>2666401.2401276971</v>
      </c>
      <c r="P33" s="567">
        <f>'[1]Suivi Liv.2022'!P143</f>
        <v>1225840.3684787713</v>
      </c>
      <c r="Q33" s="568">
        <f>'[1]Suivi Liv.2022'!Q143</f>
        <v>1909433.565345211</v>
      </c>
      <c r="R33" s="610">
        <f>SUM(F33:Q33)</f>
        <v>23898486.565677889</v>
      </c>
      <c r="S33" s="611"/>
      <c r="T33" s="571"/>
    </row>
    <row r="34" spans="1:20" x14ac:dyDescent="0.25">
      <c r="A34" s="562"/>
      <c r="B34" s="563"/>
      <c r="C34" s="598" t="s">
        <v>65</v>
      </c>
      <c r="D34" s="772"/>
      <c r="E34" s="599" t="s">
        <v>133</v>
      </c>
      <c r="F34" s="586">
        <f>'[1]Suivi Liv.2022'!F144</f>
        <v>1922861</v>
      </c>
      <c r="G34" s="587">
        <f>'[1]Suivi Liv.2022'!G144</f>
        <v>3021604</v>
      </c>
      <c r="H34" s="587">
        <f>'[1]Suivi Liv.2022'!H144</f>
        <v>1155768</v>
      </c>
      <c r="I34" s="587">
        <f>'[1]Suivi Liv.2022'!I144</f>
        <v>571154</v>
      </c>
      <c r="J34" s="587">
        <f>'[1]Suivi Liv.2022'!J144</f>
        <v>0</v>
      </c>
      <c r="K34" s="587">
        <f>'[1]Suivi Liv.2022'!K144</f>
        <v>0</v>
      </c>
      <c r="L34" s="587">
        <f>'[1]Suivi Liv.2022'!L144</f>
        <v>0</v>
      </c>
      <c r="M34" s="587">
        <f>'[1]Suivi Liv.2022'!M144</f>
        <v>0</v>
      </c>
      <c r="N34" s="587">
        <f>'[1]Suivi Liv.2022'!N144</f>
        <v>0</v>
      </c>
      <c r="O34" s="587">
        <f>'[1]Suivi Liv.2022'!O144</f>
        <v>0</v>
      </c>
      <c r="P34" s="587">
        <f>'[1]Suivi Liv.2022'!P144</f>
        <v>0</v>
      </c>
      <c r="Q34" s="588">
        <f>'[1]Suivi Liv.2022'!Q144</f>
        <v>0</v>
      </c>
      <c r="R34" s="612">
        <f>SUM(F34:Q34)</f>
        <v>6671387</v>
      </c>
      <c r="S34" s="613"/>
      <c r="T34" s="571"/>
    </row>
    <row r="35" spans="1:20" ht="22.5" x14ac:dyDescent="0.25">
      <c r="A35" s="562"/>
      <c r="B35" s="563"/>
      <c r="C35" s="601" t="s">
        <v>65</v>
      </c>
      <c r="D35" s="773"/>
      <c r="E35" s="602" t="s">
        <v>134</v>
      </c>
      <c r="F35" s="579">
        <f>IF(F34&gt;F33,1,IF(F33=0,0,F34/F33))</f>
        <v>0.67547542677355288</v>
      </c>
      <c r="G35" s="580">
        <f t="shared" ref="G35:R35" si="7">IF(G34&gt;G33,1,IF(G33=0,0,G34/G33))</f>
        <v>0.80399191924413327</v>
      </c>
      <c r="H35" s="580">
        <f t="shared" si="7"/>
        <v>0.5230638051554698</v>
      </c>
      <c r="I35" s="580">
        <f t="shared" si="7"/>
        <v>0.21078173306563269</v>
      </c>
      <c r="J35" s="580">
        <f t="shared" si="7"/>
        <v>0</v>
      </c>
      <c r="K35" s="580">
        <f t="shared" si="7"/>
        <v>0</v>
      </c>
      <c r="L35" s="580">
        <f t="shared" si="7"/>
        <v>0</v>
      </c>
      <c r="M35" s="580">
        <f t="shared" si="7"/>
        <v>0</v>
      </c>
      <c r="N35" s="580">
        <f t="shared" si="7"/>
        <v>0</v>
      </c>
      <c r="O35" s="580">
        <f t="shared" si="7"/>
        <v>0</v>
      </c>
      <c r="P35" s="580">
        <f t="shared" si="7"/>
        <v>0</v>
      </c>
      <c r="Q35" s="581">
        <f t="shared" si="7"/>
        <v>0</v>
      </c>
      <c r="R35" s="582">
        <f t="shared" si="7"/>
        <v>0.27915520849680903</v>
      </c>
      <c r="S35" s="583" t="str">
        <f>IF(R35&gt;70%,"J",IF(R35&lt;=30%,"L","K"))</f>
        <v>L</v>
      </c>
      <c r="T35" s="571"/>
    </row>
    <row r="36" spans="1:20" ht="15.75" thickBot="1" x14ac:dyDescent="0.3">
      <c r="B36" s="604"/>
      <c r="C36" s="605"/>
      <c r="D36" s="606"/>
      <c r="E36" s="605"/>
      <c r="F36" s="607"/>
      <c r="G36" s="607"/>
      <c r="H36" s="607"/>
      <c r="I36" s="607"/>
      <c r="J36" s="607"/>
      <c r="K36" s="607"/>
      <c r="L36" s="607"/>
      <c r="M36" s="607"/>
      <c r="N36" s="607"/>
      <c r="O36" s="607"/>
      <c r="P36" s="607"/>
      <c r="Q36" s="607"/>
      <c r="R36" s="608"/>
      <c r="S36" s="605"/>
      <c r="T36" s="609"/>
    </row>
    <row r="37" spans="1:20" ht="15.75" thickTop="1" x14ac:dyDescent="0.25"/>
  </sheetData>
  <mergeCells count="13">
    <mergeCell ref="D33:D35"/>
    <mergeCell ref="C18:D18"/>
    <mergeCell ref="R20:S20"/>
    <mergeCell ref="D21:D23"/>
    <mergeCell ref="D24:D26"/>
    <mergeCell ref="D27:D29"/>
    <mergeCell ref="D30:D32"/>
    <mergeCell ref="A1:C1"/>
    <mergeCell ref="F12:R12"/>
    <mergeCell ref="C14:D14"/>
    <mergeCell ref="R14:R16"/>
    <mergeCell ref="S14:S16"/>
    <mergeCell ref="C16:D16"/>
  </mergeCells>
  <conditionalFormatting sqref="F14:Q14">
    <cfRule type="dataBar" priority="6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{B1197379-5734-40CC-B76E-F3BCF2B65E89}</x14:id>
        </ext>
      </extLst>
    </cfRule>
  </conditionalFormatting>
  <conditionalFormatting sqref="R26 R29 R32 R35">
    <cfRule type="cellIs" dxfId="53" priority="57" operator="greaterThan">
      <formula>0.7</formula>
    </cfRule>
    <cfRule type="cellIs" dxfId="52" priority="58" operator="between">
      <formula>0.31</formula>
      <formula>0.7</formula>
    </cfRule>
    <cfRule type="cellIs" dxfId="51" priority="59" operator="between">
      <formula>0</formula>
      <formula>0.3</formula>
    </cfRule>
  </conditionalFormatting>
  <conditionalFormatting sqref="R23">
    <cfRule type="cellIs" dxfId="50" priority="54" operator="greaterThan">
      <formula>0.7</formula>
    </cfRule>
    <cfRule type="cellIs" dxfId="49" priority="55" operator="between">
      <formula>0.31</formula>
      <formula>0.7</formula>
    </cfRule>
    <cfRule type="cellIs" dxfId="48" priority="56" operator="between">
      <formula>0</formula>
      <formula>0.3</formula>
    </cfRule>
  </conditionalFormatting>
  <conditionalFormatting sqref="S21:S35">
    <cfRule type="cellIs" dxfId="47" priority="45" operator="equal">
      <formula>"L"</formula>
    </cfRule>
    <cfRule type="cellIs" dxfId="46" priority="46" operator="equal">
      <formula>"K"</formula>
    </cfRule>
    <cfRule type="cellIs" dxfId="45" priority="47" operator="equal">
      <formula>"J"</formula>
    </cfRule>
  </conditionalFormatting>
  <conditionalFormatting sqref="R14">
    <cfRule type="cellIs" dxfId="44" priority="42" operator="greaterThan">
      <formula>0.7</formula>
    </cfRule>
    <cfRule type="cellIs" dxfId="43" priority="43" operator="between">
      <formula>0.31</formula>
      <formula>0.7</formula>
    </cfRule>
    <cfRule type="cellIs" dxfId="42" priority="44" operator="between">
      <formula>0</formula>
      <formula>0.3</formula>
    </cfRule>
  </conditionalFormatting>
  <conditionalFormatting sqref="S14">
    <cfRule type="cellIs" dxfId="41" priority="39" operator="equal">
      <formula>"L"</formula>
    </cfRule>
    <cfRule type="cellIs" dxfId="40" priority="40" operator="equal">
      <formula>"K"</formula>
    </cfRule>
    <cfRule type="cellIs" dxfId="39" priority="41" operator="equal">
      <formula>"J"</formula>
    </cfRule>
  </conditionalFormatting>
  <conditionalFormatting sqref="F16:Q16">
    <cfRule type="dataBar" priority="3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{53198890-5E3A-4664-BF11-8049376D3312}</x14:id>
        </ext>
      </extLst>
    </cfRule>
  </conditionalFormatting>
  <conditionalFormatting sqref="S19">
    <cfRule type="cellIs" dxfId="38" priority="35" operator="equal">
      <formula>"L"</formula>
    </cfRule>
    <cfRule type="cellIs" dxfId="37" priority="36" operator="equal">
      <formula>"K"</formula>
    </cfRule>
    <cfRule type="cellIs" dxfId="36" priority="37" operator="equal">
      <formula>"J"</formula>
    </cfRule>
  </conditionalFormatting>
  <conditionalFormatting sqref="E14:E16"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{F8148653-177D-49CF-B4A2-28B02771A575}</x14:id>
        </ext>
      </extLst>
    </cfRule>
  </conditionalFormatting>
  <conditionalFormatting sqref="F18:Q18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{82D4295B-328A-480C-BB7F-C2EC0377562A}</x14:id>
        </ext>
      </extLst>
    </cfRule>
  </conditionalFormatting>
  <conditionalFormatting sqref="E17:E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{3640575D-EF22-41DD-B4FE-33873982C02E}</x14:id>
        </ext>
      </extLst>
    </cfRule>
  </conditionalFormatting>
  <conditionalFormatting sqref="F18:Q18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{DAB6FE67-4C53-464E-A32F-15C3E5D6B39A}</x14:id>
        </ext>
      </extLst>
    </cfRule>
  </conditionalFormatting>
  <hyperlinks>
    <hyperlink ref="A1:C1" r:id="rId1" location="Récapitulatif!A1" display="TBD CCE" xr:uid="{8B1023AD-1546-4316-AB2D-CEA468E8F4A5}"/>
  </hyperlinks>
  <pageMargins left="0.7" right="0.7" top="0.75" bottom="0.75" header="0.3" footer="0.3"/>
  <ignoredErrors>
    <ignoredError sqref="R23 R24:R26 R27:R29 R30:R32 R33:R35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1197379-5734-40CC-B76E-F3BCF2B65E8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F14:Q14</xm:sqref>
        </x14:conditionalFormatting>
        <x14:conditionalFormatting xmlns:xm="http://schemas.microsoft.com/office/excel/2006/main">
          <x14:cfRule type="dataBar" id="{53198890-5E3A-4664-BF11-8049376D3312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F16:Q16</xm:sqref>
        </x14:conditionalFormatting>
        <x14:conditionalFormatting xmlns:xm="http://schemas.microsoft.com/office/excel/2006/main">
          <x14:cfRule type="dataBar" id="{F8148653-177D-49CF-B4A2-28B02771A57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E14:E16</xm:sqref>
        </x14:conditionalFormatting>
        <x14:conditionalFormatting xmlns:xm="http://schemas.microsoft.com/office/excel/2006/main">
          <x14:cfRule type="dataBar" id="{82D4295B-328A-480C-BB7F-C2EC0377562A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F18:Q18</xm:sqref>
        </x14:conditionalFormatting>
        <x14:conditionalFormatting xmlns:xm="http://schemas.microsoft.com/office/excel/2006/main">
          <x14:cfRule type="dataBar" id="{3640575D-EF22-41DD-B4FE-33873982C02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E17:E18</xm:sqref>
        </x14:conditionalFormatting>
        <x14:conditionalFormatting xmlns:xm="http://schemas.microsoft.com/office/excel/2006/main">
          <x14:cfRule type="dataBar" id="{DAB6FE67-4C53-464E-A32F-15C3E5D6B39A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F18:Q18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79706-780B-46C8-A0A4-0419DF656E15}">
  <sheetPr>
    <tabColor rgb="FF002060"/>
  </sheetPr>
  <dimension ref="A1:S31"/>
  <sheetViews>
    <sheetView showGridLines="0" topLeftCell="C1" zoomScale="80" zoomScaleNormal="80" workbookViewId="0">
      <selection activeCell="F31" sqref="F31:Q31"/>
    </sheetView>
  </sheetViews>
  <sheetFormatPr baseColWidth="10" defaultRowHeight="15" x14ac:dyDescent="0.25"/>
  <cols>
    <col min="2" max="2" width="20.42578125" style="15" customWidth="1"/>
    <col min="3" max="3" width="20.28515625" style="16" bestFit="1" customWidth="1"/>
    <col min="4" max="4" width="15.140625" style="17" bestFit="1" customWidth="1"/>
    <col min="5" max="5" width="1" style="18" customWidth="1"/>
    <col min="6" max="6" width="13.140625" style="18" bestFit="1" customWidth="1"/>
    <col min="7" max="7" width="14.5703125" style="18" bestFit="1" customWidth="1"/>
    <col min="8" max="9" width="12.85546875" style="18" bestFit="1" customWidth="1"/>
    <col min="10" max="13" width="12.28515625" style="18" bestFit="1" customWidth="1"/>
    <col min="14" max="14" width="15.7109375" style="18" bestFit="1" customWidth="1"/>
    <col min="15" max="15" width="13.28515625" style="18" bestFit="1" customWidth="1"/>
    <col min="16" max="17" width="15.42578125" style="18" bestFit="1" customWidth="1"/>
    <col min="18" max="18" width="1" style="18" customWidth="1"/>
    <col min="19" max="19" width="16.140625" style="18" customWidth="1"/>
  </cols>
  <sheetData>
    <row r="1" spans="1:19" ht="15.75" thickTop="1" x14ac:dyDescent="0.25">
      <c r="A1" s="290" t="s">
        <v>66</v>
      </c>
      <c r="B1"/>
      <c r="C1" s="12"/>
      <c r="D1" s="13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3" spans="1:19" x14ac:dyDescent="0.25">
      <c r="C3" s="19" t="s">
        <v>24</v>
      </c>
      <c r="D3" s="20">
        <f>SUM($F$3:$P$3)</f>
        <v>4478233.8812576309</v>
      </c>
      <c r="E3" s="21"/>
      <c r="F3" s="22">
        <f t="shared" ref="F3:Q3" si="0">SUM(F12,F16,F20,F24,F28)</f>
        <v>1170948.5555555555</v>
      </c>
      <c r="G3" s="23">
        <f t="shared" si="0"/>
        <v>879329.63888888888</v>
      </c>
      <c r="H3" s="23">
        <f t="shared" si="0"/>
        <v>1116180.6868131869</v>
      </c>
      <c r="I3" s="23">
        <f t="shared" si="0"/>
        <v>1311775</v>
      </c>
      <c r="J3" s="23">
        <f t="shared" si="0"/>
        <v>0</v>
      </c>
      <c r="K3" s="23">
        <f t="shared" si="0"/>
        <v>0</v>
      </c>
      <c r="L3" s="23">
        <f t="shared" si="0"/>
        <v>0</v>
      </c>
      <c r="M3" s="23">
        <f t="shared" si="0"/>
        <v>0</v>
      </c>
      <c r="N3" s="23">
        <f t="shared" si="0"/>
        <v>0</v>
      </c>
      <c r="O3" s="23">
        <f t="shared" si="0"/>
        <v>0</v>
      </c>
      <c r="P3" s="24">
        <f t="shared" si="0"/>
        <v>0</v>
      </c>
      <c r="Q3" s="24">
        <f t="shared" si="0"/>
        <v>0</v>
      </c>
      <c r="S3" s="781">
        <f>$D$7/$D$5</f>
        <v>6.0088614843844597E-2</v>
      </c>
    </row>
    <row r="4" spans="1:19" ht="5.0999999999999996" customHeight="1" x14ac:dyDescent="0.25">
      <c r="C4" s="25"/>
      <c r="D4" s="26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S4" s="782"/>
    </row>
    <row r="5" spans="1:19" x14ac:dyDescent="0.25">
      <c r="C5" s="19" t="s">
        <v>25</v>
      </c>
      <c r="D5" s="20">
        <f>SUM($F$5:$P$5)</f>
        <v>4224389.7900915053</v>
      </c>
      <c r="E5" s="21"/>
      <c r="F5" s="22">
        <f t="shared" ref="F5:Q5" si="1">SUM(F13,F17,F21,F25,F29)</f>
        <v>1141003.4516719391</v>
      </c>
      <c r="G5" s="23">
        <f t="shared" si="1"/>
        <v>854811.60675366304</v>
      </c>
      <c r="H5" s="23">
        <f t="shared" si="1"/>
        <v>1091232.3664873322</v>
      </c>
      <c r="I5" s="23">
        <f t="shared" si="1"/>
        <v>1137342.3651785715</v>
      </c>
      <c r="J5" s="23">
        <f t="shared" si="1"/>
        <v>0</v>
      </c>
      <c r="K5" s="23">
        <f t="shared" si="1"/>
        <v>0</v>
      </c>
      <c r="L5" s="23">
        <f t="shared" si="1"/>
        <v>0</v>
      </c>
      <c r="M5" s="23">
        <f t="shared" si="1"/>
        <v>0</v>
      </c>
      <c r="N5" s="23">
        <f t="shared" si="1"/>
        <v>0</v>
      </c>
      <c r="O5" s="23">
        <f t="shared" si="1"/>
        <v>0</v>
      </c>
      <c r="P5" s="24">
        <f t="shared" si="1"/>
        <v>0</v>
      </c>
      <c r="Q5" s="24">
        <f t="shared" si="1"/>
        <v>0</v>
      </c>
      <c r="S5" s="782"/>
    </row>
    <row r="6" spans="1:19" ht="5.0999999999999996" customHeight="1" x14ac:dyDescent="0.25">
      <c r="C6" s="27"/>
      <c r="D6" s="28"/>
      <c r="E6" s="29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S6" s="782"/>
    </row>
    <row r="7" spans="1:19" x14ac:dyDescent="0.25">
      <c r="B7" s="30"/>
      <c r="C7" s="19" t="s">
        <v>26</v>
      </c>
      <c r="D7" s="31">
        <f>SUM(F7:P7)</f>
        <v>253837.73104707798</v>
      </c>
      <c r="E7" s="29"/>
      <c r="F7" s="22">
        <f>SUM(F14,F18,F22,F26,F30)</f>
        <v>29945.10388361639</v>
      </c>
      <c r="G7" s="23">
        <f>SUM(G14,G18,G22,G26,G30)</f>
        <v>24518.032135225898</v>
      </c>
      <c r="H7" s="23">
        <f t="shared" ref="H7:Q7" si="2">SUM(H14,H18,H22,H30)</f>
        <v>24946.293540140447</v>
      </c>
      <c r="I7" s="23">
        <f t="shared" si="2"/>
        <v>174428.30148809525</v>
      </c>
      <c r="J7" s="23">
        <f t="shared" si="2"/>
        <v>0</v>
      </c>
      <c r="K7" s="23">
        <f t="shared" si="2"/>
        <v>0</v>
      </c>
      <c r="L7" s="23">
        <f t="shared" si="2"/>
        <v>0</v>
      </c>
      <c r="M7" s="23">
        <f t="shared" si="2"/>
        <v>0</v>
      </c>
      <c r="N7" s="23">
        <f t="shared" si="2"/>
        <v>0</v>
      </c>
      <c r="O7" s="23">
        <f t="shared" si="2"/>
        <v>0</v>
      </c>
      <c r="P7" s="24">
        <f t="shared" si="2"/>
        <v>0</v>
      </c>
      <c r="Q7" s="24">
        <f t="shared" si="2"/>
        <v>0</v>
      </c>
      <c r="S7" s="782"/>
    </row>
    <row r="8" spans="1:19" ht="5.0999999999999996" customHeight="1" x14ac:dyDescent="0.25">
      <c r="C8" s="27"/>
      <c r="D8" s="28"/>
      <c r="E8" s="29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S8" s="782"/>
    </row>
    <row r="9" spans="1:19" x14ac:dyDescent="0.25">
      <c r="B9" s="30"/>
      <c r="C9" s="19" t="s">
        <v>0</v>
      </c>
      <c r="D9" s="32">
        <f>D7/D5</f>
        <v>6.0088614843844597E-2</v>
      </c>
      <c r="E9" s="29"/>
      <c r="F9" s="33">
        <f>F7/F5</f>
        <v>2.6244534001835951E-2</v>
      </c>
      <c r="G9" s="34">
        <f>G7/G5</f>
        <v>2.8682380938109358E-2</v>
      </c>
      <c r="H9" s="34">
        <f t="shared" ref="H9:I9" si="3">H7/H5</f>
        <v>2.2860661309416944E-2</v>
      </c>
      <c r="I9" s="34">
        <f t="shared" si="3"/>
        <v>0.1533648150534766</v>
      </c>
      <c r="J9" s="35"/>
      <c r="K9" s="35"/>
      <c r="L9" s="35"/>
      <c r="M9" s="35"/>
      <c r="N9" s="35"/>
      <c r="O9" s="35"/>
      <c r="P9" s="36"/>
      <c r="Q9" s="36"/>
      <c r="S9" s="782"/>
    </row>
    <row r="10" spans="1:19" ht="15.75" thickBot="1" x14ac:dyDescent="0.3"/>
    <row r="11" spans="1:19" x14ac:dyDescent="0.25">
      <c r="C11" s="37" t="s">
        <v>27</v>
      </c>
      <c r="D11" s="39"/>
      <c r="E11" s="40"/>
      <c r="F11" s="38" t="s">
        <v>8</v>
      </c>
      <c r="G11" s="38" t="s">
        <v>9</v>
      </c>
      <c r="H11" s="38" t="s">
        <v>10</v>
      </c>
      <c r="I11" s="38" t="s">
        <v>11</v>
      </c>
      <c r="J11" s="38" t="s">
        <v>12</v>
      </c>
      <c r="K11" s="38" t="s">
        <v>13</v>
      </c>
      <c r="L11" s="38" t="s">
        <v>14</v>
      </c>
      <c r="M11" s="38" t="s">
        <v>15</v>
      </c>
      <c r="N11" s="38" t="s">
        <v>16</v>
      </c>
      <c r="O11" s="38" t="s">
        <v>17</v>
      </c>
      <c r="P11" s="38" t="s">
        <v>18</v>
      </c>
      <c r="Q11" s="38" t="s">
        <v>19</v>
      </c>
      <c r="R11" s="40"/>
      <c r="S11" s="41" t="s">
        <v>28</v>
      </c>
    </row>
    <row r="12" spans="1:19" ht="15" customHeight="1" x14ac:dyDescent="0.25">
      <c r="C12" s="778" t="s">
        <v>29</v>
      </c>
      <c r="D12" s="42" t="s">
        <v>30</v>
      </c>
      <c r="E12" s="43"/>
      <c r="F12" s="44">
        <f>'[3]Suivi Détaillé Taux de Déchet'!F$12</f>
        <v>248368</v>
      </c>
      <c r="G12" s="45">
        <f>'[3]Suivi Détaillé Taux de Déchet'!G$12</f>
        <v>66452</v>
      </c>
      <c r="H12" s="45">
        <f>'[3]Suivi Détaillé Taux de Déchet'!H$12</f>
        <v>207331</v>
      </c>
      <c r="I12" s="45">
        <f>'[3]Suivi Détaillé Taux de Déchet'!I$12</f>
        <v>25386</v>
      </c>
      <c r="J12" s="45">
        <f>'[3]Suivi Détaillé Taux de Déchet'!J$12</f>
        <v>0</v>
      </c>
      <c r="K12" s="45">
        <f>'[3]Suivi Détaillé Taux de Déchet'!K$12</f>
        <v>0</v>
      </c>
      <c r="L12" s="45">
        <f>'[3]Suivi Détaillé Taux de Déchet'!L$12</f>
        <v>0</v>
      </c>
      <c r="M12" s="45">
        <f>'[3]Suivi Détaillé Taux de Déchet'!M$12</f>
        <v>0</v>
      </c>
      <c r="N12" s="45">
        <f>'[3]Suivi Détaillé Taux de Déchet'!N$12</f>
        <v>0</v>
      </c>
      <c r="O12" s="45">
        <f>'[3]Suivi Détaillé Taux de Déchet'!O$12</f>
        <v>0</v>
      </c>
      <c r="P12" s="46">
        <f>'[3]Suivi Détaillé Taux de Déchet'!P$12</f>
        <v>0</v>
      </c>
      <c r="Q12" s="46">
        <f>'[3]Suivi Détaillé Taux de Déchet'!Q$12</f>
        <v>0</v>
      </c>
      <c r="R12" s="47">
        <v>2948132</v>
      </c>
      <c r="S12" s="48">
        <f>SUM(F12:Q12)</f>
        <v>547537</v>
      </c>
    </row>
    <row r="13" spans="1:19" ht="15" customHeight="1" x14ac:dyDescent="0.25">
      <c r="C13" s="779"/>
      <c r="D13" s="49" t="s">
        <v>31</v>
      </c>
      <c r="E13" s="43"/>
      <c r="F13" s="50">
        <f>'[3]Suivi Détaillé Taux de Déchet'!F$13</f>
        <v>237158.94484126984</v>
      </c>
      <c r="G13" s="51">
        <f>'[3]Suivi Détaillé Taux de Déchet'!G$13</f>
        <v>64165.373412698405</v>
      </c>
      <c r="H13" s="51">
        <f>'[3]Suivi Détaillé Taux de Déchet'!H$13</f>
        <v>201323.85259081193</v>
      </c>
      <c r="I13" s="51">
        <f>'[3]Suivi Détaillé Taux de Déchet'!I$13</f>
        <v>22144.583333333336</v>
      </c>
      <c r="J13" s="51">
        <f>'[3]Suivi Détaillé Taux de Déchet'!J$13</f>
        <v>0</v>
      </c>
      <c r="K13" s="51">
        <f>'[3]Suivi Détaillé Taux de Déchet'!K$13</f>
        <v>0</v>
      </c>
      <c r="L13" s="51">
        <f>'[3]Suivi Détaillé Taux de Déchet'!L$13</f>
        <v>0</v>
      </c>
      <c r="M13" s="51">
        <f>'[3]Suivi Détaillé Taux de Déchet'!M$13</f>
        <v>0</v>
      </c>
      <c r="N13" s="51">
        <f>'[3]Suivi Détaillé Taux de Déchet'!N$13</f>
        <v>0</v>
      </c>
      <c r="O13" s="51">
        <f>'[3]Suivi Détaillé Taux de Déchet'!O$13</f>
        <v>0</v>
      </c>
      <c r="P13" s="52">
        <f>'[3]Suivi Détaillé Taux de Déchet'!P$13</f>
        <v>0</v>
      </c>
      <c r="Q13" s="52">
        <f>'[3]Suivi Détaillé Taux de Déchet'!Q$13</f>
        <v>0</v>
      </c>
      <c r="R13" s="47"/>
      <c r="S13" s="53">
        <f t="shared" ref="S13:S14" si="4">SUM(F13:Q13)</f>
        <v>524792.75417811354</v>
      </c>
    </row>
    <row r="14" spans="1:19" ht="15" customHeight="1" x14ac:dyDescent="0.25">
      <c r="C14" s="779"/>
      <c r="D14" s="49" t="s">
        <v>26</v>
      </c>
      <c r="E14" s="43"/>
      <c r="F14" s="50">
        <f>F12-F13</f>
        <v>11209.05515873016</v>
      </c>
      <c r="G14" s="51">
        <f t="shared" ref="G14:Q14" si="5">G12-G13</f>
        <v>2286.6265873015946</v>
      </c>
      <c r="H14" s="51">
        <f t="shared" si="5"/>
        <v>6007.1474091880664</v>
      </c>
      <c r="I14" s="51">
        <f t="shared" si="5"/>
        <v>3241.4166666666642</v>
      </c>
      <c r="J14" s="51">
        <f t="shared" si="5"/>
        <v>0</v>
      </c>
      <c r="K14" s="51">
        <f t="shared" si="5"/>
        <v>0</v>
      </c>
      <c r="L14" s="51">
        <f t="shared" si="5"/>
        <v>0</v>
      </c>
      <c r="M14" s="51">
        <f t="shared" si="5"/>
        <v>0</v>
      </c>
      <c r="N14" s="51">
        <f t="shared" si="5"/>
        <v>0</v>
      </c>
      <c r="O14" s="51">
        <f t="shared" si="5"/>
        <v>0</v>
      </c>
      <c r="P14" s="52">
        <f t="shared" si="5"/>
        <v>0</v>
      </c>
      <c r="Q14" s="52">
        <f t="shared" si="5"/>
        <v>0</v>
      </c>
      <c r="R14" s="47"/>
      <c r="S14" s="53">
        <f t="shared" si="4"/>
        <v>22744.245821886485</v>
      </c>
    </row>
    <row r="15" spans="1:19" ht="15" customHeight="1" x14ac:dyDescent="0.25">
      <c r="C15" s="780"/>
      <c r="D15" s="54" t="s">
        <v>0</v>
      </c>
      <c r="E15" s="55"/>
      <c r="F15" s="56">
        <f>IF(F14&lt;=0,0,IF(F14&gt;F13,1,F14/F13))</f>
        <v>4.7263893698938346E-2</v>
      </c>
      <c r="G15" s="57">
        <f t="shared" ref="G15:Q15" si="6">IF(G14&lt;=0,0,IF(G14&gt;G13,1,G14/G13))</f>
        <v>3.5636457261683581E-2</v>
      </c>
      <c r="H15" s="57">
        <f t="shared" si="6"/>
        <v>2.9838229955779328E-2</v>
      </c>
      <c r="I15" s="57">
        <f t="shared" si="6"/>
        <v>0.14637514817393255</v>
      </c>
      <c r="J15" s="57">
        <f t="shared" si="6"/>
        <v>0</v>
      </c>
      <c r="K15" s="57">
        <f t="shared" si="6"/>
        <v>0</v>
      </c>
      <c r="L15" s="57">
        <f t="shared" si="6"/>
        <v>0</v>
      </c>
      <c r="M15" s="57">
        <f t="shared" si="6"/>
        <v>0</v>
      </c>
      <c r="N15" s="57">
        <f t="shared" si="6"/>
        <v>0</v>
      </c>
      <c r="O15" s="57">
        <f t="shared" si="6"/>
        <v>0</v>
      </c>
      <c r="P15" s="58">
        <f t="shared" si="6"/>
        <v>0</v>
      </c>
      <c r="Q15" s="58">
        <f t="shared" si="6"/>
        <v>0</v>
      </c>
      <c r="R15" s="59"/>
      <c r="S15" s="60">
        <f>S14/S13</f>
        <v>4.3339481425399284E-2</v>
      </c>
    </row>
    <row r="16" spans="1:19" ht="15" customHeight="1" x14ac:dyDescent="0.25">
      <c r="C16" s="778" t="s">
        <v>36</v>
      </c>
      <c r="D16" s="42" t="s">
        <v>30</v>
      </c>
      <c r="E16" s="43"/>
      <c r="F16" s="44">
        <f>'[3]Suivi Détaillé Taux de Déchet'!F$172</f>
        <v>61085</v>
      </c>
      <c r="G16" s="45">
        <f>'[3]Suivi Détaillé Taux de Déchet'!G$172</f>
        <v>60481</v>
      </c>
      <c r="H16" s="45">
        <f>'[3]Suivi Détaillé Taux de Déchet'!H$172</f>
        <v>39990</v>
      </c>
      <c r="I16" s="45">
        <f>'[3]Suivi Détaillé Taux de Déchet'!I$172</f>
        <v>17121</v>
      </c>
      <c r="J16" s="45">
        <f>'[3]Suivi Détaillé Taux de Déchet'!J$172</f>
        <v>0</v>
      </c>
      <c r="K16" s="45">
        <f>'[3]Suivi Détaillé Taux de Déchet'!K$172</f>
        <v>0</v>
      </c>
      <c r="L16" s="45">
        <f>'[3]Suivi Détaillé Taux de Déchet'!L$172</f>
        <v>0</v>
      </c>
      <c r="M16" s="45">
        <f>'[3]Suivi Détaillé Taux de Déchet'!M$172</f>
        <v>0</v>
      </c>
      <c r="N16" s="45">
        <f>'[3]Suivi Détaillé Taux de Déchet'!N$172</f>
        <v>0</v>
      </c>
      <c r="O16" s="45">
        <f>'[3]Suivi Détaillé Taux de Déchet'!O$172</f>
        <v>0</v>
      </c>
      <c r="P16" s="46">
        <f>'[3]Suivi Détaillé Taux de Déchet'!P$172</f>
        <v>0</v>
      </c>
      <c r="Q16" s="46">
        <f>'[3]Suivi Détaillé Taux de Déchet'!Q$172</f>
        <v>0</v>
      </c>
      <c r="R16" s="47">
        <v>945626</v>
      </c>
      <c r="S16" s="48">
        <f t="shared" ref="S16:S18" si="7">SUM(F16:Q16)</f>
        <v>178677</v>
      </c>
    </row>
    <row r="17" spans="3:19" ht="15" customHeight="1" x14ac:dyDescent="0.25">
      <c r="C17" s="779"/>
      <c r="D17" s="49" t="s">
        <v>31</v>
      </c>
      <c r="E17" s="43"/>
      <c r="F17" s="50">
        <f>'[3]Suivi Détaillé Taux de Déchet'!F$173</f>
        <v>58902.851298701295</v>
      </c>
      <c r="G17" s="51">
        <f>'[3]Suivi Détaillé Taux de Déchet'!G$173</f>
        <v>55572.253174603175</v>
      </c>
      <c r="H17" s="51">
        <f>'[3]Suivi Détaillé Taux de Déchet'!H$173</f>
        <v>38834.07261904762</v>
      </c>
      <c r="I17" s="51">
        <f>'[3]Suivi Détaillé Taux de Déchet'!I$173</f>
        <v>16731.25</v>
      </c>
      <c r="J17" s="51">
        <f>'[3]Suivi Détaillé Taux de Déchet'!J$173</f>
        <v>0</v>
      </c>
      <c r="K17" s="51">
        <f>'[3]Suivi Détaillé Taux de Déchet'!K$173</f>
        <v>0</v>
      </c>
      <c r="L17" s="51">
        <f>'[3]Suivi Détaillé Taux de Déchet'!L$173</f>
        <v>0</v>
      </c>
      <c r="M17" s="51">
        <f>'[3]Suivi Détaillé Taux de Déchet'!M$173</f>
        <v>0</v>
      </c>
      <c r="N17" s="51">
        <f>'[3]Suivi Détaillé Taux de Déchet'!N$173</f>
        <v>0</v>
      </c>
      <c r="O17" s="51">
        <f>'[3]Suivi Détaillé Taux de Déchet'!O$173</f>
        <v>0</v>
      </c>
      <c r="P17" s="52">
        <f>'[3]Suivi Détaillé Taux de Déchet'!P$173</f>
        <v>0</v>
      </c>
      <c r="Q17" s="52">
        <f>'[3]Suivi Détaillé Taux de Déchet'!Q$173</f>
        <v>0</v>
      </c>
      <c r="R17" s="47"/>
      <c r="S17" s="53">
        <f t="shared" si="7"/>
        <v>170040.4270923521</v>
      </c>
    </row>
    <row r="18" spans="3:19" ht="15" customHeight="1" x14ac:dyDescent="0.25">
      <c r="C18" s="779"/>
      <c r="D18" s="49" t="s">
        <v>26</v>
      </c>
      <c r="E18" s="43"/>
      <c r="F18" s="50">
        <f>F16-F17</f>
        <v>2182.1487012987054</v>
      </c>
      <c r="G18" s="51">
        <f t="shared" ref="G18:Q18" si="8">G16-G17</f>
        <v>4908.7468253968254</v>
      </c>
      <c r="H18" s="51">
        <f t="shared" si="8"/>
        <v>1155.9273809523802</v>
      </c>
      <c r="I18" s="51">
        <f t="shared" si="8"/>
        <v>389.75</v>
      </c>
      <c r="J18" s="51">
        <f t="shared" si="8"/>
        <v>0</v>
      </c>
      <c r="K18" s="51">
        <f t="shared" si="8"/>
        <v>0</v>
      </c>
      <c r="L18" s="51">
        <f t="shared" si="8"/>
        <v>0</v>
      </c>
      <c r="M18" s="51">
        <f t="shared" si="8"/>
        <v>0</v>
      </c>
      <c r="N18" s="51">
        <f t="shared" si="8"/>
        <v>0</v>
      </c>
      <c r="O18" s="51">
        <f t="shared" si="8"/>
        <v>0</v>
      </c>
      <c r="P18" s="52">
        <f t="shared" si="8"/>
        <v>0</v>
      </c>
      <c r="Q18" s="52">
        <f t="shared" si="8"/>
        <v>0</v>
      </c>
      <c r="R18" s="47"/>
      <c r="S18" s="53">
        <f t="shared" si="7"/>
        <v>8636.5729076479111</v>
      </c>
    </row>
    <row r="19" spans="3:19" ht="15" customHeight="1" x14ac:dyDescent="0.25">
      <c r="C19" s="780"/>
      <c r="D19" s="54" t="s">
        <v>0</v>
      </c>
      <c r="E19" s="55"/>
      <c r="F19" s="56">
        <f t="shared" ref="F19:Q19" si="9">IF(F18&lt;=0,0,IF(F18&gt;F17,1,F18/F17))</f>
        <v>3.7046571654618998E-2</v>
      </c>
      <c r="G19" s="57">
        <f t="shared" si="9"/>
        <v>8.8330894375903218E-2</v>
      </c>
      <c r="H19" s="57">
        <f t="shared" si="9"/>
        <v>2.9765803661432423E-2</v>
      </c>
      <c r="I19" s="57">
        <f t="shared" si="9"/>
        <v>2.3294732909973852E-2</v>
      </c>
      <c r="J19" s="57">
        <f t="shared" si="9"/>
        <v>0</v>
      </c>
      <c r="K19" s="57">
        <f t="shared" si="9"/>
        <v>0</v>
      </c>
      <c r="L19" s="57">
        <f t="shared" si="9"/>
        <v>0</v>
      </c>
      <c r="M19" s="57">
        <f t="shared" si="9"/>
        <v>0</v>
      </c>
      <c r="N19" s="57">
        <f t="shared" si="9"/>
        <v>0</v>
      </c>
      <c r="O19" s="57">
        <f t="shared" si="9"/>
        <v>0</v>
      </c>
      <c r="P19" s="58">
        <f t="shared" si="9"/>
        <v>0</v>
      </c>
      <c r="Q19" s="58">
        <f t="shared" si="9"/>
        <v>0</v>
      </c>
      <c r="R19" s="59"/>
      <c r="S19" s="60">
        <f t="shared" ref="S19" si="10">IF(S18&lt;=0,0,IF(S18&gt;S17,1,S18/S17))</f>
        <v>5.079129154949269E-2</v>
      </c>
    </row>
    <row r="20" spans="3:19" ht="15" customHeight="1" x14ac:dyDescent="0.25">
      <c r="C20" s="778" t="s">
        <v>46</v>
      </c>
      <c r="D20" s="42" t="s">
        <v>30</v>
      </c>
      <c r="E20" s="43"/>
      <c r="F20" s="44">
        <f>'[3]Suivi Détaillé Taux de Déchet'!F$252</f>
        <v>39512</v>
      </c>
      <c r="G20" s="45">
        <f>'[3]Suivi Détaillé Taux de Déchet'!G$252</f>
        <v>30821</v>
      </c>
      <c r="H20" s="45">
        <f>'[3]Suivi Détaillé Taux de Déchet'!H$252</f>
        <v>18599</v>
      </c>
      <c r="I20" s="45">
        <f>'[3]Suivi Détaillé Taux de Déchet'!I$252</f>
        <v>43301</v>
      </c>
      <c r="J20" s="45">
        <f>'[3]Suivi Détaillé Taux de Déchet'!J$252</f>
        <v>0</v>
      </c>
      <c r="K20" s="45">
        <f>'[3]Suivi Détaillé Taux de Déchet'!K$252</f>
        <v>0</v>
      </c>
      <c r="L20" s="45">
        <f>'[3]Suivi Détaillé Taux de Déchet'!L$252</f>
        <v>0</v>
      </c>
      <c r="M20" s="45">
        <f>'[3]Suivi Détaillé Taux de Déchet'!M$252</f>
        <v>0</v>
      </c>
      <c r="N20" s="45">
        <f>'[3]Suivi Détaillé Taux de Déchet'!N$252</f>
        <v>0</v>
      </c>
      <c r="O20" s="45">
        <f>'[3]Suivi Détaillé Taux de Déchet'!O$252</f>
        <v>0</v>
      </c>
      <c r="P20" s="46">
        <f>'[3]Suivi Détaillé Taux de Déchet'!P$252</f>
        <v>0</v>
      </c>
      <c r="Q20" s="46">
        <f>'[3]Suivi Détaillé Taux de Déchet'!Q$252</f>
        <v>0</v>
      </c>
      <c r="R20" s="47"/>
      <c r="S20" s="48">
        <f t="shared" ref="S20:S22" si="11">SUM(F20:Q20)</f>
        <v>132233</v>
      </c>
    </row>
    <row r="21" spans="3:19" ht="15" customHeight="1" x14ac:dyDescent="0.25">
      <c r="C21" s="779"/>
      <c r="D21" s="49" t="s">
        <v>31</v>
      </c>
      <c r="E21" s="43"/>
      <c r="F21" s="50">
        <f>'[3]Suivi Détaillé Taux de Déchet'!F$253</f>
        <v>39333.408279220777</v>
      </c>
      <c r="G21" s="51">
        <f>'[3]Suivi Détaillé Taux de Déchet'!G$253</f>
        <v>30567.493063186808</v>
      </c>
      <c r="H21" s="51">
        <f>'[3]Suivi Détaillé Taux de Déchet'!H$253</f>
        <v>18545.78125</v>
      </c>
      <c r="I21" s="51">
        <f>'[3]Suivi Détaillé Taux de Déchet'!I$253</f>
        <v>43164.865178571425</v>
      </c>
      <c r="J21" s="51">
        <f>'[3]Suivi Détaillé Taux de Déchet'!J$253</f>
        <v>0</v>
      </c>
      <c r="K21" s="51">
        <f>'[3]Suivi Détaillé Taux de Déchet'!K$253</f>
        <v>0</v>
      </c>
      <c r="L21" s="51">
        <f>'[3]Suivi Détaillé Taux de Déchet'!L$253</f>
        <v>0</v>
      </c>
      <c r="M21" s="51">
        <f>'[3]Suivi Détaillé Taux de Déchet'!M$253</f>
        <v>0</v>
      </c>
      <c r="N21" s="51">
        <f>'[3]Suivi Détaillé Taux de Déchet'!N$253</f>
        <v>0</v>
      </c>
      <c r="O21" s="51">
        <f>'[3]Suivi Détaillé Taux de Déchet'!O$253</f>
        <v>0</v>
      </c>
      <c r="P21" s="52">
        <f>'[3]Suivi Détaillé Taux de Déchet'!P$253</f>
        <v>0</v>
      </c>
      <c r="Q21" s="52">
        <f>'[3]Suivi Détaillé Taux de Déchet'!Q$253</f>
        <v>0</v>
      </c>
      <c r="R21" s="47"/>
      <c r="S21" s="53">
        <f t="shared" si="11"/>
        <v>131611.547770979</v>
      </c>
    </row>
    <row r="22" spans="3:19" ht="15" customHeight="1" x14ac:dyDescent="0.25">
      <c r="C22" s="779"/>
      <c r="D22" s="49" t="s">
        <v>26</v>
      </c>
      <c r="E22" s="43"/>
      <c r="F22" s="50">
        <f>F20-F21</f>
        <v>178.59172077922267</v>
      </c>
      <c r="G22" s="51">
        <f t="shared" ref="G22:Q22" si="12">G20-G21</f>
        <v>253.50693681319171</v>
      </c>
      <c r="H22" s="51">
        <f t="shared" si="12"/>
        <v>53.21875</v>
      </c>
      <c r="I22" s="51">
        <f t="shared" si="12"/>
        <v>136.13482142857538</v>
      </c>
      <c r="J22" s="51">
        <f t="shared" si="12"/>
        <v>0</v>
      </c>
      <c r="K22" s="51">
        <f t="shared" si="12"/>
        <v>0</v>
      </c>
      <c r="L22" s="51">
        <f t="shared" si="12"/>
        <v>0</v>
      </c>
      <c r="M22" s="51">
        <f t="shared" si="12"/>
        <v>0</v>
      </c>
      <c r="N22" s="51">
        <f t="shared" si="12"/>
        <v>0</v>
      </c>
      <c r="O22" s="51">
        <f t="shared" si="12"/>
        <v>0</v>
      </c>
      <c r="P22" s="52">
        <f t="shared" si="12"/>
        <v>0</v>
      </c>
      <c r="Q22" s="52">
        <f t="shared" si="12"/>
        <v>0</v>
      </c>
      <c r="R22" s="47"/>
      <c r="S22" s="53">
        <f t="shared" si="11"/>
        <v>621.45222902098976</v>
      </c>
    </row>
    <row r="23" spans="3:19" ht="15" customHeight="1" x14ac:dyDescent="0.25">
      <c r="C23" s="780"/>
      <c r="D23" s="54" t="s">
        <v>0</v>
      </c>
      <c r="E23" s="55"/>
      <c r="F23" s="56">
        <f t="shared" ref="F23:Q23" si="13">IF(F22&lt;=0,0,IF(F22&gt;F21,1,F22/F21))</f>
        <v>4.5404588260298277E-3</v>
      </c>
      <c r="G23" s="57">
        <f t="shared" si="13"/>
        <v>8.2933505959798988E-3</v>
      </c>
      <c r="H23" s="57">
        <f t="shared" si="13"/>
        <v>2.8695879285214796E-3</v>
      </c>
      <c r="I23" s="57">
        <f t="shared" si="13"/>
        <v>3.1538340468663748E-3</v>
      </c>
      <c r="J23" s="57">
        <f t="shared" si="13"/>
        <v>0</v>
      </c>
      <c r="K23" s="57">
        <f t="shared" si="13"/>
        <v>0</v>
      </c>
      <c r="L23" s="57">
        <f t="shared" si="13"/>
        <v>0</v>
      </c>
      <c r="M23" s="57">
        <f t="shared" si="13"/>
        <v>0</v>
      </c>
      <c r="N23" s="57">
        <f t="shared" si="13"/>
        <v>0</v>
      </c>
      <c r="O23" s="57">
        <f t="shared" si="13"/>
        <v>0</v>
      </c>
      <c r="P23" s="58">
        <f t="shared" si="13"/>
        <v>0</v>
      </c>
      <c r="Q23" s="58">
        <f t="shared" si="13"/>
        <v>0</v>
      </c>
      <c r="R23" s="59"/>
      <c r="S23" s="60">
        <f t="shared" ref="S23" si="14">IF(S22&lt;=0,0,IF(S22&gt;S21,1,S22/S21))</f>
        <v>4.7218670363363292E-3</v>
      </c>
    </row>
    <row r="24" spans="3:19" ht="15" customHeight="1" x14ac:dyDescent="0.25">
      <c r="C24" s="778" t="s">
        <v>52</v>
      </c>
      <c r="D24" s="42" t="s">
        <v>30</v>
      </c>
      <c r="E24" s="43"/>
      <c r="F24" s="44">
        <f>'[3]Suivi Détaillé Taux de Déchet'!F$320</f>
        <v>8075.5555555555547</v>
      </c>
      <c r="G24" s="45">
        <f>'[3]Suivi Détaillé Taux de Déchet'!G$320</f>
        <v>6928.6388888888887</v>
      </c>
      <c r="H24" s="45">
        <f>'[3]Suivi Détaillé Taux de Déchet'!H$320</f>
        <v>9229.6868131868141</v>
      </c>
      <c r="I24" s="45">
        <f>'[3]Suivi Détaillé Taux de Déchet'!I$320</f>
        <v>1494</v>
      </c>
      <c r="J24" s="45">
        <f>'[3]Suivi Détaillé Taux de Déchet'!J$320</f>
        <v>0</v>
      </c>
      <c r="K24" s="45">
        <f>'[3]Suivi Détaillé Taux de Déchet'!K$320</f>
        <v>0</v>
      </c>
      <c r="L24" s="45">
        <f>'[3]Suivi Détaillé Taux de Déchet'!L$320</f>
        <v>0</v>
      </c>
      <c r="M24" s="45">
        <f>'[3]Suivi Détaillé Taux de Déchet'!M$320</f>
        <v>0</v>
      </c>
      <c r="N24" s="45">
        <f>'[3]Suivi Détaillé Taux de Déchet'!N$320</f>
        <v>0</v>
      </c>
      <c r="O24" s="45">
        <f>'[3]Suivi Détaillé Taux de Déchet'!O$320</f>
        <v>0</v>
      </c>
      <c r="P24" s="46">
        <f>'[3]Suivi Détaillé Taux de Déchet'!P$320</f>
        <v>0</v>
      </c>
      <c r="Q24" s="46">
        <f>'[3]Suivi Détaillé Taux de Déchet'!Q$320</f>
        <v>0</v>
      </c>
      <c r="R24" s="47"/>
      <c r="S24" s="48">
        <f t="shared" ref="S24:S26" si="15">SUM(F24:Q24)</f>
        <v>25727.881257631256</v>
      </c>
    </row>
    <row r="25" spans="3:19" ht="15" customHeight="1" x14ac:dyDescent="0.25">
      <c r="C25" s="779"/>
      <c r="D25" s="49" t="s">
        <v>31</v>
      </c>
      <c r="E25" s="43"/>
      <c r="F25" s="50">
        <f>'[3]Suivi Détaillé Taux de Déchet'!F$321</f>
        <v>7704.2472527472528</v>
      </c>
      <c r="G25" s="51">
        <f>'[3]Suivi Détaillé Taux de Déchet'!G$321</f>
        <v>6927.4871031746025</v>
      </c>
      <c r="H25" s="51">
        <f>'[3]Suivi Détaillé Taux de Déchet'!H$321</f>
        <v>9227.6600274725279</v>
      </c>
      <c r="I25" s="51">
        <f>'[3]Suivi Détaillé Taux de Déchet'!I$321</f>
        <v>1489.6666666666665</v>
      </c>
      <c r="J25" s="51">
        <f>'[3]Suivi Détaillé Taux de Déchet'!J$321</f>
        <v>0</v>
      </c>
      <c r="K25" s="51">
        <f>'[3]Suivi Détaillé Taux de Déchet'!K$321</f>
        <v>0</v>
      </c>
      <c r="L25" s="51">
        <f>'[3]Suivi Détaillé Taux de Déchet'!L$321</f>
        <v>0</v>
      </c>
      <c r="M25" s="51">
        <f>'[3]Suivi Détaillé Taux de Déchet'!M$321</f>
        <v>0</v>
      </c>
      <c r="N25" s="51">
        <f>'[3]Suivi Détaillé Taux de Déchet'!N$321</f>
        <v>0</v>
      </c>
      <c r="O25" s="51">
        <f>'[3]Suivi Détaillé Taux de Déchet'!O$321</f>
        <v>0</v>
      </c>
      <c r="P25" s="52">
        <f>'[3]Suivi Détaillé Taux de Déchet'!P$321</f>
        <v>0</v>
      </c>
      <c r="Q25" s="52">
        <f>'[3]Suivi Détaillé Taux de Déchet'!Q$321</f>
        <v>0</v>
      </c>
      <c r="R25" s="47"/>
      <c r="S25" s="53">
        <f t="shared" si="15"/>
        <v>25349.061050061053</v>
      </c>
    </row>
    <row r="26" spans="3:19" ht="15" customHeight="1" x14ac:dyDescent="0.25">
      <c r="C26" s="779"/>
      <c r="D26" s="49" t="s">
        <v>26</v>
      </c>
      <c r="E26" s="43"/>
      <c r="F26" s="50">
        <f>F24-F25</f>
        <v>371.30830280830196</v>
      </c>
      <c r="G26" s="51">
        <f t="shared" ref="G26:Q26" si="16">G24-G25</f>
        <v>1.151785714286234</v>
      </c>
      <c r="H26" s="51">
        <f t="shared" si="16"/>
        <v>2.026785714286234</v>
      </c>
      <c r="I26" s="51">
        <f t="shared" si="16"/>
        <v>4.3333333333334849</v>
      </c>
      <c r="J26" s="51">
        <f t="shared" si="16"/>
        <v>0</v>
      </c>
      <c r="K26" s="51">
        <f t="shared" si="16"/>
        <v>0</v>
      </c>
      <c r="L26" s="51">
        <f t="shared" si="16"/>
        <v>0</v>
      </c>
      <c r="M26" s="51">
        <f t="shared" si="16"/>
        <v>0</v>
      </c>
      <c r="N26" s="51">
        <f t="shared" si="16"/>
        <v>0</v>
      </c>
      <c r="O26" s="51">
        <f t="shared" si="16"/>
        <v>0</v>
      </c>
      <c r="P26" s="52">
        <f t="shared" si="16"/>
        <v>0</v>
      </c>
      <c r="Q26" s="52">
        <f t="shared" si="16"/>
        <v>0</v>
      </c>
      <c r="R26" s="47"/>
      <c r="S26" s="53">
        <f t="shared" si="15"/>
        <v>378.82020757020791</v>
      </c>
    </row>
    <row r="27" spans="3:19" ht="15" customHeight="1" x14ac:dyDescent="0.25">
      <c r="C27" s="780"/>
      <c r="D27" s="54" t="s">
        <v>0</v>
      </c>
      <c r="E27" s="55"/>
      <c r="F27" s="56">
        <f t="shared" ref="F27:Q27" si="17">IF(F26&lt;=0,0,IF(F26&gt;F25,1,F26/F25))</f>
        <v>4.8195273415699028E-2</v>
      </c>
      <c r="G27" s="57">
        <f t="shared" si="17"/>
        <v>1.6626313367778262E-4</v>
      </c>
      <c r="H27" s="57">
        <f t="shared" si="17"/>
        <v>2.196424346207057E-4</v>
      </c>
      <c r="I27" s="57">
        <f t="shared" si="17"/>
        <v>2.9089281718506278E-3</v>
      </c>
      <c r="J27" s="57">
        <f t="shared" si="17"/>
        <v>0</v>
      </c>
      <c r="K27" s="57">
        <f t="shared" si="17"/>
        <v>0</v>
      </c>
      <c r="L27" s="57">
        <f t="shared" si="17"/>
        <v>0</v>
      </c>
      <c r="M27" s="57">
        <f t="shared" si="17"/>
        <v>0</v>
      </c>
      <c r="N27" s="57">
        <f t="shared" si="17"/>
        <v>0</v>
      </c>
      <c r="O27" s="57">
        <f t="shared" si="17"/>
        <v>0</v>
      </c>
      <c r="P27" s="58">
        <f t="shared" si="17"/>
        <v>0</v>
      </c>
      <c r="Q27" s="58">
        <f t="shared" si="17"/>
        <v>0</v>
      </c>
      <c r="R27" s="59"/>
      <c r="S27" s="63">
        <f t="shared" ref="S27" si="18">IF(S26&lt;=0,0,IF(S26&gt;S25,1,S26/S25))</f>
        <v>1.4944151454844342E-2</v>
      </c>
    </row>
    <row r="28" spans="3:19" ht="15" customHeight="1" x14ac:dyDescent="0.25">
      <c r="C28" s="778" t="s">
        <v>53</v>
      </c>
      <c r="D28" s="42" t="s">
        <v>30</v>
      </c>
      <c r="E28" s="43"/>
      <c r="F28" s="44">
        <f>'[3]Suivi Détaillé Taux de Déchet'!F$364</f>
        <v>813908</v>
      </c>
      <c r="G28" s="45">
        <f>'[3]Suivi Détaillé Taux de Déchet'!G$364</f>
        <v>714647</v>
      </c>
      <c r="H28" s="45">
        <f>'[3]Suivi Détaillé Taux de Déchet'!H$364</f>
        <v>841031</v>
      </c>
      <c r="I28" s="45">
        <f>'[3]Suivi Détaillé Taux de Déchet'!I$364</f>
        <v>1224473</v>
      </c>
      <c r="J28" s="45">
        <f>'[3]Suivi Détaillé Taux de Déchet'!J$364</f>
        <v>0</v>
      </c>
      <c r="K28" s="45">
        <f>'[3]Suivi Détaillé Taux de Déchet'!K$364</f>
        <v>0</v>
      </c>
      <c r="L28" s="45">
        <f>'[3]Suivi Détaillé Taux de Déchet'!L$364</f>
        <v>0</v>
      </c>
      <c r="M28" s="45">
        <f>'[3]Suivi Détaillé Taux de Déchet'!M$364</f>
        <v>0</v>
      </c>
      <c r="N28" s="45">
        <f>'[3]Suivi Détaillé Taux de Déchet'!N$364</f>
        <v>0</v>
      </c>
      <c r="O28" s="45">
        <f>'[3]Suivi Détaillé Taux de Déchet'!O$364</f>
        <v>0</v>
      </c>
      <c r="P28" s="46">
        <f>'[3]Suivi Détaillé Taux de Déchet'!P$364</f>
        <v>0</v>
      </c>
      <c r="Q28" s="46">
        <f>'[3]Suivi Détaillé Taux de Déchet'!Q$364</f>
        <v>0</v>
      </c>
      <c r="R28" s="47"/>
      <c r="S28" s="48">
        <f t="shared" ref="S28:S30" si="19">SUM(F28:Q28)</f>
        <v>3594059</v>
      </c>
    </row>
    <row r="29" spans="3:19" ht="15" customHeight="1" x14ac:dyDescent="0.25">
      <c r="C29" s="779"/>
      <c r="D29" s="49" t="s">
        <v>31</v>
      </c>
      <c r="E29" s="43"/>
      <c r="F29" s="50">
        <f>'[3]Suivi Détaillé Taux de Déchet'!F$365</f>
        <v>797904</v>
      </c>
      <c r="G29" s="51">
        <f>'[3]Suivi Détaillé Taux de Déchet'!G$365</f>
        <v>697579</v>
      </c>
      <c r="H29" s="51">
        <f>'[3]Suivi Détaillé Taux de Déchet'!H$365</f>
        <v>823301</v>
      </c>
      <c r="I29" s="51">
        <f>'[3]Suivi Détaillé Taux de Déchet'!I$365</f>
        <v>1053812</v>
      </c>
      <c r="J29" s="51">
        <f>'[3]Suivi Détaillé Taux de Déchet'!J$365</f>
        <v>0</v>
      </c>
      <c r="K29" s="51">
        <f>'[3]Suivi Détaillé Taux de Déchet'!K$365</f>
        <v>0</v>
      </c>
      <c r="L29" s="51">
        <f>'[3]Suivi Détaillé Taux de Déchet'!L$365</f>
        <v>0</v>
      </c>
      <c r="M29" s="51">
        <f>'[3]Suivi Détaillé Taux de Déchet'!M$365</f>
        <v>0</v>
      </c>
      <c r="N29" s="51">
        <f>'[3]Suivi Détaillé Taux de Déchet'!N$365</f>
        <v>0</v>
      </c>
      <c r="O29" s="51">
        <f>'[3]Suivi Détaillé Taux de Déchet'!O$365</f>
        <v>0</v>
      </c>
      <c r="P29" s="52">
        <f>'[3]Suivi Détaillé Taux de Déchet'!P$365</f>
        <v>0</v>
      </c>
      <c r="Q29" s="52">
        <f>'[3]Suivi Détaillé Taux de Déchet'!Q$365</f>
        <v>0</v>
      </c>
      <c r="R29" s="47"/>
      <c r="S29" s="53">
        <f t="shared" si="19"/>
        <v>3372596</v>
      </c>
    </row>
    <row r="30" spans="3:19" ht="15" customHeight="1" x14ac:dyDescent="0.25">
      <c r="C30" s="779"/>
      <c r="D30" s="49" t="s">
        <v>26</v>
      </c>
      <c r="E30" s="43"/>
      <c r="F30" s="50">
        <f>F28-F29</f>
        <v>16004</v>
      </c>
      <c r="G30" s="51">
        <f t="shared" ref="G30:Q30" si="20">G28-G29</f>
        <v>17068</v>
      </c>
      <c r="H30" s="51">
        <f t="shared" si="20"/>
        <v>17730</v>
      </c>
      <c r="I30" s="51">
        <f t="shared" si="20"/>
        <v>170661</v>
      </c>
      <c r="J30" s="51">
        <f t="shared" si="20"/>
        <v>0</v>
      </c>
      <c r="K30" s="51">
        <f t="shared" si="20"/>
        <v>0</v>
      </c>
      <c r="L30" s="51">
        <f t="shared" si="20"/>
        <v>0</v>
      </c>
      <c r="M30" s="51">
        <f t="shared" si="20"/>
        <v>0</v>
      </c>
      <c r="N30" s="51">
        <f t="shared" si="20"/>
        <v>0</v>
      </c>
      <c r="O30" s="51">
        <f t="shared" si="20"/>
        <v>0</v>
      </c>
      <c r="P30" s="52">
        <f t="shared" si="20"/>
        <v>0</v>
      </c>
      <c r="Q30" s="52">
        <f t="shared" si="20"/>
        <v>0</v>
      </c>
      <c r="R30" s="47" t="e">
        <f>SUMIFS(#REF!,#REF!,"&gt;0",#REF!,"Ecart")</f>
        <v>#REF!</v>
      </c>
      <c r="S30" s="53">
        <f t="shared" si="19"/>
        <v>221463</v>
      </c>
    </row>
    <row r="31" spans="3:19" ht="15" customHeight="1" x14ac:dyDescent="0.25">
      <c r="C31" s="780"/>
      <c r="D31" s="64" t="s">
        <v>0</v>
      </c>
      <c r="E31" s="65"/>
      <c r="F31" s="56">
        <f t="shared" ref="F31:Q31" si="21">IF(F30&lt;=0,0,IF(F30&gt;F29,1,F30/F29))</f>
        <v>2.0057550783051596E-2</v>
      </c>
      <c r="G31" s="57">
        <f t="shared" si="21"/>
        <v>2.4467479668969394E-2</v>
      </c>
      <c r="H31" s="57">
        <f t="shared" si="21"/>
        <v>2.1535258672101699E-2</v>
      </c>
      <c r="I31" s="57">
        <f t="shared" si="21"/>
        <v>0.16194634337054428</v>
      </c>
      <c r="J31" s="57">
        <f t="shared" si="21"/>
        <v>0</v>
      </c>
      <c r="K31" s="57">
        <f t="shared" si="21"/>
        <v>0</v>
      </c>
      <c r="L31" s="57">
        <f t="shared" si="21"/>
        <v>0</v>
      </c>
      <c r="M31" s="57">
        <f t="shared" si="21"/>
        <v>0</v>
      </c>
      <c r="N31" s="57">
        <f t="shared" si="21"/>
        <v>0</v>
      </c>
      <c r="O31" s="57">
        <f t="shared" si="21"/>
        <v>0</v>
      </c>
      <c r="P31" s="58">
        <f t="shared" si="21"/>
        <v>0</v>
      </c>
      <c r="Q31" s="58">
        <f t="shared" si="21"/>
        <v>0</v>
      </c>
      <c r="R31" s="59"/>
      <c r="S31" s="60">
        <f t="shared" ref="S31" si="22">IF(S30&lt;=0,0,IF(S30&gt;S29,1,S30/S29))</f>
        <v>6.5665439916313725E-2</v>
      </c>
    </row>
  </sheetData>
  <mergeCells count="6">
    <mergeCell ref="C24:C27"/>
    <mergeCell ref="C28:C31"/>
    <mergeCell ref="S3:S9"/>
    <mergeCell ref="C12:C15"/>
    <mergeCell ref="C16:C19"/>
    <mergeCell ref="C20:C23"/>
  </mergeCells>
  <conditionalFormatting sqref="F5:Q5">
    <cfRule type="dataBar" priority="1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{25ED5A7E-72E3-4B78-8ECB-CFD3842509BC}</x14:id>
        </ext>
      </extLst>
    </cfRule>
  </conditionalFormatting>
  <conditionalFormatting sqref="D3:Q3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{AD3D1842-1C35-4525-96E6-32CE405E8160}</x14:id>
        </ext>
      </extLst>
    </cfRule>
  </conditionalFormatting>
  <conditionalFormatting sqref="D5:Q5">
    <cfRule type="dataBar" priority="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{0FA6C29B-BA6E-41B5-BB0C-EE7F4128358D}</x14:id>
        </ext>
      </extLst>
    </cfRule>
  </conditionalFormatting>
  <conditionalFormatting sqref="D7:Q7">
    <cfRule type="dataBar" priority="8">
      <dataBar>
        <cfvo type="min"/>
        <cfvo type="max"/>
        <color rgb="FFCC99FF"/>
      </dataBar>
      <extLst>
        <ext xmlns:x14="http://schemas.microsoft.com/office/spreadsheetml/2009/9/main" uri="{B025F937-C7B1-47D3-B67F-A62EFF666E3E}">
          <x14:id>{209EC46D-175A-4643-B00F-60BD8F2C16F6}</x14:id>
        </ext>
      </extLst>
    </cfRule>
  </conditionalFormatting>
  <conditionalFormatting sqref="D9:I9">
    <cfRule type="dataBar" priority="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{DE97F24E-2C19-4559-B167-66F087831929}</x14:id>
        </ext>
      </extLst>
    </cfRule>
  </conditionalFormatting>
  <conditionalFormatting sqref="F15:Q15 F19:Q19 F23:Q23 F27:Q27 F31:Q31">
    <cfRule type="cellIs" dxfId="35" priority="5" operator="greaterThan">
      <formula>0.05</formula>
    </cfRule>
  </conditionalFormatting>
  <conditionalFormatting sqref="S15">
    <cfRule type="cellIs" dxfId="34" priority="4" operator="greaterThan">
      <formula>0.05</formula>
    </cfRule>
  </conditionalFormatting>
  <conditionalFormatting sqref="S19">
    <cfRule type="cellIs" dxfId="33" priority="3" operator="greaterThan">
      <formula>0.05</formula>
    </cfRule>
  </conditionalFormatting>
  <conditionalFormatting sqref="S23">
    <cfRule type="cellIs" dxfId="32" priority="2" operator="greaterThan">
      <formula>0.05</formula>
    </cfRule>
  </conditionalFormatting>
  <conditionalFormatting sqref="S31">
    <cfRule type="cellIs" dxfId="31" priority="1" operator="greaterThan">
      <formula>0.05</formula>
    </cfRule>
  </conditionalFormatting>
  <hyperlinks>
    <hyperlink ref="B1" r:id="rId1" display="Taux de Déchet" xr:uid="{C2827366-7577-4A77-A7ED-25984819C783}"/>
    <hyperlink ref="A1" r:id="rId2" location="Récapitulatif!A1" xr:uid="{E5284F24-E81F-4A0C-BBD6-B650C0A58092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5ED5A7E-72E3-4B78-8ECB-CFD3842509B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F5:Q5</xm:sqref>
        </x14:conditionalFormatting>
        <x14:conditionalFormatting xmlns:xm="http://schemas.microsoft.com/office/excel/2006/main">
          <x14:cfRule type="dataBar" id="{AD3D1842-1C35-4525-96E6-32CE405E81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D3:Q3</xm:sqref>
        </x14:conditionalFormatting>
        <x14:conditionalFormatting xmlns:xm="http://schemas.microsoft.com/office/excel/2006/main">
          <x14:cfRule type="dataBar" id="{0FA6C29B-BA6E-41B5-BB0C-EE7F412835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D5:Q5</xm:sqref>
        </x14:conditionalFormatting>
        <x14:conditionalFormatting xmlns:xm="http://schemas.microsoft.com/office/excel/2006/main">
          <x14:cfRule type="dataBar" id="{209EC46D-175A-4643-B00F-60BD8F2C16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D7:Q7</xm:sqref>
        </x14:conditionalFormatting>
        <x14:conditionalFormatting xmlns:xm="http://schemas.microsoft.com/office/excel/2006/main">
          <x14:cfRule type="dataBar" id="{DE97F24E-2C19-4559-B167-66F0878319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D9:I9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9A2828F9-B244-4E55-9CC7-3CCD5104905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</vt:i4>
      </vt:variant>
    </vt:vector>
  </HeadingPairs>
  <TitlesOfParts>
    <vt:vector size="16" baseType="lpstr">
      <vt:lpstr>TBD</vt:lpstr>
      <vt:lpstr>Récapitulatif</vt:lpstr>
      <vt:lpstr>Analyse</vt:lpstr>
      <vt:lpstr>Source</vt:lpstr>
      <vt:lpstr>Taux de Retours Client</vt:lpstr>
      <vt:lpstr>Tendence Prod 22 Vs 21</vt:lpstr>
      <vt:lpstr>Réalisation Vs PIC Prod</vt:lpstr>
      <vt:lpstr>Réalisation Vs PIC Liv</vt:lpstr>
      <vt:lpstr>Taux de Déchet</vt:lpstr>
      <vt:lpstr>Tendence CA</vt:lpstr>
      <vt:lpstr>Taux de Couverture de Stock Fer</vt:lpstr>
      <vt:lpstr>Durée Moy.de Stockage Fer Nu</vt:lpstr>
      <vt:lpstr>Rotation de Stock Fer Nu</vt:lpstr>
      <vt:lpstr>Taux de Remplissage Magasin PF</vt:lpstr>
      <vt:lpstr>Rotation des Stocks PF</vt:lpstr>
      <vt:lpstr>Durée Moyenne de Stockage 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chaker</dc:creator>
  <cp:lastModifiedBy>chaker</cp:lastModifiedBy>
  <cp:lastPrinted>2022-06-08T13:07:57Z</cp:lastPrinted>
  <dcterms:created xsi:type="dcterms:W3CDTF">2015-06-05T18:19:34Z</dcterms:created>
  <dcterms:modified xsi:type="dcterms:W3CDTF">2022-06-08T15:04:56Z</dcterms:modified>
</cp:coreProperties>
</file>