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ecretariat2\Desktop\"/>
    </mc:Choice>
  </mc:AlternateContent>
  <xr:revisionPtr revIDLastSave="0" documentId="13_ncr:1_{53689151-0BA5-457D-B9F3-33FDA480EBA0}" xr6:coauthVersionLast="47" xr6:coauthVersionMax="47" xr10:uidLastSave="{00000000-0000-0000-0000-000000000000}"/>
  <bookViews>
    <workbookView xWindow="-120" yWindow="-120" windowWidth="29040" windowHeight="15840" xr2:uid="{3B5B2D06-D9BE-4FA7-A5B6-6E7EA2CAA117}"/>
  </bookViews>
  <sheets>
    <sheet name="Feuil1" sheetId="1" r:id="rId1"/>
  </sheets>
  <calcPr calcId="191029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2" i="1" l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4" i="1"/>
  <c r="L85" i="1" s="1"/>
  <c r="J84" i="1"/>
  <c r="L82" i="1"/>
  <c r="L83" i="1" s="1"/>
  <c r="J82" i="1"/>
  <c r="L80" i="1"/>
  <c r="J80" i="1"/>
  <c r="L79" i="1"/>
  <c r="J79" i="1"/>
  <c r="L78" i="1"/>
  <c r="J78" i="1"/>
  <c r="L77" i="1"/>
  <c r="J77" i="1"/>
  <c r="L76" i="1"/>
  <c r="J76" i="1"/>
  <c r="L74" i="1"/>
  <c r="J74" i="1"/>
  <c r="L73" i="1"/>
  <c r="J73" i="1"/>
  <c r="L72" i="1"/>
  <c r="J72" i="1"/>
  <c r="L71" i="1"/>
  <c r="J71" i="1"/>
  <c r="L70" i="1"/>
  <c r="J70" i="1"/>
  <c r="M70" i="1" s="1"/>
  <c r="L69" i="1"/>
  <c r="J69" i="1"/>
  <c r="L68" i="1"/>
  <c r="J68" i="1"/>
  <c r="L67" i="1"/>
  <c r="J67" i="1"/>
  <c r="L65" i="1"/>
  <c r="L66" i="1" s="1"/>
  <c r="J65" i="1"/>
  <c r="J66" i="1" s="1"/>
  <c r="L63" i="1"/>
  <c r="L64" i="1" s="1"/>
  <c r="J63" i="1"/>
  <c r="J64" i="1" s="1"/>
  <c r="L61" i="1"/>
  <c r="J61" i="1"/>
  <c r="L60" i="1"/>
  <c r="J60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0" i="1"/>
  <c r="J50" i="1"/>
  <c r="L49" i="1"/>
  <c r="J49" i="1"/>
  <c r="L48" i="1"/>
  <c r="J48" i="1"/>
  <c r="L47" i="1"/>
  <c r="J47" i="1"/>
  <c r="L45" i="1"/>
  <c r="J45" i="1"/>
  <c r="L44" i="1"/>
  <c r="J44" i="1"/>
  <c r="L43" i="1"/>
  <c r="J43" i="1"/>
  <c r="L42" i="1"/>
  <c r="J42" i="1"/>
  <c r="L40" i="1"/>
  <c r="J40" i="1"/>
  <c r="L39" i="1"/>
  <c r="J39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M28" i="1" s="1"/>
  <c r="L27" i="1"/>
  <c r="J27" i="1"/>
  <c r="L26" i="1"/>
  <c r="J26" i="1"/>
  <c r="L25" i="1"/>
  <c r="J25" i="1"/>
  <c r="L24" i="1"/>
  <c r="J24" i="1"/>
  <c r="L22" i="1"/>
  <c r="J22" i="1"/>
  <c r="Z21" i="1"/>
  <c r="L21" i="1"/>
  <c r="J21" i="1"/>
  <c r="AA20" i="1"/>
  <c r="J20" i="1"/>
  <c r="AA19" i="1"/>
  <c r="L19" i="1"/>
  <c r="M19" i="1" s="1"/>
  <c r="AH18" i="1"/>
  <c r="AF18" i="1"/>
  <c r="AD18" i="1"/>
  <c r="AB18" i="1"/>
  <c r="AA18" i="1"/>
  <c r="X18" i="1"/>
  <c r="V18" i="1"/>
  <c r="AA17" i="1"/>
  <c r="Y17" i="1"/>
  <c r="B17" i="1" a="1"/>
  <c r="B17" i="1" s="1"/>
  <c r="AA16" i="1"/>
  <c r="Y16" i="1"/>
  <c r="AG15" i="1"/>
  <c r="AA15" i="1"/>
  <c r="Y15" i="1"/>
  <c r="W15" i="1"/>
  <c r="AG14" i="1"/>
  <c r="AA14" i="1"/>
  <c r="Y14" i="1"/>
  <c r="W14" i="1"/>
  <c r="C14" i="1"/>
  <c r="AG13" i="1"/>
  <c r="AA13" i="1"/>
  <c r="Y13" i="1"/>
  <c r="W13" i="1"/>
  <c r="C13" i="1"/>
  <c r="AG12" i="1"/>
  <c r="AA12" i="1"/>
  <c r="Y12" i="1"/>
  <c r="W12" i="1"/>
  <c r="C12" i="1"/>
  <c r="AG11" i="1"/>
  <c r="AA11" i="1"/>
  <c r="Y11" i="1"/>
  <c r="W11" i="1"/>
  <c r="C11" i="1"/>
  <c r="AG10" i="1"/>
  <c r="AC10" i="1"/>
  <c r="AA10" i="1"/>
  <c r="Y10" i="1"/>
  <c r="W10" i="1"/>
  <c r="O10" i="1"/>
  <c r="S10" i="1" s="1"/>
  <c r="S12" i="1" s="1"/>
  <c r="C10" i="1"/>
  <c r="AG9" i="1"/>
  <c r="AE9" i="1"/>
  <c r="AC9" i="1"/>
  <c r="AA9" i="1"/>
  <c r="Y9" i="1"/>
  <c r="W9" i="1"/>
  <c r="AI8" i="1"/>
  <c r="AG8" i="1"/>
  <c r="AE8" i="1"/>
  <c r="AC8" i="1"/>
  <c r="AA8" i="1"/>
  <c r="Y8" i="1"/>
  <c r="W8" i="1"/>
  <c r="AI7" i="1"/>
  <c r="AG7" i="1"/>
  <c r="AE7" i="1"/>
  <c r="AC7" i="1"/>
  <c r="AA7" i="1"/>
  <c r="Y7" i="1"/>
  <c r="W7" i="1"/>
  <c r="G7" i="1"/>
  <c r="D7" i="1"/>
  <c r="AI6" i="1"/>
  <c r="AG6" i="1"/>
  <c r="AE6" i="1"/>
  <c r="AC6" i="1"/>
  <c r="AA6" i="1"/>
  <c r="Y6" i="1"/>
  <c r="W6" i="1"/>
  <c r="N6" i="1"/>
  <c r="L6" i="1"/>
  <c r="J6" i="1"/>
  <c r="D6" i="1"/>
  <c r="AI5" i="1"/>
  <c r="AG5" i="1"/>
  <c r="AE5" i="1"/>
  <c r="AC5" i="1"/>
  <c r="AA5" i="1"/>
  <c r="Y5" i="1"/>
  <c r="W5" i="1"/>
  <c r="AI4" i="1"/>
  <c r="AG4" i="1"/>
  <c r="AE4" i="1"/>
  <c r="AC4" i="1"/>
  <c r="AA4" i="1"/>
  <c r="Y4" i="1"/>
  <c r="W4" i="1"/>
  <c r="AI3" i="1"/>
  <c r="AG3" i="1"/>
  <c r="AE3" i="1"/>
  <c r="AC3" i="1"/>
  <c r="AA3" i="1"/>
  <c r="Y3" i="1"/>
  <c r="W3" i="1"/>
  <c r="AI2" i="1"/>
  <c r="AG2" i="1"/>
  <c r="AE2" i="1"/>
  <c r="AC2" i="1"/>
  <c r="AA2" i="1"/>
  <c r="Y2" i="1"/>
  <c r="W2" i="1"/>
  <c r="U2" i="1" a="1"/>
  <c r="U2" i="1" s="1"/>
  <c r="T2" i="1" a="1"/>
  <c r="T2" i="1" s="1"/>
  <c r="M79" i="1" l="1"/>
  <c r="M88" i="1"/>
  <c r="M67" i="1"/>
  <c r="M73" i="1"/>
  <c r="M89" i="1"/>
  <c r="M24" i="1"/>
  <c r="M36" i="1"/>
  <c r="M44" i="1"/>
  <c r="M58" i="1"/>
  <c r="M77" i="1"/>
  <c r="M60" i="1"/>
  <c r="M26" i="1"/>
  <c r="M54" i="1"/>
  <c r="M48" i="1"/>
  <c r="M52" i="1"/>
  <c r="M37" i="1"/>
  <c r="M45" i="1"/>
  <c r="M53" i="1"/>
  <c r="M90" i="1"/>
  <c r="M32" i="1"/>
  <c r="M84" i="1"/>
  <c r="J62" i="1"/>
  <c r="M92" i="1"/>
  <c r="M21" i="1"/>
  <c r="L75" i="1"/>
  <c r="M25" i="1"/>
  <c r="M31" i="1"/>
  <c r="J41" i="1"/>
  <c r="M69" i="1"/>
  <c r="W18" i="1"/>
  <c r="C15" i="1"/>
  <c r="L23" i="1"/>
  <c r="L51" i="1"/>
  <c r="AC18" i="1"/>
  <c r="M42" i="1"/>
  <c r="M22" i="1"/>
  <c r="L46" i="1"/>
  <c r="M71" i="1"/>
  <c r="L93" i="1"/>
  <c r="M29" i="1"/>
  <c r="M43" i="1"/>
  <c r="M50" i="1"/>
  <c r="S66" i="1"/>
  <c r="M87" i="1"/>
  <c r="Y18" i="1"/>
  <c r="AA21" i="1"/>
  <c r="M27" i="1"/>
  <c r="M57" i="1"/>
  <c r="M82" i="1"/>
  <c r="AE18" i="1"/>
  <c r="J38" i="1"/>
  <c r="J81" i="1"/>
  <c r="AG18" i="1"/>
  <c r="M33" i="1"/>
  <c r="M65" i="1"/>
  <c r="AI18" i="1"/>
  <c r="M39" i="1"/>
  <c r="J51" i="1"/>
  <c r="L59" i="1"/>
  <c r="M34" i="1"/>
  <c r="J85" i="1"/>
  <c r="S85" i="1" s="1"/>
  <c r="M35" i="1"/>
  <c r="L41" i="1"/>
  <c r="L11" i="1" s="1" a="1"/>
  <c r="L11" i="1" s="1"/>
  <c r="M47" i="1"/>
  <c r="L62" i="1"/>
  <c r="M72" i="1"/>
  <c r="M78" i="1"/>
  <c r="M91" i="1"/>
  <c r="L81" i="1"/>
  <c r="J93" i="1"/>
  <c r="M30" i="1"/>
  <c r="L38" i="1"/>
  <c r="M55" i="1"/>
  <c r="J75" i="1"/>
  <c r="S75" i="1" s="1"/>
  <c r="J23" i="1"/>
  <c r="M49" i="1"/>
  <c r="M56" i="1"/>
  <c r="M63" i="1"/>
  <c r="M74" i="1"/>
  <c r="M80" i="1"/>
  <c r="E64" i="1"/>
  <c r="G8" i="1"/>
  <c r="J83" i="1"/>
  <c r="M86" i="1"/>
  <c r="L20" i="1"/>
  <c r="E20" i="1" s="1"/>
  <c r="J46" i="1"/>
  <c r="S64" i="1"/>
  <c r="M61" i="1"/>
  <c r="M68" i="1"/>
  <c r="M76" i="1"/>
  <c r="E66" i="1"/>
  <c r="J59" i="1"/>
  <c r="M40" i="1"/>
  <c r="E13" i="1" l="1" a="1"/>
  <c r="E13" i="1" s="1"/>
  <c r="S51" i="1"/>
  <c r="G12" i="1" a="1"/>
  <c r="G12" i="1" s="1"/>
  <c r="G10" i="1" a="1"/>
  <c r="G10" i="1" s="1"/>
  <c r="S62" i="1"/>
  <c r="S20" i="1"/>
  <c r="S23" i="1"/>
  <c r="E51" i="1"/>
  <c r="E62" i="1"/>
  <c r="S41" i="1"/>
  <c r="E75" i="1"/>
  <c r="S38" i="1"/>
  <c r="E93" i="1"/>
  <c r="D11" i="1" a="1"/>
  <c r="D11" i="1" s="1"/>
  <c r="S93" i="1"/>
  <c r="E23" i="1"/>
  <c r="E12" i="1" a="1"/>
  <c r="E12" i="1" s="1"/>
  <c r="E41" i="1"/>
  <c r="E85" i="1"/>
  <c r="E14" i="1" a="1"/>
  <c r="E14" i="1" s="1"/>
  <c r="G13" i="1" a="1"/>
  <c r="G13" i="1" s="1"/>
  <c r="G14" i="1" a="1"/>
  <c r="G14" i="1" s="1"/>
  <c r="E11" i="1" a="1"/>
  <c r="E11" i="1" s="1"/>
  <c r="S81" i="1"/>
  <c r="E81" i="1"/>
  <c r="E38" i="1"/>
  <c r="G11" i="1" a="1"/>
  <c r="G11" i="1" s="1"/>
  <c r="E10" i="1" a="1"/>
  <c r="E10" i="1" s="1"/>
  <c r="E83" i="1"/>
  <c r="S83" i="1"/>
  <c r="S59" i="1"/>
  <c r="E59" i="1"/>
  <c r="D10" i="1" a="1"/>
  <c r="D10" i="1" s="1"/>
  <c r="D12" i="1" a="1"/>
  <c r="D12" i="1" s="1"/>
  <c r="J11" i="1" a="1"/>
  <c r="J11" i="1" s="1"/>
  <c r="D13" i="1" a="1"/>
  <c r="D13" i="1" s="1"/>
  <c r="S46" i="1"/>
  <c r="E46" i="1"/>
  <c r="D14" i="1" a="1"/>
  <c r="D14" i="1" s="1"/>
  <c r="L4" i="1" l="1"/>
  <c r="M4" i="1" s="1"/>
  <c r="E15" i="1"/>
  <c r="G15" i="1"/>
  <c r="F11" i="1"/>
  <c r="J5" i="1"/>
  <c r="I5" i="1" s="1"/>
  <c r="L2" i="1"/>
  <c r="M2" i="1" s="1"/>
  <c r="J2" i="1"/>
  <c r="I2" i="1" s="1"/>
  <c r="L3" i="1"/>
  <c r="M3" i="1" s="1"/>
  <c r="J3" i="1"/>
  <c r="I3" i="1" s="1"/>
  <c r="H11" i="1"/>
  <c r="J4" i="1"/>
  <c r="I4" i="1" s="1"/>
  <c r="F13" i="1"/>
  <c r="H13" i="1"/>
  <c r="M11" i="1"/>
  <c r="Q14" i="1"/>
  <c r="O14" i="1"/>
  <c r="S14" i="1" s="1"/>
  <c r="R6" i="1"/>
  <c r="P6" i="1"/>
  <c r="R7" i="1" s="1"/>
  <c r="L13" i="1"/>
  <c r="M13" i="1" s="1"/>
  <c r="H12" i="1"/>
  <c r="F12" i="1"/>
  <c r="H10" i="1"/>
  <c r="F10" i="1"/>
  <c r="D15" i="1"/>
  <c r="L5" i="1"/>
  <c r="M5" i="1" s="1"/>
  <c r="H14" i="1"/>
  <c r="F14" i="1"/>
  <c r="I11" i="1" l="1"/>
  <c r="I12" i="1"/>
  <c r="I10" i="1"/>
  <c r="I13" i="1"/>
  <c r="I14" i="1"/>
  <c r="H15" i="1"/>
  <c r="F15" i="1"/>
  <c r="I1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<sst xmlns="http://schemas.openxmlformats.org/spreadsheetml/2006/main" count="396" uniqueCount="187">
  <si>
    <t>contribution</t>
  </si>
  <si>
    <t>TOT. ORDRES + TRANSP.</t>
  </si>
  <si>
    <t>si enlèvement, livraison Candicar ou dif. ordres 1 envoi = colonne Q "ZÉRO"</t>
  </si>
  <si>
    <t>GRATUIT</t>
  </si>
  <si>
    <t>QUANTITÉ</t>
  </si>
  <si>
    <t>bidons 25</t>
  </si>
  <si>
    <t>fûts</t>
  </si>
  <si>
    <t>bidons 5</t>
  </si>
  <si>
    <t>" VAPO "</t>
  </si>
  <si>
    <t>AEROSOL</t>
  </si>
  <si>
    <t>GAMME A</t>
  </si>
  <si>
    <t>IK9</t>
  </si>
  <si>
    <t>prix de vente HT</t>
  </si>
  <si>
    <t xml:space="preserve">valeur coefficient </t>
  </si>
  <si>
    <t>&gt;3,99</t>
  </si>
  <si>
    <t>= + 6,8€ si palette (ALL PALLETS 13/09/2021)</t>
  </si>
  <si>
    <t>E12</t>
  </si>
  <si>
    <t>CW08</t>
  </si>
  <si>
    <t>E125</t>
  </si>
  <si>
    <t>E111</t>
  </si>
  <si>
    <t>C111</t>
  </si>
  <si>
    <t>A02</t>
  </si>
  <si>
    <t>D01</t>
  </si>
  <si>
    <t>remise sur votre prix de vente</t>
  </si>
  <si>
    <t>entre 3 et 3,99</t>
  </si>
  <si>
    <t>E13</t>
  </si>
  <si>
    <t>CW12</t>
  </si>
  <si>
    <t>E155</t>
  </si>
  <si>
    <t>E151</t>
  </si>
  <si>
    <t>E1</t>
  </si>
  <si>
    <t>A021</t>
  </si>
  <si>
    <t>D852</t>
  </si>
  <si>
    <t>prix d'achat HT</t>
  </si>
  <si>
    <t>entre 2,5 et 3</t>
  </si>
  <si>
    <t>TOTAL DU JOUR AVEC COUT TRANSPORT</t>
  </si>
  <si>
    <t>E131</t>
  </si>
  <si>
    <t>CW13</t>
  </si>
  <si>
    <t>E165</t>
  </si>
  <si>
    <t>E21</t>
  </si>
  <si>
    <t>E232</t>
  </si>
  <si>
    <t>A03</t>
  </si>
  <si>
    <t>D853</t>
  </si>
  <si>
    <t>Calcul des marges en % et coefficient</t>
  </si>
  <si>
    <t>&lt;2,5</t>
  </si>
  <si>
    <t>COUT TOTAL TRANSPORT</t>
  </si>
  <si>
    <t>FAC - C.T.A. &amp; C.T.T.</t>
  </si>
  <si>
    <r>
      <t>COEFFICIENT/</t>
    </r>
    <r>
      <rPr>
        <b/>
        <sz val="11"/>
        <color rgb="FFFF0000"/>
        <rFont val="Calibri"/>
        <family val="2"/>
        <scheme val="minor"/>
      </rPr>
      <t>TAUX %</t>
    </r>
  </si>
  <si>
    <t>E141</t>
  </si>
  <si>
    <t>CW131</t>
  </si>
  <si>
    <t>E185</t>
  </si>
  <si>
    <t>E221</t>
  </si>
  <si>
    <t>E41</t>
  </si>
  <si>
    <t>A031</t>
  </si>
  <si>
    <t>D856</t>
  </si>
  <si>
    <t>taux de marque en %</t>
  </si>
  <si>
    <t xml:space="preserve">total ordres </t>
  </si>
  <si>
    <t>E15</t>
  </si>
  <si>
    <t>CW15</t>
  </si>
  <si>
    <t>E215</t>
  </si>
  <si>
    <t>E24</t>
  </si>
  <si>
    <t>E52</t>
  </si>
  <si>
    <t>A032</t>
  </si>
  <si>
    <t>D858</t>
  </si>
  <si>
    <t>marge en coefficient</t>
  </si>
  <si>
    <t>quantité articles gratuit</t>
  </si>
  <si>
    <t>E15SM</t>
  </si>
  <si>
    <t>CW151</t>
  </si>
  <si>
    <t>E2215</t>
  </si>
  <si>
    <t>E27</t>
  </si>
  <si>
    <t>LSP01</t>
  </si>
  <si>
    <t>A043</t>
  </si>
  <si>
    <t>D859</t>
  </si>
  <si>
    <t>valeur articles gratuit</t>
  </si>
  <si>
    <t>E16</t>
  </si>
  <si>
    <t>CW16</t>
  </si>
  <si>
    <t>E2315</t>
  </si>
  <si>
    <t>E81</t>
  </si>
  <si>
    <t>M12</t>
  </si>
  <si>
    <t>A051</t>
  </si>
  <si>
    <t>D860</t>
  </si>
  <si>
    <t>DÉLÉGUÉ</t>
  </si>
  <si>
    <t>NOMBRE ORDRES</t>
  </si>
  <si>
    <t>FACTURÉ</t>
  </si>
  <si>
    <t>COUT TOTAL</t>
  </si>
  <si>
    <t>COEFFICIENT</t>
  </si>
  <si>
    <t>COUT TOTAL + TRANS.</t>
  </si>
  <si>
    <t>TOTAL DU JOUR</t>
  </si>
  <si>
    <t>NOMBRE D'ENVOIS AVEC PALETTE + 1 MULTICOLIS</t>
  </si>
  <si>
    <t>E17</t>
  </si>
  <si>
    <t>CW17</t>
  </si>
  <si>
    <t>E245</t>
  </si>
  <si>
    <t>H31ETH</t>
  </si>
  <si>
    <t>M32</t>
  </si>
  <si>
    <t>A06</t>
  </si>
  <si>
    <t>DEHUT</t>
  </si>
  <si>
    <t>TOTAL FACTURÉ</t>
  </si>
  <si>
    <t>COUT TOTAL ACHAT</t>
  </si>
  <si>
    <t xml:space="preserve"> * 6,8</t>
  </si>
  <si>
    <t>E18</t>
  </si>
  <si>
    <t>CW18</t>
  </si>
  <si>
    <t>E255</t>
  </si>
  <si>
    <t>T750</t>
  </si>
  <si>
    <t>A061</t>
  </si>
  <si>
    <t>DUBOIS</t>
  </si>
  <si>
    <t>1 * 6,8</t>
  </si>
  <si>
    <t>E25</t>
  </si>
  <si>
    <t>CW250</t>
  </si>
  <si>
    <t>E265</t>
  </si>
  <si>
    <t>A09</t>
  </si>
  <si>
    <t>DUPON</t>
  </si>
  <si>
    <t>FACTURÉ - C.T.A.</t>
  </si>
  <si>
    <t>TAUX %</t>
  </si>
  <si>
    <t>somme =</t>
  </si>
  <si>
    <t>E26</t>
  </si>
  <si>
    <t>CW26</t>
  </si>
  <si>
    <t>E275</t>
  </si>
  <si>
    <t>A091</t>
  </si>
  <si>
    <t>LEMOINE</t>
  </si>
  <si>
    <t>FAC - C.T.A. + C.T.T. + P.</t>
  </si>
  <si>
    <t>H25L</t>
  </si>
  <si>
    <t>H200</t>
  </si>
  <si>
    <t>E315</t>
  </si>
  <si>
    <t>A010</t>
  </si>
  <si>
    <t>NICOLETTI</t>
  </si>
  <si>
    <t>H25LETH</t>
  </si>
  <si>
    <t>H200ETH</t>
  </si>
  <si>
    <t>E325</t>
  </si>
  <si>
    <t>A100</t>
  </si>
  <si>
    <t>Luxembourg &amp; province = 6600–6999</t>
  </si>
  <si>
    <t>T25</t>
  </si>
  <si>
    <t>HPE200</t>
  </si>
  <si>
    <t>E815</t>
  </si>
  <si>
    <t>A23</t>
  </si>
  <si>
    <t>DATE</t>
  </si>
  <si>
    <t>COUT</t>
  </si>
  <si>
    <t>HPE200ETH</t>
  </si>
  <si>
    <t>H5LETH</t>
  </si>
  <si>
    <t>REMBOURS</t>
  </si>
  <si>
    <t xml:space="preserve">COUT </t>
  </si>
  <si>
    <t xml:space="preserve">COEF. AVEC </t>
  </si>
  <si>
    <t>LGE200</t>
  </si>
  <si>
    <t>HPE5ETH</t>
  </si>
  <si>
    <t>TMN</t>
  </si>
  <si>
    <t>ORDRE</t>
  </si>
  <si>
    <t>ARTICLE</t>
  </si>
  <si>
    <t>PRIX VENTE UNITAIRE</t>
  </si>
  <si>
    <t>REMISE %</t>
  </si>
  <si>
    <t>POIDS</t>
  </si>
  <si>
    <t>palette</t>
  </si>
  <si>
    <t>X</t>
  </si>
  <si>
    <t>+ 4,5</t>
  </si>
  <si>
    <t>TRANSPORT</t>
  </si>
  <si>
    <t>LGE5</t>
  </si>
  <si>
    <t>B001</t>
  </si>
  <si>
    <t>cartons</t>
  </si>
  <si>
    <t>M40</t>
  </si>
  <si>
    <t>aerotrim</t>
  </si>
  <si>
    <t>somme</t>
  </si>
  <si>
    <t>T05</t>
  </si>
  <si>
    <t>SOMME</t>
  </si>
  <si>
    <t>CDP LANCE</t>
  </si>
  <si>
    <t>B002</t>
  </si>
  <si>
    <t>,</t>
  </si>
  <si>
    <t>D06</t>
  </si>
  <si>
    <t>D09</t>
  </si>
  <si>
    <t>D15</t>
  </si>
  <si>
    <t>E31</t>
  </si>
  <si>
    <t>E32</t>
  </si>
  <si>
    <t>LGE1</t>
  </si>
  <si>
    <t>E72</t>
  </si>
  <si>
    <t>E73</t>
  </si>
  <si>
    <t>Total général</t>
  </si>
  <si>
    <t>B003</t>
  </si>
  <si>
    <t>B004</t>
  </si>
  <si>
    <t>CTX224</t>
  </si>
  <si>
    <t>TX215C271</t>
  </si>
  <si>
    <t>B005</t>
  </si>
  <si>
    <t>D90</t>
  </si>
  <si>
    <t>B006</t>
  </si>
  <si>
    <t>B007</t>
  </si>
  <si>
    <t>B008</t>
  </si>
  <si>
    <t>B009</t>
  </si>
  <si>
    <t>x</t>
  </si>
  <si>
    <t>CANDICAR</t>
  </si>
  <si>
    <t>B010</t>
  </si>
  <si>
    <t>B011</t>
  </si>
  <si>
    <t>B012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</si>
</sst>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Green]\+\o\▲;[Red]\-0\▼"/>
    <numFmt numFmtId="165" formatCode="[Green]\+0.00%\▲;[Red]\-0.00%\▼"/>
    <numFmt numFmtId="166" formatCode="#,##0.00\ &quot;€&quot;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8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</fills>
  <borders count="89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auto="1"/>
      </left>
      <right style="double">
        <color auto="1"/>
      </right>
      <top/>
      <bottom style="mediumDash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ashed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 style="double">
        <color auto="1"/>
      </right>
      <top style="mediumDash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2" borderId="10" xfId="0" applyNumberFormat="1" applyFill="1" applyBorder="1"/>
    <xf numFmtId="2" fontId="0" fillId="0" borderId="0" xfId="0" applyNumberFormat="1"/>
    <xf numFmtId="0" fontId="0" fillId="3" borderId="0" xfId="0" applyFill="1"/>
    <xf numFmtId="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1" xfId="0" applyFont="1" applyFill="1" applyBorder="1" applyAlignment="1">
      <alignment horizontal="center"/>
    </xf>
    <xf numFmtId="9" fontId="2" fillId="3" borderId="12" xfId="2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/>
    <xf numFmtId="9" fontId="0" fillId="4" borderId="17" xfId="0" applyNumberFormat="1" applyFill="1" applyBorder="1"/>
    <xf numFmtId="9" fontId="0" fillId="0" borderId="0" xfId="0" applyNumberFormat="1"/>
    <xf numFmtId="0" fontId="0" fillId="5" borderId="0" xfId="0" applyFill="1"/>
    <xf numFmtId="9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9" fontId="3" fillId="5" borderId="19" xfId="2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25" xfId="0" applyNumberFormat="1" applyFill="1" applyBorder="1" applyAlignment="1">
      <alignment wrapText="1"/>
    </xf>
    <xf numFmtId="0" fontId="0" fillId="6" borderId="0" xfId="0" applyFill="1"/>
    <xf numFmtId="9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8" xfId="0" applyFont="1" applyFill="1" applyBorder="1" applyAlignment="1">
      <alignment horizontal="center"/>
    </xf>
    <xf numFmtId="9" fontId="2" fillId="6" borderId="26" xfId="2" applyFont="1" applyFill="1" applyBorder="1" applyAlignment="1">
      <alignment horizontal="center"/>
    </xf>
    <xf numFmtId="0" fontId="0" fillId="7" borderId="0" xfId="0" applyFill="1"/>
    <xf numFmtId="9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31" xfId="0" applyFont="1" applyFill="1" applyBorder="1" applyAlignment="1">
      <alignment horizontal="center"/>
    </xf>
    <xf numFmtId="9" fontId="2" fillId="7" borderId="32" xfId="2" applyFont="1" applyFill="1" applyBorder="1" applyAlignment="1">
      <alignment horizontal="center"/>
    </xf>
    <xf numFmtId="9" fontId="8" fillId="8" borderId="39" xfId="2" applyFont="1" applyFill="1" applyBorder="1" applyAlignment="1">
      <alignment wrapText="1"/>
    </xf>
    <xf numFmtId="9" fontId="8" fillId="0" borderId="0" xfId="2" applyFont="1" applyFill="1" applyBorder="1" applyAlignment="1"/>
    <xf numFmtId="165" fontId="0" fillId="0" borderId="0" xfId="0" applyNumberFormat="1"/>
    <xf numFmtId="43" fontId="7" fillId="8" borderId="47" xfId="1" applyFont="1" applyFill="1" applyBorder="1" applyAlignment="1">
      <alignment wrapText="1"/>
    </xf>
    <xf numFmtId="43" fontId="7" fillId="0" borderId="0" xfId="1" applyFont="1" applyFill="1" applyBorder="1" applyAlignment="1"/>
    <xf numFmtId="0" fontId="0" fillId="0" borderId="40" xfId="0" applyBorder="1"/>
    <xf numFmtId="0" fontId="0" fillId="0" borderId="28" xfId="0" applyBorder="1" applyAlignment="1">
      <alignment horizontal="center"/>
    </xf>
    <xf numFmtId="0" fontId="0" fillId="0" borderId="48" xfId="0" applyBorder="1" applyAlignment="1">
      <alignment horizontal="right"/>
    </xf>
    <xf numFmtId="0" fontId="0" fillId="0" borderId="49" xfId="0" applyBorder="1"/>
    <xf numFmtId="166" fontId="0" fillId="0" borderId="34" xfId="0" applyNumberFormat="1" applyBorder="1" applyAlignment="1">
      <alignment horizontal="center"/>
    </xf>
    <xf numFmtId="4" fontId="10" fillId="0" borderId="0" xfId="0" applyNumberFormat="1" applyFont="1"/>
    <xf numFmtId="9" fontId="10" fillId="0" borderId="0" xfId="2" applyFont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4" fillId="0" borderId="5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4" fontId="3" fillId="0" borderId="67" xfId="0" applyNumberFormat="1" applyFont="1" applyBorder="1" applyAlignment="1">
      <alignment horizontal="center"/>
    </xf>
    <xf numFmtId="2" fontId="7" fillId="0" borderId="6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7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48" xfId="0" applyBorder="1"/>
    <xf numFmtId="0" fontId="3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0" fontId="0" fillId="0" borderId="34" xfId="0" applyBorder="1"/>
    <xf numFmtId="4" fontId="3" fillId="0" borderId="34" xfId="0" applyNumberFormat="1" applyFont="1" applyBorder="1" applyAlignment="1">
      <alignment horizontal="center"/>
    </xf>
    <xf numFmtId="9" fontId="8" fillId="0" borderId="78" xfId="2" applyFont="1" applyBorder="1" applyAlignment="1">
      <alignment horizontal="center"/>
    </xf>
    <xf numFmtId="9" fontId="8" fillId="0" borderId="0" xfId="2" applyFont="1" applyAlignment="1">
      <alignment horizontal="center"/>
    </xf>
    <xf numFmtId="0" fontId="8" fillId="0" borderId="75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2" fontId="0" fillId="0" borderId="80" xfId="0" applyNumberFormat="1" applyBorder="1" applyAlignment="1">
      <alignment horizontal="center"/>
    </xf>
    <xf numFmtId="2" fontId="0" fillId="0" borderId="8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9" fontId="8" fillId="0" borderId="84" xfId="2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85" xfId="0" applyNumberFormat="1" applyFont="1" applyBorder="1" applyAlignment="1">
      <alignment horizontal="center"/>
    </xf>
    <xf numFmtId="0" fontId="0" fillId="0" borderId="86" xfId="0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0" xfId="0" applyBorder="1"/>
    <xf numFmtId="0" fontId="12" fillId="0" borderId="8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21" xfId="0" applyBorder="1"/>
    <xf numFmtId="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 shrinkToFit="1"/>
    </xf>
    <xf numFmtId="0" fontId="0" fillId="0" borderId="24" xfId="0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88" xfId="0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0" fillId="0" borderId="0" xfId="0" applyAlignment="1">
      <alignment wrapText="1" shrinkToFit="1"/>
    </xf>
    <xf numFmtId="0" fontId="0" fillId="0" borderId="0" xfId="0" applyAlignment="1">
      <alignment horizontal="center" wrapText="1" shrinkToFit="1"/>
    </xf>
    <xf numFmtId="16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3" fillId="0" borderId="0" xfId="0" applyNumberFormat="1" applyFont="1"/>
    <xf numFmtId="0" fontId="0" fillId="0" borderId="4" xfId="0" applyBorder="1" applyAlignment="1">
      <alignment horizontal="center"/>
    </xf>
    <xf numFmtId="167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7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33" xfId="0" applyFont="1" applyBorder="1"/>
    <xf numFmtId="0" fontId="0" fillId="0" borderId="34" xfId="0" applyBorder="1"/>
    <xf numFmtId="0" fontId="3" fillId="0" borderId="35" xfId="0" applyFont="1" applyBorder="1"/>
    <xf numFmtId="0" fontId="0" fillId="0" borderId="36" xfId="0" applyBorder="1"/>
    <xf numFmtId="0" fontId="7" fillId="0" borderId="35" xfId="0" applyFont="1" applyBorder="1" applyAlignment="1">
      <alignment horizontal="center"/>
    </xf>
    <xf numFmtId="0" fontId="0" fillId="0" borderId="37" xfId="0" applyBorder="1"/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0" fillId="0" borderId="0" xfId="0"/>
    <xf numFmtId="0" fontId="0" fillId="0" borderId="23" xfId="0" applyBorder="1"/>
    <xf numFmtId="0" fontId="0" fillId="0" borderId="24" xfId="0" applyBorder="1"/>
    <xf numFmtId="0" fontId="5" fillId="0" borderId="27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shrinkToFit="1"/>
    </xf>
    <xf numFmtId="0" fontId="0" fillId="0" borderId="5" xfId="0" applyBorder="1" applyAlignment="1">
      <alignment horizontal="center"/>
    </xf>
    <xf numFmtId="0" fontId="8" fillId="8" borderId="38" xfId="0" applyFont="1" applyFill="1" applyBorder="1"/>
    <xf numFmtId="0" fontId="0" fillId="0" borderId="4" xfId="0" applyBorder="1"/>
    <xf numFmtId="0" fontId="9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7" fillId="0" borderId="43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7" fillId="8" borderId="45" xfId="0" applyFont="1" applyFill="1" applyBorder="1"/>
    <xf numFmtId="0" fontId="0" fillId="0" borderId="46" xfId="0" applyBorder="1"/>
    <xf numFmtId="9" fontId="8" fillId="0" borderId="43" xfId="2" applyFont="1" applyBorder="1" applyAlignment="1">
      <alignment horizontal="center"/>
    </xf>
    <xf numFmtId="0" fontId="3" fillId="0" borderId="0" xfId="0" applyFont="1" applyAlignment="1">
      <alignment wrapText="1" shrinkToFi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3" fillId="0" borderId="60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4" fontId="3" fillId="0" borderId="4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69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4" xfId="0" applyBorder="1" applyAlignment="1">
      <alignment horizontal="center"/>
    </xf>
    <xf numFmtId="0" fontId="3" fillId="0" borderId="60" xfId="0" applyFont="1" applyBorder="1"/>
    <xf numFmtId="0" fontId="7" fillId="0" borderId="3" xfId="0" applyFont="1" applyBorder="1" applyAlignment="1">
      <alignment horizontal="center"/>
    </xf>
    <xf numFmtId="4" fontId="9" fillId="0" borderId="82" xfId="0" applyNumberFormat="1" applyFont="1" applyBorder="1" applyAlignment="1">
      <alignment horizontal="center"/>
    </xf>
    <xf numFmtId="0" fontId="0" fillId="0" borderId="83" xfId="0" applyBorder="1"/>
    <xf numFmtId="2" fontId="7" fillId="0" borderId="83" xfId="0" applyNumberFormat="1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28" xfId="0" applyBorder="1" applyAlignment="1">
      <alignment wrapText="1" shrinkToFit="1"/>
    </xf>
    <xf numFmtId="0" fontId="0" fillId="0" borderId="0" xfId="0" applyAlignment="1">
      <alignment wrapText="1" shrinkToFi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3">
    <cellStyle name="Milliers" xfId="1" builtinId="3"/>
    <cellStyle name="Normal" xfId="0" builtinId="0"/>
    <cellStyle name="Pourcentage" xfId="2" builtinId="5"/>
  </cellStyles>
  <dxfs count="136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7030A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7030A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ndicar-my.sharepoint.com/personal/daniel_nicoletti_candicar_be/Documents/JAN%20ONE%20DRIVE/CALCUL%20rentabilit&#233;%20par%20commande%202022/04%20-%20AVRIL/CALCUL%20COEFFICIENT%20PAR%20ORDRE%20AVRIL%202022%20-%20DELEGU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cretariat2" refreshedDate="44659.250853240737" createdVersion="7" refreshedVersion="7" minRefreshableVersion="3" recordCount="14" xr:uid="{C0DB84CE-0598-45AE-A44B-F3B83EEA2B33}">
  <cacheSource type="worksheet">
    <worksheetSource ref="S1:T15" sheet="01_04" r:id="rId2"/>
  </cacheSource>
  <cacheFields count="2">
    <cacheField name="GRATUIT" numFmtId="0">
      <sharedItems count="12">
        <s v="CDP LANCE"/>
        <s v="A03"/>
        <s v="A09"/>
        <s v="D06"/>
        <s v="D09"/>
        <s v="D15"/>
        <s v="M32"/>
        <s v="T750"/>
        <s v="LGE1"/>
        <s v="E32"/>
        <s v="LSP01"/>
        <s v="LGE5"/>
      </sharedItems>
    </cacheField>
    <cacheField name="QUANTITÉ" numFmtId="0">
      <sharedItems containsSemiMixedTypes="0" containsString="0" containsNumber="1" containsInteger="1" minValue="1" maxValue="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1"/>
  </r>
  <r>
    <x v="1"/>
    <n v="6"/>
  </r>
  <r>
    <x v="2"/>
    <n v="6"/>
  </r>
  <r>
    <x v="3"/>
    <n v="10"/>
  </r>
  <r>
    <x v="4"/>
    <n v="10"/>
  </r>
  <r>
    <x v="5"/>
    <n v="10"/>
  </r>
  <r>
    <x v="6"/>
    <n v="1"/>
  </r>
  <r>
    <x v="7"/>
    <n v="1"/>
  </r>
  <r>
    <x v="8"/>
    <n v="1"/>
  </r>
  <r>
    <x v="9"/>
    <n v="6"/>
  </r>
  <r>
    <x v="7"/>
    <n v="6"/>
  </r>
  <r>
    <x v="7"/>
    <n v="1"/>
  </r>
  <r>
    <x v="10"/>
    <n v="1"/>
  </r>
  <r>
    <x v="11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0CC40F-EB09-4EC5-8CB9-A4907DD59D3E}" name="Tableau croisé dynamique2" cacheId="9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rowHeaderCaption="ARTICLE">
  <location ref="V23:W36" firstHeaderRow="1" firstDataRow="1" firstDataCol="1"/>
  <pivotFields count="2">
    <pivotField axis="axisRow" showAll="0">
      <items count="13">
        <item x="1"/>
        <item x="2"/>
        <item x="0"/>
        <item x="3"/>
        <item x="4"/>
        <item x="5"/>
        <item x="9"/>
        <item x="8"/>
        <item x="11"/>
        <item x="10"/>
        <item x="6"/>
        <item x="7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M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0AD0-B630-4240-8434-2B7392ED52E6}">
  <dimension ref="A1:AI93"/>
  <sheetViews>
    <sheetView tabSelected="1" workbookViewId="0">
      <selection activeCell="B96" sqref="B96"/>
    </sheetView>
  </sheetViews>
  <sheetFormatPr baseColWidth="10" defaultRowHeight="15" x14ac:dyDescent="0.25"/>
  <cols>
    <col min="1" max="1" width="11.42578125" style="126"/>
    <col min="3" max="3" width="24.140625" customWidth="1"/>
    <col min="5" max="5" width="12.28515625" bestFit="1" customWidth="1"/>
    <col min="6" max="6" width="21.42578125" bestFit="1" customWidth="1"/>
    <col min="7" max="7" width="20.42578125" bestFit="1" customWidth="1"/>
    <col min="8" max="8" width="20.140625" bestFit="1" customWidth="1"/>
    <col min="11" max="11" width="12.28515625" bestFit="1" customWidth="1"/>
    <col min="12" max="12" width="22.85546875" customWidth="1"/>
    <col min="13" max="13" width="12.28515625" bestFit="1" customWidth="1"/>
    <col min="16" max="16" width="11.7109375" customWidth="1"/>
    <col min="17" max="17" width="10.5703125" style="7" customWidth="1"/>
    <col min="18" max="19" width="11.42578125" style="7"/>
    <col min="20" max="20" width="12.5703125" bestFit="1" customWidth="1"/>
    <col min="21" max="21" width="10.140625" bestFit="1" customWidth="1"/>
  </cols>
  <sheetData>
    <row r="1" spans="2:35" ht="16.5" customHeight="1" thickTop="1" thickBot="1" x14ac:dyDescent="0.3">
      <c r="I1" s="1" t="s">
        <v>0</v>
      </c>
      <c r="J1" s="2"/>
      <c r="K1" s="1"/>
      <c r="L1" s="3" t="s">
        <v>1</v>
      </c>
      <c r="M1" s="4" t="s">
        <v>0</v>
      </c>
      <c r="N1" s="5" t="s">
        <v>2</v>
      </c>
      <c r="O1" s="6"/>
      <c r="P1" s="7"/>
      <c r="R1"/>
      <c r="S1"/>
      <c r="T1" s="8" t="s">
        <v>3</v>
      </c>
      <c r="U1" s="8" t="s">
        <v>4</v>
      </c>
      <c r="V1" s="136" t="s">
        <v>5</v>
      </c>
      <c r="W1" s="137"/>
      <c r="X1" s="136" t="s">
        <v>6</v>
      </c>
      <c r="Y1" s="150"/>
      <c r="Z1" s="136" t="s">
        <v>7</v>
      </c>
      <c r="AA1" s="150"/>
      <c r="AB1" s="136" t="s">
        <v>8</v>
      </c>
      <c r="AC1" s="150"/>
      <c r="AD1" s="136" t="s">
        <v>9</v>
      </c>
      <c r="AE1" s="150"/>
      <c r="AF1" s="138" t="s">
        <v>10</v>
      </c>
      <c r="AG1" s="139"/>
      <c r="AH1" s="138" t="s">
        <v>11</v>
      </c>
      <c r="AI1" s="139"/>
    </row>
    <row r="2" spans="2:35" ht="14.25" customHeight="1" thickTop="1" x14ac:dyDescent="0.25">
      <c r="B2" s="140" t="s">
        <v>12</v>
      </c>
      <c r="C2" s="141"/>
      <c r="D2" s="9">
        <v>28.75</v>
      </c>
      <c r="E2" s="10"/>
      <c r="F2" s="11"/>
      <c r="G2" t="s">
        <v>13</v>
      </c>
      <c r="H2" t="s">
        <v>14</v>
      </c>
      <c r="I2" s="12">
        <f>J2/J6</f>
        <v>0.33333333333333331</v>
      </c>
      <c r="J2" s="13">
        <f>COUNTIF($E$21:$E$94,"&gt;3,99")</f>
        <v>5</v>
      </c>
      <c r="K2" s="14"/>
      <c r="L2" s="15">
        <f>COUNTIF($S$21:$S$94,"&gt;3,99")</f>
        <v>4</v>
      </c>
      <c r="M2" s="16">
        <f>L2/J6</f>
        <v>0.26666666666666666</v>
      </c>
      <c r="N2" s="17">
        <v>6.8</v>
      </c>
      <c r="O2" s="18" t="s">
        <v>15</v>
      </c>
      <c r="Q2"/>
      <c r="R2"/>
      <c r="S2"/>
      <c r="T2" s="7" t="str" cm="1">
        <f t="array" ref="T2:T15">_xlfn._xlws.FILTER($F$21:$F$93,$H$21:$H$93=B1)</f>
        <v>CDP LANCE</v>
      </c>
      <c r="U2" s="7" cm="1">
        <f t="array" ref="U2:U15">_xlfn._xlws.FILTER($G$21:$G$93,$H$21:$H$93=B1)</f>
        <v>1</v>
      </c>
      <c r="V2" s="19" t="s">
        <v>16</v>
      </c>
      <c r="W2" s="19">
        <f>SUMIF($F19:$F$200,"E12",$G$19:$G$200)</f>
        <v>3</v>
      </c>
      <c r="X2" s="19" t="s">
        <v>17</v>
      </c>
      <c r="Y2" s="20">
        <f>SUMIF($F$19:$F$200,"CW08",$G$19:$G$200)</f>
        <v>0</v>
      </c>
      <c r="Z2" s="21" t="s">
        <v>18</v>
      </c>
      <c r="AA2" s="20">
        <f>SUMIF($F$19:$F$200,"E125",$G$19:$G$200)</f>
        <v>0</v>
      </c>
      <c r="AB2" s="19" t="s">
        <v>19</v>
      </c>
      <c r="AC2" s="20">
        <f>SUMIF($F$19:$F$200,"E111",$G$19:$G$200)</f>
        <v>72</v>
      </c>
      <c r="AD2" s="19" t="s">
        <v>20</v>
      </c>
      <c r="AE2" s="19">
        <f>SUMIF($F$19:$F$200,"c111",$G$19:$G$200)</f>
        <v>0</v>
      </c>
      <c r="AF2" s="19" t="s">
        <v>21</v>
      </c>
      <c r="AG2" s="19">
        <f>SUMIF($F$19:$F$200,"A02",$G$19:$G$200)</f>
        <v>0</v>
      </c>
      <c r="AH2" s="19" t="s">
        <v>22</v>
      </c>
      <c r="AI2" s="19">
        <f>SUMIF($F$19:$F$204,"D01",$G$19:$G$204)</f>
        <v>0</v>
      </c>
    </row>
    <row r="3" spans="2:35" ht="15.75" thickBot="1" x14ac:dyDescent="0.3">
      <c r="B3" s="142" t="s">
        <v>23</v>
      </c>
      <c r="C3" s="143"/>
      <c r="D3" s="23"/>
      <c r="E3" s="24"/>
      <c r="F3" s="25"/>
      <c r="G3" t="s">
        <v>13</v>
      </c>
      <c r="H3" t="s">
        <v>24</v>
      </c>
      <c r="I3" s="26">
        <f>J3/J6</f>
        <v>0.33333333333333331</v>
      </c>
      <c r="J3" s="27">
        <f>COUNTIFS($E$21:$E$94,"&gt;3",$E$21:$E$94,"&lt;=3,99")</f>
        <v>5</v>
      </c>
      <c r="K3" s="14"/>
      <c r="L3" s="28">
        <f>COUNTIFS($S$21:$S$94,"&gt;3",$S$21:$S$94,"&lt;=3,99")</f>
        <v>1</v>
      </c>
      <c r="M3" s="29">
        <f>L3/J6</f>
        <v>6.6666666666666666E-2</v>
      </c>
      <c r="N3" s="7"/>
      <c r="O3" s="6"/>
      <c r="P3" s="7"/>
      <c r="R3"/>
      <c r="S3"/>
      <c r="T3" s="7" t="str">
        <v>A03</v>
      </c>
      <c r="U3" s="7">
        <v>6</v>
      </c>
      <c r="V3" s="30" t="s">
        <v>25</v>
      </c>
      <c r="W3" s="30">
        <f>SUMIF($F19:$F$200,"E13",$G$19:$G$200)</f>
        <v>0</v>
      </c>
      <c r="X3" s="30" t="s">
        <v>26</v>
      </c>
      <c r="Y3" s="31">
        <f>SUMIF($F$19:$F$200,"CW12",$G$19:$G$200)</f>
        <v>0</v>
      </c>
      <c r="Z3" s="32" t="s">
        <v>27</v>
      </c>
      <c r="AA3" s="30">
        <f>SUMIF($F$19:$F$200,"E155",$G$19:$G$200)</f>
        <v>0</v>
      </c>
      <c r="AB3" s="30" t="s">
        <v>28</v>
      </c>
      <c r="AC3" s="30">
        <f>SUMIF($F$19:$F$200,"E151",$G$19:$G$200)</f>
        <v>12</v>
      </c>
      <c r="AD3" s="30" t="s">
        <v>29</v>
      </c>
      <c r="AE3" s="30">
        <f>SUMIF($F$19:$F$200,"E1",$G$19:$G$200)</f>
        <v>60</v>
      </c>
      <c r="AF3" s="30" t="s">
        <v>30</v>
      </c>
      <c r="AG3" s="30">
        <f>SUMIF($F$19:$F$200,"A021",$G$19:$G$200)</f>
        <v>0</v>
      </c>
      <c r="AH3" s="30" t="s">
        <v>31</v>
      </c>
      <c r="AI3" s="30">
        <f>SUMIF($F$19:$F$204,"D852",$G$19:$G$204)</f>
        <v>0</v>
      </c>
    </row>
    <row r="4" spans="2:35" ht="15.75" customHeight="1" thickTop="1" x14ac:dyDescent="0.25">
      <c r="B4" s="144" t="s">
        <v>32</v>
      </c>
      <c r="C4" s="145"/>
      <c r="D4" s="33">
        <v>10.95</v>
      </c>
      <c r="E4" s="10"/>
      <c r="F4" s="34"/>
      <c r="G4" t="s">
        <v>13</v>
      </c>
      <c r="H4" t="s">
        <v>33</v>
      </c>
      <c r="I4" s="35">
        <f>J4/J6</f>
        <v>0</v>
      </c>
      <c r="J4" s="36">
        <f>COUNTIFS($E$21:$E$94,"&gt;=2,5",$E$21:$E$94,"&lt;=3")</f>
        <v>0</v>
      </c>
      <c r="K4" s="14"/>
      <c r="L4" s="37">
        <f>COUNTIFS($S$21:$S$94,"&gt;=2,5",$S$21:$S$94,"&lt;=3")</f>
        <v>5</v>
      </c>
      <c r="M4" s="38">
        <f>L4/J6</f>
        <v>0.33333333333333331</v>
      </c>
      <c r="N4" s="146" t="s">
        <v>34</v>
      </c>
      <c r="O4" s="147"/>
      <c r="P4" s="147"/>
      <c r="Q4" s="148"/>
      <c r="R4" s="148"/>
      <c r="S4" s="149"/>
      <c r="T4" s="7" t="str">
        <v>A09</v>
      </c>
      <c r="U4" s="7">
        <v>6</v>
      </c>
      <c r="V4" s="30" t="s">
        <v>35</v>
      </c>
      <c r="W4" s="30">
        <f>SUMIF($F19:$F$200,"E131",$G$19:$G$200)</f>
        <v>1</v>
      </c>
      <c r="X4" s="30" t="s">
        <v>36</v>
      </c>
      <c r="Y4" s="30">
        <f>SUMIF($F$19:$F$200,"CW13",$G$19:$G$200)</f>
        <v>0</v>
      </c>
      <c r="Z4" s="32" t="s">
        <v>37</v>
      </c>
      <c r="AA4" s="30">
        <f>SUMIF($F$19:$F$200,"E165",$G$19:$G$200)</f>
        <v>0</v>
      </c>
      <c r="AB4" s="30" t="s">
        <v>38</v>
      </c>
      <c r="AC4" s="30">
        <f>SUMIF($F$19:$F$200,"E21",$G$19:$G$200)</f>
        <v>42</v>
      </c>
      <c r="AD4" s="30" t="s">
        <v>39</v>
      </c>
      <c r="AE4" s="30">
        <f>SUMIF($F$19:$F$200,"E232",$G$19:$G$200)</f>
        <v>24</v>
      </c>
      <c r="AF4" s="30" t="s">
        <v>40</v>
      </c>
      <c r="AG4" s="30">
        <f>SUMIF($F$19:$F$200,"A03",$G$19:$G$200)</f>
        <v>6</v>
      </c>
      <c r="AH4" s="30" t="s">
        <v>41</v>
      </c>
      <c r="AI4" s="30">
        <f>SUMIF($F$19:$F$204,"D853",$G$19:$G$204)</f>
        <v>0</v>
      </c>
    </row>
    <row r="5" spans="2:35" ht="15.75" thickBot="1" x14ac:dyDescent="0.3">
      <c r="B5" s="128" t="s">
        <v>42</v>
      </c>
      <c r="C5" s="129"/>
      <c r="D5" s="129"/>
      <c r="E5" s="7"/>
      <c r="F5" s="39"/>
      <c r="G5" t="s">
        <v>13</v>
      </c>
      <c r="H5" t="s">
        <v>43</v>
      </c>
      <c r="I5" s="40">
        <f>J5/J6</f>
        <v>0.26666666666666666</v>
      </c>
      <c r="J5" s="41">
        <f>COUNTIF($E$21:$E$94,"&lt;2,5")</f>
        <v>4</v>
      </c>
      <c r="K5" s="14"/>
      <c r="L5" s="42">
        <f>COUNTIF($S$21:$S$94,"&lt;2,5")</f>
        <v>4</v>
      </c>
      <c r="M5" s="43">
        <f>L5/J6</f>
        <v>0.26666666666666666</v>
      </c>
      <c r="N5" s="130" t="s">
        <v>44</v>
      </c>
      <c r="O5" s="131"/>
      <c r="P5" s="132" t="s">
        <v>45</v>
      </c>
      <c r="Q5" s="133"/>
      <c r="R5" s="134" t="s">
        <v>46</v>
      </c>
      <c r="S5" s="135"/>
      <c r="T5" s="7" t="str">
        <v>D06</v>
      </c>
      <c r="U5" s="7">
        <v>10</v>
      </c>
      <c r="V5" s="30" t="s">
        <v>47</v>
      </c>
      <c r="W5" s="30">
        <f>SUMIF($F$19:$F$200,"E141",$G$19:$G$200)</f>
        <v>0</v>
      </c>
      <c r="X5" s="30" t="s">
        <v>48</v>
      </c>
      <c r="Y5" s="30">
        <f>SUMIF($F$19:$F$200,"CW131",$G$19:$G$200)</f>
        <v>0</v>
      </c>
      <c r="Z5" s="32" t="s">
        <v>49</v>
      </c>
      <c r="AA5" s="30">
        <f>SUMIF($F$19:$F$200,"E185",$G$19:$G$200)</f>
        <v>2</v>
      </c>
      <c r="AB5" s="30" t="s">
        <v>50</v>
      </c>
      <c r="AC5" s="30">
        <f>SUMIF($F$19:$F$200,"E221",$G$19:$G$200)</f>
        <v>12</v>
      </c>
      <c r="AD5" s="30" t="s">
        <v>51</v>
      </c>
      <c r="AE5" s="30">
        <f>SUMIF($F$19:$F$200,"E41",$G$19:$G$200)</f>
        <v>48</v>
      </c>
      <c r="AF5" s="30" t="s">
        <v>52</v>
      </c>
      <c r="AG5" s="30">
        <f>SUMIF($F$19:$F$200,"A031",$G$19:$G$200)</f>
        <v>0</v>
      </c>
      <c r="AH5" s="30" t="s">
        <v>53</v>
      </c>
      <c r="AI5" s="30">
        <f>SUMIF($F$19:$F$204,"D856",$G$19:$G$204)</f>
        <v>0</v>
      </c>
    </row>
    <row r="6" spans="2:35" ht="15" customHeight="1" thickTop="1" thickBot="1" x14ac:dyDescent="0.3">
      <c r="B6" s="151" t="s">
        <v>54</v>
      </c>
      <c r="C6" s="152"/>
      <c r="D6" s="44">
        <f>+(D2*(1-D3)-D4)/(D2*(1-D3))</f>
        <v>0.61913043478260876</v>
      </c>
      <c r="E6" s="45"/>
      <c r="I6" s="8" t="s">
        <v>55</v>
      </c>
      <c r="J6" s="8">
        <f>COUNTA($D$20:$D$94)</f>
        <v>15</v>
      </c>
      <c r="K6" s="46"/>
      <c r="L6" s="8">
        <f>COUNTA($D$20:$D$94)</f>
        <v>15</v>
      </c>
      <c r="M6" s="1"/>
      <c r="N6" s="153">
        <f>SUM($Q$21:$R$94)</f>
        <v>240.67999999999998</v>
      </c>
      <c r="O6" s="154"/>
      <c r="P6" s="157">
        <f>SUM(J11-(L11+N6))</f>
        <v>3021.8994000000002</v>
      </c>
      <c r="Q6" s="154"/>
      <c r="R6" s="159">
        <f>+(J11*1)/(L11+N6)</f>
        <v>2.5555747849714328</v>
      </c>
      <c r="S6" s="160"/>
      <c r="T6" s="7" t="str">
        <v>D09</v>
      </c>
      <c r="U6" s="7">
        <v>10</v>
      </c>
      <c r="V6" s="30" t="s">
        <v>56</v>
      </c>
      <c r="W6" s="30">
        <f>SUMIF($F$19:$F$200,"E15",$G$19:$G$200)</f>
        <v>0</v>
      </c>
      <c r="X6" s="30" t="s">
        <v>57</v>
      </c>
      <c r="Y6" s="30">
        <f>SUMIF($F$19:$F$200,"CW15",$G$19:$G$200)</f>
        <v>0</v>
      </c>
      <c r="Z6" s="32" t="s">
        <v>58</v>
      </c>
      <c r="AA6" s="30">
        <f>SUMIF($F$19:$F$200,"E125",$G$19:$G$200)</f>
        <v>0</v>
      </c>
      <c r="AB6" s="30" t="s">
        <v>59</v>
      </c>
      <c r="AC6" s="30">
        <f>SUMIF($F$19:$F$200,"E24",$G$19:$G$200)</f>
        <v>12</v>
      </c>
      <c r="AD6" s="30" t="s">
        <v>60</v>
      </c>
      <c r="AE6" s="30">
        <f>SUMIF($F$19:$F$200,"E52",$G$19:$G$200)</f>
        <v>12</v>
      </c>
      <c r="AF6" s="30" t="s">
        <v>61</v>
      </c>
      <c r="AG6" s="30">
        <f>SUMIF($F$19:$F$200,"A032",$G$19:$G$200)</f>
        <v>0</v>
      </c>
      <c r="AH6" s="30" t="s">
        <v>62</v>
      </c>
      <c r="AI6" s="30">
        <f>SUMIF($F$19:$F$204,"D858",$G$19:$G$204)</f>
        <v>0</v>
      </c>
    </row>
    <row r="7" spans="2:35" ht="16.5" thickTop="1" thickBot="1" x14ac:dyDescent="0.3">
      <c r="B7" s="161" t="s">
        <v>63</v>
      </c>
      <c r="C7" s="162"/>
      <c r="D7" s="47">
        <f>+(D2*(1-D3))/D4</f>
        <v>2.6255707762557079</v>
      </c>
      <c r="E7" s="48"/>
      <c r="F7" s="49" t="s">
        <v>64</v>
      </c>
      <c r="G7" s="50">
        <f>SUMIF($H$21:$H159,0,$G$21:$G$159)</f>
        <v>124</v>
      </c>
      <c r="H7" s="51"/>
      <c r="I7" s="7"/>
      <c r="K7" s="46"/>
      <c r="M7" s="2"/>
      <c r="N7" s="155"/>
      <c r="O7" s="156"/>
      <c r="P7" s="158"/>
      <c r="Q7" s="156"/>
      <c r="R7" s="163">
        <f>P6/J11</f>
        <v>0.60869859654246883</v>
      </c>
      <c r="S7" s="160"/>
      <c r="T7" s="7" t="str">
        <v>D15</v>
      </c>
      <c r="U7" s="7">
        <v>10</v>
      </c>
      <c r="V7" s="30" t="s">
        <v>65</v>
      </c>
      <c r="W7" s="30">
        <f>SUMIF($F$19:$F$200,"E15SM",$G$19:$G$200)</f>
        <v>0</v>
      </c>
      <c r="X7" s="30" t="s">
        <v>66</v>
      </c>
      <c r="Y7" s="30">
        <f>SUMIF($F$19:$F$200,"CW151",$G$19:$G$200)</f>
        <v>0</v>
      </c>
      <c r="Z7" s="32" t="s">
        <v>67</v>
      </c>
      <c r="AA7" s="30">
        <f>SUMIF($F$19:$F$200,"E2215",$G$19:$G$200)</f>
        <v>0</v>
      </c>
      <c r="AB7" s="30" t="s">
        <v>68</v>
      </c>
      <c r="AC7" s="30">
        <f>SUMIF($F$19:$F$200,"E27",$G$19:$G$200)</f>
        <v>0</v>
      </c>
      <c r="AD7" s="30" t="s">
        <v>69</v>
      </c>
      <c r="AE7" s="30">
        <f>SUMIF($F$19:$F$200,"lsp01",$G$19:$G$200)</f>
        <v>25</v>
      </c>
      <c r="AF7" s="30" t="s">
        <v>70</v>
      </c>
      <c r="AG7" s="30">
        <f>SUMIF($F$19:$F$200,"A043",$G$19:$G$200)</f>
        <v>0</v>
      </c>
      <c r="AH7" s="30" t="s">
        <v>71</v>
      </c>
      <c r="AI7" s="30">
        <f>SUMIF($F$19:$F$204,"D859",$G$19:$G$204)</f>
        <v>0</v>
      </c>
    </row>
    <row r="8" spans="2:35" ht="15.75" customHeight="1" thickTop="1" thickBot="1" x14ac:dyDescent="0.3">
      <c r="F8" s="52" t="s">
        <v>72</v>
      </c>
      <c r="G8" s="53">
        <f>SUMIF($H$21:$H141,0,$L$21:$L$141)</f>
        <v>99.191000000000003</v>
      </c>
      <c r="H8" s="51"/>
      <c r="I8" s="7"/>
      <c r="M8" s="2"/>
      <c r="N8" s="1"/>
      <c r="O8" s="54"/>
      <c r="P8" s="55"/>
      <c r="S8"/>
      <c r="T8" s="7" t="str">
        <v>M32</v>
      </c>
      <c r="U8" s="7">
        <v>1</v>
      </c>
      <c r="V8" s="30" t="s">
        <v>73</v>
      </c>
      <c r="W8" s="30">
        <f>SUMIF($F$19:$F$200,"E16",$G$19:$G$200)</f>
        <v>0</v>
      </c>
      <c r="X8" s="30" t="s">
        <v>74</v>
      </c>
      <c r="Y8" s="30">
        <f>SUMIF($F$19:$F$200,"CW16",$G$19:$G$200)</f>
        <v>0</v>
      </c>
      <c r="Z8" s="32" t="s">
        <v>75</v>
      </c>
      <c r="AA8" s="30">
        <f>SUMIF($F$19:$F$200,"E2315",$G$19:$G$200)</f>
        <v>6</v>
      </c>
      <c r="AB8" s="30" t="s">
        <v>76</v>
      </c>
      <c r="AC8" s="30">
        <f>SUMIF($F$19:$F$200,"E81",$G$19:$G$200)</f>
        <v>16</v>
      </c>
      <c r="AD8" s="30" t="s">
        <v>77</v>
      </c>
      <c r="AE8" s="30">
        <f>SUMIF($F$19:$F$200,"m12",$G$19:$G$200)</f>
        <v>0</v>
      </c>
      <c r="AF8" s="30" t="s">
        <v>78</v>
      </c>
      <c r="AG8" s="30">
        <f>SUMIF($F$19:$F$200,"A051",$G$19:$G$200)</f>
        <v>0</v>
      </c>
      <c r="AH8" s="30" t="s">
        <v>79</v>
      </c>
      <c r="AI8" s="30">
        <f>SUMIF($F$19:$F$204,"D860",$G$19:$G$204)</f>
        <v>0</v>
      </c>
    </row>
    <row r="9" spans="2:35" ht="16.5" thickTop="1" thickBot="1" x14ac:dyDescent="0.3">
      <c r="B9" s="56" t="s">
        <v>80</v>
      </c>
      <c r="C9" s="57" t="s">
        <v>81</v>
      </c>
      <c r="D9" s="57" t="s">
        <v>82</v>
      </c>
      <c r="E9" s="58" t="s">
        <v>83</v>
      </c>
      <c r="F9" s="59" t="s">
        <v>84</v>
      </c>
      <c r="G9" s="8" t="s">
        <v>85</v>
      </c>
      <c r="H9" s="8" t="s">
        <v>84</v>
      </c>
      <c r="J9" s="165" t="s">
        <v>86</v>
      </c>
      <c r="K9" s="166"/>
      <c r="L9" s="166"/>
      <c r="M9" s="167"/>
      <c r="O9" s="165" t="s">
        <v>87</v>
      </c>
      <c r="P9" s="168"/>
      <c r="Q9" s="168"/>
      <c r="R9" s="168"/>
      <c r="S9" s="169"/>
      <c r="T9" s="7" t="str">
        <v>T750</v>
      </c>
      <c r="U9" s="7">
        <v>1</v>
      </c>
      <c r="V9" s="30" t="s">
        <v>88</v>
      </c>
      <c r="W9" s="30">
        <f>SUMIF($F$19:$F$200,"E17",$G$19:$G$200)</f>
        <v>0</v>
      </c>
      <c r="X9" s="30" t="s">
        <v>89</v>
      </c>
      <c r="Y9" s="30">
        <f>SUMIF($F$19:$F$200,"CW17",$G$19:$G$200)</f>
        <v>0</v>
      </c>
      <c r="Z9" s="32" t="s">
        <v>90</v>
      </c>
      <c r="AA9" s="30">
        <f>SUMIF($F$19:$F$200,"E245",$G$19:$G$200)</f>
        <v>0</v>
      </c>
      <c r="AB9" s="30" t="s">
        <v>91</v>
      </c>
      <c r="AC9" s="30">
        <f>SUMIF($F$19:$F$200,"h31eth",$G$19:$G$200)</f>
        <v>0</v>
      </c>
      <c r="AD9" s="30" t="s">
        <v>92</v>
      </c>
      <c r="AE9" s="30">
        <f>SUMIF($F$19:$F$200,"m32",$G$19:$G$200)</f>
        <v>1</v>
      </c>
      <c r="AF9" s="30" t="s">
        <v>93</v>
      </c>
      <c r="AG9" s="30">
        <f>SUMIF($F$19:$F$200,"A06",$G$19:$G$200)</f>
        <v>0</v>
      </c>
      <c r="AH9" s="30"/>
      <c r="AI9" s="30"/>
    </row>
    <row r="10" spans="2:35" x14ac:dyDescent="0.25">
      <c r="B10" s="60" t="s">
        <v>94</v>
      </c>
      <c r="C10" s="61">
        <f>COUNTIF($C$21:$C$94,"DEHUT")</f>
        <v>4</v>
      </c>
      <c r="D10" s="62" cm="1">
        <f t="array" ref="D10">SUMPRODUCT(($C$21:$C$94="DEHUT")*($J$21:$J$94))</f>
        <v>1560.35</v>
      </c>
      <c r="E10" s="62" cm="1">
        <f t="array" ref="E10">SUMPRODUCT(($C$21:$C$94="DEHUT")*($L$21:$L$94))</f>
        <v>622.57439999999997</v>
      </c>
      <c r="F10" s="63">
        <f>D10/E10</f>
        <v>2.5062867988147279</v>
      </c>
      <c r="G10" s="64" cm="1">
        <f t="array" ref="G10">SUMPRODUCT(($C$21:$C$94="DEHUT")*(($L$21:$L$94)+($R$21:$R$94)))</f>
        <v>657.92439999999999</v>
      </c>
      <c r="H10" s="64">
        <f>D10/G10</f>
        <v>2.3716250681689264</v>
      </c>
      <c r="I10" s="46">
        <f>+H10/F10-1</f>
        <v>-5.3729577440812304E-2</v>
      </c>
      <c r="J10" s="170" t="s">
        <v>95</v>
      </c>
      <c r="K10" s="137"/>
      <c r="L10" s="8" t="s">
        <v>96</v>
      </c>
      <c r="M10" s="65" t="s">
        <v>84</v>
      </c>
      <c r="O10" s="171">
        <f>SUM($O$21:$O$94)</f>
        <v>4</v>
      </c>
      <c r="P10" s="143"/>
      <c r="Q10" s="173" t="s">
        <v>97</v>
      </c>
      <c r="R10" s="174"/>
      <c r="S10" s="66">
        <f>O10*N2</f>
        <v>27.2</v>
      </c>
      <c r="T10" s="7" t="str">
        <v>LGE1</v>
      </c>
      <c r="U10" s="7">
        <v>1</v>
      </c>
      <c r="V10" s="30" t="s">
        <v>98</v>
      </c>
      <c r="W10" s="30">
        <f>SUMIF($F$19:$F$200,"E18",$G$19:$G$200)</f>
        <v>2</v>
      </c>
      <c r="X10" s="30" t="s">
        <v>99</v>
      </c>
      <c r="Y10" s="30">
        <f>SUMIF($F$19:$F$200,"CW18",$G$19:$G$200)</f>
        <v>0</v>
      </c>
      <c r="Z10" s="32" t="s">
        <v>100</v>
      </c>
      <c r="AA10" s="30">
        <f>SUMIF($F$19:$F$200,"E255",$G$19:$G$200)</f>
        <v>0</v>
      </c>
      <c r="AB10" s="30" t="s">
        <v>101</v>
      </c>
      <c r="AC10" s="30">
        <f>SUMIF($F$19:$F$200,"t750",$G$19:$G$200)</f>
        <v>20</v>
      </c>
      <c r="AD10" s="30"/>
      <c r="AE10" s="30"/>
      <c r="AF10" s="30" t="s">
        <v>102</v>
      </c>
      <c r="AG10" s="30">
        <f>SUMIF($F$19:$F$200,"A061",$G$19:$G$200)</f>
        <v>0</v>
      </c>
      <c r="AH10" s="30"/>
      <c r="AI10" s="30"/>
    </row>
    <row r="11" spans="2:35" ht="15.75" thickBot="1" x14ac:dyDescent="0.3">
      <c r="B11" s="67" t="s">
        <v>103</v>
      </c>
      <c r="C11" s="30">
        <f>COUNTIF($C$21:$C$94,"DUBOIS")</f>
        <v>3</v>
      </c>
      <c r="D11" s="68" cm="1">
        <f t="array" ref="D11">SUMPRODUCT(($C$21:$C$94="DUBOIS")*($J$21:$J$94))</f>
        <v>911.02499999999998</v>
      </c>
      <c r="E11" s="68" cm="1">
        <f t="array" ref="E11">SUMPRODUCT(($C$21:$C$94="DUBOIS")*($L$21:$L$94))</f>
        <v>369.98490000000004</v>
      </c>
      <c r="F11" s="69">
        <f t="shared" ref="F11:F15" si="0">D11/E11</f>
        <v>2.4623302194224679</v>
      </c>
      <c r="G11" s="64" cm="1">
        <f t="array" ref="G11">SUMPRODUCT(($C$21:$C$94="DUBOIS")*(($L$21:$L$94)+($R$21:$R$94)))</f>
        <v>434.72490000000005</v>
      </c>
      <c r="H11" s="64">
        <f t="shared" ref="H11:H14" si="1">D11/G11</f>
        <v>2.095635653720318</v>
      </c>
      <c r="I11" s="46">
        <f t="shared" ref="I11:I15" si="2">+H11/F11-1</f>
        <v>-0.14892176638605237</v>
      </c>
      <c r="J11" s="175" cm="1">
        <f t="array" ref="J11">SUMPRODUCT(($I$21:$I$94="SOMME")*($J$21:$J$94))</f>
        <v>4964.5250000000005</v>
      </c>
      <c r="K11" s="176"/>
      <c r="L11" s="70" cm="1">
        <f t="array" ref="L11">SUMPRODUCT(($I$21:$I$94="SOMME")*($L$21:$L$94))</f>
        <v>1701.9456</v>
      </c>
      <c r="M11" s="71">
        <f>+(J11*1)/L11</f>
        <v>2.916970436657905</v>
      </c>
      <c r="N11" s="72"/>
      <c r="O11" s="172"/>
      <c r="P11" s="143"/>
      <c r="Q11" s="177" t="s">
        <v>104</v>
      </c>
      <c r="R11" s="178"/>
      <c r="S11" s="73">
        <v>6.8</v>
      </c>
      <c r="T11" s="7" t="str">
        <v>E32</v>
      </c>
      <c r="U11" s="7">
        <v>6</v>
      </c>
      <c r="V11" s="30" t="s">
        <v>105</v>
      </c>
      <c r="W11" s="30">
        <f>SUMIF($F$19:$F$200,"E25",$G$19:$G$200)</f>
        <v>0</v>
      </c>
      <c r="X11" s="30" t="s">
        <v>106</v>
      </c>
      <c r="Y11" s="30">
        <f>SUMIF($F$19:$F$200,"CW250",$G$19:$G$200)</f>
        <v>0</v>
      </c>
      <c r="Z11" s="32" t="s">
        <v>107</v>
      </c>
      <c r="AA11" s="30">
        <f>SUMIF($F$19:$F$200,"E265",$G$19:$G$200)</f>
        <v>3</v>
      </c>
      <c r="AB11" s="30"/>
      <c r="AC11" s="30"/>
      <c r="AD11" s="30"/>
      <c r="AE11" s="30"/>
      <c r="AF11" s="30" t="s">
        <v>108</v>
      </c>
      <c r="AG11" s="30">
        <f>SUMIF($F$19:$F$200,"A09",$G$19:$G$200)</f>
        <v>6</v>
      </c>
      <c r="AH11" s="30"/>
      <c r="AI11" s="30"/>
    </row>
    <row r="12" spans="2:35" x14ac:dyDescent="0.25">
      <c r="B12" s="67" t="s">
        <v>109</v>
      </c>
      <c r="C12" s="30">
        <f>COUNTIF($C$21:$C$94,"DUPON")</f>
        <v>1</v>
      </c>
      <c r="D12" s="68" cm="1">
        <f t="array" ref="D12">SUMPRODUCT(($C$21:$C$94="DUPON")*($J$21:$J$94))</f>
        <v>457.27499999999998</v>
      </c>
      <c r="E12" s="68" cm="1">
        <f t="array" ref="E12">SUMPRODUCT(($C$21:$C$94="DUPON")*($L$21:$L$94))</f>
        <v>138.96789999999999</v>
      </c>
      <c r="F12" s="69">
        <f t="shared" si="0"/>
        <v>3.2905080957544874</v>
      </c>
      <c r="G12" s="64" cm="1">
        <f t="array" ref="G12">SUMPRODUCT(($C$21:$C$94="DUPON")*(($L$21:$L$94)+($R$21:$R$94)))</f>
        <v>156.74789999999999</v>
      </c>
      <c r="H12" s="74">
        <f t="shared" si="1"/>
        <v>2.9172639633449635</v>
      </c>
      <c r="I12" s="46">
        <f t="shared" si="2"/>
        <v>-0.11343054675692632</v>
      </c>
      <c r="J12" s="75"/>
      <c r="L12" s="76" t="s">
        <v>110</v>
      </c>
      <c r="M12" s="77" t="s">
        <v>111</v>
      </c>
      <c r="O12" s="172"/>
      <c r="P12" s="143"/>
      <c r="Q12" s="173" t="s">
        <v>112</v>
      </c>
      <c r="R12" s="179"/>
      <c r="S12" s="78">
        <f>SUM(S10:S11)</f>
        <v>34</v>
      </c>
      <c r="T12" s="7" t="str">
        <v>T750</v>
      </c>
      <c r="U12" s="7">
        <v>6</v>
      </c>
      <c r="V12" s="30" t="s">
        <v>113</v>
      </c>
      <c r="W12" s="30">
        <f>SUMIF($F$19:$F$200,"E26",$G$19:$G$200)</f>
        <v>3</v>
      </c>
      <c r="X12" s="30" t="s">
        <v>114</v>
      </c>
      <c r="Y12" s="30">
        <f>SUMIF($F$19:$F$200,"CW26",$G$19:$G$200)</f>
        <v>3</v>
      </c>
      <c r="Z12" s="32" t="s">
        <v>115</v>
      </c>
      <c r="AA12" s="30">
        <f>SUMIF($F$19:$F$200,"E275",$G$19:$G$200)</f>
        <v>1</v>
      </c>
      <c r="AB12" s="30"/>
      <c r="AC12" s="30"/>
      <c r="AD12" s="30"/>
      <c r="AE12" s="30"/>
      <c r="AF12" s="30" t="s">
        <v>116</v>
      </c>
      <c r="AG12" s="30">
        <f>SUMIF($F$19:$F$200,"A091",$G$19:$G$200)</f>
        <v>0</v>
      </c>
      <c r="AH12" s="30"/>
      <c r="AI12" s="30"/>
    </row>
    <row r="13" spans="2:35" ht="15.75" thickBot="1" x14ac:dyDescent="0.3">
      <c r="B13" s="79" t="s">
        <v>117</v>
      </c>
      <c r="C13" s="31">
        <f>COUNTIF($C$21:$C$94,"LEMOINE")</f>
        <v>6</v>
      </c>
      <c r="D13" s="80" cm="1">
        <f t="array" ref="D13">SUMPRODUCT(($C$21:$C$94="LEMOINE")*($J$21:$J$94))</f>
        <v>2035.875</v>
      </c>
      <c r="E13" s="80" cm="1">
        <f t="array" ref="E13">SUMPRODUCT(($C$21:$C$94="LEMOINE")*($L$21:$L$94))</f>
        <v>570.41840000000002</v>
      </c>
      <c r="F13" s="81">
        <f t="shared" si="0"/>
        <v>3.569090688519164</v>
      </c>
      <c r="G13" s="64" cm="1">
        <f t="array" ref="G13">SUMPRODUCT(($C$21:$C$94="LEMOINE")*(($L$21:$L$94)+($R$21:$R$94)))</f>
        <v>693.22839999999997</v>
      </c>
      <c r="H13" s="64">
        <f t="shared" si="1"/>
        <v>2.9368026468621311</v>
      </c>
      <c r="I13" s="46">
        <f t="shared" si="2"/>
        <v>-0.17715661966532237</v>
      </c>
      <c r="J13" s="52"/>
      <c r="K13" s="82"/>
      <c r="L13" s="83">
        <f>SUM(J11-L11)</f>
        <v>3262.5794000000005</v>
      </c>
      <c r="M13" s="84">
        <f>L13/J11</f>
        <v>0.6571785618966568</v>
      </c>
      <c r="N13" s="85"/>
      <c r="O13" s="180" t="s">
        <v>118</v>
      </c>
      <c r="P13" s="152"/>
      <c r="Q13" s="181" t="s">
        <v>84</v>
      </c>
      <c r="R13" s="150"/>
      <c r="S13" s="86" t="s">
        <v>111</v>
      </c>
      <c r="T13" s="7" t="str">
        <v>T750</v>
      </c>
      <c r="U13" s="7">
        <v>1</v>
      </c>
      <c r="V13" s="30" t="s">
        <v>119</v>
      </c>
      <c r="W13" s="30">
        <f>SUMIF($F$19:$F$200,"h25L",$G$19:$G$200)</f>
        <v>0</v>
      </c>
      <c r="X13" s="30" t="s">
        <v>120</v>
      </c>
      <c r="Y13" s="30">
        <f>SUMIF($F$19:$F$200,"h200",$G$19:$G$200)</f>
        <v>1</v>
      </c>
      <c r="Z13" s="32" t="s">
        <v>121</v>
      </c>
      <c r="AA13" s="30">
        <f>SUMIF($F$19:$F$200,"E315",$G$19:$G$200)</f>
        <v>0</v>
      </c>
      <c r="AB13" s="30"/>
      <c r="AC13" s="30"/>
      <c r="AD13" s="30"/>
      <c r="AE13" s="30"/>
      <c r="AF13" s="30" t="s">
        <v>122</v>
      </c>
      <c r="AG13" s="30">
        <f>SUMIF($F$19:$F$200,"A010",$G$19:$G$200)</f>
        <v>0</v>
      </c>
      <c r="AH13" s="30"/>
      <c r="AI13" s="30"/>
    </row>
    <row r="14" spans="2:35" ht="16.5" thickTop="1" thickBot="1" x14ac:dyDescent="0.3">
      <c r="B14" s="87" t="s">
        <v>123</v>
      </c>
      <c r="C14" s="88">
        <f>COUNTIF($C$21:$C$94,"NICOLETTI")</f>
        <v>0</v>
      </c>
      <c r="D14" s="89" cm="1">
        <f t="array" ref="D14">SUMPRODUCT(($C$21:$C$94="NICOLETTI")*($J$21:$J$94))</f>
        <v>0</v>
      </c>
      <c r="E14" s="89" cm="1">
        <f t="array" ref="E14">SUMPRODUCT(($C$21:$C$94="NICOLETTI")*($L$21:$L$94))</f>
        <v>0</v>
      </c>
      <c r="F14" s="90" t="e">
        <f t="shared" si="0"/>
        <v>#DIV/0!</v>
      </c>
      <c r="G14" s="64" cm="1">
        <f t="array" ref="G14">SUMPRODUCT(($C$21:$C$94="NICOLETTI")*(($L$21:$L$94)+($R$21:$R$94)))</f>
        <v>0</v>
      </c>
      <c r="H14" s="64" t="e">
        <f t="shared" si="1"/>
        <v>#DIV/0!</v>
      </c>
      <c r="I14" s="46" t="e">
        <f t="shared" si="2"/>
        <v>#DIV/0!</v>
      </c>
      <c r="L14" s="91"/>
      <c r="M14" s="92"/>
      <c r="N14" s="92"/>
      <c r="O14" s="182">
        <f>SUM(J11-(L11+N6+S12))</f>
        <v>2987.8994000000002</v>
      </c>
      <c r="P14" s="183"/>
      <c r="Q14" s="184">
        <f>+(J11*1)/(L11+N6+S12)</f>
        <v>2.5116162615722475</v>
      </c>
      <c r="R14" s="185"/>
      <c r="S14" s="93">
        <f>O14/J11</f>
        <v>0.60185000579108772</v>
      </c>
      <c r="T14" s="7" t="str">
        <v>LSP01</v>
      </c>
      <c r="U14" s="7">
        <v>1</v>
      </c>
      <c r="V14" s="30" t="s">
        <v>124</v>
      </c>
      <c r="W14" s="30">
        <f>SUMIF($F$19:$F$200,"H25LETH",$G$19:$G$200)</f>
        <v>0</v>
      </c>
      <c r="X14" s="30" t="s">
        <v>125</v>
      </c>
      <c r="Y14" s="30">
        <f>SUMIF($F$19:$F$200,"h200eth",$G$19:$G$200)</f>
        <v>0</v>
      </c>
      <c r="Z14" s="32" t="s">
        <v>126</v>
      </c>
      <c r="AA14" s="30">
        <f>SUMIF($F$19:$F$200,"E325",$G$19:$G$200)</f>
        <v>0</v>
      </c>
      <c r="AB14" s="30"/>
      <c r="AC14" s="30"/>
      <c r="AD14" s="30"/>
      <c r="AE14" s="30"/>
      <c r="AF14" s="30" t="s">
        <v>127</v>
      </c>
      <c r="AG14" s="30">
        <f>SUMIF($F$19:$F$200,"A100",$G$19:$G$200)</f>
        <v>0</v>
      </c>
      <c r="AH14" s="30"/>
      <c r="AI14" s="30"/>
    </row>
    <row r="15" spans="2:35" ht="15.75" thickTop="1" x14ac:dyDescent="0.25">
      <c r="C15" s="8">
        <f>SUM(C10:C14)</f>
        <v>14</v>
      </c>
      <c r="D15" s="94">
        <f t="shared" ref="D15:E15" si="3">SUM(D10:D14)</f>
        <v>4964.5249999999996</v>
      </c>
      <c r="E15" s="94">
        <f t="shared" si="3"/>
        <v>1701.9456</v>
      </c>
      <c r="F15" s="95">
        <f t="shared" si="0"/>
        <v>2.9169704366579046</v>
      </c>
      <c r="G15" s="94">
        <f t="shared" ref="G15" si="4">SUM(G10:G14)</f>
        <v>1942.6256000000001</v>
      </c>
      <c r="H15" s="74">
        <f>D15/G15</f>
        <v>2.5555747849714323</v>
      </c>
      <c r="I15" s="46">
        <f t="shared" si="2"/>
        <v>-0.12389417703545136</v>
      </c>
      <c r="P15" s="186" t="s">
        <v>128</v>
      </c>
      <c r="T15" s="7" t="str">
        <v>LGE5</v>
      </c>
      <c r="U15" s="7">
        <v>64</v>
      </c>
      <c r="V15" s="30" t="s">
        <v>129</v>
      </c>
      <c r="W15" s="30">
        <f>SUMIF($F$19:$F$200,"T25",$G$19:$G$200)</f>
        <v>0</v>
      </c>
      <c r="X15" s="30" t="s">
        <v>130</v>
      </c>
      <c r="Y15" s="96">
        <f>SUMIF($F$19:$F$200,"HPE200",$G$19:$G$200)</f>
        <v>0</v>
      </c>
      <c r="Z15" s="32" t="s">
        <v>131</v>
      </c>
      <c r="AA15" s="30">
        <f>SUMIF($F$19:$F$200,"E815",$G$19:$G$200)</f>
        <v>0</v>
      </c>
      <c r="AB15" s="30"/>
      <c r="AC15" s="30"/>
      <c r="AD15" s="30"/>
      <c r="AE15" s="30"/>
      <c r="AF15" s="30" t="s">
        <v>132</v>
      </c>
      <c r="AG15" s="30">
        <f>SUMIF($F$19:$F$200,"A23",$G$19:$G$200)</f>
        <v>1</v>
      </c>
      <c r="AH15" s="30"/>
      <c r="AI15" s="30"/>
    </row>
    <row r="16" spans="2:35" ht="15" customHeight="1" thickBot="1" x14ac:dyDescent="0.3">
      <c r="B16" s="8" t="s">
        <v>133</v>
      </c>
      <c r="C16" s="8"/>
      <c r="D16" s="94"/>
      <c r="E16" s="94"/>
      <c r="F16" s="94"/>
      <c r="O16" s="97"/>
      <c r="P16" s="187"/>
      <c r="Q16" s="98" t="s">
        <v>134</v>
      </c>
      <c r="V16" s="99"/>
      <c r="W16" s="99"/>
      <c r="X16" s="30" t="s">
        <v>135</v>
      </c>
      <c r="Y16" s="96">
        <f>SUMIF($F$19:$F$200,"hpe200eth",$G$19:$G$200)</f>
        <v>0</v>
      </c>
      <c r="Z16" s="32" t="s">
        <v>136</v>
      </c>
      <c r="AA16" s="30">
        <f>SUMIF($F$19:$F$200,"h5leth",$G$19:$G$200)</f>
        <v>0</v>
      </c>
      <c r="AB16" s="99"/>
      <c r="AC16" s="99"/>
      <c r="AD16" s="99"/>
      <c r="AE16" s="99"/>
      <c r="AF16" s="30"/>
      <c r="AG16" s="30"/>
      <c r="AH16" s="30"/>
      <c r="AI16" s="30"/>
    </row>
    <row r="17" spans="1:35" ht="15.75" customHeight="1" thickBot="1" x14ac:dyDescent="0.3">
      <c r="B17" s="100" t="str" cm="1">
        <f t="array" aca="1" ref="B17" ca="1">RIGHT(CELL("nomfichier",B1),LEN(CELL("nomfichier",B1))-FIND("]",CELL("nomfichier",B1)))</f>
        <v>Feuil1</v>
      </c>
      <c r="P17" s="187"/>
      <c r="Q17" s="98" t="s">
        <v>137</v>
      </c>
      <c r="R17" s="8" t="s">
        <v>138</v>
      </c>
      <c r="S17" s="101" t="s">
        <v>139</v>
      </c>
      <c r="T17" s="164"/>
      <c r="U17" s="2"/>
      <c r="V17" s="102"/>
      <c r="W17" s="102"/>
      <c r="X17" s="31" t="s">
        <v>140</v>
      </c>
      <c r="Y17" s="96">
        <f>SUMIF($F$19:$F$200,"lge200",$G$19:$G$200)</f>
        <v>0</v>
      </c>
      <c r="Z17" s="32" t="s">
        <v>141</v>
      </c>
      <c r="AA17" s="30">
        <f>SUMIF($F$19:$F$200,"hpe5eth",$G$19:$G$200)</f>
        <v>0</v>
      </c>
      <c r="AB17" s="102"/>
      <c r="AC17" s="102"/>
      <c r="AD17" s="102"/>
      <c r="AE17" s="102"/>
      <c r="AF17" s="88"/>
      <c r="AG17" s="88"/>
      <c r="AH17" s="88"/>
      <c r="AI17" s="88"/>
    </row>
    <row r="18" spans="1:35" ht="15.75" customHeight="1" thickTop="1" x14ac:dyDescent="0.25">
      <c r="B18" s="7" t="s">
        <v>142</v>
      </c>
      <c r="C18" s="8" t="s">
        <v>80</v>
      </c>
      <c r="D18" s="8" t="s">
        <v>143</v>
      </c>
      <c r="E18" s="8" t="s">
        <v>84</v>
      </c>
      <c r="F18" s="8" t="s">
        <v>144</v>
      </c>
      <c r="G18" s="8" t="s">
        <v>4</v>
      </c>
      <c r="H18" s="8" t="s">
        <v>145</v>
      </c>
      <c r="I18" s="8" t="s">
        <v>146</v>
      </c>
      <c r="J18" s="8" t="s">
        <v>82</v>
      </c>
      <c r="K18" s="8" t="s">
        <v>134</v>
      </c>
      <c r="L18" s="8" t="s">
        <v>83</v>
      </c>
      <c r="M18" s="8" t="s">
        <v>84</v>
      </c>
      <c r="N18" s="103" t="s">
        <v>147</v>
      </c>
      <c r="O18" s="8" t="s">
        <v>148</v>
      </c>
      <c r="P18" s="8" t="s">
        <v>149</v>
      </c>
      <c r="Q18" s="104" t="s">
        <v>150</v>
      </c>
      <c r="R18" s="8" t="s">
        <v>151</v>
      </c>
      <c r="S18" s="101" t="s">
        <v>151</v>
      </c>
      <c r="T18" s="164"/>
      <c r="U18" s="2"/>
      <c r="V18" s="105">
        <f>COUNTA(V2:V17)</f>
        <v>14</v>
      </c>
      <c r="W18" s="106">
        <f>SUM(W2:W17)</f>
        <v>9</v>
      </c>
      <c r="X18" s="105">
        <f>COUNTA(X2:X17)</f>
        <v>16</v>
      </c>
      <c r="Y18" s="106">
        <f>SUM(Y2:Y17)</f>
        <v>4</v>
      </c>
      <c r="Z18" s="32" t="s">
        <v>152</v>
      </c>
      <c r="AA18" s="30">
        <f>SUMIF($F$19:$F$200,"lge5",$G$19:$G$200)</f>
        <v>64</v>
      </c>
      <c r="AB18" s="105">
        <f>COUNTA(AB2:AB17)</f>
        <v>9</v>
      </c>
      <c r="AC18" s="106">
        <f>SUM(AC2:AC17)</f>
        <v>186</v>
      </c>
      <c r="AD18" s="105">
        <f>COUNTA(AD2:AD17)</f>
        <v>8</v>
      </c>
      <c r="AE18" s="106">
        <f>SUM(AE2:AE17)</f>
        <v>170</v>
      </c>
      <c r="AF18" s="105">
        <f>COUNTA(AF2:AF17)</f>
        <v>14</v>
      </c>
      <c r="AG18" s="106">
        <f>SUM(AG2:AG17)</f>
        <v>13</v>
      </c>
      <c r="AH18" s="105">
        <f>COUNTA(AH2:AH17)</f>
        <v>7</v>
      </c>
      <c r="AI18" s="106">
        <f>SUM(AI2:AI17)</f>
        <v>0</v>
      </c>
    </row>
    <row r="19" spans="1:35" ht="15.75" customHeight="1" x14ac:dyDescent="0.25">
      <c r="B19" s="107" t="s">
        <v>153</v>
      </c>
      <c r="C19" s="8"/>
      <c r="D19" s="8"/>
      <c r="E19" s="8"/>
      <c r="F19" s="7" t="s">
        <v>154</v>
      </c>
      <c r="G19" s="7">
        <v>400</v>
      </c>
      <c r="H19" s="7">
        <v>0.28499999999999998</v>
      </c>
      <c r="I19" s="7"/>
      <c r="J19" s="7">
        <v>0</v>
      </c>
      <c r="K19" s="7">
        <v>0.28499999999999998</v>
      </c>
      <c r="L19" s="7">
        <f>K19*G19</f>
        <v>113.99999999999999</v>
      </c>
      <c r="M19" s="94">
        <f>+(J19*1)/L19</f>
        <v>0</v>
      </c>
      <c r="N19" s="103"/>
      <c r="O19" s="8"/>
      <c r="P19" s="8"/>
      <c r="Q19" s="104"/>
      <c r="R19" s="8"/>
      <c r="S19" s="101"/>
      <c r="T19" s="108"/>
      <c r="U19" s="2"/>
      <c r="Z19" s="32" t="s">
        <v>155</v>
      </c>
      <c r="AA19" s="30">
        <f>SUMIF($F$19:$F$200,"m40",$G$19:$G$200)</f>
        <v>0</v>
      </c>
    </row>
    <row r="20" spans="1:35" ht="15.75" customHeight="1" thickBot="1" x14ac:dyDescent="0.3">
      <c r="B20" s="107"/>
      <c r="C20" s="109" t="s">
        <v>156</v>
      </c>
      <c r="D20" s="109">
        <v>36</v>
      </c>
      <c r="E20" s="110">
        <f>J20/L20</f>
        <v>0</v>
      </c>
      <c r="F20" s="109" t="s">
        <v>162</v>
      </c>
      <c r="G20" s="109" t="s">
        <v>162</v>
      </c>
      <c r="H20" s="109" t="s">
        <v>162</v>
      </c>
      <c r="I20" s="109" t="s">
        <v>157</v>
      </c>
      <c r="J20" s="111">
        <f>SUM(J19:J19)</f>
        <v>0</v>
      </c>
      <c r="K20" s="109"/>
      <c r="L20" s="111">
        <f>SUM(L19:L19)</f>
        <v>113.99999999999999</v>
      </c>
      <c r="M20" s="109"/>
      <c r="N20" s="1">
        <v>185</v>
      </c>
      <c r="O20" s="7">
        <v>1</v>
      </c>
      <c r="P20" s="7"/>
      <c r="Q20" s="112"/>
      <c r="R20" s="7">
        <v>31.29</v>
      </c>
      <c r="S20" s="64">
        <f>J20/(L20+Q20+R20)</f>
        <v>0</v>
      </c>
      <c r="Z20" s="30" t="s">
        <v>158</v>
      </c>
      <c r="AA20" s="113">
        <f>SUMIF($F$19:$F$200,"t05",$G$19:$G$200)</f>
        <v>0</v>
      </c>
    </row>
    <row r="21" spans="1:35" ht="15.75" customHeight="1" thickTop="1" x14ac:dyDescent="0.25">
      <c r="A21" s="189" t="s">
        <v>103</v>
      </c>
      <c r="B21" s="6"/>
      <c r="C21" s="8"/>
      <c r="D21" s="8"/>
      <c r="E21" s="114"/>
      <c r="F21" s="7" t="s">
        <v>114</v>
      </c>
      <c r="G21" s="7">
        <v>1</v>
      </c>
      <c r="H21" s="7">
        <v>455</v>
      </c>
      <c r="I21" s="7">
        <v>25</v>
      </c>
      <c r="J21" s="64">
        <f t="shared" ref="J21:J22" si="5">(H21-(H21*I21/100))*G21</f>
        <v>341.25</v>
      </c>
      <c r="K21" s="7">
        <v>211.85</v>
      </c>
      <c r="L21" s="7">
        <f>K21*G21</f>
        <v>211.85</v>
      </c>
      <c r="M21" s="94">
        <f>+(J21*1)/L21</f>
        <v>1.6108095350483833</v>
      </c>
      <c r="N21" s="103"/>
      <c r="O21" s="8"/>
      <c r="P21" s="115"/>
      <c r="R21" s="116"/>
      <c r="Z21" s="105">
        <f>COUNTA(Z2:Z20)</f>
        <v>19</v>
      </c>
      <c r="AA21" s="106">
        <f>SUM(AA2:AA20)</f>
        <v>76</v>
      </c>
    </row>
    <row r="22" spans="1:35" ht="15.75" customHeight="1" x14ac:dyDescent="0.25">
      <c r="A22" s="189" t="s">
        <v>103</v>
      </c>
      <c r="B22" s="7"/>
      <c r="C22" s="7"/>
      <c r="D22" s="7"/>
      <c r="E22" s="117"/>
      <c r="F22" s="7" t="s">
        <v>160</v>
      </c>
      <c r="G22" s="7">
        <v>1</v>
      </c>
      <c r="H22" s="7">
        <v>0</v>
      </c>
      <c r="I22" s="7"/>
      <c r="J22" s="64">
        <f t="shared" si="5"/>
        <v>0</v>
      </c>
      <c r="K22" s="7">
        <v>14.52</v>
      </c>
      <c r="L22" s="7">
        <f>K22*G22</f>
        <v>14.52</v>
      </c>
      <c r="M22" s="94">
        <f>+(J22*1)/L22</f>
        <v>0</v>
      </c>
      <c r="N22" s="64"/>
      <c r="O22" s="7"/>
      <c r="P22" s="7"/>
      <c r="AB22" s="118"/>
      <c r="AC22" s="8"/>
      <c r="AD22" s="118"/>
      <c r="AE22" s="8"/>
      <c r="AF22" s="118"/>
      <c r="AG22" s="8"/>
    </row>
    <row r="23" spans="1:35" ht="15.75" customHeight="1" x14ac:dyDescent="0.25">
      <c r="A23" s="190"/>
      <c r="B23" s="7" t="s">
        <v>161</v>
      </c>
      <c r="C23" s="109" t="s">
        <v>103</v>
      </c>
      <c r="D23" s="109">
        <v>1141</v>
      </c>
      <c r="E23" s="110">
        <f>J23/L23</f>
        <v>1.5074877413084773</v>
      </c>
      <c r="F23" s="7" t="s">
        <v>162</v>
      </c>
      <c r="G23" s="7" t="s">
        <v>162</v>
      </c>
      <c r="H23" s="7" t="s">
        <v>162</v>
      </c>
      <c r="I23" s="7" t="s">
        <v>157</v>
      </c>
      <c r="J23" s="94">
        <f>SUM(J21:J22)</f>
        <v>341.25</v>
      </c>
      <c r="K23" s="7"/>
      <c r="L23" s="94">
        <f>SUM(L21:L22)</f>
        <v>226.37</v>
      </c>
      <c r="M23" s="119"/>
      <c r="N23" s="64">
        <v>200.5</v>
      </c>
      <c r="O23" s="7">
        <v>1</v>
      </c>
      <c r="P23" s="7"/>
      <c r="R23" s="7">
        <v>31.29</v>
      </c>
      <c r="S23" s="64">
        <f>J23/(L23+Q23+R23)</f>
        <v>1.3244197780020179</v>
      </c>
      <c r="V23" s="125" t="s">
        <v>144</v>
      </c>
      <c r="W23" s="22" t="s">
        <v>159</v>
      </c>
    </row>
    <row r="24" spans="1:35" x14ac:dyDescent="0.25">
      <c r="A24" s="189" t="s">
        <v>117</v>
      </c>
      <c r="B24" s="7"/>
      <c r="C24" s="120"/>
      <c r="D24" s="120"/>
      <c r="E24" s="121"/>
      <c r="F24" s="120" t="s">
        <v>101</v>
      </c>
      <c r="G24" s="120">
        <v>12</v>
      </c>
      <c r="H24" s="120">
        <v>7.55</v>
      </c>
      <c r="I24" s="120"/>
      <c r="J24" s="122">
        <f t="shared" ref="J24:J37" si="6">(H24-(H24*I24/100))*G24</f>
        <v>90.6</v>
      </c>
      <c r="K24" s="120">
        <v>1.0732999999999999</v>
      </c>
      <c r="L24" s="120">
        <f>K24*G24</f>
        <v>12.8796</v>
      </c>
      <c r="M24" s="123">
        <f>+(J24*1)/L24</f>
        <v>7.0343799496878781</v>
      </c>
      <c r="N24" s="64"/>
      <c r="O24" s="7"/>
      <c r="P24" s="7"/>
      <c r="S24" s="64"/>
      <c r="V24" s="5" t="s">
        <v>40</v>
      </c>
      <c r="W24" s="22">
        <v>6</v>
      </c>
    </row>
    <row r="25" spans="1:35" x14ac:dyDescent="0.25">
      <c r="A25" s="189" t="s">
        <v>117</v>
      </c>
      <c r="B25" s="7"/>
      <c r="C25" s="7"/>
      <c r="D25" s="7"/>
      <c r="E25" s="124"/>
      <c r="F25" s="7" t="s">
        <v>59</v>
      </c>
      <c r="G25" s="7">
        <v>12</v>
      </c>
      <c r="H25" s="7">
        <v>7.95</v>
      </c>
      <c r="I25" s="7"/>
      <c r="J25" s="64">
        <f t="shared" si="6"/>
        <v>95.4</v>
      </c>
      <c r="K25" s="7">
        <v>1.6366000000000001</v>
      </c>
      <c r="L25" s="7">
        <f>K25*G25</f>
        <v>19.639200000000002</v>
      </c>
      <c r="M25" s="94">
        <f>+(J25*1)/L25</f>
        <v>4.8576316754246607</v>
      </c>
      <c r="N25" s="64"/>
      <c r="O25" s="7"/>
      <c r="P25" s="7"/>
      <c r="V25" s="5" t="s">
        <v>108</v>
      </c>
      <c r="W25" s="22">
        <v>6</v>
      </c>
    </row>
    <row r="26" spans="1:35" x14ac:dyDescent="0.25">
      <c r="A26" s="189" t="s">
        <v>117</v>
      </c>
      <c r="B26" s="7"/>
      <c r="C26" s="7"/>
      <c r="D26" s="7"/>
      <c r="E26" s="117"/>
      <c r="F26" s="7" t="s">
        <v>50</v>
      </c>
      <c r="G26" s="7">
        <v>12</v>
      </c>
      <c r="H26" s="7">
        <v>6.5</v>
      </c>
      <c r="I26" s="7"/>
      <c r="J26" s="64">
        <f t="shared" si="6"/>
        <v>78</v>
      </c>
      <c r="K26" s="7">
        <v>0.81399999999999995</v>
      </c>
      <c r="L26" s="7">
        <f>K26*G26</f>
        <v>9.7679999999999989</v>
      </c>
      <c r="M26" s="94">
        <f>+(J26*1)/L26</f>
        <v>7.9852579852579861</v>
      </c>
      <c r="N26" s="64"/>
      <c r="O26" s="7"/>
      <c r="P26" s="7"/>
      <c r="V26" s="5" t="s">
        <v>160</v>
      </c>
      <c r="W26" s="22">
        <v>1</v>
      </c>
    </row>
    <row r="27" spans="1:35" x14ac:dyDescent="0.25">
      <c r="A27" s="189" t="s">
        <v>117</v>
      </c>
      <c r="B27" s="7"/>
      <c r="C27" s="7"/>
      <c r="D27" s="7"/>
      <c r="E27" s="117"/>
      <c r="F27" s="7" t="s">
        <v>69</v>
      </c>
      <c r="G27" s="7">
        <v>12</v>
      </c>
      <c r="H27" s="7">
        <v>5.25</v>
      </c>
      <c r="I27" s="7"/>
      <c r="J27" s="64">
        <f t="shared" si="6"/>
        <v>63</v>
      </c>
      <c r="K27" s="7">
        <v>1.2138</v>
      </c>
      <c r="L27" s="7">
        <f>K27*G27</f>
        <v>14.5656</v>
      </c>
      <c r="M27" s="94">
        <f>+(J27*1)/L27</f>
        <v>4.3252595155709344</v>
      </c>
      <c r="N27" s="64"/>
      <c r="O27" s="7"/>
      <c r="P27" s="7"/>
      <c r="V27" s="5" t="s">
        <v>163</v>
      </c>
      <c r="W27" s="22">
        <v>10</v>
      </c>
    </row>
    <row r="28" spans="1:35" x14ac:dyDescent="0.25">
      <c r="A28" s="189" t="s">
        <v>117</v>
      </c>
      <c r="B28" s="7"/>
      <c r="C28" s="7"/>
      <c r="D28" s="7"/>
      <c r="E28" s="117"/>
      <c r="F28" s="7" t="s">
        <v>166</v>
      </c>
      <c r="G28" s="7">
        <v>6</v>
      </c>
      <c r="H28" s="7">
        <v>5.75</v>
      </c>
      <c r="I28" s="7"/>
      <c r="J28" s="64">
        <f t="shared" si="6"/>
        <v>34.5</v>
      </c>
      <c r="K28" s="7">
        <v>1.0590999999999999</v>
      </c>
      <c r="L28" s="7">
        <f t="shared" ref="L28:L37" si="7">K28*G28</f>
        <v>6.3545999999999996</v>
      </c>
      <c r="M28" s="94">
        <f t="shared" ref="M28:M37" si="8">+(J28*1)/L28</f>
        <v>5.4291379473137571</v>
      </c>
      <c r="N28" s="64"/>
      <c r="O28" s="7"/>
      <c r="P28" s="7"/>
      <c r="V28" s="5" t="s">
        <v>164</v>
      </c>
      <c r="W28" s="22">
        <v>10</v>
      </c>
    </row>
    <row r="29" spans="1:35" x14ac:dyDescent="0.25">
      <c r="A29" s="189" t="s">
        <v>117</v>
      </c>
      <c r="B29" s="7"/>
      <c r="C29" s="7"/>
      <c r="D29" s="7"/>
      <c r="E29" s="117"/>
      <c r="F29" s="7" t="s">
        <v>167</v>
      </c>
      <c r="G29" s="7">
        <v>6</v>
      </c>
      <c r="H29" s="7">
        <v>6.75</v>
      </c>
      <c r="I29" s="7"/>
      <c r="J29" s="64">
        <f t="shared" si="6"/>
        <v>40.5</v>
      </c>
      <c r="K29" s="7">
        <v>1.6861999999999999</v>
      </c>
      <c r="L29" s="7">
        <f t="shared" si="7"/>
        <v>10.1172</v>
      </c>
      <c r="M29" s="94">
        <f t="shared" si="8"/>
        <v>4.0030838571936895</v>
      </c>
      <c r="N29" s="64"/>
      <c r="O29" s="7"/>
      <c r="P29" s="7"/>
      <c r="V29" s="5" t="s">
        <v>165</v>
      </c>
      <c r="W29" s="22">
        <v>10</v>
      </c>
    </row>
    <row r="30" spans="1:35" x14ac:dyDescent="0.25">
      <c r="A30" s="189" t="s">
        <v>117</v>
      </c>
      <c r="B30" s="7"/>
      <c r="C30" s="7"/>
      <c r="D30" s="7"/>
      <c r="E30" s="117"/>
      <c r="F30" s="7" t="s">
        <v>169</v>
      </c>
      <c r="G30" s="7">
        <v>6</v>
      </c>
      <c r="H30" s="7">
        <v>6.15</v>
      </c>
      <c r="I30" s="7"/>
      <c r="J30" s="64">
        <f t="shared" si="6"/>
        <v>36.900000000000006</v>
      </c>
      <c r="K30" s="7">
        <v>1.5349999999999999</v>
      </c>
      <c r="L30" s="7">
        <f t="shared" si="7"/>
        <v>9.2099999999999991</v>
      </c>
      <c r="M30" s="94">
        <f t="shared" si="8"/>
        <v>4.0065146579804569</v>
      </c>
      <c r="N30" s="64"/>
      <c r="O30" s="7"/>
      <c r="P30" s="7"/>
      <c r="V30" s="5" t="s">
        <v>167</v>
      </c>
      <c r="W30" s="22">
        <v>6</v>
      </c>
    </row>
    <row r="31" spans="1:35" x14ac:dyDescent="0.25">
      <c r="A31" s="189" t="s">
        <v>117</v>
      </c>
      <c r="B31" s="7"/>
      <c r="C31" s="7"/>
      <c r="D31" s="7"/>
      <c r="E31" s="117"/>
      <c r="F31" s="7" t="s">
        <v>170</v>
      </c>
      <c r="G31" s="7">
        <v>6</v>
      </c>
      <c r="H31" s="7">
        <v>7.65</v>
      </c>
      <c r="I31" s="7"/>
      <c r="J31" s="64">
        <f t="shared" si="6"/>
        <v>45.900000000000006</v>
      </c>
      <c r="K31" s="7">
        <v>1.0535000000000001</v>
      </c>
      <c r="L31" s="7">
        <f t="shared" si="7"/>
        <v>6.3210000000000006</v>
      </c>
      <c r="M31" s="94">
        <f t="shared" si="8"/>
        <v>7.2615092548647366</v>
      </c>
      <c r="N31" s="64"/>
      <c r="O31" s="7"/>
      <c r="P31" s="7"/>
      <c r="V31" s="5" t="s">
        <v>168</v>
      </c>
      <c r="W31" s="22">
        <v>1</v>
      </c>
    </row>
    <row r="32" spans="1:35" x14ac:dyDescent="0.25">
      <c r="A32" s="189" t="s">
        <v>117</v>
      </c>
      <c r="B32" s="7"/>
      <c r="E32" s="124"/>
      <c r="F32" s="7" t="s">
        <v>19</v>
      </c>
      <c r="G32" s="7">
        <v>24</v>
      </c>
      <c r="H32" s="7">
        <v>5.65</v>
      </c>
      <c r="I32" s="7"/>
      <c r="J32" s="64">
        <f t="shared" si="6"/>
        <v>135.60000000000002</v>
      </c>
      <c r="K32" s="7">
        <v>1.0669999999999999</v>
      </c>
      <c r="L32" s="7">
        <f t="shared" si="7"/>
        <v>25.607999999999997</v>
      </c>
      <c r="M32" s="94">
        <f t="shared" si="8"/>
        <v>5.2952202436738531</v>
      </c>
      <c r="N32" s="64"/>
      <c r="O32" s="7"/>
      <c r="P32" s="7"/>
      <c r="V32" s="5" t="s">
        <v>152</v>
      </c>
      <c r="W32" s="22">
        <v>64</v>
      </c>
    </row>
    <row r="33" spans="1:23" x14ac:dyDescent="0.25">
      <c r="A33" s="189" t="s">
        <v>117</v>
      </c>
      <c r="B33" s="7"/>
      <c r="E33" s="124"/>
      <c r="F33" s="7" t="s">
        <v>40</v>
      </c>
      <c r="G33" s="7">
        <v>6</v>
      </c>
      <c r="H33" s="7">
        <v>0</v>
      </c>
      <c r="I33" s="7"/>
      <c r="J33" s="64">
        <f t="shared" si="6"/>
        <v>0</v>
      </c>
      <c r="K33" s="7">
        <v>1.92</v>
      </c>
      <c r="L33" s="7">
        <f t="shared" si="7"/>
        <v>11.52</v>
      </c>
      <c r="M33" s="94">
        <f t="shared" si="8"/>
        <v>0</v>
      </c>
      <c r="N33" s="64"/>
      <c r="O33" s="7"/>
      <c r="P33" s="7"/>
      <c r="V33" s="5" t="s">
        <v>69</v>
      </c>
      <c r="W33" s="22">
        <v>1</v>
      </c>
    </row>
    <row r="34" spans="1:23" x14ac:dyDescent="0.25">
      <c r="A34" s="189" t="s">
        <v>117</v>
      </c>
      <c r="B34" s="7"/>
      <c r="E34" s="124"/>
      <c r="F34" s="7" t="s">
        <v>108</v>
      </c>
      <c r="G34" s="7">
        <v>6</v>
      </c>
      <c r="H34" s="7">
        <v>0</v>
      </c>
      <c r="I34" s="7"/>
      <c r="J34" s="64">
        <f t="shared" si="6"/>
        <v>0</v>
      </c>
      <c r="K34" s="7">
        <v>0.65</v>
      </c>
      <c r="L34" s="7">
        <f t="shared" si="7"/>
        <v>3.9000000000000004</v>
      </c>
      <c r="M34" s="94">
        <f t="shared" si="8"/>
        <v>0</v>
      </c>
      <c r="N34" s="64"/>
      <c r="O34" s="7"/>
      <c r="P34" s="7"/>
      <c r="V34" s="5" t="s">
        <v>92</v>
      </c>
      <c r="W34" s="22">
        <v>1</v>
      </c>
    </row>
    <row r="35" spans="1:23" x14ac:dyDescent="0.25">
      <c r="A35" s="189" t="s">
        <v>117</v>
      </c>
      <c r="B35" s="7"/>
      <c r="E35" s="124"/>
      <c r="F35" s="7" t="s">
        <v>163</v>
      </c>
      <c r="G35" s="7">
        <v>10</v>
      </c>
      <c r="H35" s="7">
        <v>0</v>
      </c>
      <c r="I35" s="7"/>
      <c r="J35" s="64">
        <f t="shared" si="6"/>
        <v>0</v>
      </c>
      <c r="K35" s="7">
        <v>8.7499999999999994E-2</v>
      </c>
      <c r="L35" s="7">
        <f t="shared" si="7"/>
        <v>0.875</v>
      </c>
      <c r="M35" s="94">
        <f t="shared" si="8"/>
        <v>0</v>
      </c>
      <c r="N35" s="64"/>
      <c r="O35" s="7"/>
      <c r="P35" s="7"/>
      <c r="V35" s="5" t="s">
        <v>101</v>
      </c>
      <c r="W35" s="22">
        <v>8</v>
      </c>
    </row>
    <row r="36" spans="1:23" x14ac:dyDescent="0.25">
      <c r="A36" s="189" t="s">
        <v>117</v>
      </c>
      <c r="B36" s="7"/>
      <c r="C36" s="7"/>
      <c r="D36" s="7"/>
      <c r="E36" s="117"/>
      <c r="F36" s="7" t="s">
        <v>164</v>
      </c>
      <c r="G36" s="7">
        <v>10</v>
      </c>
      <c r="H36" s="7">
        <v>0</v>
      </c>
      <c r="I36" s="7"/>
      <c r="J36" s="64">
        <f t="shared" si="6"/>
        <v>0</v>
      </c>
      <c r="K36" s="7">
        <v>0.08</v>
      </c>
      <c r="L36" s="7">
        <f t="shared" si="7"/>
        <v>0.8</v>
      </c>
      <c r="M36" s="94">
        <f t="shared" si="8"/>
        <v>0</v>
      </c>
      <c r="N36" s="64"/>
      <c r="O36" s="7"/>
      <c r="P36" s="7"/>
      <c r="V36" s="5" t="s">
        <v>171</v>
      </c>
      <c r="W36" s="22">
        <v>124</v>
      </c>
    </row>
    <row r="37" spans="1:23" x14ac:dyDescent="0.25">
      <c r="A37" s="189" t="s">
        <v>117</v>
      </c>
      <c r="B37" s="7"/>
      <c r="C37" s="7"/>
      <c r="D37" s="7"/>
      <c r="E37" s="117"/>
      <c r="F37" s="7" t="s">
        <v>165</v>
      </c>
      <c r="G37" s="7">
        <v>10</v>
      </c>
      <c r="H37" s="7">
        <v>0</v>
      </c>
      <c r="I37" s="7"/>
      <c r="J37" s="64">
        <f t="shared" si="6"/>
        <v>0</v>
      </c>
      <c r="K37" s="7">
        <v>0.05</v>
      </c>
      <c r="L37" s="7">
        <f t="shared" si="7"/>
        <v>0.5</v>
      </c>
      <c r="M37" s="94">
        <f t="shared" si="8"/>
        <v>0</v>
      </c>
      <c r="N37" s="64"/>
      <c r="O37" s="7"/>
      <c r="P37" s="7"/>
    </row>
    <row r="38" spans="1:23" x14ac:dyDescent="0.25">
      <c r="B38" s="7" t="s">
        <v>172</v>
      </c>
      <c r="C38" s="109" t="s">
        <v>117</v>
      </c>
      <c r="D38" s="109">
        <v>1142</v>
      </c>
      <c r="E38" s="110">
        <f>J38/L38</f>
        <v>4.6979286405539371</v>
      </c>
      <c r="F38" s="7" t="s">
        <v>162</v>
      </c>
      <c r="G38" s="7" t="s">
        <v>162</v>
      </c>
      <c r="H38" s="7" t="s">
        <v>162</v>
      </c>
      <c r="I38" s="7" t="s">
        <v>157</v>
      </c>
      <c r="J38" s="94">
        <f>SUM(J24:J37)</f>
        <v>620.4</v>
      </c>
      <c r="K38" s="7"/>
      <c r="L38" s="94">
        <f>SUM(L24:L37)</f>
        <v>132.0582</v>
      </c>
      <c r="M38" s="119"/>
      <c r="N38" s="64">
        <v>81.28</v>
      </c>
      <c r="O38" s="7"/>
      <c r="P38" s="7"/>
      <c r="R38" s="7">
        <v>17.059999999999999</v>
      </c>
      <c r="S38" s="64">
        <f>J38/(L38+Q38+R38)</f>
        <v>4.1604579454419381</v>
      </c>
    </row>
    <row r="39" spans="1:23" x14ac:dyDescent="0.25">
      <c r="A39" s="188" t="s">
        <v>117</v>
      </c>
      <c r="B39" s="7"/>
      <c r="E39" s="124"/>
      <c r="F39" s="120" t="s">
        <v>29</v>
      </c>
      <c r="G39" s="120">
        <v>12</v>
      </c>
      <c r="H39" s="120">
        <v>5.65</v>
      </c>
      <c r="I39" s="120"/>
      <c r="J39" s="122">
        <f t="shared" ref="J39:J40" si="9">(H39-(H39*I39/100))*G39</f>
        <v>67.800000000000011</v>
      </c>
      <c r="K39" s="120">
        <v>1.7301</v>
      </c>
      <c r="L39" s="120">
        <f>K39*G39</f>
        <v>20.761199999999999</v>
      </c>
      <c r="M39" s="123">
        <f>+(J39*1)/L39</f>
        <v>3.2657071845558066</v>
      </c>
      <c r="N39" s="64"/>
      <c r="O39" s="7"/>
      <c r="P39" s="7"/>
    </row>
    <row r="40" spans="1:23" x14ac:dyDescent="0.25">
      <c r="A40" s="188" t="s">
        <v>117</v>
      </c>
      <c r="B40" s="7"/>
      <c r="C40" s="7"/>
      <c r="D40" s="7"/>
      <c r="E40" s="117"/>
      <c r="F40" s="7" t="s">
        <v>38</v>
      </c>
      <c r="G40" s="7">
        <v>36</v>
      </c>
      <c r="H40" s="7">
        <v>5.25</v>
      </c>
      <c r="I40" s="7"/>
      <c r="J40" s="64">
        <f t="shared" si="9"/>
        <v>189</v>
      </c>
      <c r="K40" s="7">
        <v>0.74139999999999995</v>
      </c>
      <c r="L40" s="7">
        <f>K40*G40</f>
        <v>26.690399999999997</v>
      </c>
      <c r="M40" s="94">
        <f>+(J40*1)/L40</f>
        <v>7.081197734016726</v>
      </c>
      <c r="N40" s="64"/>
      <c r="O40" s="7"/>
      <c r="P40" s="7"/>
    </row>
    <row r="41" spans="1:23" x14ac:dyDescent="0.25">
      <c r="B41" s="7" t="s">
        <v>173</v>
      </c>
      <c r="C41" s="109" t="s">
        <v>117</v>
      </c>
      <c r="D41" s="109">
        <v>1143</v>
      </c>
      <c r="E41" s="110">
        <f>J41/L41</f>
        <v>5.4118301595731229</v>
      </c>
      <c r="F41" s="7" t="s">
        <v>162</v>
      </c>
      <c r="G41" s="7" t="s">
        <v>162</v>
      </c>
      <c r="H41" s="7" t="s">
        <v>162</v>
      </c>
      <c r="I41" s="7" t="s">
        <v>157</v>
      </c>
      <c r="J41" s="94">
        <f>SUM(J39:J40)</f>
        <v>256.8</v>
      </c>
      <c r="K41" s="7"/>
      <c r="L41" s="94">
        <f>SUM(L39:L40)</f>
        <v>47.451599999999999</v>
      </c>
      <c r="M41" s="119"/>
      <c r="N41" s="64">
        <v>37.68</v>
      </c>
      <c r="O41" s="7"/>
      <c r="P41" s="7"/>
      <c r="R41" s="7">
        <v>13.51</v>
      </c>
      <c r="S41" s="64">
        <f>J41/(L41+Q41+R41)</f>
        <v>4.2124878612109926</v>
      </c>
    </row>
    <row r="42" spans="1:23" x14ac:dyDescent="0.25">
      <c r="A42" s="188" t="s">
        <v>117</v>
      </c>
      <c r="B42" s="7"/>
      <c r="E42" s="124"/>
      <c r="F42" s="120" t="s">
        <v>160</v>
      </c>
      <c r="G42" s="120">
        <v>1</v>
      </c>
      <c r="H42" s="120">
        <v>36</v>
      </c>
      <c r="I42" s="120">
        <v>15</v>
      </c>
      <c r="J42" s="122">
        <f t="shared" ref="J42:J45" si="10">(H42-(H42*I42/100))*G42</f>
        <v>30.6</v>
      </c>
      <c r="K42" s="120">
        <v>14.52</v>
      </c>
      <c r="L42" s="120">
        <f t="shared" ref="L42:L45" si="11">K42*G42</f>
        <v>14.52</v>
      </c>
      <c r="M42" s="123">
        <f t="shared" ref="M42:M45" si="12">+(J42*1)/L42</f>
        <v>2.1074380165289259</v>
      </c>
      <c r="N42" s="64"/>
      <c r="O42" s="7"/>
      <c r="P42" s="7"/>
    </row>
    <row r="43" spans="1:23" x14ac:dyDescent="0.25">
      <c r="A43" s="188" t="s">
        <v>117</v>
      </c>
      <c r="B43" s="7"/>
      <c r="C43" s="7"/>
      <c r="D43" s="7"/>
      <c r="E43" s="117"/>
      <c r="F43" s="7" t="s">
        <v>174</v>
      </c>
      <c r="G43" s="7">
        <v>1</v>
      </c>
      <c r="H43" s="7">
        <v>28.6</v>
      </c>
      <c r="I43" s="7">
        <v>15</v>
      </c>
      <c r="J43" s="64">
        <f t="shared" si="10"/>
        <v>24.310000000000002</v>
      </c>
      <c r="K43" s="7">
        <v>9.77</v>
      </c>
      <c r="L43" s="7">
        <f t="shared" si="11"/>
        <v>9.77</v>
      </c>
      <c r="M43" s="94">
        <f t="shared" si="12"/>
        <v>2.4882292732855684</v>
      </c>
      <c r="N43" s="64"/>
      <c r="O43" s="7"/>
      <c r="P43" s="7"/>
    </row>
    <row r="44" spans="1:23" x14ac:dyDescent="0.25">
      <c r="A44" s="188" t="s">
        <v>117</v>
      </c>
      <c r="B44" s="7"/>
      <c r="C44" s="7"/>
      <c r="D44" s="7"/>
      <c r="E44" s="117"/>
      <c r="F44" s="7" t="s">
        <v>175</v>
      </c>
      <c r="G44" s="7">
        <v>1</v>
      </c>
      <c r="H44" s="7">
        <v>23.5</v>
      </c>
      <c r="I44" s="7">
        <v>15</v>
      </c>
      <c r="J44" s="64">
        <f t="shared" si="10"/>
        <v>19.975000000000001</v>
      </c>
      <c r="K44" s="7">
        <v>8.19</v>
      </c>
      <c r="L44" s="7">
        <f t="shared" si="11"/>
        <v>8.19</v>
      </c>
      <c r="M44" s="94">
        <f t="shared" si="12"/>
        <v>2.4389499389499392</v>
      </c>
      <c r="N44" s="64"/>
      <c r="O44" s="7"/>
      <c r="P44" s="7"/>
    </row>
    <row r="45" spans="1:23" x14ac:dyDescent="0.25">
      <c r="A45" s="188" t="s">
        <v>117</v>
      </c>
      <c r="B45" s="7"/>
      <c r="C45" s="7"/>
      <c r="D45" s="7"/>
      <c r="E45" s="117"/>
      <c r="F45" s="7" t="s">
        <v>120</v>
      </c>
      <c r="G45" s="7">
        <v>1</v>
      </c>
      <c r="H45" s="7">
        <v>265</v>
      </c>
      <c r="I45" s="7">
        <v>15</v>
      </c>
      <c r="J45" s="64">
        <f t="shared" si="10"/>
        <v>225.25</v>
      </c>
      <c r="K45" s="7">
        <v>104.301</v>
      </c>
      <c r="L45" s="7">
        <f t="shared" si="11"/>
        <v>104.301</v>
      </c>
      <c r="M45" s="94">
        <f t="shared" si="12"/>
        <v>2.1596149605468788</v>
      </c>
      <c r="N45" s="64"/>
      <c r="O45" s="7"/>
      <c r="P45" s="7"/>
    </row>
    <row r="46" spans="1:23" x14ac:dyDescent="0.25">
      <c r="B46" s="7" t="s">
        <v>176</v>
      </c>
      <c r="C46" s="109" t="s">
        <v>117</v>
      </c>
      <c r="D46" s="109">
        <v>1144</v>
      </c>
      <c r="E46" s="110">
        <f>J46/L46</f>
        <v>2.194274058531521</v>
      </c>
      <c r="F46" s="7" t="s">
        <v>162</v>
      </c>
      <c r="G46" s="7" t="s">
        <v>162</v>
      </c>
      <c r="H46" s="7" t="s">
        <v>162</v>
      </c>
      <c r="I46" s="7" t="s">
        <v>157</v>
      </c>
      <c r="J46" s="94">
        <f>SUM(J42:J45)</f>
        <v>300.13499999999999</v>
      </c>
      <c r="K46" s="7"/>
      <c r="L46" s="94">
        <f>SUM(L42:L45)</f>
        <v>136.78100000000001</v>
      </c>
      <c r="M46" s="119"/>
      <c r="N46" s="64">
        <v>181.68</v>
      </c>
      <c r="O46" s="7">
        <v>1</v>
      </c>
      <c r="P46" s="7"/>
      <c r="R46" s="7">
        <v>31.29</v>
      </c>
      <c r="S46" s="64">
        <f>J46/(L46+Q46+R46)</f>
        <v>1.7857631596170667</v>
      </c>
    </row>
    <row r="47" spans="1:23" x14ac:dyDescent="0.25">
      <c r="A47" s="188" t="s">
        <v>117</v>
      </c>
      <c r="B47" s="7"/>
      <c r="E47" s="124"/>
      <c r="F47" s="120" t="s">
        <v>113</v>
      </c>
      <c r="G47" s="120">
        <v>1</v>
      </c>
      <c r="H47" s="120">
        <v>115.5</v>
      </c>
      <c r="I47" s="120"/>
      <c r="J47" s="122">
        <f t="shared" ref="J47:J50" si="13">(H47-(H47*I47/100))*G47</f>
        <v>115.5</v>
      </c>
      <c r="K47" s="120">
        <v>25.991</v>
      </c>
      <c r="L47" s="120">
        <f>K47*G47</f>
        <v>25.991</v>
      </c>
      <c r="M47" s="123">
        <f>+(J47*1)/L47</f>
        <v>4.4438459466738491</v>
      </c>
      <c r="N47" s="64"/>
      <c r="O47" s="7"/>
      <c r="P47" s="7"/>
    </row>
    <row r="48" spans="1:23" x14ac:dyDescent="0.25">
      <c r="A48" s="188" t="s">
        <v>117</v>
      </c>
      <c r="B48" s="7"/>
      <c r="C48" s="7"/>
      <c r="D48" s="7"/>
      <c r="E48" s="117"/>
      <c r="F48" s="7" t="s">
        <v>177</v>
      </c>
      <c r="G48" s="7">
        <v>1</v>
      </c>
      <c r="H48" s="7">
        <v>40.9</v>
      </c>
      <c r="I48" s="7"/>
      <c r="J48" s="64">
        <f t="shared" si="13"/>
        <v>40.9</v>
      </c>
      <c r="K48" s="7">
        <v>13.63</v>
      </c>
      <c r="L48" s="7">
        <f>K48*G48</f>
        <v>13.63</v>
      </c>
      <c r="M48" s="94">
        <f>+(J48*1)/L48</f>
        <v>3.0007336757153333</v>
      </c>
      <c r="N48" s="64"/>
      <c r="O48" s="7"/>
      <c r="P48" s="7"/>
    </row>
    <row r="49" spans="1:19" x14ac:dyDescent="0.25">
      <c r="A49" s="188" t="s">
        <v>117</v>
      </c>
      <c r="B49" s="7"/>
      <c r="C49" s="7"/>
      <c r="D49" s="7"/>
      <c r="E49" s="117"/>
      <c r="F49" s="7" t="s">
        <v>92</v>
      </c>
      <c r="G49" s="7">
        <v>1</v>
      </c>
      <c r="H49" s="7">
        <v>0</v>
      </c>
      <c r="I49" s="7"/>
      <c r="J49" s="64">
        <f t="shared" si="13"/>
        <v>0</v>
      </c>
      <c r="K49" s="7">
        <v>1.8833</v>
      </c>
      <c r="L49" s="7">
        <f>K49*G49</f>
        <v>1.8833</v>
      </c>
      <c r="M49" s="94">
        <f>+(J49*1)/L49</f>
        <v>0</v>
      </c>
      <c r="N49" s="64"/>
      <c r="O49" s="7"/>
      <c r="P49" s="7"/>
    </row>
    <row r="50" spans="1:19" x14ac:dyDescent="0.25">
      <c r="A50" s="188" t="s">
        <v>117</v>
      </c>
      <c r="B50" s="7"/>
      <c r="C50" s="7"/>
      <c r="D50" s="7"/>
      <c r="E50" s="117"/>
      <c r="F50" s="7" t="s">
        <v>101</v>
      </c>
      <c r="G50" s="7">
        <v>1</v>
      </c>
      <c r="H50" s="7">
        <v>0</v>
      </c>
      <c r="I50" s="7"/>
      <c r="J50" s="64">
        <f t="shared" si="13"/>
        <v>0</v>
      </c>
      <c r="K50" s="7">
        <v>1.0732999999999999</v>
      </c>
      <c r="L50" s="7">
        <f>K50*G50</f>
        <v>1.0732999999999999</v>
      </c>
      <c r="M50" s="94">
        <f>+(J50*1)/L50</f>
        <v>0</v>
      </c>
      <c r="N50" s="64"/>
      <c r="O50" s="7"/>
      <c r="P50" s="7"/>
    </row>
    <row r="51" spans="1:19" x14ac:dyDescent="0.25">
      <c r="B51" s="7" t="s">
        <v>178</v>
      </c>
      <c r="C51" s="109" t="s">
        <v>117</v>
      </c>
      <c r="D51" s="109">
        <v>1145</v>
      </c>
      <c r="E51" s="110">
        <f>J51/L51</f>
        <v>3.6732929991356955</v>
      </c>
      <c r="F51" s="7" t="s">
        <v>162</v>
      </c>
      <c r="G51" s="7" t="s">
        <v>162</v>
      </c>
      <c r="H51" s="7" t="s">
        <v>162</v>
      </c>
      <c r="I51" s="7" t="s">
        <v>157</v>
      </c>
      <c r="J51" s="94">
        <f>SUM(J47:J50)</f>
        <v>156.4</v>
      </c>
      <c r="K51" s="7"/>
      <c r="L51" s="94">
        <f>SUM(L47:L50)</f>
        <v>42.577600000000004</v>
      </c>
      <c r="M51" s="119"/>
      <c r="N51" s="64">
        <v>29.45</v>
      </c>
      <c r="O51" s="7"/>
      <c r="P51" s="7"/>
      <c r="R51" s="7">
        <v>12.8</v>
      </c>
      <c r="S51" s="64">
        <f>J51/(L51+Q51+R51)</f>
        <v>2.8242466267949498</v>
      </c>
    </row>
    <row r="52" spans="1:19" x14ac:dyDescent="0.25">
      <c r="A52" s="188" t="s">
        <v>103</v>
      </c>
      <c r="B52" s="7"/>
      <c r="E52" s="124"/>
      <c r="F52" s="120" t="s">
        <v>60</v>
      </c>
      <c r="G52" s="120">
        <v>12</v>
      </c>
      <c r="H52" s="120">
        <v>6.05</v>
      </c>
      <c r="I52" s="120">
        <v>15</v>
      </c>
      <c r="J52" s="122">
        <f t="shared" ref="J52:J58" si="14">(H52-(H52*I52/100))*G52</f>
        <v>61.71</v>
      </c>
      <c r="K52" s="120">
        <v>1.7726999999999999</v>
      </c>
      <c r="L52" s="120">
        <f t="shared" ref="L52:L58" si="15">K52*G52</f>
        <v>21.272399999999998</v>
      </c>
      <c r="M52" s="123">
        <f t="shared" ref="M52:M58" si="16">+(J52*1)/L52</f>
        <v>2.9009420657753711</v>
      </c>
      <c r="N52" s="64"/>
      <c r="O52" s="7"/>
      <c r="P52" s="7"/>
    </row>
    <row r="53" spans="1:19" x14ac:dyDescent="0.25">
      <c r="A53" s="188" t="s">
        <v>103</v>
      </c>
      <c r="B53" s="7"/>
      <c r="C53" s="7"/>
      <c r="D53" s="7"/>
      <c r="E53" s="117"/>
      <c r="F53" s="7" t="s">
        <v>39</v>
      </c>
      <c r="G53" s="7">
        <v>12</v>
      </c>
      <c r="H53" s="7">
        <v>8.6</v>
      </c>
      <c r="I53" s="7">
        <v>15</v>
      </c>
      <c r="J53" s="64">
        <f t="shared" si="14"/>
        <v>87.72</v>
      </c>
      <c r="K53" s="7">
        <v>2.7046999999999999</v>
      </c>
      <c r="L53" s="7">
        <f t="shared" si="15"/>
        <v>32.456400000000002</v>
      </c>
      <c r="M53" s="94">
        <f t="shared" si="16"/>
        <v>2.7027027027027026</v>
      </c>
      <c r="N53" s="64"/>
      <c r="O53" s="7"/>
      <c r="P53" s="7"/>
    </row>
    <row r="54" spans="1:19" x14ac:dyDescent="0.25">
      <c r="A54" s="188" t="s">
        <v>103</v>
      </c>
      <c r="B54" s="7"/>
      <c r="C54" s="7"/>
      <c r="D54" s="7"/>
      <c r="E54" s="117"/>
      <c r="F54" s="7" t="s">
        <v>38</v>
      </c>
      <c r="G54" s="7">
        <v>6</v>
      </c>
      <c r="H54" s="7">
        <v>5.25</v>
      </c>
      <c r="I54" s="7">
        <v>15</v>
      </c>
      <c r="J54" s="64">
        <f t="shared" si="14"/>
        <v>26.775000000000002</v>
      </c>
      <c r="K54" s="7">
        <v>0.74139999999999995</v>
      </c>
      <c r="L54" s="7">
        <f t="shared" si="15"/>
        <v>4.4483999999999995</v>
      </c>
      <c r="M54" s="94">
        <f t="shared" si="16"/>
        <v>6.0190180739142178</v>
      </c>
      <c r="N54" s="64"/>
      <c r="O54" s="7"/>
      <c r="P54" s="7"/>
    </row>
    <row r="55" spans="1:19" x14ac:dyDescent="0.25">
      <c r="A55" s="188" t="s">
        <v>103</v>
      </c>
      <c r="B55" s="7"/>
      <c r="C55" s="7"/>
      <c r="D55" s="7"/>
      <c r="E55" s="117"/>
      <c r="F55" s="7" t="s">
        <v>76</v>
      </c>
      <c r="G55" s="7">
        <v>4</v>
      </c>
      <c r="H55" s="7">
        <v>6.05</v>
      </c>
      <c r="I55" s="7">
        <v>15</v>
      </c>
      <c r="J55" s="64">
        <f t="shared" si="14"/>
        <v>20.57</v>
      </c>
      <c r="K55" s="7">
        <v>1.0125999999999999</v>
      </c>
      <c r="L55" s="7">
        <f t="shared" si="15"/>
        <v>4.0503999999999998</v>
      </c>
      <c r="M55" s="94">
        <f t="shared" si="16"/>
        <v>5.0785107643689518</v>
      </c>
      <c r="N55" s="64"/>
      <c r="O55" s="7"/>
      <c r="P55" s="7"/>
    </row>
    <row r="56" spans="1:19" x14ac:dyDescent="0.25">
      <c r="A56" s="188" t="s">
        <v>103</v>
      </c>
      <c r="B56" s="7"/>
      <c r="C56" s="7"/>
      <c r="D56" s="7"/>
      <c r="E56" s="117"/>
      <c r="F56" s="7" t="s">
        <v>35</v>
      </c>
      <c r="G56" s="7">
        <v>1</v>
      </c>
      <c r="H56" s="7">
        <v>120</v>
      </c>
      <c r="I56" s="7">
        <v>15</v>
      </c>
      <c r="J56" s="64">
        <f t="shared" si="14"/>
        <v>102</v>
      </c>
      <c r="K56" s="7">
        <v>14.241</v>
      </c>
      <c r="L56" s="7">
        <f t="shared" si="15"/>
        <v>14.241</v>
      </c>
      <c r="M56" s="94">
        <f t="shared" si="16"/>
        <v>7.1624183694965247</v>
      </c>
      <c r="N56" s="64"/>
      <c r="O56" s="7"/>
      <c r="P56" s="7"/>
    </row>
    <row r="57" spans="1:19" x14ac:dyDescent="0.25">
      <c r="A57" s="188" t="s">
        <v>103</v>
      </c>
      <c r="B57" s="7"/>
      <c r="C57" s="7"/>
      <c r="D57" s="7"/>
      <c r="E57" s="117"/>
      <c r="F57" s="7" t="s">
        <v>16</v>
      </c>
      <c r="G57" s="7">
        <v>1</v>
      </c>
      <c r="H57" s="7">
        <v>115</v>
      </c>
      <c r="I57" s="7">
        <v>15</v>
      </c>
      <c r="J57" s="64">
        <f t="shared" si="14"/>
        <v>97.75</v>
      </c>
      <c r="K57" s="7">
        <v>14.241</v>
      </c>
      <c r="L57" s="7">
        <f t="shared" si="15"/>
        <v>14.241</v>
      </c>
      <c r="M57" s="94">
        <f t="shared" si="16"/>
        <v>6.8639842707675021</v>
      </c>
      <c r="N57" s="64"/>
      <c r="O57" s="7"/>
      <c r="P57" s="7"/>
    </row>
    <row r="58" spans="1:19" x14ac:dyDescent="0.25">
      <c r="A58" s="188" t="s">
        <v>103</v>
      </c>
      <c r="B58" s="7"/>
      <c r="C58" s="7"/>
      <c r="D58" s="7"/>
      <c r="E58" s="117"/>
      <c r="F58" s="7" t="s">
        <v>168</v>
      </c>
      <c r="G58" s="7">
        <v>1</v>
      </c>
      <c r="H58" s="7">
        <v>0</v>
      </c>
      <c r="I58" s="7"/>
      <c r="J58" s="64">
        <f t="shared" si="14"/>
        <v>0</v>
      </c>
      <c r="K58" s="7">
        <v>0.92330000000000001</v>
      </c>
      <c r="L58" s="7">
        <f t="shared" si="15"/>
        <v>0.92330000000000001</v>
      </c>
      <c r="M58" s="94">
        <f t="shared" si="16"/>
        <v>0</v>
      </c>
      <c r="N58" s="64"/>
      <c r="O58" s="7"/>
      <c r="P58" s="7"/>
    </row>
    <row r="59" spans="1:19" x14ac:dyDescent="0.25">
      <c r="B59" s="7" t="s">
        <v>179</v>
      </c>
      <c r="C59" s="109" t="s">
        <v>103</v>
      </c>
      <c r="D59" s="109">
        <v>1146</v>
      </c>
      <c r="E59" s="110">
        <f>J59/L59</f>
        <v>4.3273213005372524</v>
      </c>
      <c r="F59" s="7" t="s">
        <v>162</v>
      </c>
      <c r="G59" s="7" t="s">
        <v>162</v>
      </c>
      <c r="H59" s="7" t="s">
        <v>162</v>
      </c>
      <c r="I59" s="7" t="s">
        <v>157</v>
      </c>
      <c r="J59" s="94">
        <f>SUM(J52:J58)</f>
        <v>396.52499999999998</v>
      </c>
      <c r="K59" s="7"/>
      <c r="L59" s="94">
        <f>SUM(L52:L58)</f>
        <v>91.632899999999992</v>
      </c>
      <c r="M59" s="119"/>
      <c r="N59" s="64">
        <v>75.2</v>
      </c>
      <c r="O59" s="7"/>
      <c r="P59" s="7"/>
      <c r="R59" s="7">
        <v>16.36</v>
      </c>
      <c r="S59" s="64">
        <f>J59/(L59+Q59+R59)</f>
        <v>3.6717691626023563</v>
      </c>
    </row>
    <row r="60" spans="1:19" x14ac:dyDescent="0.25">
      <c r="A60" s="188" t="s">
        <v>117</v>
      </c>
      <c r="B60" s="7"/>
      <c r="E60" s="124"/>
      <c r="F60" s="120" t="s">
        <v>29</v>
      </c>
      <c r="G60" s="120">
        <v>24</v>
      </c>
      <c r="H60" s="120">
        <v>5.65</v>
      </c>
      <c r="I60" s="120">
        <v>15</v>
      </c>
      <c r="J60" s="122">
        <f t="shared" ref="J60:J61" si="17">(H60-(H60*I60/100))*G60</f>
        <v>115.26</v>
      </c>
      <c r="K60" s="120">
        <v>1.7301</v>
      </c>
      <c r="L60" s="120">
        <f>K60*G60</f>
        <v>41.522399999999998</v>
      </c>
      <c r="M60" s="123">
        <f>+(J60*1)/L60</f>
        <v>2.7758511068724352</v>
      </c>
      <c r="N60" s="64"/>
      <c r="O60" s="7"/>
      <c r="P60" s="7"/>
    </row>
    <row r="61" spans="1:19" x14ac:dyDescent="0.25">
      <c r="A61" s="188" t="s">
        <v>117</v>
      </c>
      <c r="B61" s="7"/>
      <c r="C61" s="7"/>
      <c r="D61" s="7"/>
      <c r="E61" s="117"/>
      <c r="F61" s="7" t="s">
        <v>51</v>
      </c>
      <c r="G61" s="7">
        <v>24</v>
      </c>
      <c r="H61" s="7">
        <v>5.2</v>
      </c>
      <c r="I61" s="7">
        <v>15</v>
      </c>
      <c r="J61" s="64">
        <f t="shared" si="17"/>
        <v>106.08</v>
      </c>
      <c r="K61" s="7">
        <v>1.2779</v>
      </c>
      <c r="L61" s="7">
        <f>K61*G61</f>
        <v>30.669600000000003</v>
      </c>
      <c r="M61" s="94">
        <f>+(J61*1)/L61</f>
        <v>3.4587995930824005</v>
      </c>
      <c r="N61" s="64"/>
      <c r="O61" s="7"/>
      <c r="P61" s="7"/>
    </row>
    <row r="62" spans="1:19" x14ac:dyDescent="0.25">
      <c r="B62" s="7" t="s">
        <v>180</v>
      </c>
      <c r="C62" s="109" t="s">
        <v>117</v>
      </c>
      <c r="D62" s="109">
        <v>1147</v>
      </c>
      <c r="E62" s="110">
        <f>J62/L62</f>
        <v>3.0659906914893615</v>
      </c>
      <c r="F62" s="7" t="s">
        <v>162</v>
      </c>
      <c r="G62" s="7" t="s">
        <v>162</v>
      </c>
      <c r="H62" s="7" t="s">
        <v>162</v>
      </c>
      <c r="I62" s="7" t="s">
        <v>157</v>
      </c>
      <c r="J62" s="94">
        <f>SUM(J60:J61)</f>
        <v>221.34</v>
      </c>
      <c r="K62" s="7"/>
      <c r="L62" s="94">
        <f>SUM(L60:L61)</f>
        <v>72.192000000000007</v>
      </c>
      <c r="M62" s="119"/>
      <c r="N62" s="64">
        <v>26.4</v>
      </c>
      <c r="O62" s="7"/>
      <c r="P62" s="7"/>
      <c r="R62" s="7">
        <v>12.8</v>
      </c>
      <c r="S62" s="64">
        <f>J62/(L62+Q62+R62)</f>
        <v>2.6042451054216866</v>
      </c>
    </row>
    <row r="63" spans="1:19" x14ac:dyDescent="0.25">
      <c r="A63" s="188" t="s">
        <v>103</v>
      </c>
      <c r="B63" s="7"/>
      <c r="E63" s="124"/>
      <c r="F63" s="120" t="s">
        <v>113</v>
      </c>
      <c r="G63" s="120">
        <v>2</v>
      </c>
      <c r="H63" s="120">
        <v>115.5</v>
      </c>
      <c r="I63" s="120">
        <v>25</v>
      </c>
      <c r="J63" s="122">
        <f t="shared" ref="J63" si="18">(H63-(H63*I63/100))*G63</f>
        <v>173.25</v>
      </c>
      <c r="K63" s="120">
        <v>25.991</v>
      </c>
      <c r="L63" s="120">
        <f>K63*G63</f>
        <v>51.981999999999999</v>
      </c>
      <c r="M63" s="123">
        <f>+(J63*1)/L63</f>
        <v>3.3328844600053866</v>
      </c>
      <c r="N63" s="64"/>
      <c r="O63" s="7"/>
      <c r="P63" s="7"/>
    </row>
    <row r="64" spans="1:19" x14ac:dyDescent="0.25">
      <c r="B64" s="7" t="s">
        <v>181</v>
      </c>
      <c r="C64" s="109" t="s">
        <v>103</v>
      </c>
      <c r="D64" s="109">
        <v>1148</v>
      </c>
      <c r="E64" s="110">
        <f>J64/L64</f>
        <v>3.3328844600053866</v>
      </c>
      <c r="F64" s="7" t="s">
        <v>162</v>
      </c>
      <c r="G64" s="7" t="s">
        <v>162</v>
      </c>
      <c r="H64" s="7" t="s">
        <v>162</v>
      </c>
      <c r="I64" s="7" t="s">
        <v>157</v>
      </c>
      <c r="J64" s="94">
        <f>SUM(J63:J63)</f>
        <v>173.25</v>
      </c>
      <c r="K64" s="7"/>
      <c r="L64" s="94">
        <f>SUM(L63:L63)</f>
        <v>51.981999999999999</v>
      </c>
      <c r="M64" s="119"/>
      <c r="N64" s="64">
        <v>50</v>
      </c>
      <c r="O64" s="7"/>
      <c r="P64" s="7" t="s">
        <v>182</v>
      </c>
      <c r="R64" s="7">
        <v>17.09</v>
      </c>
      <c r="S64" s="64">
        <f>J64/(L64+Q64+R64)</f>
        <v>2.5082522585128562</v>
      </c>
    </row>
    <row r="65" spans="1:19" x14ac:dyDescent="0.25">
      <c r="A65" s="188" t="s">
        <v>94</v>
      </c>
      <c r="B65" s="7"/>
      <c r="E65" s="124"/>
      <c r="F65" s="120" t="s">
        <v>19</v>
      </c>
      <c r="G65" s="120">
        <v>12</v>
      </c>
      <c r="H65" s="120">
        <v>5.65</v>
      </c>
      <c r="I65" s="120"/>
      <c r="J65" s="122">
        <f t="shared" ref="J65" si="19">(H65-(H65*I65/100))*G65</f>
        <v>67.800000000000011</v>
      </c>
      <c r="K65" s="120">
        <v>1.0669999999999999</v>
      </c>
      <c r="L65" s="120">
        <f t="shared" ref="L65" si="20">K65*G65</f>
        <v>12.803999999999998</v>
      </c>
      <c r="M65" s="123">
        <f t="shared" ref="M65" si="21">+(J65*1)/L65</f>
        <v>5.2952202436738531</v>
      </c>
      <c r="N65" s="64"/>
      <c r="O65" s="7"/>
      <c r="P65" s="7"/>
    </row>
    <row r="66" spans="1:19" x14ac:dyDescent="0.25">
      <c r="B66" s="7"/>
      <c r="C66" s="109" t="s">
        <v>94</v>
      </c>
      <c r="D66" s="109">
        <v>1149</v>
      </c>
      <c r="E66" s="110">
        <f>J66/L66</f>
        <v>5.2952202436738531</v>
      </c>
      <c r="F66" s="7" t="s">
        <v>162</v>
      </c>
      <c r="G66" s="7" t="s">
        <v>162</v>
      </c>
      <c r="H66" s="7" t="s">
        <v>162</v>
      </c>
      <c r="I66" s="7" t="s">
        <v>157</v>
      </c>
      <c r="J66" s="94">
        <f>SUM(J65:J65)</f>
        <v>67.800000000000011</v>
      </c>
      <c r="K66" s="7"/>
      <c r="L66" s="94">
        <f>SUM(L65:L65)</f>
        <v>12.803999999999998</v>
      </c>
      <c r="M66" s="119"/>
      <c r="N66" s="64" t="s">
        <v>183</v>
      </c>
      <c r="O66" s="7"/>
      <c r="P66" s="7"/>
      <c r="R66" s="7">
        <v>0</v>
      </c>
      <c r="S66" s="64">
        <f>J66/(L66+Q66+R66)</f>
        <v>5.2952202436738531</v>
      </c>
    </row>
    <row r="67" spans="1:19" x14ac:dyDescent="0.25">
      <c r="A67" s="188" t="s">
        <v>94</v>
      </c>
      <c r="B67" s="7"/>
      <c r="E67" s="124"/>
      <c r="F67" s="120" t="s">
        <v>29</v>
      </c>
      <c r="G67" s="120">
        <v>24</v>
      </c>
      <c r="H67" s="120">
        <v>5.65</v>
      </c>
      <c r="I67" s="120"/>
      <c r="J67" s="122">
        <f t="shared" ref="J67:J74" si="22">(H67-(H67*I67/100))*G67</f>
        <v>135.60000000000002</v>
      </c>
      <c r="K67" s="120">
        <v>1.7301</v>
      </c>
      <c r="L67" s="120">
        <f>K67*G67</f>
        <v>41.522399999999998</v>
      </c>
      <c r="M67" s="123">
        <f>+(J67*1)/L67</f>
        <v>3.2657071845558066</v>
      </c>
      <c r="N67" s="64"/>
      <c r="O67" s="7"/>
      <c r="P67" s="7"/>
    </row>
    <row r="68" spans="1:19" x14ac:dyDescent="0.25">
      <c r="A68" s="188" t="s">
        <v>94</v>
      </c>
      <c r="B68" s="7"/>
      <c r="C68" s="7"/>
      <c r="D68" s="7"/>
      <c r="E68" s="117"/>
      <c r="F68" s="7" t="s">
        <v>69</v>
      </c>
      <c r="G68" s="7">
        <v>12</v>
      </c>
      <c r="H68" s="7">
        <v>5.25</v>
      </c>
      <c r="I68" s="7"/>
      <c r="J68" s="64">
        <f t="shared" si="22"/>
        <v>63</v>
      </c>
      <c r="K68" s="7">
        <v>1.2138</v>
      </c>
      <c r="L68" s="7">
        <f>K68*G68</f>
        <v>14.5656</v>
      </c>
      <c r="M68" s="94">
        <f>+(J68*1)/L68</f>
        <v>4.3252595155709344</v>
      </c>
      <c r="N68" s="64"/>
      <c r="O68" s="7"/>
      <c r="P68" s="7"/>
    </row>
    <row r="69" spans="1:19" x14ac:dyDescent="0.25">
      <c r="A69" s="188" t="s">
        <v>94</v>
      </c>
      <c r="B69" s="7"/>
      <c r="C69" s="7"/>
      <c r="D69" s="7"/>
      <c r="E69" s="117"/>
      <c r="F69" s="7" t="s">
        <v>19</v>
      </c>
      <c r="G69" s="7">
        <v>12</v>
      </c>
      <c r="H69" s="7">
        <v>5.65</v>
      </c>
      <c r="I69" s="7"/>
      <c r="J69" s="64">
        <f t="shared" si="22"/>
        <v>67.800000000000011</v>
      </c>
      <c r="K69" s="7">
        <v>1.0669999999999999</v>
      </c>
      <c r="L69" s="7">
        <f t="shared" ref="L69:L71" si="23">K69*G69</f>
        <v>12.803999999999998</v>
      </c>
      <c r="M69" s="94">
        <f t="shared" ref="M69:M71" si="24">+(J69*1)/L69</f>
        <v>5.2952202436738531</v>
      </c>
      <c r="N69" s="64"/>
      <c r="O69" s="7"/>
      <c r="P69" s="7"/>
    </row>
    <row r="70" spans="1:19" x14ac:dyDescent="0.25">
      <c r="A70" s="188" t="s">
        <v>94</v>
      </c>
      <c r="B70" s="7"/>
      <c r="C70" s="7"/>
      <c r="D70" s="7"/>
      <c r="E70" s="117"/>
      <c r="F70" s="7" t="s">
        <v>115</v>
      </c>
      <c r="G70" s="7">
        <v>1</v>
      </c>
      <c r="H70" s="7">
        <v>28.15</v>
      </c>
      <c r="I70" s="7"/>
      <c r="J70" s="64">
        <f t="shared" si="22"/>
        <v>28.15</v>
      </c>
      <c r="K70" s="7">
        <v>0.42620000000000002</v>
      </c>
      <c r="L70" s="7">
        <f t="shared" si="23"/>
        <v>0.42620000000000002</v>
      </c>
      <c r="M70" s="94">
        <f t="shared" si="24"/>
        <v>66.048803378695439</v>
      </c>
      <c r="N70" s="64"/>
      <c r="O70" s="7"/>
      <c r="P70" s="7"/>
    </row>
    <row r="71" spans="1:19" x14ac:dyDescent="0.25">
      <c r="A71" s="188" t="s">
        <v>94</v>
      </c>
      <c r="B71" s="7"/>
      <c r="C71" s="7"/>
      <c r="D71" s="7"/>
      <c r="E71" s="117"/>
      <c r="F71" s="7" t="s">
        <v>107</v>
      </c>
      <c r="G71" s="7">
        <v>1</v>
      </c>
      <c r="H71" s="7">
        <v>29.5</v>
      </c>
      <c r="I71" s="7"/>
      <c r="J71" s="64">
        <f t="shared" si="22"/>
        <v>29.5</v>
      </c>
      <c r="K71" s="7">
        <v>5.2531999999999996</v>
      </c>
      <c r="L71" s="7">
        <f t="shared" si="23"/>
        <v>5.2531999999999996</v>
      </c>
      <c r="M71" s="94">
        <f t="shared" si="24"/>
        <v>5.6156247620497988</v>
      </c>
      <c r="N71" s="64"/>
      <c r="O71" s="7"/>
      <c r="P71" s="7"/>
    </row>
    <row r="72" spans="1:19" x14ac:dyDescent="0.25">
      <c r="A72" s="188" t="s">
        <v>94</v>
      </c>
      <c r="B72" s="7"/>
      <c r="C72" s="7"/>
      <c r="D72" s="7"/>
      <c r="E72" s="117"/>
      <c r="F72" s="7" t="s">
        <v>16</v>
      </c>
      <c r="G72" s="7">
        <v>2</v>
      </c>
      <c r="H72" s="7">
        <v>115</v>
      </c>
      <c r="I72" s="7"/>
      <c r="J72" s="64">
        <f t="shared" si="22"/>
        <v>230</v>
      </c>
      <c r="K72" s="7">
        <v>14.241</v>
      </c>
      <c r="L72" s="7">
        <f>K72*G72</f>
        <v>28.481999999999999</v>
      </c>
      <c r="M72" s="94">
        <f>+(J72*1)/L72</f>
        <v>8.0752756126676495</v>
      </c>
      <c r="N72" s="64"/>
      <c r="O72" s="7"/>
      <c r="P72" s="7"/>
    </row>
    <row r="73" spans="1:19" x14ac:dyDescent="0.25">
      <c r="A73" s="188" t="s">
        <v>94</v>
      </c>
      <c r="B73" s="7"/>
      <c r="E73" s="124"/>
      <c r="F73" s="7" t="s">
        <v>167</v>
      </c>
      <c r="G73" s="7">
        <v>6</v>
      </c>
      <c r="H73" s="7">
        <v>0</v>
      </c>
      <c r="I73" s="7"/>
      <c r="J73" s="64">
        <f t="shared" si="22"/>
        <v>0</v>
      </c>
      <c r="K73" s="7">
        <v>1.6861999999999999</v>
      </c>
      <c r="L73" s="7">
        <f>K73*G73</f>
        <v>10.1172</v>
      </c>
      <c r="M73" s="94">
        <f>+(J73*1)/L73</f>
        <v>0</v>
      </c>
      <c r="N73" s="64"/>
      <c r="O73" s="7"/>
      <c r="P73" s="7"/>
    </row>
    <row r="74" spans="1:19" x14ac:dyDescent="0.25">
      <c r="A74" s="188" t="s">
        <v>94</v>
      </c>
      <c r="B74" s="7"/>
      <c r="C74" s="7"/>
      <c r="D74" s="7"/>
      <c r="E74" s="117"/>
      <c r="F74" s="7" t="s">
        <v>101</v>
      </c>
      <c r="G74" s="7">
        <v>6</v>
      </c>
      <c r="H74" s="7">
        <v>0</v>
      </c>
      <c r="I74" s="7"/>
      <c r="J74" s="64">
        <f t="shared" si="22"/>
        <v>0</v>
      </c>
      <c r="K74" s="7">
        <v>1.0732999999999999</v>
      </c>
      <c r="L74" s="7">
        <f>K74*G74</f>
        <v>6.4398</v>
      </c>
      <c r="M74" s="94">
        <f>+(J74*1)/L74</f>
        <v>0</v>
      </c>
      <c r="N74" s="64"/>
      <c r="O74" s="7"/>
      <c r="P74" s="7"/>
    </row>
    <row r="75" spans="1:19" x14ac:dyDescent="0.25">
      <c r="B75" s="7"/>
      <c r="C75" s="109" t="s">
        <v>94</v>
      </c>
      <c r="D75" s="109">
        <v>1150</v>
      </c>
      <c r="E75" s="110">
        <f>J75/L75</f>
        <v>4.6321222903693995</v>
      </c>
      <c r="F75" s="7" t="s">
        <v>162</v>
      </c>
      <c r="G75" s="7" t="s">
        <v>162</v>
      </c>
      <c r="H75" s="7" t="s">
        <v>162</v>
      </c>
      <c r="I75" s="7" t="s">
        <v>157</v>
      </c>
      <c r="J75" s="94">
        <f>SUM(J67:J74)</f>
        <v>554.04999999999995</v>
      </c>
      <c r="K75" s="7"/>
      <c r="L75" s="94">
        <f>SUM(L67:L74)</f>
        <v>119.61039999999998</v>
      </c>
      <c r="M75" s="119"/>
      <c r="N75" s="64" t="s">
        <v>183</v>
      </c>
      <c r="O75" s="7"/>
      <c r="P75" s="7"/>
      <c r="R75" s="7">
        <v>0</v>
      </c>
      <c r="S75" s="64">
        <f>J75/(L75+Q75+R75)</f>
        <v>4.6321222903693995</v>
      </c>
    </row>
    <row r="76" spans="1:19" x14ac:dyDescent="0.25">
      <c r="A76" s="188" t="s">
        <v>109</v>
      </c>
      <c r="B76" s="7"/>
      <c r="E76" s="124"/>
      <c r="F76" s="120" t="s">
        <v>98</v>
      </c>
      <c r="G76" s="120">
        <v>2</v>
      </c>
      <c r="H76" s="120">
        <v>84.5</v>
      </c>
      <c r="I76" s="120">
        <v>25</v>
      </c>
      <c r="J76" s="122">
        <f t="shared" ref="J76:J80" si="25">(H76-(H76*I76/100))*G76</f>
        <v>126.75</v>
      </c>
      <c r="K76" s="120">
        <v>11.116</v>
      </c>
      <c r="L76" s="120">
        <f>K76*G76</f>
        <v>22.231999999999999</v>
      </c>
      <c r="M76" s="123">
        <f>+(J76*1)/L76</f>
        <v>5.7012414537603453</v>
      </c>
      <c r="N76" s="64"/>
      <c r="O76" s="7"/>
      <c r="P76" s="7"/>
    </row>
    <row r="77" spans="1:19" x14ac:dyDescent="0.25">
      <c r="A77" s="188" t="s">
        <v>109</v>
      </c>
      <c r="B77" s="7"/>
      <c r="E77" s="124"/>
      <c r="F77" s="7" t="s">
        <v>75</v>
      </c>
      <c r="G77" s="7">
        <v>6</v>
      </c>
      <c r="H77" s="7">
        <v>52.65</v>
      </c>
      <c r="I77" s="7">
        <v>25</v>
      </c>
      <c r="J77" s="64">
        <f t="shared" si="25"/>
        <v>236.92499999999998</v>
      </c>
      <c r="K77" s="7">
        <v>13.963200000000001</v>
      </c>
      <c r="L77" s="7">
        <f t="shared" ref="L77:L78" si="26">K77*G77</f>
        <v>83.779200000000003</v>
      </c>
      <c r="M77" s="94">
        <f t="shared" ref="M77:M78" si="27">+(J77*1)/L77</f>
        <v>2.827969233413544</v>
      </c>
      <c r="N77" s="64"/>
      <c r="O77" s="7"/>
      <c r="P77" s="7"/>
    </row>
    <row r="78" spans="1:19" x14ac:dyDescent="0.25">
      <c r="A78" s="188" t="s">
        <v>109</v>
      </c>
      <c r="B78" s="7"/>
      <c r="E78" s="124"/>
      <c r="F78" s="7" t="s">
        <v>51</v>
      </c>
      <c r="G78" s="7">
        <v>24</v>
      </c>
      <c r="H78" s="7">
        <v>5.2</v>
      </c>
      <c r="I78" s="7">
        <v>25</v>
      </c>
      <c r="J78" s="64">
        <f t="shared" si="25"/>
        <v>93.600000000000009</v>
      </c>
      <c r="K78" s="7">
        <v>1.2779</v>
      </c>
      <c r="L78" s="7">
        <f t="shared" si="26"/>
        <v>30.669600000000003</v>
      </c>
      <c r="M78" s="94">
        <f t="shared" si="27"/>
        <v>3.0518819938962358</v>
      </c>
      <c r="N78" s="64"/>
      <c r="O78" s="7"/>
      <c r="P78" s="7"/>
    </row>
    <row r="79" spans="1:19" x14ac:dyDescent="0.25">
      <c r="A79" s="188" t="s">
        <v>109</v>
      </c>
      <c r="B79" s="7"/>
      <c r="C79" s="7"/>
      <c r="D79" s="7"/>
      <c r="E79" s="117"/>
      <c r="F79" s="7" t="s">
        <v>101</v>
      </c>
      <c r="G79" s="7">
        <v>1</v>
      </c>
      <c r="H79" s="7">
        <v>0</v>
      </c>
      <c r="I79" s="7"/>
      <c r="J79" s="64">
        <f t="shared" si="25"/>
        <v>0</v>
      </c>
      <c r="K79" s="7">
        <v>1.0732999999999999</v>
      </c>
      <c r="L79" s="7">
        <f>K79*G79</f>
        <v>1.0732999999999999</v>
      </c>
      <c r="M79" s="94">
        <f>+(J79*1)/L79</f>
        <v>0</v>
      </c>
      <c r="N79" s="64"/>
      <c r="O79" s="7"/>
      <c r="P79" s="7"/>
    </row>
    <row r="80" spans="1:19" x14ac:dyDescent="0.25">
      <c r="A80" s="188" t="s">
        <v>109</v>
      </c>
      <c r="B80" s="7"/>
      <c r="E80" s="124"/>
      <c r="F80" s="7" t="s">
        <v>69</v>
      </c>
      <c r="G80" s="7">
        <v>1</v>
      </c>
      <c r="H80" s="7">
        <v>0</v>
      </c>
      <c r="I80" s="7"/>
      <c r="J80" s="64">
        <f t="shared" si="25"/>
        <v>0</v>
      </c>
      <c r="K80" s="7">
        <v>1.2138</v>
      </c>
      <c r="L80" s="7">
        <f>K80*G80</f>
        <v>1.2138</v>
      </c>
      <c r="M80" s="94">
        <f>+(J80*1)/L80</f>
        <v>0</v>
      </c>
      <c r="N80" s="64"/>
      <c r="O80" s="7"/>
      <c r="P80" s="7"/>
    </row>
    <row r="81" spans="1:19" x14ac:dyDescent="0.25">
      <c r="B81" s="7" t="s">
        <v>184</v>
      </c>
      <c r="C81" s="109" t="s">
        <v>109</v>
      </c>
      <c r="D81" s="109">
        <v>1151</v>
      </c>
      <c r="E81" s="110">
        <f>J81/L81</f>
        <v>3.2905080957544874</v>
      </c>
      <c r="F81" s="7" t="s">
        <v>162</v>
      </c>
      <c r="G81" s="7" t="s">
        <v>162</v>
      </c>
      <c r="H81" s="7" t="s">
        <v>162</v>
      </c>
      <c r="I81" s="7" t="s">
        <v>157</v>
      </c>
      <c r="J81" s="94">
        <f>SUM(J76:J80)</f>
        <v>457.27499999999998</v>
      </c>
      <c r="K81" s="7"/>
      <c r="L81" s="94">
        <f>SUM(L76:L80)</f>
        <v>138.96789999999999</v>
      </c>
      <c r="M81" s="119"/>
      <c r="N81" s="64">
        <v>95.63</v>
      </c>
      <c r="O81" s="7"/>
      <c r="P81" s="7"/>
      <c r="R81" s="7">
        <v>17.78</v>
      </c>
      <c r="S81" s="64">
        <f>J81/(L81+Q81+R81)</f>
        <v>2.9172639633449635</v>
      </c>
    </row>
    <row r="82" spans="1:19" x14ac:dyDescent="0.25">
      <c r="A82" s="188" t="s">
        <v>94</v>
      </c>
      <c r="B82" s="7"/>
      <c r="E82" s="124"/>
      <c r="F82" s="120" t="s">
        <v>114</v>
      </c>
      <c r="G82" s="120">
        <v>2</v>
      </c>
      <c r="H82" s="120">
        <v>455</v>
      </c>
      <c r="I82" s="120">
        <v>15</v>
      </c>
      <c r="J82" s="122">
        <f t="shared" ref="J82" si="28">(H82-(H82*I82/100))*G82</f>
        <v>773.5</v>
      </c>
      <c r="K82" s="120">
        <v>211.85</v>
      </c>
      <c r="L82" s="120">
        <f>K82*G82</f>
        <v>423.7</v>
      </c>
      <c r="M82" s="123">
        <f>+(J82*1)/L82</f>
        <v>1.8255841397215011</v>
      </c>
      <c r="N82" s="64"/>
      <c r="O82" s="7"/>
      <c r="P82" s="7"/>
    </row>
    <row r="83" spans="1:19" x14ac:dyDescent="0.25">
      <c r="B83" s="7" t="s">
        <v>185</v>
      </c>
      <c r="C83" s="109" t="s">
        <v>94</v>
      </c>
      <c r="D83" s="109">
        <v>1152</v>
      </c>
      <c r="E83" s="110">
        <f>J83/L83</f>
        <v>1.8255841397215011</v>
      </c>
      <c r="F83" s="7" t="s">
        <v>162</v>
      </c>
      <c r="G83" s="7" t="s">
        <v>162</v>
      </c>
      <c r="H83" s="7" t="s">
        <v>162</v>
      </c>
      <c r="I83" s="7" t="s">
        <v>157</v>
      </c>
      <c r="J83" s="94">
        <f>SUM(J82:J82)</f>
        <v>773.5</v>
      </c>
      <c r="K83" s="7"/>
      <c r="L83" s="94">
        <f>SUM(L82:L82)</f>
        <v>423.7</v>
      </c>
      <c r="M83" s="119"/>
      <c r="N83" s="64">
        <v>400</v>
      </c>
      <c r="O83" s="7">
        <v>1</v>
      </c>
      <c r="P83" s="7"/>
      <c r="R83" s="7">
        <v>35.35</v>
      </c>
      <c r="S83" s="64">
        <f>J83/(L83+Q83+R83)</f>
        <v>1.6850016338089533</v>
      </c>
    </row>
    <row r="84" spans="1:19" x14ac:dyDescent="0.25">
      <c r="A84" s="188" t="s">
        <v>94</v>
      </c>
      <c r="B84" s="7"/>
      <c r="E84" s="124"/>
      <c r="F84" s="120" t="s">
        <v>132</v>
      </c>
      <c r="G84" s="120">
        <v>1</v>
      </c>
      <c r="H84" s="120">
        <v>165</v>
      </c>
      <c r="I84" s="120"/>
      <c r="J84" s="122">
        <f t="shared" ref="J84" si="29">(H84-(H84*I84/100))*G84</f>
        <v>165</v>
      </c>
      <c r="K84" s="120">
        <v>66.459999999999994</v>
      </c>
      <c r="L84" s="120">
        <f t="shared" ref="L84" si="30">K84*G84</f>
        <v>66.459999999999994</v>
      </c>
      <c r="M84" s="123">
        <f t="shared" ref="M84" si="31">+(J84*1)/L84</f>
        <v>2.4826963587120074</v>
      </c>
      <c r="N84" s="64"/>
      <c r="O84" s="7"/>
      <c r="P84" s="7"/>
    </row>
    <row r="85" spans="1:19" x14ac:dyDescent="0.25">
      <c r="B85" s="7"/>
      <c r="C85" s="109" t="s">
        <v>94</v>
      </c>
      <c r="D85" s="109">
        <v>1153</v>
      </c>
      <c r="E85" s="110">
        <f>J85/L85</f>
        <v>2.4826963587120074</v>
      </c>
      <c r="F85" s="7" t="s">
        <v>162</v>
      </c>
      <c r="G85" s="7" t="s">
        <v>162</v>
      </c>
      <c r="H85" s="7" t="s">
        <v>162</v>
      </c>
      <c r="I85" s="7" t="s">
        <v>157</v>
      </c>
      <c r="J85" s="94">
        <f>SUM(J84:J84)</f>
        <v>165</v>
      </c>
      <c r="K85" s="7"/>
      <c r="L85" s="94">
        <f>SUM(L84:L84)</f>
        <v>66.459999999999994</v>
      </c>
      <c r="M85" s="119"/>
      <c r="N85" s="64" t="s">
        <v>183</v>
      </c>
      <c r="O85" s="7"/>
      <c r="P85" s="7"/>
      <c r="R85" s="7">
        <v>0</v>
      </c>
      <c r="S85" s="64">
        <f>J85/(L85+Q85+R85)</f>
        <v>2.4826963587120074</v>
      </c>
    </row>
    <row r="86" spans="1:19" x14ac:dyDescent="0.25">
      <c r="A86" s="127" t="s">
        <v>117</v>
      </c>
      <c r="B86" s="7"/>
      <c r="E86" s="124"/>
      <c r="F86" s="120" t="s">
        <v>19</v>
      </c>
      <c r="G86" s="120">
        <v>24</v>
      </c>
      <c r="H86" s="120">
        <v>5.65</v>
      </c>
      <c r="I86" s="120"/>
      <c r="J86" s="122">
        <f t="shared" ref="J86:J92" si="32">(H86-(H86*I86/100))*G86</f>
        <v>135.60000000000002</v>
      </c>
      <c r="K86" s="120">
        <v>1.0669999999999999</v>
      </c>
      <c r="L86" s="120">
        <f t="shared" ref="L86:L92" si="33">K86*G86</f>
        <v>25.607999999999997</v>
      </c>
      <c r="M86" s="123">
        <f t="shared" ref="M86:M92" si="34">+(J86*1)/L86</f>
        <v>5.2952202436738531</v>
      </c>
      <c r="N86" s="64"/>
      <c r="O86" s="7"/>
      <c r="P86" s="7"/>
    </row>
    <row r="87" spans="1:19" x14ac:dyDescent="0.25">
      <c r="A87" s="127" t="s">
        <v>117</v>
      </c>
      <c r="B87" s="7"/>
      <c r="C87" s="7"/>
      <c r="D87" s="7"/>
      <c r="E87" s="117"/>
      <c r="F87" s="7" t="s">
        <v>28</v>
      </c>
      <c r="G87" s="7">
        <v>12</v>
      </c>
      <c r="H87" s="7">
        <v>5.45</v>
      </c>
      <c r="I87" s="7"/>
      <c r="J87" s="64">
        <f t="shared" si="32"/>
        <v>65.400000000000006</v>
      </c>
      <c r="K87" s="7">
        <v>0.79990000000000006</v>
      </c>
      <c r="L87" s="7">
        <f t="shared" si="33"/>
        <v>9.5988000000000007</v>
      </c>
      <c r="M87" s="94">
        <f t="shared" si="34"/>
        <v>6.81335166895862</v>
      </c>
      <c r="N87" s="64"/>
      <c r="O87" s="7"/>
      <c r="P87" s="7"/>
    </row>
    <row r="88" spans="1:19" x14ac:dyDescent="0.25">
      <c r="A88" s="127" t="s">
        <v>117</v>
      </c>
      <c r="B88" s="7"/>
      <c r="C88" s="7"/>
      <c r="D88" s="7"/>
      <c r="E88" s="117"/>
      <c r="F88" s="7" t="s">
        <v>76</v>
      </c>
      <c r="G88" s="7">
        <v>12</v>
      </c>
      <c r="H88" s="7">
        <v>6.05</v>
      </c>
      <c r="I88" s="7"/>
      <c r="J88" s="64">
        <f t="shared" si="32"/>
        <v>72.599999999999994</v>
      </c>
      <c r="K88" s="7">
        <v>1.0125999999999999</v>
      </c>
      <c r="L88" s="7">
        <f t="shared" si="33"/>
        <v>12.151199999999999</v>
      </c>
      <c r="M88" s="94">
        <f t="shared" si="34"/>
        <v>5.9747185463164127</v>
      </c>
      <c r="N88" s="64"/>
      <c r="O88" s="7"/>
      <c r="P88" s="7"/>
    </row>
    <row r="89" spans="1:19" x14ac:dyDescent="0.25">
      <c r="A89" s="127" t="s">
        <v>117</v>
      </c>
      <c r="B89" s="7"/>
      <c r="C89" s="7"/>
      <c r="D89" s="7"/>
      <c r="E89" s="117"/>
      <c r="F89" s="7" t="s">
        <v>49</v>
      </c>
      <c r="G89" s="7">
        <v>2</v>
      </c>
      <c r="H89" s="7">
        <v>22.5</v>
      </c>
      <c r="I89" s="7"/>
      <c r="J89" s="64">
        <f t="shared" si="32"/>
        <v>45</v>
      </c>
      <c r="K89" s="7">
        <v>2.3426</v>
      </c>
      <c r="L89" s="7">
        <f t="shared" si="33"/>
        <v>4.6852</v>
      </c>
      <c r="M89" s="94">
        <f t="shared" si="34"/>
        <v>9.6047127123708691</v>
      </c>
      <c r="N89" s="64"/>
      <c r="O89" s="7"/>
      <c r="P89" s="7"/>
    </row>
    <row r="90" spans="1:19" x14ac:dyDescent="0.25">
      <c r="A90" s="127" t="s">
        <v>117</v>
      </c>
      <c r="B90" s="7"/>
      <c r="C90" s="7"/>
      <c r="D90" s="7"/>
      <c r="E90" s="117"/>
      <c r="F90" s="7" t="s">
        <v>107</v>
      </c>
      <c r="G90" s="7">
        <v>2</v>
      </c>
      <c r="H90" s="7">
        <v>29.5</v>
      </c>
      <c r="I90" s="7"/>
      <c r="J90" s="64">
        <f t="shared" si="32"/>
        <v>59</v>
      </c>
      <c r="K90" s="7">
        <v>5.2531999999999996</v>
      </c>
      <c r="L90" s="7">
        <f t="shared" si="33"/>
        <v>10.506399999999999</v>
      </c>
      <c r="M90" s="94">
        <f t="shared" si="34"/>
        <v>5.6156247620497988</v>
      </c>
      <c r="N90" s="64"/>
      <c r="O90" s="7"/>
      <c r="P90" s="7"/>
    </row>
    <row r="91" spans="1:19" x14ac:dyDescent="0.25">
      <c r="A91" s="127" t="s">
        <v>117</v>
      </c>
      <c r="B91" s="7"/>
      <c r="C91" s="7"/>
      <c r="D91" s="7"/>
      <c r="E91" s="117"/>
      <c r="F91" s="7" t="s">
        <v>39</v>
      </c>
      <c r="G91" s="7">
        <v>12</v>
      </c>
      <c r="H91" s="7">
        <v>8.6</v>
      </c>
      <c r="I91" s="7"/>
      <c r="J91" s="64">
        <f t="shared" si="32"/>
        <v>103.19999999999999</v>
      </c>
      <c r="K91" s="7">
        <v>2.7046999999999999</v>
      </c>
      <c r="L91" s="7">
        <f t="shared" si="33"/>
        <v>32.456400000000002</v>
      </c>
      <c r="M91" s="94">
        <f t="shared" si="34"/>
        <v>3.1796502384737675</v>
      </c>
      <c r="N91" s="64"/>
      <c r="O91" s="7"/>
      <c r="P91" s="7"/>
    </row>
    <row r="92" spans="1:19" x14ac:dyDescent="0.25">
      <c r="A92" s="127" t="s">
        <v>117</v>
      </c>
      <c r="B92" s="7"/>
      <c r="C92" s="7"/>
      <c r="D92" s="7"/>
      <c r="E92" s="117"/>
      <c r="F92" s="7" t="s">
        <v>152</v>
      </c>
      <c r="G92" s="7">
        <v>64</v>
      </c>
      <c r="H92" s="7">
        <v>0</v>
      </c>
      <c r="I92" s="7"/>
      <c r="J92" s="64">
        <f t="shared" si="32"/>
        <v>0</v>
      </c>
      <c r="K92" s="7">
        <v>0.69299999999999995</v>
      </c>
      <c r="L92" s="7">
        <f t="shared" si="33"/>
        <v>44.351999999999997</v>
      </c>
      <c r="M92" s="94">
        <f t="shared" si="34"/>
        <v>0</v>
      </c>
      <c r="N92" s="64"/>
      <c r="O92" s="7"/>
      <c r="P92" s="7"/>
    </row>
    <row r="93" spans="1:19" x14ac:dyDescent="0.25">
      <c r="B93" s="7" t="s">
        <v>186</v>
      </c>
      <c r="C93" s="7" t="s">
        <v>117</v>
      </c>
      <c r="D93" s="7">
        <v>1154</v>
      </c>
      <c r="E93" s="117">
        <f>J93/L93</f>
        <v>3.450106918870822</v>
      </c>
      <c r="F93" s="7" t="s">
        <v>162</v>
      </c>
      <c r="G93" s="7" t="s">
        <v>162</v>
      </c>
      <c r="H93" s="7" t="s">
        <v>162</v>
      </c>
      <c r="I93" s="7" t="s">
        <v>157</v>
      </c>
      <c r="J93" s="94">
        <f>SUM(J86:J92)</f>
        <v>480.8</v>
      </c>
      <c r="K93" s="7"/>
      <c r="L93" s="94">
        <f>SUM(L86:L92)</f>
        <v>139.358</v>
      </c>
      <c r="M93" s="119"/>
      <c r="N93" s="64">
        <v>356.24</v>
      </c>
      <c r="O93" s="7">
        <v>1</v>
      </c>
      <c r="P93" s="7"/>
      <c r="R93" s="7">
        <v>35.35</v>
      </c>
      <c r="S93" s="64">
        <f>J93/(L93+Q93+R93)</f>
        <v>2.7520205142294571</v>
      </c>
    </row>
  </sheetData>
  <mergeCells count="35">
    <mergeCell ref="T17:T18"/>
    <mergeCell ref="J9:M9"/>
    <mergeCell ref="O9:S9"/>
    <mergeCell ref="J10:K10"/>
    <mergeCell ref="O10:P12"/>
    <mergeCell ref="Q10:R10"/>
    <mergeCell ref="J11:K11"/>
    <mergeCell ref="Q11:R11"/>
    <mergeCell ref="Q12:R12"/>
    <mergeCell ref="O13:P13"/>
    <mergeCell ref="Q13:R13"/>
    <mergeCell ref="O14:P14"/>
    <mergeCell ref="Q14:R14"/>
    <mergeCell ref="P15:P17"/>
    <mergeCell ref="B6:C6"/>
    <mergeCell ref="N6:O7"/>
    <mergeCell ref="P6:Q7"/>
    <mergeCell ref="R6:S6"/>
    <mergeCell ref="B7:C7"/>
    <mergeCell ref="R7:S7"/>
    <mergeCell ref="AH1:AI1"/>
    <mergeCell ref="B2:C2"/>
    <mergeCell ref="B3:C3"/>
    <mergeCell ref="B4:C4"/>
    <mergeCell ref="N4:S4"/>
    <mergeCell ref="X1:Y1"/>
    <mergeCell ref="Z1:AA1"/>
    <mergeCell ref="AB1:AC1"/>
    <mergeCell ref="AD1:AE1"/>
    <mergeCell ref="AF1:AG1"/>
    <mergeCell ref="B5:D5"/>
    <mergeCell ref="N5:O5"/>
    <mergeCell ref="P5:Q5"/>
    <mergeCell ref="R5:S5"/>
    <mergeCell ref="V1:W1"/>
  </mergeCells>
  <conditionalFormatting sqref="E38">
    <cfRule type="cellIs" dxfId="135" priority="134" operator="lessThan">
      <formula>2.5</formula>
    </cfRule>
    <cfRule type="cellIs" dxfId="134" priority="135" operator="between">
      <formula>3.01</formula>
      <formula>3.99</formula>
    </cfRule>
    <cfRule type="cellIs" dxfId="133" priority="136" operator="greaterThan">
      <formula>3.99</formula>
    </cfRule>
    <cfRule type="cellIs" dxfId="132" priority="137" operator="between">
      <formula>2.5</formula>
      <formula>3</formula>
    </cfRule>
  </conditionalFormatting>
  <conditionalFormatting sqref="E41">
    <cfRule type="cellIs" dxfId="131" priority="130" operator="lessThan">
      <formula>2.5</formula>
    </cfRule>
    <cfRule type="cellIs" dxfId="130" priority="131" operator="between">
      <formula>3.01</formula>
      <formula>3.99</formula>
    </cfRule>
    <cfRule type="cellIs" dxfId="129" priority="132" operator="greaterThan">
      <formula>3.99</formula>
    </cfRule>
    <cfRule type="cellIs" dxfId="128" priority="133" operator="between">
      <formula>2.5</formula>
      <formula>3</formula>
    </cfRule>
  </conditionalFormatting>
  <conditionalFormatting sqref="E46">
    <cfRule type="cellIs" dxfId="127" priority="126" operator="lessThan">
      <formula>2.5</formula>
    </cfRule>
    <cfRule type="cellIs" dxfId="126" priority="127" operator="between">
      <formula>3.01</formula>
      <formula>3.99</formula>
    </cfRule>
    <cfRule type="cellIs" dxfId="125" priority="128" operator="greaterThan">
      <formula>3.99</formula>
    </cfRule>
    <cfRule type="cellIs" dxfId="124" priority="129" operator="between">
      <formula>2.5</formula>
      <formula>3</formula>
    </cfRule>
  </conditionalFormatting>
  <conditionalFormatting sqref="E51">
    <cfRule type="cellIs" dxfId="123" priority="122" operator="lessThan">
      <formula>2.5</formula>
    </cfRule>
    <cfRule type="cellIs" dxfId="122" priority="123" operator="between">
      <formula>3.01</formula>
      <formula>3.99</formula>
    </cfRule>
    <cfRule type="cellIs" dxfId="121" priority="124" operator="greaterThan">
      <formula>3.99</formula>
    </cfRule>
    <cfRule type="cellIs" dxfId="120" priority="125" operator="between">
      <formula>2.5</formula>
      <formula>3</formula>
    </cfRule>
  </conditionalFormatting>
  <conditionalFormatting sqref="E59">
    <cfRule type="cellIs" dxfId="119" priority="118" operator="lessThan">
      <formula>2.5</formula>
    </cfRule>
    <cfRule type="cellIs" dxfId="118" priority="119" operator="between">
      <formula>3.01</formula>
      <formula>3.99</formula>
    </cfRule>
    <cfRule type="cellIs" dxfId="117" priority="120" operator="greaterThan">
      <formula>3.99</formula>
    </cfRule>
    <cfRule type="cellIs" dxfId="116" priority="121" operator="between">
      <formula>2.5</formula>
      <formula>3</formula>
    </cfRule>
  </conditionalFormatting>
  <conditionalFormatting sqref="E62">
    <cfRule type="cellIs" dxfId="115" priority="114" operator="lessThan">
      <formula>2.5</formula>
    </cfRule>
    <cfRule type="cellIs" dxfId="114" priority="115" operator="between">
      <formula>3.01</formula>
      <formula>3.99</formula>
    </cfRule>
    <cfRule type="cellIs" dxfId="113" priority="116" operator="greaterThan">
      <formula>3.99</formula>
    </cfRule>
    <cfRule type="cellIs" dxfId="112" priority="117" operator="between">
      <formula>2.5</formula>
      <formula>3</formula>
    </cfRule>
  </conditionalFormatting>
  <conditionalFormatting sqref="E64">
    <cfRule type="cellIs" dxfId="111" priority="110" operator="lessThan">
      <formula>2.5</formula>
    </cfRule>
    <cfRule type="cellIs" dxfId="110" priority="111" operator="between">
      <formula>3.01</formula>
      <formula>3.99</formula>
    </cfRule>
    <cfRule type="cellIs" dxfId="109" priority="112" operator="greaterThan">
      <formula>3.99</formula>
    </cfRule>
    <cfRule type="cellIs" dxfId="108" priority="113" operator="between">
      <formula>2.5</formula>
      <formula>3</formula>
    </cfRule>
  </conditionalFormatting>
  <conditionalFormatting sqref="E75">
    <cfRule type="cellIs" dxfId="107" priority="106" operator="lessThan">
      <formula>2.5</formula>
    </cfRule>
    <cfRule type="cellIs" dxfId="106" priority="107" operator="between">
      <formula>3.01</formula>
      <formula>3.99</formula>
    </cfRule>
    <cfRule type="cellIs" dxfId="105" priority="108" operator="greaterThan">
      <formula>3.99</formula>
    </cfRule>
    <cfRule type="cellIs" dxfId="104" priority="109" operator="between">
      <formula>2.5</formula>
      <formula>3</formula>
    </cfRule>
  </conditionalFormatting>
  <conditionalFormatting sqref="E66">
    <cfRule type="cellIs" dxfId="103" priority="102" operator="lessThan">
      <formula>2.5</formula>
    </cfRule>
    <cfRule type="cellIs" dxfId="102" priority="103" operator="between">
      <formula>3.01</formula>
      <formula>3.99</formula>
    </cfRule>
    <cfRule type="cellIs" dxfId="101" priority="104" operator="greaterThan">
      <formula>3.99</formula>
    </cfRule>
    <cfRule type="cellIs" dxfId="100" priority="105" operator="between">
      <formula>2.5</formula>
      <formula>3</formula>
    </cfRule>
  </conditionalFormatting>
  <conditionalFormatting sqref="E81">
    <cfRule type="cellIs" dxfId="99" priority="98" operator="lessThan">
      <formula>2.5</formula>
    </cfRule>
    <cfRule type="cellIs" dxfId="98" priority="99" operator="between">
      <formula>3.01</formula>
      <formula>3.99</formula>
    </cfRule>
    <cfRule type="cellIs" dxfId="97" priority="100" operator="greaterThan">
      <formula>3.99</formula>
    </cfRule>
    <cfRule type="cellIs" dxfId="96" priority="101" operator="between">
      <formula>2.5</formula>
      <formula>3</formula>
    </cfRule>
  </conditionalFormatting>
  <conditionalFormatting sqref="E83">
    <cfRule type="cellIs" dxfId="95" priority="94" operator="lessThan">
      <formula>2.5</formula>
    </cfRule>
    <cfRule type="cellIs" dxfId="94" priority="95" operator="between">
      <formula>3.01</formula>
      <formula>3.99</formula>
    </cfRule>
    <cfRule type="cellIs" dxfId="93" priority="96" operator="greaterThan">
      <formula>3.99</formula>
    </cfRule>
    <cfRule type="cellIs" dxfId="92" priority="97" operator="between">
      <formula>2.5</formula>
      <formula>3</formula>
    </cfRule>
  </conditionalFormatting>
  <conditionalFormatting sqref="E85">
    <cfRule type="cellIs" dxfId="91" priority="90" operator="lessThan">
      <formula>2.5</formula>
    </cfRule>
    <cfRule type="cellIs" dxfId="90" priority="91" operator="between">
      <formula>3.01</formula>
      <formula>3.99</formula>
    </cfRule>
    <cfRule type="cellIs" dxfId="89" priority="92" operator="greaterThan">
      <formula>3.99</formula>
    </cfRule>
    <cfRule type="cellIs" dxfId="88" priority="93" operator="between">
      <formula>2.5</formula>
      <formula>3</formula>
    </cfRule>
  </conditionalFormatting>
  <conditionalFormatting sqref="E93">
    <cfRule type="cellIs" dxfId="87" priority="86" operator="lessThan">
      <formula>2.5</formula>
    </cfRule>
    <cfRule type="cellIs" dxfId="86" priority="87" operator="between">
      <formula>3.01</formula>
      <formula>3.99</formula>
    </cfRule>
    <cfRule type="cellIs" dxfId="85" priority="88" operator="greaterThan">
      <formula>3.99</formula>
    </cfRule>
    <cfRule type="cellIs" dxfId="84" priority="89" operator="between">
      <formula>2.5</formula>
      <formula>3</formula>
    </cfRule>
  </conditionalFormatting>
  <conditionalFormatting sqref="M21:M93">
    <cfRule type="cellIs" dxfId="83" priority="82" operator="lessThan">
      <formula>2.5</formula>
    </cfRule>
    <cfRule type="cellIs" dxfId="82" priority="83" operator="between">
      <formula>2.5</formula>
      <formula>3</formula>
    </cfRule>
    <cfRule type="cellIs" dxfId="81" priority="84" operator="between">
      <formula>3.0001</formula>
      <formula>3.99</formula>
    </cfRule>
    <cfRule type="cellIs" dxfId="80" priority="85" operator="greaterThan">
      <formula>3.99</formula>
    </cfRule>
  </conditionalFormatting>
  <conditionalFormatting sqref="E23">
    <cfRule type="cellIs" dxfId="79" priority="78" operator="lessThan">
      <formula>2.5</formula>
    </cfRule>
    <cfRule type="cellIs" dxfId="78" priority="79" operator="between">
      <formula>3.01</formula>
      <formula>3.99</formula>
    </cfRule>
    <cfRule type="cellIs" dxfId="77" priority="80" operator="greaterThan">
      <formula>3.99</formula>
    </cfRule>
    <cfRule type="cellIs" dxfId="76" priority="81" operator="between">
      <formula>2.5</formula>
      <formula>3</formula>
    </cfRule>
  </conditionalFormatting>
  <conditionalFormatting sqref="S23">
    <cfRule type="cellIs" dxfId="75" priority="74" operator="between">
      <formula>2.5</formula>
      <formula>3</formula>
    </cfRule>
    <cfRule type="cellIs" dxfId="74" priority="75" operator="greaterThan">
      <formula>3.99</formula>
    </cfRule>
    <cfRule type="cellIs" dxfId="73" priority="76" operator="between">
      <formula>3.01</formula>
      <formula>3.99</formula>
    </cfRule>
    <cfRule type="cellIs" dxfId="72" priority="77" operator="lessThan">
      <formula>2.5</formula>
    </cfRule>
  </conditionalFormatting>
  <conditionalFormatting sqref="S38">
    <cfRule type="cellIs" dxfId="71" priority="70" operator="between">
      <formula>2.5</formula>
      <formula>3</formula>
    </cfRule>
    <cfRule type="cellIs" dxfId="70" priority="71" operator="greaterThan">
      <formula>3.99</formula>
    </cfRule>
    <cfRule type="cellIs" dxfId="69" priority="72" operator="between">
      <formula>3.01</formula>
      <formula>3.99</formula>
    </cfRule>
    <cfRule type="cellIs" dxfId="68" priority="73" operator="lessThan">
      <formula>2.5</formula>
    </cfRule>
  </conditionalFormatting>
  <conditionalFormatting sqref="S41">
    <cfRule type="cellIs" dxfId="67" priority="66" operator="between">
      <formula>2.5</formula>
      <formula>3</formula>
    </cfRule>
    <cfRule type="cellIs" dxfId="66" priority="67" operator="greaterThan">
      <formula>3.99</formula>
    </cfRule>
    <cfRule type="cellIs" dxfId="65" priority="68" operator="between">
      <formula>3.01</formula>
      <formula>3.99</formula>
    </cfRule>
    <cfRule type="cellIs" dxfId="64" priority="69" operator="lessThan">
      <formula>2.5</formula>
    </cfRule>
  </conditionalFormatting>
  <conditionalFormatting sqref="S46">
    <cfRule type="cellIs" dxfId="63" priority="62" operator="between">
      <formula>2.5</formula>
      <formula>3</formula>
    </cfRule>
    <cfRule type="cellIs" dxfId="62" priority="63" operator="greaterThan">
      <formula>3.99</formula>
    </cfRule>
    <cfRule type="cellIs" dxfId="61" priority="64" operator="between">
      <formula>3.01</formula>
      <formula>3.99</formula>
    </cfRule>
    <cfRule type="cellIs" dxfId="60" priority="65" operator="lessThan">
      <formula>2.5</formula>
    </cfRule>
  </conditionalFormatting>
  <conditionalFormatting sqref="S51">
    <cfRule type="cellIs" dxfId="59" priority="58" operator="between">
      <formula>2.5</formula>
      <formula>3</formula>
    </cfRule>
    <cfRule type="cellIs" dxfId="58" priority="59" operator="greaterThan">
      <formula>3.99</formula>
    </cfRule>
    <cfRule type="cellIs" dxfId="57" priority="60" operator="between">
      <formula>3.01</formula>
      <formula>3.99</formula>
    </cfRule>
    <cfRule type="cellIs" dxfId="56" priority="61" operator="lessThan">
      <formula>2.5</formula>
    </cfRule>
  </conditionalFormatting>
  <conditionalFormatting sqref="S59">
    <cfRule type="cellIs" dxfId="55" priority="54" operator="between">
      <formula>2.5</formula>
      <formula>3</formula>
    </cfRule>
    <cfRule type="cellIs" dxfId="54" priority="55" operator="greaterThan">
      <formula>3.99</formula>
    </cfRule>
    <cfRule type="cellIs" dxfId="53" priority="56" operator="between">
      <formula>3.01</formula>
      <formula>3.99</formula>
    </cfRule>
    <cfRule type="cellIs" dxfId="52" priority="57" operator="lessThan">
      <formula>2.5</formula>
    </cfRule>
  </conditionalFormatting>
  <conditionalFormatting sqref="S62">
    <cfRule type="cellIs" dxfId="51" priority="50" operator="between">
      <formula>2.5</formula>
      <formula>3</formula>
    </cfRule>
    <cfRule type="cellIs" dxfId="50" priority="51" operator="greaterThan">
      <formula>3.99</formula>
    </cfRule>
    <cfRule type="cellIs" dxfId="49" priority="52" operator="between">
      <formula>3.01</formula>
      <formula>3.99</formula>
    </cfRule>
    <cfRule type="cellIs" dxfId="48" priority="53" operator="lessThan">
      <formula>2.5</formula>
    </cfRule>
  </conditionalFormatting>
  <conditionalFormatting sqref="S64">
    <cfRule type="cellIs" dxfId="47" priority="46" operator="between">
      <formula>2.5</formula>
      <formula>3</formula>
    </cfRule>
    <cfRule type="cellIs" dxfId="46" priority="47" operator="greaterThan">
      <formula>3.99</formula>
    </cfRule>
    <cfRule type="cellIs" dxfId="45" priority="48" operator="between">
      <formula>3.01</formula>
      <formula>3.99</formula>
    </cfRule>
    <cfRule type="cellIs" dxfId="44" priority="49" operator="lessThan">
      <formula>2.5</formula>
    </cfRule>
  </conditionalFormatting>
  <conditionalFormatting sqref="S66">
    <cfRule type="cellIs" dxfId="43" priority="42" operator="between">
      <formula>2.5</formula>
      <formula>3</formula>
    </cfRule>
    <cfRule type="cellIs" dxfId="42" priority="43" operator="greaterThan">
      <formula>3.99</formula>
    </cfRule>
    <cfRule type="cellIs" dxfId="41" priority="44" operator="between">
      <formula>3.01</formula>
      <formula>3.99</formula>
    </cfRule>
    <cfRule type="cellIs" dxfId="40" priority="45" operator="lessThan">
      <formula>2.5</formula>
    </cfRule>
  </conditionalFormatting>
  <conditionalFormatting sqref="S75">
    <cfRule type="cellIs" dxfId="39" priority="38" operator="between">
      <formula>2.5</formula>
      <formula>3</formula>
    </cfRule>
    <cfRule type="cellIs" dxfId="38" priority="39" operator="greaterThan">
      <formula>3.99</formula>
    </cfRule>
    <cfRule type="cellIs" dxfId="37" priority="40" operator="between">
      <formula>3.01</formula>
      <formula>3.99</formula>
    </cfRule>
    <cfRule type="cellIs" dxfId="36" priority="41" operator="lessThan">
      <formula>2.5</formula>
    </cfRule>
  </conditionalFormatting>
  <conditionalFormatting sqref="S81">
    <cfRule type="cellIs" dxfId="35" priority="34" operator="between">
      <formula>2.5</formula>
      <formula>3</formula>
    </cfRule>
    <cfRule type="cellIs" dxfId="34" priority="35" operator="greaterThan">
      <formula>3.99</formula>
    </cfRule>
    <cfRule type="cellIs" dxfId="33" priority="36" operator="between">
      <formula>3.01</formula>
      <formula>3.99</formula>
    </cfRule>
    <cfRule type="cellIs" dxfId="32" priority="37" operator="lessThan">
      <formula>2.5</formula>
    </cfRule>
  </conditionalFormatting>
  <conditionalFormatting sqref="S83">
    <cfRule type="cellIs" dxfId="31" priority="30" operator="between">
      <formula>2.5</formula>
      <formula>3</formula>
    </cfRule>
    <cfRule type="cellIs" dxfId="30" priority="31" operator="greaterThan">
      <formula>3.99</formula>
    </cfRule>
    <cfRule type="cellIs" dxfId="29" priority="32" operator="between">
      <formula>3.01</formula>
      <formula>3.99</formula>
    </cfRule>
    <cfRule type="cellIs" dxfId="28" priority="33" operator="lessThan">
      <formula>2.5</formula>
    </cfRule>
  </conditionalFormatting>
  <conditionalFormatting sqref="S85">
    <cfRule type="cellIs" dxfId="27" priority="26" operator="between">
      <formula>2.5</formula>
      <formula>3</formula>
    </cfRule>
    <cfRule type="cellIs" dxfId="26" priority="27" operator="greaterThan">
      <formula>3.99</formula>
    </cfRule>
    <cfRule type="cellIs" dxfId="25" priority="28" operator="between">
      <formula>3.01</formula>
      <formula>3.99</formula>
    </cfRule>
    <cfRule type="cellIs" dxfId="24" priority="29" operator="lessThan">
      <formula>2.5</formula>
    </cfRule>
  </conditionalFormatting>
  <conditionalFormatting sqref="S93">
    <cfRule type="cellIs" dxfId="23" priority="22" operator="between">
      <formula>2.5</formula>
      <formula>3</formula>
    </cfRule>
    <cfRule type="cellIs" dxfId="22" priority="23" operator="greaterThan">
      <formula>3.99</formula>
    </cfRule>
    <cfRule type="cellIs" dxfId="21" priority="24" operator="between">
      <formula>3.01</formula>
      <formula>3.99</formula>
    </cfRule>
    <cfRule type="cellIs" dxfId="20" priority="25" operator="lessThan">
      <formula>2.5</formula>
    </cfRule>
  </conditionalFormatting>
  <conditionalFormatting sqref="F10:F15">
    <cfRule type="cellIs" dxfId="19" priority="18" operator="lessThan">
      <formula>2.5</formula>
    </cfRule>
    <cfRule type="cellIs" dxfId="18" priority="19" operator="between">
      <formula>3.01</formula>
      <formula>3.99</formula>
    </cfRule>
    <cfRule type="cellIs" dxfId="17" priority="20" operator="greaterThan">
      <formula>3.99</formula>
    </cfRule>
    <cfRule type="cellIs" dxfId="16" priority="21" operator="between">
      <formula>2.5</formula>
      <formula>3</formula>
    </cfRule>
  </conditionalFormatting>
  <conditionalFormatting sqref="H10:H15">
    <cfRule type="cellIs" dxfId="15" priority="14" operator="lessThan">
      <formula>2.5</formula>
    </cfRule>
    <cfRule type="cellIs" dxfId="14" priority="15" operator="between">
      <formula>3.01</formula>
      <formula>3.99</formula>
    </cfRule>
    <cfRule type="cellIs" dxfId="13" priority="16" operator="greaterThan">
      <formula>3.99</formula>
    </cfRule>
    <cfRule type="cellIs" dxfId="12" priority="17" operator="between">
      <formula>2.5</formula>
      <formula>3</formula>
    </cfRule>
  </conditionalFormatting>
  <conditionalFormatting sqref="C10:C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">
    <cfRule type="cellIs" dxfId="11" priority="9" operator="between">
      <formula>2.5</formula>
      <formula>3</formula>
    </cfRule>
    <cfRule type="cellIs" dxfId="10" priority="10" operator="greaterThan">
      <formula>3.99</formula>
    </cfRule>
    <cfRule type="cellIs" dxfId="9" priority="11" operator="between">
      <formula>3.01</formula>
      <formula>3.99</formula>
    </cfRule>
    <cfRule type="cellIs" dxfId="8" priority="12" operator="lessThan">
      <formula>2.5</formula>
    </cfRule>
  </conditionalFormatting>
  <conditionalFormatting sqref="E20">
    <cfRule type="cellIs" dxfId="7" priority="5" operator="lessThan">
      <formula>2.5</formula>
    </cfRule>
    <cfRule type="cellIs" dxfId="6" priority="6" operator="between">
      <formula>3.01</formula>
      <formula>3.99</formula>
    </cfRule>
    <cfRule type="cellIs" dxfId="5" priority="7" operator="greaterThan">
      <formula>3.99</formula>
    </cfRule>
    <cfRule type="cellIs" dxfId="4" priority="8" operator="between">
      <formula>2.5</formula>
      <formula>3</formula>
    </cfRule>
  </conditionalFormatting>
  <conditionalFormatting sqref="M19">
    <cfRule type="cellIs" dxfId="3" priority="1" operator="lessThan">
      <formula>2.5</formula>
    </cfRule>
    <cfRule type="cellIs" dxfId="2" priority="2" operator="between">
      <formula>2.5</formula>
      <formula>3</formula>
    </cfRule>
    <cfRule type="cellIs" dxfId="1" priority="3" operator="between">
      <formula>3.0001</formula>
      <formula>3.99</formula>
    </cfRule>
    <cfRule type="cellIs" dxfId="0" priority="4" operator="greaterThan">
      <formula>3.99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secretariat2</dc:creator>
  <cp:lastModifiedBy>secretariat2</cp:lastModifiedBy>
  <dcterms:created xsi:type="dcterms:W3CDTF">2022-04-13T14:43:06Z</dcterms:created>
  <dcterms:modified xsi:type="dcterms:W3CDTF">2022-04-14T07:49:54Z</dcterms:modified>
</cp:coreProperties>
</file>