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6d5842b14d14fa4/mpfe/"/>
    </mc:Choice>
  </mc:AlternateContent>
  <xr:revisionPtr revIDLastSave="2" documentId="8_{D5F49668-B2D4-4229-BE3B-5E89C5BAFB1E}" xr6:coauthVersionLast="47" xr6:coauthVersionMax="47" xr10:uidLastSave="{A9401F0E-B16D-44C3-91E5-DAF52A1655B4}"/>
  <bookViews>
    <workbookView xWindow="1080" yWindow="1080" windowWidth="21825" windowHeight="12045" xr2:uid="{6702EAF4-7137-47E8-8E0A-2B539229E19A}"/>
  </bookViews>
  <sheets>
    <sheet name="Stats all time" sheetId="1" r:id="rId1"/>
    <sheet name="Saison Hiver 2021-2022" sheetId="4" r:id="rId2"/>
    <sheet name="Saison Été 2021" sheetId="2" r:id="rId3"/>
    <sheet name="Saison Hiver 2020-2021" sheetId="3" r:id="rId4"/>
  </sheet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G4" i="4"/>
  <c r="G5" i="4"/>
  <c r="G6" i="4"/>
  <c r="G7" i="4"/>
  <c r="G8" i="4"/>
  <c r="G9" i="4"/>
  <c r="G10" i="4"/>
  <c r="G11" i="4"/>
  <c r="G12" i="4"/>
  <c r="G13" i="4"/>
  <c r="G14" i="4"/>
  <c r="G15" i="4"/>
  <c r="G16" i="4"/>
  <c r="H16" i="4" s="1"/>
  <c r="G17" i="4"/>
  <c r="H17" i="4" s="1"/>
  <c r="G18" i="4"/>
  <c r="H18" i="4" s="1"/>
  <c r="G19" i="4"/>
  <c r="H19" i="4" s="1"/>
  <c r="G20" i="4"/>
  <c r="H20" i="4" s="1"/>
  <c r="G21" i="4"/>
  <c r="G22" i="4"/>
  <c r="H22" i="4" s="1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29" i="4"/>
  <c r="H29" i="4" s="1"/>
  <c r="G30" i="4"/>
  <c r="H30" i="4" s="1"/>
  <c r="G31" i="4"/>
  <c r="H31" i="4" s="1"/>
  <c r="H4" i="4"/>
  <c r="H5" i="4"/>
  <c r="H6" i="4"/>
  <c r="H7" i="4"/>
  <c r="H8" i="4"/>
  <c r="H9" i="4"/>
  <c r="H10" i="4"/>
  <c r="H11" i="4"/>
  <c r="H12" i="4"/>
  <c r="H13" i="4"/>
  <c r="H14" i="4"/>
  <c r="H15" i="4"/>
  <c r="H21" i="4"/>
  <c r="N8" i="1" a="1"/>
  <c r="N8" i="1" s="1"/>
  <c r="O8" i="1" a="1"/>
  <c r="O8" i="1" s="1"/>
  <c r="G16" i="3"/>
  <c r="H16" i="3" s="1"/>
  <c r="F20" i="2"/>
  <c r="G15" i="3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H44" i="1"/>
  <c r="F44" i="1"/>
  <c r="H20" i="3"/>
  <c r="F20" i="3"/>
  <c r="H36" i="4"/>
  <c r="H37" i="4"/>
  <c r="H35" i="4"/>
  <c r="G10" i="2"/>
  <c r="H10" i="2" s="1"/>
  <c r="G14" i="2"/>
  <c r="H14" i="2" s="1"/>
  <c r="G9" i="2"/>
  <c r="G7" i="2"/>
  <c r="G12" i="2"/>
  <c r="H12" i="2" s="1"/>
  <c r="G5" i="2"/>
  <c r="G13" i="2"/>
  <c r="H9" i="2" s="1"/>
  <c r="G8" i="2"/>
  <c r="H8" i="2" s="1"/>
  <c r="G15" i="2"/>
  <c r="H7" i="2" s="1"/>
  <c r="G4" i="2"/>
  <c r="G16" i="2"/>
  <c r="G6" i="2"/>
  <c r="G11" i="2"/>
  <c r="Y4" i="4"/>
  <c r="Y8" i="1" s="1" a="1"/>
  <c r="Y8" i="1" s="1"/>
  <c r="Z4" i="4"/>
  <c r="U4" i="4"/>
  <c r="T4" i="4"/>
  <c r="T8" i="1" s="1" a="1"/>
  <c r="T8" i="1" s="1"/>
  <c r="P8" i="1" a="1"/>
  <c r="P8" i="1" s="1"/>
  <c r="Q8" i="1" a="1"/>
  <c r="Q8" i="1"/>
  <c r="R8" i="1" a="1"/>
  <c r="R8" i="1" s="1"/>
  <c r="S8" i="1" a="1"/>
  <c r="S8" i="1" s="1"/>
  <c r="V8" i="1" a="1"/>
  <c r="V8" i="1" s="1"/>
  <c r="W8" i="1" a="1"/>
  <c r="W8" i="1" s="1"/>
  <c r="Z8" i="1" a="1"/>
  <c r="Z8" i="1" s="1"/>
  <c r="AA8" i="1" a="1"/>
  <c r="AA8" i="1" s="1"/>
  <c r="U5" i="1"/>
  <c r="W6" i="1" a="1"/>
  <c r="W6" i="1" s="1"/>
  <c r="Y6" i="1" a="1"/>
  <c r="Y6" i="1" s="1"/>
  <c r="AA6" i="1" a="1"/>
  <c r="AA6" i="1" s="1"/>
  <c r="V6" i="1" a="1"/>
  <c r="V6" i="1" s="1"/>
  <c r="X6" i="1" s="1"/>
  <c r="O7" i="1" a="1"/>
  <c r="O7" i="1" s="1"/>
  <c r="P7" i="1" a="1"/>
  <c r="P7" i="1" s="1"/>
  <c r="Q7" i="1" a="1"/>
  <c r="Q7" i="1" s="1"/>
  <c r="R7" i="1" a="1"/>
  <c r="R7" i="1"/>
  <c r="S7" i="1" a="1"/>
  <c r="S7" i="1" s="1"/>
  <c r="T7" i="1" a="1"/>
  <c r="T7" i="1" s="1"/>
  <c r="V7" i="1" a="1"/>
  <c r="V7" i="1" s="1"/>
  <c r="W7" i="1" a="1"/>
  <c r="W7" i="1" s="1"/>
  <c r="Y7" i="1" a="1"/>
  <c r="Y7" i="1" s="1"/>
  <c r="Z7" i="1" a="1"/>
  <c r="Z7" i="1" s="1"/>
  <c r="N7" i="1" a="1"/>
  <c r="N7" i="1" s="1"/>
  <c r="F36" i="4"/>
  <c r="F37" i="4"/>
  <c r="F35" i="4"/>
  <c r="O6" i="1" a="1"/>
  <c r="O6" i="1" s="1"/>
  <c r="P6" i="1" a="1"/>
  <c r="P6" i="1" s="1"/>
  <c r="Q6" i="1" a="1"/>
  <c r="Q6" i="1" s="1"/>
  <c r="R6" i="1" a="1"/>
  <c r="R6" i="1" s="1"/>
  <c r="S6" i="1" a="1"/>
  <c r="S6" i="1" s="1"/>
  <c r="T6" i="1" a="1"/>
  <c r="T6" i="1" s="1"/>
  <c r="N6" i="1" a="1"/>
  <c r="N6" i="1" s="1"/>
  <c r="Z4" i="3"/>
  <c r="Z6" i="1" s="1" a="1"/>
  <c r="Z6" i="1" s="1"/>
  <c r="Y4" i="3"/>
  <c r="X4" i="3"/>
  <c r="U4" i="3"/>
  <c r="X4" i="4"/>
  <c r="Y4" i="2"/>
  <c r="Z4" i="2"/>
  <c r="X4" i="2"/>
  <c r="U4" i="2"/>
  <c r="X5" i="1"/>
  <c r="H13" i="2" l="1"/>
  <c r="H16" i="2"/>
  <c r="H15" i="2"/>
  <c r="H4" i="2"/>
  <c r="H5" i="2"/>
  <c r="H6" i="2"/>
  <c r="H11" i="2"/>
  <c r="X7" i="1"/>
  <c r="U8" i="1"/>
  <c r="N9" i="1"/>
  <c r="U7" i="1"/>
  <c r="V9" i="1"/>
  <c r="Q9" i="1"/>
  <c r="H43" i="1"/>
  <c r="H42" i="1"/>
  <c r="U6" i="1"/>
  <c r="F43" i="1"/>
  <c r="T9" i="1"/>
  <c r="F42" i="1"/>
  <c r="X8" i="1"/>
  <c r="X9" i="1" s="1"/>
  <c r="P9" i="1"/>
  <c r="W9" i="1"/>
  <c r="O9" i="1"/>
  <c r="F41" i="1"/>
  <c r="H41" i="1"/>
  <c r="S9" i="1"/>
  <c r="R9" i="1"/>
  <c r="AA9" i="1"/>
  <c r="U9" i="1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<sst xmlns="http://schemas.openxmlformats.org/spreadsheetml/2006/main" count="328" uniqueCount="104">
  <si>
    <t>Joueurs</t>
  </si>
  <si>
    <t>Nom</t>
  </si>
  <si>
    <t>B</t>
  </si>
  <si>
    <t>A</t>
  </si>
  <si>
    <t>Pts</t>
  </si>
  <si>
    <t>Pun</t>
  </si>
  <si>
    <t>Position</t>
  </si>
  <si>
    <t>Rang</t>
  </si>
  <si>
    <t>Kevin St-Pierre</t>
  </si>
  <si>
    <t>Maxime Leblanc</t>
  </si>
  <si>
    <t>Mathis Desgroseilliers</t>
  </si>
  <si>
    <t>Jean-David Banville</t>
  </si>
  <si>
    <t>Simon Charland</t>
  </si>
  <si>
    <t>Étienne Desmarais-Pilotte</t>
  </si>
  <si>
    <t>Nicolas St-Pierre</t>
  </si>
  <si>
    <t>Patrick Turcotte</t>
  </si>
  <si>
    <t>Tristan Moneypenney</t>
  </si>
  <si>
    <t>Benjamin Viens</t>
  </si>
  <si>
    <t>Jérémy Champagne</t>
  </si>
  <si>
    <t>Jérémie Giasson-Léger</t>
  </si>
  <si>
    <t>Emrick Labrèche</t>
  </si>
  <si>
    <t>Philippe Quesnel</t>
  </si>
  <si>
    <t>Édouard Thibault</t>
  </si>
  <si>
    <t>Anthony De Vincentis</t>
  </si>
  <si>
    <t>Emmanuel Viens</t>
  </si>
  <si>
    <t>Julien Vermorel</t>
  </si>
  <si>
    <t>Williams Carrière</t>
  </si>
  <si>
    <t>Alexandre Piquette</t>
  </si>
  <si>
    <t>Cedrick Dufour-Gosselin</t>
  </si>
  <si>
    <t>Tyler Morris</t>
  </si>
  <si>
    <t>Lawrence Benjamin</t>
  </si>
  <si>
    <t>Francis-Olivier Fortin</t>
  </si>
  <si>
    <t>Francis Poirier</t>
  </si>
  <si>
    <t>Michael Levesque</t>
  </si>
  <si>
    <t>Hugo Desautels</t>
  </si>
  <si>
    <t>Anthony Smith</t>
  </si>
  <si>
    <t>Mathieu Valiquette</t>
  </si>
  <si>
    <t>Francis Labelle</t>
  </si>
  <si>
    <t>Gilles Noël</t>
  </si>
  <si>
    <t>Vincent Bellemare</t>
  </si>
  <si>
    <t>Mike Arsenault</t>
  </si>
  <si>
    <t>Simon Racine-Brodeur</t>
  </si>
  <si>
    <t>Gardien</t>
  </si>
  <si>
    <t xml:space="preserve">Nom </t>
  </si>
  <si>
    <t>Moy</t>
  </si>
  <si>
    <t>V</t>
  </si>
  <si>
    <t>D</t>
  </si>
  <si>
    <t>%V</t>
  </si>
  <si>
    <t>Félix Labelle</t>
  </si>
  <si>
    <t>Jeremie Giasson-Léger</t>
  </si>
  <si>
    <t>Jean-François Carette</t>
  </si>
  <si>
    <t>Alex Murphy</t>
  </si>
  <si>
    <t>Pts/match</t>
  </si>
  <si>
    <t>Total</t>
  </si>
  <si>
    <t>Stats all time</t>
  </si>
  <si>
    <t>Vipers du Richelieu</t>
  </si>
  <si>
    <t>Équipe</t>
  </si>
  <si>
    <t>N</t>
  </si>
  <si>
    <t>DF</t>
  </si>
  <si>
    <t>VF</t>
  </si>
  <si>
    <t>%Vic</t>
  </si>
  <si>
    <t>BP</t>
  </si>
  <si>
    <t>BC</t>
  </si>
  <si>
    <t>AVN</t>
  </si>
  <si>
    <t>DVN</t>
  </si>
  <si>
    <t>Min. Pun</t>
  </si>
  <si>
    <t>PJ</t>
  </si>
  <si>
    <t>Saisons</t>
  </si>
  <si>
    <t>Hiver 2020-2021</t>
  </si>
  <si>
    <t>Été 2021</t>
  </si>
  <si>
    <t>Hiver 2021-2022</t>
  </si>
  <si>
    <t>Hors-concours</t>
  </si>
  <si>
    <t>Diff</t>
  </si>
  <si>
    <t>Saison</t>
  </si>
  <si>
    <t>Records (all time)</t>
  </si>
  <si>
    <t>Plus de buts pour en 1 match</t>
  </si>
  <si>
    <t>Plus de buts en 1 match</t>
  </si>
  <si>
    <t>4 (S. Charland)</t>
  </si>
  <si>
    <t>Moins de buts contre en 1 match</t>
  </si>
  <si>
    <t>Plus de passes en 1 match</t>
  </si>
  <si>
    <t>5 (J Banville)</t>
  </si>
  <si>
    <t>Plus de victoires de suite (matchs compétitifs)</t>
  </si>
  <si>
    <t>Plus de points en 1 match</t>
  </si>
  <si>
    <t>5 (J Banville, M Leblanc, S Charland</t>
  </si>
  <si>
    <t xml:space="preserve">Plus grand +/- de buts en 1 match </t>
  </si>
  <si>
    <t>K St-Pierre, M Desgroseilliers)</t>
  </si>
  <si>
    <t>Nbr de joueurs avec 5 pts ou plus en 1 match</t>
  </si>
  <si>
    <t>Nbr de joueurs avec 3 buts ou plus en 1 match</t>
  </si>
  <si>
    <t>Saison Hiver 2021-2022</t>
  </si>
  <si>
    <t>Tristan Moneypenny</t>
  </si>
  <si>
    <t>BA</t>
  </si>
  <si>
    <t>?</t>
  </si>
  <si>
    <t>-</t>
  </si>
  <si>
    <t>Anthony Devincentis</t>
  </si>
  <si>
    <t>Étienne Pilotte</t>
  </si>
  <si>
    <t>Emanuel Viens</t>
  </si>
  <si>
    <t>Mickael Levesque</t>
  </si>
  <si>
    <t>Emerick Labreche</t>
  </si>
  <si>
    <t>Gardiens</t>
  </si>
  <si>
    <t>Min Pun</t>
  </si>
  <si>
    <t>Saison Été 2021</t>
  </si>
  <si>
    <t>Saison Hiver 2020-2021</t>
  </si>
  <si>
    <t>Équipe : Vipers du Richelieu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</si>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</sst>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theme="0" tint="-0.14999847407452621"/>
      </patternFill>
    </fill>
  </fills>
  <borders count="5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87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2" applyAlignment="1">
      <alignment horizontal="center"/>
    </xf>
    <xf numFmtId="0" fontId="2" fillId="0" borderId="0" xfId="2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2" fillId="0" borderId="0" xfId="2" applyFont="1" applyAlignment="1">
      <alignment horizontal="center"/>
    </xf>
    <xf numFmtId="0" fontId="3" fillId="0" borderId="0" xfId="2" applyFont="1"/>
    <xf numFmtId="0" fontId="3" fillId="0" borderId="0" xfId="2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3" fillId="0" borderId="0" xfId="2" applyFont="1" applyFill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0" xfId="2" applyAlignment="1">
      <alignment horizontal="center"/>
    </xf>
    <xf numFmtId="0" fontId="2" fillId="0" borderId="0" xfId="2" applyAlignment="1">
      <alignment horizontal="center" vertical="center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3" fillId="0" borderId="0" xfId="2" applyFont="1" applyFill="1"/>
    <xf numFmtId="164" fontId="0" fillId="0" borderId="0" xfId="1" applyNumberFormat="1" applyFont="1"/>
    <xf numFmtId="164" fontId="0" fillId="0" borderId="0" xfId="1" applyNumberFormat="1" applyFont="1" applyAlignment="1">
      <alignment horizontal="center"/>
    </xf>
    <xf numFmtId="0" fontId="2" fillId="0" borderId="0" xfId="2" applyAlignment="1">
      <alignment horizontal="center"/>
    </xf>
    <xf numFmtId="0" fontId="3" fillId="0" borderId="0" xfId="2" applyFont="1" applyAlignment="1">
      <alignment horizontal="center" vertic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2" fillId="0" borderId="0" xfId="2" applyFont="1" applyFill="1" applyAlignment="1">
      <alignment horizontal="center" vertical="center"/>
    </xf>
    <xf numFmtId="2" fontId="2" fillId="0" borderId="0" xfId="2" applyNumberFormat="1" applyFont="1" applyAlignment="1">
      <alignment horizontal="center"/>
    </xf>
    <xf numFmtId="0" fontId="2" fillId="0" borderId="0" xfId="2" applyFont="1" applyAlignment="1">
      <alignment horizontal="left"/>
    </xf>
    <xf numFmtId="0" fontId="2" fillId="0" borderId="0" xfId="2" applyFont="1" applyAlignment="1">
      <alignment horizontal="left" vertical="center"/>
    </xf>
    <xf numFmtId="0" fontId="2" fillId="0" borderId="0" xfId="2" applyAlignment="1">
      <alignment horizontal="center"/>
    </xf>
    <xf numFmtId="0" fontId="3" fillId="0" borderId="0" xfId="2" applyFont="1" applyAlignment="1">
      <alignment horizontal="center" vertical="center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" vertical="center"/>
    </xf>
    <xf numFmtId="164" fontId="2" fillId="0" borderId="0" xfId="1" applyNumberFormat="1" applyFont="1" applyAlignment="1">
      <alignment horizontal="center"/>
    </xf>
    <xf numFmtId="10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4" borderId="0" xfId="0" applyFont="1" applyFill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65" fontId="2" fillId="4" borderId="1" xfId="0" applyNumberFormat="1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164" fontId="2" fillId="0" borderId="0" xfId="1" applyNumberFormat="1" applyFont="1"/>
    <xf numFmtId="0" fontId="2" fillId="6" borderId="0" xfId="0" applyFont="1" applyFill="1" applyAlignment="1">
      <alignment horizontal="center"/>
    </xf>
    <xf numFmtId="0" fontId="2" fillId="7" borderId="1" xfId="0" applyFont="1" applyFill="1" applyBorder="1"/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165" fontId="2" fillId="6" borderId="1" xfId="0" applyNumberFormat="1" applyFont="1" applyFill="1" applyBorder="1" applyAlignment="1">
      <alignment horizontal="center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center"/>
    </xf>
    <xf numFmtId="165" fontId="2" fillId="5" borderId="1" xfId="0" applyNumberFormat="1" applyFont="1" applyFill="1" applyBorder="1" applyAlignment="1">
      <alignment horizontal="center"/>
    </xf>
    <xf numFmtId="165" fontId="2" fillId="7" borderId="1" xfId="0" applyNumberFormat="1" applyFont="1" applyFill="1" applyBorder="1" applyAlignment="1">
      <alignment horizontal="center"/>
    </xf>
    <xf numFmtId="0" fontId="2" fillId="4" borderId="0" xfId="0" applyFont="1" applyFill="1" applyBorder="1"/>
    <xf numFmtId="0" fontId="2" fillId="4" borderId="0" xfId="0" applyFont="1" applyFill="1" applyBorder="1" applyAlignment="1">
      <alignment horizontal="center"/>
    </xf>
    <xf numFmtId="165" fontId="2" fillId="4" borderId="0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center"/>
    </xf>
    <xf numFmtId="0" fontId="2" fillId="6" borderId="0" xfId="0" applyFont="1" applyFill="1" applyBorder="1"/>
    <xf numFmtId="0" fontId="2" fillId="6" borderId="0" xfId="0" applyFont="1" applyFill="1" applyBorder="1" applyAlignment="1">
      <alignment horizontal="center"/>
    </xf>
    <xf numFmtId="165" fontId="2" fillId="6" borderId="0" xfId="0" applyNumberFormat="1" applyFont="1" applyFill="1" applyBorder="1" applyAlignment="1">
      <alignment horizontal="center"/>
    </xf>
    <xf numFmtId="0" fontId="3" fillId="0" borderId="4" xfId="2" applyFont="1" applyBorder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2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3" borderId="3" xfId="2" applyNumberFormat="1" applyFont="1" applyFill="1" applyBorder="1" applyAlignment="1">
      <alignment horizontal="left"/>
    </xf>
    <xf numFmtId="0" fontId="2" fillId="3" borderId="3" xfId="2" applyNumberFormat="1" applyFont="1" applyFill="1" applyBorder="1" applyAlignment="1">
      <alignment horizontal="center"/>
    </xf>
    <xf numFmtId="0" fontId="3" fillId="3" borderId="3" xfId="2" applyNumberFormat="1" applyFont="1" applyFill="1" applyBorder="1" applyAlignment="1">
      <alignment horizontal="center"/>
    </xf>
    <xf numFmtId="2" fontId="2" fillId="3" borderId="3" xfId="2" applyNumberFormat="1" applyFont="1" applyFill="1" applyBorder="1" applyAlignment="1">
      <alignment horizontal="center"/>
    </xf>
    <xf numFmtId="0" fontId="2" fillId="0" borderId="3" xfId="2" applyNumberFormat="1" applyFont="1" applyBorder="1" applyAlignment="1">
      <alignment horizontal="left"/>
    </xf>
    <xf numFmtId="0" fontId="2" fillId="0" borderId="3" xfId="2" applyNumberFormat="1" applyFont="1" applyBorder="1" applyAlignment="1">
      <alignment horizontal="center"/>
    </xf>
    <xf numFmtId="0" fontId="3" fillId="0" borderId="3" xfId="2" applyNumberFormat="1" applyFont="1" applyBorder="1" applyAlignment="1">
      <alignment horizontal="center"/>
    </xf>
    <xf numFmtId="2" fontId="2" fillId="0" borderId="3" xfId="2" applyNumberFormat="1" applyFont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0" borderId="3" xfId="0" applyFont="1" applyBorder="1"/>
    <xf numFmtId="2" fontId="0" fillId="0" borderId="3" xfId="0" applyNumberFormat="1" applyFont="1" applyBorder="1"/>
    <xf numFmtId="0" fontId="2" fillId="0" borderId="0" xfId="2" quotePrefix="1" applyFont="1" applyAlignment="1">
      <alignment horizontal="center"/>
    </xf>
    <xf numFmtId="2" fontId="2" fillId="0" borderId="0" xfId="2" quotePrefix="1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2" applyFont="1" applyAlignment="1">
      <alignment horizontal="center" vertical="center"/>
    </xf>
    <xf numFmtId="0" fontId="5" fillId="0" borderId="0" xfId="0" applyFont="1"/>
  </cellXfs>
  <cellStyles count="3">
    <cellStyle name="Normal" xfId="0" builtinId="0"/>
    <cellStyle name="Normal 2" xfId="2" xr:uid="{40F5BBBC-A480-47AC-9748-7A9B4825A238}"/>
    <cellStyle name="Pourcentage" xfId="1" builtinId="5"/>
  </cellStyles>
  <dxfs count="188"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>
          <bgColor theme="0"/>
        </patternFill>
      </fill>
      <alignment horizontal="center" vertical="bottom" textRotation="0" wrapText="0" indent="0" justifyLastLine="0" shrinkToFit="0" readingOrder="0"/>
    </dxf>
    <dxf>
      <numFmt numFmtId="165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0.0"/>
      <fill>
        <patternFill>
          <bgColor theme="0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0" tint="-0.14999847407452621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 style="thin">
          <color theme="1"/>
        </bottom>
      </border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>
          <bgColor theme="0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>
          <bgColor theme="0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>
          <bgColor theme="0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>
          <bgColor theme="0"/>
        </patternFill>
      </fill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%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%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%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%"/>
      <alignment horizontal="center" vertical="bottom" textRotation="0" wrapText="0" indent="0" justifyLastLine="0" shrinkToFit="0" readingOrder="0"/>
    </dxf>
    <dxf>
      <numFmt numFmtId="164" formatCode="0.0%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%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14" formatCode="0.00%"/>
    </dxf>
    <dxf>
      <font>
        <b val="0"/>
      </font>
      <alignment horizontal="left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numFmt numFmtId="14" formatCode="0.00%"/>
    </dxf>
    <dxf>
      <font>
        <b val="0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</font>
      <numFmt numFmtId="2" formatCode="0.00"/>
    </dxf>
    <dxf>
      <font>
        <b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B9A804-5586-4444-9BC3-2E55142E2E09}" name="Joueuralltime" displayName="Joueuralltime" ref="A3:I37" headerRowDxfId="187" dataDxfId="186" dataCellStyle="Normal 2">
  <autoFilter ref="A3:I37" xr:uid="{C6B9A804-5586-4444-9BC3-2E55142E2E09}"/>
  <sortState xmlns:xlrd2="http://schemas.microsoft.com/office/spreadsheetml/2017/richdata2" ref="A4:I37">
    <sortCondition ref="B3:B37"/>
  </sortState>
  <tableColumns count="9">
    <tableColumn id="1" xr3:uid="{4171254B-D9BC-48A9-B6D2-C8A23BFEFBA7}" name="Rang" totalsRowLabel="Total" dataDxfId="185" totalsRowDxfId="184" dataCellStyle="Normal 2"/>
    <tableColumn id="2" xr3:uid="{FF7912E3-D591-44F7-9AEC-EF58E2FE3228}" name="Nom" dataDxfId="183" totalsRowDxfId="182" dataCellStyle="Normal 2"/>
    <tableColumn id="3" xr3:uid="{94B5568E-E35F-4F78-9FF5-DAD032042B43}" name="Position" dataDxfId="181" totalsRowDxfId="180" dataCellStyle="Normal 2"/>
    <tableColumn id="4" xr3:uid="{5DBC4E27-877C-41DA-B9BD-8EA787AE9176}" name="PJ" dataDxfId="179" dataCellStyle="Normal 2">
      <calculatedColumnFormula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calculatedColumnFormula>
    </tableColumn>
    <tableColumn id="5" xr3:uid="{96BF7C93-13A9-4D52-99F7-7E41B2985F2C}" name="B" dataDxfId="178" dataCellStyle="Normal 2">
      <calculatedColumnFormula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calculatedColumnFormula>
    </tableColumn>
    <tableColumn id="6" xr3:uid="{9B63C3BC-191D-4069-A382-4419DEA9C7AC}" name="A" dataDxfId="177" totalsRowDxfId="176" dataCellStyle="Normal 2">
      <calculatedColumnFormula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calculatedColumnFormula>
    </tableColumn>
    <tableColumn id="7" xr3:uid="{04318B84-C9E3-4402-B9B3-6E77C6764E41}" name="Pts" dataDxfId="175">
      <calculatedColumnFormula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calculatedColumnFormula>
    </tableColumn>
    <tableColumn id="8" xr3:uid="{9F7B0ED3-CCE4-47E4-A38F-DD39D8761385}" name="Pts/match" dataDxfId="174">
      <calculatedColumnFormula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calculatedColumnFormula>
    </tableColumn>
    <tableColumn id="9" xr3:uid="{5F68C460-53CD-490F-9242-2BDDF7D8A97A}" name="Min Pun" totalsRowFunction="count" dataDxfId="173" totalsRowDxfId="172" dataCellStyle="Normal 2">
      <calculatedColumnFormula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A03E85B-D12B-4B13-9411-9B15DAC8F3FD}" name="Teamalltime" displayName="Teamalltime" ref="M4:AA9" totalsRowCount="1" headerRowDxfId="171" dataDxfId="170" totalsRowDxfId="169">
  <autoFilter ref="M4:AA8" xr:uid="{5A03E85B-D12B-4B13-9411-9B15DAC8F3FD}"/>
  <tableColumns count="15">
    <tableColumn id="1" xr3:uid="{467A1C6E-2262-4A50-9848-8B830BAF8902}" name="Saisons" totalsRowLabel="Total" dataDxfId="168" totalsRowDxfId="167"/>
    <tableColumn id="2" xr3:uid="{061A4D55-4D7B-4764-B1F0-ABA66033F4AF}" name="PJ" totalsRowFunction="sum" dataDxfId="166" totalsRowDxfId="165"/>
    <tableColumn id="3" xr3:uid="{1777F93A-9A6E-41F5-812B-AEA28A76C83E}" name="V" totalsRowFunction="sum" dataDxfId="164" totalsRowDxfId="163"/>
    <tableColumn id="4" xr3:uid="{4DB76230-27A4-4294-91D6-B6D2B35A53CE}" name="D" totalsRowFunction="sum" dataDxfId="162" totalsRowDxfId="161"/>
    <tableColumn id="5" xr3:uid="{47F07336-45C1-4E0E-A067-E7C5FAF9576C}" name="N" totalsRowFunction="sum" dataDxfId="160" totalsRowDxfId="159"/>
    <tableColumn id="6" xr3:uid="{CFF25ED1-3649-49A2-8AA0-4E85EB2A5C0A}" name="DF" totalsRowFunction="sum" dataDxfId="158" totalsRowDxfId="157"/>
    <tableColumn id="7" xr3:uid="{C372A750-DBF0-473A-8DFC-462370680FDA}" name="VF" totalsRowFunction="sum" dataDxfId="156" totalsRowDxfId="155"/>
    <tableColumn id="8" xr3:uid="{47D3B540-2BD9-4476-9F55-A3ADF85BA63D}" name="Pts" totalsRowFunction="sum" dataDxfId="154" totalsRowDxfId="153"/>
    <tableColumn id="9" xr3:uid="{E32DF338-B4BF-445C-A860-0B244538F3EC}" name="%Vic" totalsRowFunction="custom" dataDxfId="152" totalsRowDxfId="151" dataCellStyle="Pourcentage">
      <calculatedColumnFormula>Teamalltime[[#This Row],[V]]/Teamalltime[[#This Row],[PJ]]</calculatedColumnFormula>
      <totalsRowFormula>Teamalltime[[#Totals],[V]]/Teamalltime[[#Totals],[PJ]]</totalsRowFormula>
    </tableColumn>
    <tableColumn id="10" xr3:uid="{055F7793-44B9-4ACA-82AC-46E37E2F86BD}" name="BP" totalsRowFunction="sum" dataDxfId="150" totalsRowDxfId="149"/>
    <tableColumn id="11" xr3:uid="{6C5ADEA9-8812-4ED3-8911-E6BB8D6491F1}" name="BC" totalsRowFunction="sum" dataDxfId="148" totalsRowDxfId="147"/>
    <tableColumn id="15" xr3:uid="{374EF931-AF96-43A9-9AFD-FBBAEDB1F6D2}" name="Diff" totalsRowFunction="sum" dataDxfId="146" totalsRowDxfId="145">
      <calculatedColumnFormula>Teamalltime[[#This Row],[BP]]-Teamalltime[[#This Row],[BC]]</calculatedColumnFormula>
    </tableColumn>
    <tableColumn id="12" xr3:uid="{C51CF4B5-76B5-412F-803D-C4C78E1A67D2}" name="AVN" dataDxfId="144" totalsRowDxfId="143" dataCellStyle="Pourcentage"/>
    <tableColumn id="13" xr3:uid="{B20A3CD6-BBE5-4A60-AA5F-921B2A40AA88}" name="DVN" dataDxfId="142" totalsRowDxfId="141" dataCellStyle="Pourcentage"/>
    <tableColumn id="14" xr3:uid="{E64E864D-AB0E-47C7-93FC-703013AFE237}" name="Min. Pun" totalsRowFunction="sum" dataDxfId="140" totalsRowDxfId="139"/>
  </tableColumns>
  <tableStyleInfo name="TableStyleMedium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B28ADD3-8A51-432E-A9BA-9CD7CA2862E2}" name="Goaliealltime" displayName="Goaliealltime" ref="A40:K44" totalsRowShown="0" headerRowDxfId="138">
  <autoFilter ref="A40:K44" xr:uid="{9B28ADD3-8A51-432E-A9BA-9CD7CA2862E2}"/>
  <tableColumns count="11">
    <tableColumn id="1" xr3:uid="{9433979F-7791-4777-B74F-5BF3A3522A30}" name="Rang"/>
    <tableColumn id="2" xr3:uid="{26AD318C-B5C3-457C-96B2-2894C79AFE44}" name="Nom " dataDxfId="137"/>
    <tableColumn id="3" xr3:uid="{E2637B16-2175-4C79-AC65-42EE5162F796}" name="PJ"/>
    <tableColumn id="4" xr3:uid="{A5864B0F-4090-4732-9869-07B40194E5A7}" name="V"/>
    <tableColumn id="5" xr3:uid="{80782847-AC1E-487D-A0B1-A5CAB2517719}" name="D"/>
    <tableColumn id="6" xr3:uid="{B6F0F438-DEF1-41F8-B552-C6B7A87FA0B8}" name="%V" dataDxfId="136" dataCellStyle="Pourcentage">
      <calculatedColumnFormula>Goaliealltime[[#This Row],[V]]/Goaliealltime[[#This Row],[PJ]]</calculatedColumnFormula>
    </tableColumn>
    <tableColumn id="11" xr3:uid="{4EF6F19F-FEFB-4349-B15B-F7ED1040B07C}" name="BA"/>
    <tableColumn id="7" xr3:uid="{91E344A6-438E-4BE8-B0C3-4F6CCE979568}" name="Moy">
      <calculatedColumnFormula>Goaliealltime[[#This Row],[BA]]/Goaliealltime[[#This Row],[PJ]]</calculatedColumnFormula>
    </tableColumn>
    <tableColumn id="8" xr3:uid="{FEB1AFE7-9CFC-4E8F-89CB-3700C332D809}" name="B"/>
    <tableColumn id="9" xr3:uid="{D9AEC01D-B214-4109-8BFB-DD84EFB99C24}" name="A"/>
    <tableColumn id="10" xr3:uid="{BE9DCF69-4831-4A01-B186-A8F0115F2D63}" name="Pun" dataDxfId="135" dataCellStyle="Normal 2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396B2B5-FDF7-4841-8547-43E931A52709}" name="Tableau5" displayName="Tableau5" ref="AD6:AG13" headerRowCount="0" headerRowDxfId="134" dataDxfId="133" headerRowCellStyle="Normal 2" dataCellStyle="Normal 2">
  <tableColumns count="4">
    <tableColumn id="1" xr3:uid="{F3550CC4-5B82-4FF4-ADC3-3FA715756132}" name="Colonne1" totalsRowLabel="Total" headerRowDxfId="132" dataDxfId="131" totalsRowDxfId="130" headerRowCellStyle="Normal 2" dataCellStyle="Normal 2"/>
    <tableColumn id="3" xr3:uid="{9EB10B95-AD04-42F6-AFD9-B7E75CF900F5}" name="Colonne3" headerRowDxfId="129" dataDxfId="128" totalsRowDxfId="127" headerRowCellStyle="Normal 2" dataCellStyle="Normal 2"/>
    <tableColumn id="5" xr3:uid="{731FD03D-3780-4F1C-8D93-B305B3E88A05}" name="Colonne5" headerRowDxfId="126" dataDxfId="125" totalsRowDxfId="124" headerRowCellStyle="Normal 2" dataCellStyle="Normal 2"/>
    <tableColumn id="7" xr3:uid="{AB4AB244-2A34-4584-81E2-20F7463A6BD0}" name="Colonne7" headerRowDxfId="123" dataDxfId="122" totalsRowDxfId="121" headerRowCellStyle="Normal 2" dataCellStyle="Normal 2"/>
  </tableColumns>
  <tableStyleInfo name="TableStyleLight8" showFirstColumn="0" showLastColumn="0" showRowStripes="1" showColumnStripes="1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0BF71B5-BCEC-42AB-A08A-C6A3779A6B82}" name="TeamH2021" displayName="TeamH2021" ref="L3:AA4" totalsRowShown="0" headerRowDxfId="120" dataDxfId="119">
  <autoFilter ref="L3:AA4" xr:uid="{40BF71B5-BCEC-42AB-A08A-C6A3779A6B82}"/>
  <tableColumns count="16">
    <tableColumn id="16" xr3:uid="{AF0EC856-D2A6-4507-87B7-12F61F138D4B}" name="Équipe" dataDxfId="118"/>
    <tableColumn id="1" xr3:uid="{90139C2F-2B69-4254-A1EF-869BC6D66619}" name="Saison" dataDxfId="117"/>
    <tableColumn id="2" xr3:uid="{7DDF4204-4DA8-4FA3-8D4F-3F35B67F040A}" name="PJ" dataDxfId="116"/>
    <tableColumn id="3" xr3:uid="{D29B15D2-C027-4814-A4FB-01E0F27D9D40}" name="V" dataDxfId="115"/>
    <tableColumn id="4" xr3:uid="{8AFD120F-6D28-4708-970B-0D4A05E5F766}" name="D" dataDxfId="114"/>
    <tableColumn id="5" xr3:uid="{8A13BECA-4ED4-4471-8332-F0C1F57DB3BC}" name="N" dataDxfId="113"/>
    <tableColumn id="6" xr3:uid="{84E4AAE7-6185-475E-BB93-F5CD79DAF34A}" name="DF" dataDxfId="112"/>
    <tableColumn id="7" xr3:uid="{263BD54E-D47E-4E4F-8E11-98083DB5877E}" name="VF" dataDxfId="111"/>
    <tableColumn id="8" xr3:uid="{F29F6F43-36A4-41A0-8177-CD1D0EEDD2DD}" name="Pts" dataDxfId="110">
      <calculatedColumnFormula>2*TeamH2021[[#This Row],[V]]+1*(TeamH2021[[#This Row],[N]]+TeamH2021[[#This Row],[DF]])</calculatedColumnFormula>
    </tableColumn>
    <tableColumn id="9" xr3:uid="{A668665B-93BB-4F93-9E45-49AFA4723367}" name="%Vic" dataDxfId="109" dataCellStyle="Pourcentage">
      <calculatedColumnFormula>(TeamH2021[[#This Row],[V]]+ 0.5*TeamH2021[[#This Row],[N]])/TeamH2021[[#This Row],[PJ]]</calculatedColumnFormula>
    </tableColumn>
    <tableColumn id="10" xr3:uid="{7AF1EC06-1764-46E3-8090-32A6DB28C61E}" name="BP" dataDxfId="108"/>
    <tableColumn id="11" xr3:uid="{896FB32D-AD9C-49A0-A3FA-6F6D17D023CA}" name="BC" dataDxfId="107"/>
    <tableColumn id="12" xr3:uid="{A37A2672-0793-4BB5-BD7E-CCC39A995DF2}" name="Diff" dataDxfId="106">
      <calculatedColumnFormula>TeamH2021[[#This Row],[BP]]-TeamH2021[[#This Row],[BC]]</calculatedColumnFormula>
    </tableColumn>
    <tableColumn id="13" xr3:uid="{697E6092-8F46-4BB3-9BB8-65545B29CDE8}" name="AVN" dataDxfId="105" dataCellStyle="Pourcentage">
      <calculatedColumnFormula>7/37</calculatedColumnFormula>
    </tableColumn>
    <tableColumn id="14" xr3:uid="{73B1EDD2-E168-45CE-A7A7-A758E0421DEA}" name="DVN" dataDxfId="104" dataCellStyle="Pourcentage">
      <calculatedColumnFormula>1- (12/40)</calculatedColumnFormula>
    </tableColumn>
    <tableColumn id="15" xr3:uid="{0F43B182-6644-4ECB-91BF-60FF4E15FEEB}" name="Min. Pun" dataDxfId="103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EBF266C-26FD-4290-A027-B9965C566C79}" name="GoalieH2021" displayName="GoalieH2021" ref="A34:K37" totalsRowShown="0" headerRowDxfId="102" dataDxfId="101">
  <autoFilter ref="A34:K37" xr:uid="{2EBF266C-26FD-4290-A027-B9965C566C79}"/>
  <sortState xmlns:xlrd2="http://schemas.microsoft.com/office/spreadsheetml/2017/richdata2" ref="A35:K37">
    <sortCondition descending="1" ref="C34:C37"/>
  </sortState>
  <tableColumns count="11">
    <tableColumn id="1" xr3:uid="{44C4CE83-FC8E-45D7-9D21-F00320A411B7}" name="Rang" dataDxfId="100"/>
    <tableColumn id="2" xr3:uid="{A12FD083-7A15-459C-BAFA-C25E07C039F4}" name="Nom" dataDxfId="99"/>
    <tableColumn id="3" xr3:uid="{562518DF-DED2-4FBC-BE0E-134F1683C331}" name="PJ" dataDxfId="98"/>
    <tableColumn id="4" xr3:uid="{D6ABC7E5-9CC3-4806-999B-854DE2D4B182}" name="V" dataDxfId="97"/>
    <tableColumn id="5" xr3:uid="{C7CFEF9A-B55E-441A-95C4-5DB5AF7868B2}" name="D" dataDxfId="96" dataCellStyle="Normal 2"/>
    <tableColumn id="6" xr3:uid="{E88C1E3B-FFCA-40C0-AD91-C355A11EE7C5}" name="%V" dataDxfId="95" dataCellStyle="Pourcentage">
      <calculatedColumnFormula>D35/C35</calculatedColumnFormula>
    </tableColumn>
    <tableColumn id="7" xr3:uid="{6E91EE43-40B4-4E59-B453-A2DC48AFBBDD}" name="BA" dataDxfId="94"/>
    <tableColumn id="8" xr3:uid="{307347FA-8C15-4656-9543-E8401C88E7A4}" name="Moy" dataDxfId="93">
      <calculatedColumnFormula>GoalieH2021[[#This Row],[BA]]/GoalieH2021[[#This Row],[PJ]]</calculatedColumnFormula>
    </tableColumn>
    <tableColumn id="9" xr3:uid="{06282FFD-96C2-4BA3-9347-674F86A031B4}" name="B" dataDxfId="92"/>
    <tableColumn id="10" xr3:uid="{552BF446-2F8C-4623-9819-125B8CFD271B}" name="A" dataDxfId="91"/>
    <tableColumn id="11" xr3:uid="{95C22DD7-2E04-418A-9B98-EB113F87EAFE}" name="Min Pun" dataDxfId="90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DF427EF-AFC0-4295-9712-2E136144E61E}" name="joueurh2022" displayName="joueurh2022" ref="A3:I31" totalsRowShown="0" headerRowDxfId="89" dataDxfId="88">
  <autoFilter ref="A3:I31" xr:uid="{0DF427EF-AFC0-4295-9712-2E136144E61E}"/>
  <sortState xmlns:xlrd2="http://schemas.microsoft.com/office/spreadsheetml/2017/richdata2" ref="A4:I31">
    <sortCondition ref="B3:B31"/>
  </sortState>
  <tableColumns count="9">
    <tableColumn id="1" xr3:uid="{3F8EAE35-66AB-467D-850A-A93A4AA4AA30}" name="Rang" dataDxfId="87"/>
    <tableColumn id="2" xr3:uid="{0491AC37-4799-4086-9EDB-B9767F29EFAE}" name="Nom" dataDxfId="86"/>
    <tableColumn id="3" xr3:uid="{8A176E18-7F7B-4A42-805F-07E2631C31C9}" name="Position" dataDxfId="85"/>
    <tableColumn id="4" xr3:uid="{5D61C4FE-74D0-4C5B-B55D-DEBBAB59F3A3}" name="PJ" dataDxfId="84"/>
    <tableColumn id="5" xr3:uid="{A4333364-6578-49F8-946C-2B0A11AF551B}" name="B" dataDxfId="83"/>
    <tableColumn id="6" xr3:uid="{05927DDB-B250-407C-98DD-DF1C3EC5F914}" name="A" dataDxfId="82"/>
    <tableColumn id="7" xr3:uid="{E61EAAF6-A836-4E6A-8A35-C7DED534906F}" name="Pts" dataDxfId="81">
      <calculatedColumnFormula>joueurh2022[[#This Row],[B]]+joueurh2022[[#This Row],[A]]</calculatedColumnFormula>
    </tableColumn>
    <tableColumn id="8" xr3:uid="{1F76AA48-2E49-475B-917B-B79398B37BAD}" name="Pts/match" dataDxfId="80">
      <calculatedColumnFormula>joueurh2022[[#This Row],[Pts]]/joueurh2022[[#This Row],[PJ]]</calculatedColumnFormula>
    </tableColumn>
    <tableColumn id="9" xr3:uid="{D7E20FA6-6DCD-4A7A-9E4F-A75CF91AAC86}" name="Min Pun" dataDxfId="79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8820504-FB1E-4EB5-AB11-BD6BAB3C45CB}" name="goalieé2021" displayName="goalieé2021" ref="A19:K20" totalsRowShown="0" headerRowDxfId="78">
  <autoFilter ref="A19:K20" xr:uid="{F63C199A-BE4E-4EB2-9F5D-86D67AE359B2}"/>
  <tableColumns count="11">
    <tableColumn id="1" xr3:uid="{B1FC2AFF-9382-4342-AA79-C797ED5E10E9}" name="Rang"/>
    <tableColumn id="2" xr3:uid="{E5D73CAF-1EB4-43DD-8CDE-D8B6F3DB7F95}" name="Nom " dataDxfId="77"/>
    <tableColumn id="3" xr3:uid="{AD1885A8-EB12-4C94-8881-EE73E907511A}" name="PJ"/>
    <tableColumn id="4" xr3:uid="{D87660A3-D213-40C2-B8CD-6A6604A64DDC}" name="V"/>
    <tableColumn id="5" xr3:uid="{7EAD45E6-C041-477D-860D-2A6C4AD5DBBE}" name="D"/>
    <tableColumn id="6" xr3:uid="{2E7FC01C-1E76-44B3-8309-D898BFD6CEB9}" name="%V" dataDxfId="76" dataCellStyle="Pourcentage">
      <calculatedColumnFormula>goalieé2021[[#This Row],[V]]/goalieé2021[[#This Row],[PJ]]</calculatedColumnFormula>
    </tableColumn>
    <tableColumn id="11" xr3:uid="{DBDF280B-473F-4F91-881F-CBD43FF0B556}" name="BA"/>
    <tableColumn id="7" xr3:uid="{605BDAFD-CEDB-4546-8F53-E5C5849D4C97}" name="Moy"/>
    <tableColumn id="8" xr3:uid="{21C16DDC-D9E1-4B41-98E9-56610A791CF8}" name="B"/>
    <tableColumn id="9" xr3:uid="{0752B22D-6CD2-4081-A131-AAE0B599D099}" name="A"/>
    <tableColumn id="10" xr3:uid="{33985B0F-EA1F-4C84-9E30-B7DE9653DEF5}" name="Min Pun" dataDxfId="75" dataCellStyle="Normal 2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B4CEFA1-2A01-40A0-B707-7C0749F8D4FB}" name="Teamé2021" displayName="Teamé2021" ref="L3:AA4" totalsRowShown="0">
  <autoFilter ref="L3:AA4" xr:uid="{0B4CEFA1-2A01-40A0-B707-7C0749F8D4FB}"/>
  <tableColumns count="16">
    <tableColumn id="16" xr3:uid="{22E2CA29-B5FE-4F65-8DF2-D8F3FB75C494}" name="Équipe"/>
    <tableColumn id="1" xr3:uid="{613C1E01-E7CA-4106-ABB2-C2C6FB6E429F}" name="Saison"/>
    <tableColumn id="2" xr3:uid="{70BFCF2A-D581-41A3-8841-D71F1D5F8B29}" name="PJ" dataDxfId="74"/>
    <tableColumn id="3" xr3:uid="{26AA5323-480E-4BA7-B17A-07E2F878BC13}" name="V" dataDxfId="73"/>
    <tableColumn id="4" xr3:uid="{66FB3DBD-CE51-4625-BA1D-3F269685DD84}" name="D" dataDxfId="72"/>
    <tableColumn id="5" xr3:uid="{4864FABF-0067-459E-A9B5-313462747BC1}" name="N" dataDxfId="71"/>
    <tableColumn id="6" xr3:uid="{CEAB4030-692B-4DC7-8F69-007A479319D9}" name="DF" dataDxfId="70"/>
    <tableColumn id="7" xr3:uid="{C9F34C13-F522-4616-A099-13E1D86F278E}" name="VF" dataDxfId="69"/>
    <tableColumn id="8" xr3:uid="{02E480F3-E9CE-40D1-A8BD-26F68979CB03}" name="Pts" dataDxfId="68"/>
    <tableColumn id="9" xr3:uid="{0970B2B2-703C-44FB-AE99-824E9DACCACB}" name="%Vic" dataDxfId="67" dataCellStyle="Pourcentage">
      <calculatedColumnFormula>Teamé2021[[#This Row],[V]]/Teamé2021[[#This Row],[PJ]]</calculatedColumnFormula>
    </tableColumn>
    <tableColumn id="10" xr3:uid="{9CF487AC-E08C-4CAD-A73C-B835AB3AEC58}" name="BP" dataDxfId="66"/>
    <tableColumn id="11" xr3:uid="{EA2BE8EC-5DC9-4A25-94CC-D17BA05938AA}" name="BC" dataDxfId="65"/>
    <tableColumn id="12" xr3:uid="{91C4828C-3A1C-4D17-9EE3-6FEFA2645F35}" name="Diff" dataDxfId="64">
      <calculatedColumnFormula>Teamé2021[[#This Row],[BP]]-Teamé2021[[#This Row],[BC]]</calculatedColumnFormula>
    </tableColumn>
    <tableColumn id="13" xr3:uid="{A761A08D-4DF1-4C8E-BBF5-3E4C85C72962}" name="AVN" dataDxfId="63" dataCellStyle="Pourcentage">
      <calculatedColumnFormula>(5/24)</calculatedColumnFormula>
    </tableColumn>
    <tableColumn id="14" xr3:uid="{28E1136C-8A60-4427-8858-9B2B5E79CD8D}" name="DVN" dataDxfId="62" dataCellStyle="Pourcentage">
      <calculatedColumnFormula xml:space="preserve"> 1-(0/24)</calculatedColumnFormula>
    </tableColumn>
    <tableColumn id="15" xr3:uid="{6E7FB586-A3B1-4156-B69C-E150ADA67A80}" name="Min. Pun" dataDxfId="61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036A534-9CB6-4E2D-8563-BFB12548DDF6}" name="Tableau19" displayName="Tableau19" ref="A3:I17" totalsRowShown="0" headerRowDxfId="60" dataDxfId="59" tableBorderDxfId="58" dataCellStyle="Normal 2">
  <autoFilter ref="A3:I17" xr:uid="{C036A534-9CB6-4E2D-8563-BFB12548DDF6}"/>
  <sortState xmlns:xlrd2="http://schemas.microsoft.com/office/spreadsheetml/2017/richdata2" ref="A4:I17">
    <sortCondition ref="B3:B17"/>
  </sortState>
  <tableColumns count="9">
    <tableColumn id="1" xr3:uid="{6F11CE4F-B6D8-4658-8EAC-71D03E26839F}" name="Rang" dataDxfId="57" dataCellStyle="Normal 2"/>
    <tableColumn id="2" xr3:uid="{A677F9C6-1362-40B7-B040-D826D09FE362}" name="Nom" dataDxfId="56" dataCellStyle="Normal 2"/>
    <tableColumn id="3" xr3:uid="{E44D2740-C821-462C-9865-434B54323C7B}" name="Position" dataDxfId="55" dataCellStyle="Normal 2"/>
    <tableColumn id="4" xr3:uid="{8ACAE3B1-D2D3-4E49-A879-E9D9BC7E3599}" name="PJ" dataDxfId="54" dataCellStyle="Normal 2"/>
    <tableColumn id="5" xr3:uid="{38030002-AFC5-4E85-A526-F3BAC0F04374}" name="B" dataDxfId="53" dataCellStyle="Normal 2"/>
    <tableColumn id="6" xr3:uid="{75EAB577-6FEC-456B-89B2-E55C91B38CDB}" name="A" dataDxfId="52" dataCellStyle="Normal 2"/>
    <tableColumn id="7" xr3:uid="{2A9FA54F-E77F-4F6E-A20B-6AEFE00D9818}" name="Pts"/>
    <tableColumn id="8" xr3:uid="{375BF9FF-C637-47A1-BE0C-D825E48A1309}" name="Pts/match"/>
    <tableColumn id="9" xr3:uid="{60A65DDE-4F21-4A1E-8BBB-B6CEE1073139}" name="Min Pun" dataDxfId="51" dataCellStyle="Normal 2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670A5E3-DF8C-49BF-BAD5-79113A25B5B6}" name="TEamH2020" displayName="TEamH2020" ref="L3:AA4" totalsRowShown="0" headerRowDxfId="50" dataDxfId="49">
  <autoFilter ref="L3:AA4" xr:uid="{5670A5E3-DF8C-49BF-BAD5-79113A25B5B6}"/>
  <tableColumns count="16">
    <tableColumn id="16" xr3:uid="{43AA4726-B42B-4E17-A49D-3055493996D4}" name="Équipe" dataDxfId="48"/>
    <tableColumn id="1" xr3:uid="{EB1962DE-727A-425A-8BC0-6D3C588434C5}" name="Saison" dataDxfId="47"/>
    <tableColumn id="2" xr3:uid="{138FF41B-7D70-4F95-B0CD-09C96650CE7B}" name="PJ" dataDxfId="46"/>
    <tableColumn id="3" xr3:uid="{FCE106A1-46DB-4E13-B709-6D8D07863A33}" name="V" dataDxfId="45"/>
    <tableColumn id="4" xr3:uid="{896A4611-C10C-4AE7-9884-C50E08470487}" name="D" dataDxfId="44"/>
    <tableColumn id="5" xr3:uid="{6CDE5164-CA1E-4312-A3DB-FDE4DEF0BC61}" name="N" dataDxfId="43"/>
    <tableColumn id="6" xr3:uid="{369A15C9-7E59-47BF-AB19-8C3F68ABBFB2}" name="DF" dataDxfId="42"/>
    <tableColumn id="7" xr3:uid="{BACCE1BD-1E26-41A2-9999-652E57E97E4E}" name="VF" dataDxfId="41"/>
    <tableColumn id="8" xr3:uid="{1F4DC4B5-83AC-47B8-862C-A51194D1C1B8}" name="Pts" dataDxfId="40"/>
    <tableColumn id="9" xr3:uid="{476631D6-A8EF-464A-A6D6-60E23648C8DF}" name="%Vic" dataDxfId="39" dataCellStyle="Pourcentage">
      <calculatedColumnFormula>TEamH2020[[#This Row],[V]]/TEamH2020[[#This Row],[PJ]]</calculatedColumnFormula>
    </tableColumn>
    <tableColumn id="10" xr3:uid="{587788C6-1C81-4E56-B412-C2367896682F}" name="BP" dataDxfId="38"/>
    <tableColumn id="11" xr3:uid="{776C64B5-FF5B-41E8-BF0C-66CA60A2A1E2}" name="BC" dataDxfId="37"/>
    <tableColumn id="12" xr3:uid="{067DD77C-FA59-4EBA-BB26-880CDD2B7811}" name="Diff" dataDxfId="36">
      <calculatedColumnFormula>TEamH2020[[#This Row],[BP]]-TEamH2020[[#This Row],[BC]]</calculatedColumnFormula>
    </tableColumn>
    <tableColumn id="13" xr3:uid="{6769A439-D69D-41ED-9F50-A3996154F97C}" name="AVN" dataDxfId="35" dataCellStyle="Pourcentage">
      <calculatedColumnFormula>1/11</calculatedColumnFormula>
    </tableColumn>
    <tableColumn id="14" xr3:uid="{D5481F7C-4BD2-4928-B7D7-87D21247382F}" name="DVN" dataDxfId="34" dataCellStyle="Pourcentage">
      <calculatedColumnFormula>1-(0/11)</calculatedColumnFormula>
    </tableColumn>
    <tableColumn id="15" xr3:uid="{32DD49E0-7604-4F3B-9E7D-D5E9113CD548}" name="Min. Pun" dataDxfId="33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B676F21B-B99B-40CB-8EED-2EC66E782CA4}" name="JoueurH2020" displayName="JoueurH2020" ref="A3:I17" headerRowDxfId="32" dataDxfId="31" totalsRowDxfId="30">
  <autoFilter ref="A3:I17" xr:uid="{B676F21B-B99B-40CB-8EED-2EC66E782CA4}"/>
  <sortState xmlns:xlrd2="http://schemas.microsoft.com/office/spreadsheetml/2017/richdata2" ref="A4:I17">
    <sortCondition ref="B3:B17"/>
  </sortState>
  <tableColumns count="9">
    <tableColumn id="1" xr3:uid="{A3E56382-B33E-4ECD-B129-C21729E5DEFA}" name="Rang" dataDxfId="29" totalsRowDxfId="28"/>
    <tableColumn id="2" xr3:uid="{B0CEDEBF-E7A5-495E-A9DA-C6E25CC7E525}" name="Nom" dataDxfId="27"/>
    <tableColumn id="3" xr3:uid="{7D174051-5BD4-42E4-AC57-71FA55EEBCFF}" name="Position" dataDxfId="26" totalsRowDxfId="25"/>
    <tableColumn id="4" xr3:uid="{F2B80A3E-5438-4358-B684-759D5B0C6061}" name="PJ" dataDxfId="24" totalsRowDxfId="23"/>
    <tableColumn id="5" xr3:uid="{C43E7230-2705-43EC-A94B-8442FE3FFBD2}" name="B" dataDxfId="22" totalsRowDxfId="21"/>
    <tableColumn id="6" xr3:uid="{A79D0075-22E4-43BC-87B1-13DD1E590EBB}" name="A" dataDxfId="20" totalsRowDxfId="19"/>
    <tableColumn id="7" xr3:uid="{046C9F8D-1BD8-4756-A29E-1C516B130A1E}" name="Pts" dataDxfId="18" totalsRowDxfId="17">
      <calculatedColumnFormula>E4+F4</calculatedColumnFormula>
    </tableColumn>
    <tableColumn id="8" xr3:uid="{685F116E-CFE6-4797-BE1A-BEF5EF42A22A}" name="Pts/match" dataDxfId="16" totalsRowDxfId="15">
      <calculatedColumnFormula>JoueurH2020[[#This Row],[Pts]]/JoueurH2020[[#This Row],[PJ]]</calculatedColumnFormula>
    </tableColumn>
    <tableColumn id="9" xr3:uid="{592716AA-4323-405C-A2C6-BBE132B67150}" name="Min. Pun" dataDxfId="14" totalsRowDxfId="13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230F9C0-5171-4BDA-9989-83D41971350A}" name="GoalieH2020" displayName="GoalieH2020" ref="A19:K20" totalsRowShown="0" headerRowDxfId="12" dataDxfId="11">
  <autoFilter ref="A19:K20" xr:uid="{0230F9C0-5171-4BDA-9989-83D41971350A}"/>
  <tableColumns count="11">
    <tableColumn id="1" xr3:uid="{76E0CF60-3B92-4D44-BB16-661F3D0D5D5A}" name="Rang" dataDxfId="10"/>
    <tableColumn id="2" xr3:uid="{DF839423-5468-4C81-8934-82C9E854BBC4}" name="Nom " dataDxfId="9"/>
    <tableColumn id="3" xr3:uid="{9C583F13-D64A-4E2E-8F47-CA65F89FDCFA}" name="PJ" dataDxfId="8"/>
    <tableColumn id="4" xr3:uid="{F9CDBA6C-153B-4ED0-9936-05038518716C}" name="V" dataDxfId="7"/>
    <tableColumn id="5" xr3:uid="{BEF2337F-2779-4B12-A886-37B4E3E7B329}" name="D" dataDxfId="6"/>
    <tableColumn id="6" xr3:uid="{1DC7EF05-AA13-4815-ACC4-81D3EC7EDDAE}" name="%V" dataDxfId="5">
      <calculatedColumnFormula>GoalieH2020[[#This Row],[V]]/GoalieH2020[[#This Row],[PJ]]</calculatedColumnFormula>
    </tableColumn>
    <tableColumn id="7" xr3:uid="{13114E5F-6812-4A70-8ED3-BE5742902CD3}" name="BA" dataDxfId="4"/>
    <tableColumn id="8" xr3:uid="{882F7568-E025-4428-A173-110E1471DC8F}" name="Moy" dataDxfId="3">
      <calculatedColumnFormula>GoalieH2020[[#This Row],[BA]]/GoalieH2020[[#This Row],[PJ]]</calculatedColumnFormula>
    </tableColumn>
    <tableColumn id="9" xr3:uid="{9DC7106B-8569-4CDF-9C59-099D9F373C6D}" name="B" dataDxfId="2"/>
    <tableColumn id="10" xr3:uid="{C6975DD1-0501-427C-90F4-19931E1117A1}" name="A" dataDxfId="1"/>
    <tableColumn id="11" xr3:uid="{A8086B85-0DFE-4097-8C8D-1193E5678A2C}" name="Min Pun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7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table" Target="../tables/table12.xml"/><Relationship Id="rId1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A567C-0EC6-4E90-99E7-61DFC6C73E33}">
  <dimension ref="A1:AG44"/>
  <sheetViews>
    <sheetView tabSelected="1" zoomScale="90" zoomScaleNormal="90" workbookViewId="0">
      <selection activeCell="I7" sqref="I7"/>
    </sheetView>
  </sheetViews>
  <sheetFormatPr baseColWidth="10" defaultRowHeight="15" x14ac:dyDescent="0.25"/>
  <cols>
    <col min="2" max="2" width="29" customWidth="1"/>
    <col min="3" max="3" width="14.5703125" customWidth="1"/>
    <col min="12" max="12" width="7" customWidth="1"/>
    <col min="13" max="13" width="26.28515625" customWidth="1"/>
    <col min="24" max="24" width="10.85546875" customWidth="1"/>
    <col min="26" max="26" width="12.28515625" bestFit="1" customWidth="1"/>
    <col min="29" max="29" width="10.85546875" customWidth="1"/>
    <col min="30" max="30" width="44.42578125" customWidth="1"/>
    <col min="31" max="31" width="11.140625" customWidth="1"/>
    <col min="32" max="32" width="34.85546875" customWidth="1"/>
    <col min="33" max="33" width="36.5703125" customWidth="1"/>
  </cols>
  <sheetData>
    <row r="1" spans="1:33" ht="35.1" customHeight="1" x14ac:dyDescent="0.45">
      <c r="A1" s="84" t="s">
        <v>54</v>
      </c>
      <c r="B1" s="84"/>
    </row>
    <row r="2" spans="1:33" s="11" customFormat="1" ht="18.75" x14ac:dyDescent="0.3">
      <c r="A2" s="11" t="s">
        <v>0</v>
      </c>
    </row>
    <row r="3" spans="1:33" s="1" customFormat="1" ht="15.75" x14ac:dyDescent="0.25">
      <c r="A3" s="34" t="s">
        <v>7</v>
      </c>
      <c r="B3" s="34" t="s">
        <v>1</v>
      </c>
      <c r="C3" s="34" t="s">
        <v>6</v>
      </c>
      <c r="D3" s="34" t="s">
        <v>66</v>
      </c>
      <c r="E3" s="34" t="s">
        <v>2</v>
      </c>
      <c r="F3" s="34" t="s">
        <v>3</v>
      </c>
      <c r="G3" s="34" t="s">
        <v>4</v>
      </c>
      <c r="H3" s="34" t="s">
        <v>52</v>
      </c>
      <c r="I3" s="34" t="s">
        <v>99</v>
      </c>
      <c r="M3" s="35" t="s">
        <v>102</v>
      </c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</row>
    <row r="4" spans="1:33" ht="15.75" x14ac:dyDescent="0.25">
      <c r="A4" s="22"/>
      <c r="B4" s="22" t="s">
        <v>27</v>
      </c>
      <c r="C4" s="22" t="s">
        <v>3</v>
      </c>
      <c r="D4" s="82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3</v>
      </c>
      <c r="E4" s="82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F4" s="82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G4" s="82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H4" s="83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I4" s="82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L4" s="35"/>
      <c r="M4" s="35" t="s">
        <v>67</v>
      </c>
      <c r="N4" s="35" t="s">
        <v>66</v>
      </c>
      <c r="O4" s="35" t="s">
        <v>45</v>
      </c>
      <c r="P4" s="35" t="s">
        <v>46</v>
      </c>
      <c r="Q4" s="35" t="s">
        <v>57</v>
      </c>
      <c r="R4" s="35" t="s">
        <v>58</v>
      </c>
      <c r="S4" s="35" t="s">
        <v>59</v>
      </c>
      <c r="T4" s="35" t="s">
        <v>4</v>
      </c>
      <c r="U4" s="35" t="s">
        <v>60</v>
      </c>
      <c r="V4" s="35" t="s">
        <v>61</v>
      </c>
      <c r="W4" s="35" t="s">
        <v>62</v>
      </c>
      <c r="X4" s="35" t="s">
        <v>72</v>
      </c>
      <c r="Y4" s="35" t="s">
        <v>63</v>
      </c>
      <c r="Z4" s="35" t="s">
        <v>64</v>
      </c>
      <c r="AA4" s="35" t="s">
        <v>65</v>
      </c>
      <c r="AD4" s="85" t="s">
        <v>74</v>
      </c>
      <c r="AE4" s="85"/>
      <c r="AF4" s="85"/>
      <c r="AG4" s="85"/>
    </row>
    <row r="5" spans="1:33" ht="15.75" x14ac:dyDescent="0.25">
      <c r="A5" s="22"/>
      <c r="B5" s="22" t="s">
        <v>23</v>
      </c>
      <c r="C5" s="22"/>
      <c r="D5" s="22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E5" s="61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F5" s="61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G5" s="61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H5" s="25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I5" s="61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L5" s="35"/>
      <c r="M5" s="35" t="s">
        <v>71</v>
      </c>
      <c r="N5" s="34">
        <v>3</v>
      </c>
      <c r="O5" s="34">
        <v>1</v>
      </c>
      <c r="P5" s="34">
        <v>2</v>
      </c>
      <c r="Q5" s="34">
        <v>0</v>
      </c>
      <c r="R5" s="34">
        <v>0</v>
      </c>
      <c r="S5" s="34">
        <v>0</v>
      </c>
      <c r="T5" s="34">
        <v>0</v>
      </c>
      <c r="U5" s="32">
        <f>Teamalltime[[#This Row],[V]]/Teamalltime[[#This Row],[PJ]]</f>
        <v>0.33333333333333331</v>
      </c>
      <c r="V5" s="34">
        <v>9</v>
      </c>
      <c r="W5" s="34">
        <v>16</v>
      </c>
      <c r="X5" s="34">
        <f>Teamalltime[[#This Row],[BP]]-Teamalltime[[#This Row],[BC]]</f>
        <v>-7</v>
      </c>
      <c r="Y5" s="32" t="s">
        <v>92</v>
      </c>
      <c r="Z5" s="32" t="s">
        <v>92</v>
      </c>
      <c r="AA5" s="34" t="s">
        <v>92</v>
      </c>
    </row>
    <row r="6" spans="1:33" ht="15.75" x14ac:dyDescent="0.25">
      <c r="A6" s="22"/>
      <c r="B6" s="22" t="s">
        <v>35</v>
      </c>
      <c r="C6" s="22"/>
      <c r="D6" s="22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1</v>
      </c>
      <c r="E6" s="61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F6" s="61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1</v>
      </c>
      <c r="G6" s="61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1</v>
      </c>
      <c r="H6" s="25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1</v>
      </c>
      <c r="I6" s="61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L6" s="35"/>
      <c r="M6" s="35" t="s">
        <v>68</v>
      </c>
      <c r="N6" s="34" cm="1">
        <f t="array" ref="N6">TEamH2020[PJ]</f>
        <v>3</v>
      </c>
      <c r="O6" s="34" cm="1">
        <f t="array" ref="O6">TEamH2020[V]</f>
        <v>3</v>
      </c>
      <c r="P6" s="34" cm="1">
        <f t="array" ref="P6">TEamH2020[D]</f>
        <v>0</v>
      </c>
      <c r="Q6" s="34" cm="1">
        <f t="array" ref="Q6">TEamH2020[N]</f>
        <v>0</v>
      </c>
      <c r="R6" s="34" cm="1">
        <f t="array" ref="R6">TEamH2020[DF]</f>
        <v>0</v>
      </c>
      <c r="S6" s="34" cm="1">
        <f t="array" ref="S6">TEamH2020[VF]</f>
        <v>1</v>
      </c>
      <c r="T6" s="34" cm="1">
        <f t="array" ref="T6">TEamH2020[Pts]</f>
        <v>6</v>
      </c>
      <c r="U6" s="32">
        <f>Teamalltime[[#This Row],[V]]/Teamalltime[[#This Row],[PJ]]</f>
        <v>1</v>
      </c>
      <c r="V6" s="34" cm="1">
        <f t="array" ref="V6">TEamH2020[BP]</f>
        <v>12</v>
      </c>
      <c r="W6" s="34" cm="1">
        <f t="array" ref="W6">TEamH2020[BC]</f>
        <v>8</v>
      </c>
      <c r="X6" s="34">
        <f>Teamalltime[[#This Row],[BP]]-Teamalltime[[#This Row],[BC]]</f>
        <v>4</v>
      </c>
      <c r="Y6" s="32" cm="1">
        <f t="array" ref="Y6">TEamH2020[AVN]</f>
        <v>9.0909090909090912E-2</v>
      </c>
      <c r="Z6" s="32" cm="1">
        <f t="array" ref="Z6">TEamH2020[DVN]</f>
        <v>1</v>
      </c>
      <c r="AA6" s="34" cm="1">
        <f t="array" ref="AA6">TEamH2020[Min. Pun]</f>
        <v>32</v>
      </c>
      <c r="AD6" s="29" t="s">
        <v>56</v>
      </c>
      <c r="AE6" s="59"/>
      <c r="AF6" s="65" t="s">
        <v>0</v>
      </c>
      <c r="AG6" s="59"/>
    </row>
    <row r="7" spans="1:33" ht="15.75" x14ac:dyDescent="0.25">
      <c r="A7" s="22"/>
      <c r="B7" s="22" t="s">
        <v>17</v>
      </c>
      <c r="C7" s="22" t="s">
        <v>46</v>
      </c>
      <c r="D7" s="22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29</v>
      </c>
      <c r="E7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2</v>
      </c>
      <c r="F7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6</v>
      </c>
      <c r="G7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8</v>
      </c>
      <c r="H7" s="25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0.52287581699346397</v>
      </c>
      <c r="I7" s="30" t="s">
        <v>103</v>
      </c>
      <c r="L7" s="35"/>
      <c r="M7" s="35" t="s">
        <v>69</v>
      </c>
      <c r="N7" s="34" cm="1">
        <f t="array" ref="N7">Teamé2021[PJ]</f>
        <v>9</v>
      </c>
      <c r="O7" s="34" cm="1">
        <f t="array" ref="O7">Teamé2021[V]</f>
        <v>7</v>
      </c>
      <c r="P7" s="34" cm="1">
        <f t="array" ref="P7">Teamé2021[D]</f>
        <v>2</v>
      </c>
      <c r="Q7" s="34" cm="1">
        <f t="array" ref="Q7">Teamé2021[N]</f>
        <v>0</v>
      </c>
      <c r="R7" s="34" cm="1">
        <f t="array" ref="R7">Teamé2021[DF]</f>
        <v>0</v>
      </c>
      <c r="S7" s="34" cm="1">
        <f t="array" ref="S7">Teamé2021[VF]</f>
        <v>0</v>
      </c>
      <c r="T7" s="34" cm="1">
        <f t="array" ref="T7">Teamé2021[Pts]</f>
        <v>14</v>
      </c>
      <c r="U7" s="32">
        <f>Teamalltime[[#This Row],[V]]/Teamalltime[[#This Row],[PJ]]</f>
        <v>0.77777777777777779</v>
      </c>
      <c r="V7" s="34" cm="1">
        <f t="array" ref="V7">Teamé2021[BP]</f>
        <v>46</v>
      </c>
      <c r="W7" s="34" cm="1">
        <f t="array" ref="W7">Teamé2021[BC]</f>
        <v>20</v>
      </c>
      <c r="X7" s="34">
        <f>Teamalltime[[#This Row],[BP]]-Teamalltime[[#This Row],[BC]]</f>
        <v>26</v>
      </c>
      <c r="Y7" s="32" cm="1">
        <f t="array" ref="Y7">Teamé2021[AVN]</f>
        <v>0.20833333333333334</v>
      </c>
      <c r="Z7" s="32" cm="1">
        <f t="array" ref="Z7">Teamé2021[DVN]</f>
        <v>1</v>
      </c>
      <c r="AA7" s="34">
        <v>48</v>
      </c>
      <c r="AD7" s="59"/>
      <c r="AE7" s="59"/>
      <c r="AF7" s="59"/>
      <c r="AG7" s="59"/>
    </row>
    <row r="8" spans="1:33" ht="15.75" x14ac:dyDescent="0.25">
      <c r="A8" s="22"/>
      <c r="B8" s="22" t="s">
        <v>28</v>
      </c>
      <c r="C8" s="22" t="s">
        <v>3</v>
      </c>
      <c r="D8" s="22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1</v>
      </c>
      <c r="E8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F8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G8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H8" s="25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I8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L8" s="35"/>
      <c r="M8" s="35" t="s">
        <v>70</v>
      </c>
      <c r="N8" s="34" cm="1">
        <f t="array" ref="N8">TeamH2021[PJ]</f>
        <v>17</v>
      </c>
      <c r="O8" s="34" cm="1">
        <f t="array" ref="O8">TeamH2021[V]</f>
        <v>12</v>
      </c>
      <c r="P8" s="34" cm="1">
        <f t="array" ref="P8">TeamH2021[D]</f>
        <v>4</v>
      </c>
      <c r="Q8" s="34" cm="1">
        <f t="array" ref="Q8">TeamH2021[N]</f>
        <v>0</v>
      </c>
      <c r="R8" s="34" cm="1">
        <f t="array" ref="R8">TeamH2021[DF]</f>
        <v>1</v>
      </c>
      <c r="S8" s="34" cm="1">
        <f t="array" ref="S8">TeamH2021[VF]</f>
        <v>2</v>
      </c>
      <c r="T8" s="34" cm="1">
        <f t="array" ref="T8">TeamH2021[Pts]</f>
        <v>25</v>
      </c>
      <c r="U8" s="32">
        <f>Teamalltime[[#This Row],[V]]/Teamalltime[[#This Row],[PJ]]</f>
        <v>0.70588235294117652</v>
      </c>
      <c r="V8" s="34" cm="1">
        <f t="array" ref="V8">TeamH2021[BP]</f>
        <v>80</v>
      </c>
      <c r="W8" s="34" cm="1">
        <f t="array" ref="W8">TeamH2021[BC]</f>
        <v>64</v>
      </c>
      <c r="X8" s="34">
        <f>Teamalltime[[#This Row],[BP]]-Teamalltime[[#This Row],[BC]]</f>
        <v>16</v>
      </c>
      <c r="Y8" s="32" cm="1">
        <f t="array" ref="Y8">TeamH2021[AVN]</f>
        <v>0.1891891891891892</v>
      </c>
      <c r="Z8" s="32" cm="1">
        <f t="array" ref="Z8">TeamH2021[DVN]</f>
        <v>0.7</v>
      </c>
      <c r="AA8" s="34" cm="1">
        <f t="array" ref="AA8">TeamH2021[Min. Pun]</f>
        <v>86</v>
      </c>
      <c r="AD8" s="59" t="s">
        <v>75</v>
      </c>
      <c r="AE8" s="59">
        <v>12</v>
      </c>
      <c r="AF8" s="59" t="s">
        <v>76</v>
      </c>
      <c r="AG8" s="59" t="s">
        <v>77</v>
      </c>
    </row>
    <row r="9" spans="1:33" ht="15.75" x14ac:dyDescent="0.25">
      <c r="A9" s="31"/>
      <c r="B9" s="31" t="s">
        <v>22</v>
      </c>
      <c r="C9" s="31"/>
      <c r="D9" s="31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2</v>
      </c>
      <c r="E9" s="31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1</v>
      </c>
      <c r="F9" s="31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3</v>
      </c>
      <c r="G9" s="31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4</v>
      </c>
      <c r="H9" s="25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2</v>
      </c>
      <c r="I9" s="31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L9" s="35"/>
      <c r="M9" s="35" t="s">
        <v>53</v>
      </c>
      <c r="N9" s="34">
        <f>SUBTOTAL(109,Teamalltime[PJ])</f>
        <v>32</v>
      </c>
      <c r="O9" s="34">
        <f>SUBTOTAL(109,Teamalltime[V])</f>
        <v>23</v>
      </c>
      <c r="P9" s="34">
        <f>SUBTOTAL(109,Teamalltime[D])</f>
        <v>8</v>
      </c>
      <c r="Q9" s="34">
        <f>SUBTOTAL(109,Teamalltime[N])</f>
        <v>0</v>
      </c>
      <c r="R9" s="34">
        <f>SUBTOTAL(109,Teamalltime[DF])</f>
        <v>1</v>
      </c>
      <c r="S9" s="34">
        <f>SUBTOTAL(109,Teamalltime[VF])</f>
        <v>3</v>
      </c>
      <c r="T9" s="34">
        <f>SUBTOTAL(109,Teamalltime[Pts])</f>
        <v>45</v>
      </c>
      <c r="U9" s="58">
        <f>Teamalltime[[#Totals],[V]]/Teamalltime[[#Totals],[PJ]]</f>
        <v>0.71875</v>
      </c>
      <c r="V9" s="34">
        <f>SUBTOTAL(109,Teamalltime[BP])</f>
        <v>147</v>
      </c>
      <c r="W9" s="34">
        <f>SUBTOTAL(109,Teamalltime[BC])</f>
        <v>108</v>
      </c>
      <c r="X9" s="66">
        <f>SUBTOTAL(109,Teamalltime[Diff])</f>
        <v>39</v>
      </c>
      <c r="Y9" s="58"/>
      <c r="Z9" s="58"/>
      <c r="AA9" s="34">
        <f>SUBTOTAL(109,Teamalltime[Min. Pun])</f>
        <v>166</v>
      </c>
      <c r="AD9" s="59" t="s">
        <v>78</v>
      </c>
      <c r="AE9" s="59">
        <v>1</v>
      </c>
      <c r="AF9" s="59" t="s">
        <v>79</v>
      </c>
      <c r="AG9" s="59" t="s">
        <v>80</v>
      </c>
    </row>
    <row r="10" spans="1:33" ht="15.75" x14ac:dyDescent="0.25">
      <c r="A10" s="30"/>
      <c r="B10" s="30" t="s">
        <v>24</v>
      </c>
      <c r="C10" s="30"/>
      <c r="D10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1</v>
      </c>
      <c r="E10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1</v>
      </c>
      <c r="F10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G10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1</v>
      </c>
      <c r="H10" s="25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1</v>
      </c>
      <c r="I10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D10" s="59" t="s">
        <v>81</v>
      </c>
      <c r="AE10" s="59">
        <v>7</v>
      </c>
      <c r="AF10" s="59" t="s">
        <v>82</v>
      </c>
      <c r="AG10" s="60" t="s">
        <v>83</v>
      </c>
    </row>
    <row r="11" spans="1:33" ht="15.75" x14ac:dyDescent="0.25">
      <c r="A11" s="22"/>
      <c r="B11" s="22" t="s">
        <v>20</v>
      </c>
      <c r="C11" s="22"/>
      <c r="D11" s="22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E11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F11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G11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H11" s="25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I11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D11" s="61" t="s">
        <v>84</v>
      </c>
      <c r="AE11" s="61">
        <v>11</v>
      </c>
      <c r="AF11" s="61"/>
      <c r="AG11" s="61" t="s">
        <v>85</v>
      </c>
    </row>
    <row r="12" spans="1:33" ht="15.75" x14ac:dyDescent="0.25">
      <c r="A12" s="22"/>
      <c r="B12" s="22" t="s">
        <v>13</v>
      </c>
      <c r="C12" s="22" t="s">
        <v>46</v>
      </c>
      <c r="D12" s="22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26</v>
      </c>
      <c r="E12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10</v>
      </c>
      <c r="F12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17</v>
      </c>
      <c r="G12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27</v>
      </c>
      <c r="H12" s="25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2.0588235294117645</v>
      </c>
      <c r="I12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14</v>
      </c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D12" s="61" t="s">
        <v>86</v>
      </c>
      <c r="AE12" s="61">
        <v>4</v>
      </c>
      <c r="AF12" s="61"/>
      <c r="AG12" s="61"/>
    </row>
    <row r="13" spans="1:33" ht="15.75" x14ac:dyDescent="0.25">
      <c r="A13" s="22"/>
      <c r="B13" s="22" t="s">
        <v>37</v>
      </c>
      <c r="C13" s="22"/>
      <c r="D13" s="22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1</v>
      </c>
      <c r="E13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F13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G13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H13" s="25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I13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D13" s="61" t="s">
        <v>87</v>
      </c>
      <c r="AE13" s="61">
        <v>3</v>
      </c>
      <c r="AF13" s="61"/>
      <c r="AG13" s="61"/>
    </row>
    <row r="14" spans="1:33" ht="15.75" x14ac:dyDescent="0.25">
      <c r="A14" s="22"/>
      <c r="B14" s="22" t="s">
        <v>32</v>
      </c>
      <c r="C14" s="22"/>
      <c r="D14" s="22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1</v>
      </c>
      <c r="E14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1</v>
      </c>
      <c r="F14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1</v>
      </c>
      <c r="G14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2</v>
      </c>
      <c r="H14" s="25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2</v>
      </c>
      <c r="I14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14</v>
      </c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</row>
    <row r="15" spans="1:33" ht="15.75" x14ac:dyDescent="0.25">
      <c r="A15" s="22"/>
      <c r="B15" s="22" t="s">
        <v>31</v>
      </c>
      <c r="C15" s="22"/>
      <c r="D15" s="22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1</v>
      </c>
      <c r="E15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1</v>
      </c>
      <c r="F15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1</v>
      </c>
      <c r="G15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2</v>
      </c>
      <c r="H15" s="25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2</v>
      </c>
      <c r="I15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L15" s="35"/>
      <c r="M15" s="35"/>
      <c r="N15" s="35"/>
      <c r="O15" s="35"/>
      <c r="X15" s="35"/>
      <c r="Y15" s="35"/>
      <c r="Z15" s="35"/>
      <c r="AA15" s="35"/>
    </row>
    <row r="16" spans="1:33" ht="15.75" x14ac:dyDescent="0.25">
      <c r="A16" s="30"/>
      <c r="B16" s="30" t="s">
        <v>38</v>
      </c>
      <c r="C16" s="30"/>
      <c r="D16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2</v>
      </c>
      <c r="E16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F16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G16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H16" s="25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I16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L16" s="35"/>
      <c r="M16" s="35"/>
      <c r="N16" s="35"/>
      <c r="O16" s="35"/>
      <c r="X16" s="35"/>
      <c r="Y16" s="35"/>
      <c r="Z16" s="35"/>
      <c r="AA16" s="35"/>
    </row>
    <row r="17" spans="1:27" ht="15.75" x14ac:dyDescent="0.25">
      <c r="A17" s="22"/>
      <c r="B17" s="22" t="s">
        <v>34</v>
      </c>
      <c r="C17" s="22"/>
      <c r="D17" s="22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1</v>
      </c>
      <c r="E17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1</v>
      </c>
      <c r="F17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G17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1</v>
      </c>
      <c r="H17" s="25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1</v>
      </c>
      <c r="I17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L17" s="35"/>
      <c r="M17" s="35"/>
      <c r="N17" s="35"/>
      <c r="O17" s="35"/>
      <c r="X17" s="35"/>
      <c r="Y17" s="35"/>
      <c r="Z17" s="35"/>
      <c r="AA17" s="35"/>
    </row>
    <row r="18" spans="1:27" ht="15.75" x14ac:dyDescent="0.25">
      <c r="A18" s="30"/>
      <c r="B18" s="30" t="s">
        <v>11</v>
      </c>
      <c r="C18" s="30" t="s">
        <v>3</v>
      </c>
      <c r="D18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19</v>
      </c>
      <c r="E18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14</v>
      </c>
      <c r="F18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24</v>
      </c>
      <c r="G18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38</v>
      </c>
      <c r="H18" s="25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6.0666666666666664</v>
      </c>
      <c r="I18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2</v>
      </c>
      <c r="L18" s="35"/>
      <c r="M18" s="35"/>
      <c r="N18" s="35"/>
      <c r="O18" s="35"/>
      <c r="X18" s="35"/>
      <c r="Y18" s="35"/>
      <c r="Z18" s="35"/>
      <c r="AA18" s="35"/>
    </row>
    <row r="19" spans="1:27" ht="15.75" x14ac:dyDescent="0.25">
      <c r="A19" s="22"/>
      <c r="B19" s="22" t="s">
        <v>19</v>
      </c>
      <c r="C19" s="22" t="s">
        <v>46</v>
      </c>
      <c r="D19" s="22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19</v>
      </c>
      <c r="E19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1</v>
      </c>
      <c r="F19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4</v>
      </c>
      <c r="G19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5</v>
      </c>
      <c r="H19" s="25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0.53333333333333333</v>
      </c>
      <c r="I19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L19" s="35"/>
      <c r="M19" s="35"/>
      <c r="N19" s="35"/>
      <c r="O19" s="35"/>
      <c r="X19" s="35"/>
      <c r="Y19" s="35"/>
      <c r="Z19" s="35"/>
      <c r="AA19" s="35"/>
    </row>
    <row r="20" spans="1:27" ht="15.75" x14ac:dyDescent="0.25">
      <c r="A20" s="30"/>
      <c r="B20" s="30" t="s">
        <v>18</v>
      </c>
      <c r="C20" s="30" t="s">
        <v>3</v>
      </c>
      <c r="D20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5</v>
      </c>
      <c r="E20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5</v>
      </c>
      <c r="F20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4</v>
      </c>
      <c r="G20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9</v>
      </c>
      <c r="H20" s="25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1.8</v>
      </c>
      <c r="I20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L20" s="35"/>
      <c r="M20" s="35"/>
      <c r="N20" s="35"/>
      <c r="O20" s="35"/>
      <c r="X20" s="35"/>
      <c r="Y20" s="35"/>
      <c r="Z20" s="35"/>
      <c r="AA20" s="35"/>
    </row>
    <row r="21" spans="1:27" ht="15.75" x14ac:dyDescent="0.25">
      <c r="A21" s="31"/>
      <c r="B21" s="31" t="s">
        <v>25</v>
      </c>
      <c r="C21" s="31"/>
      <c r="D21" s="31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3</v>
      </c>
      <c r="E21" s="31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1</v>
      </c>
      <c r="F21" s="31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2</v>
      </c>
      <c r="G21" s="31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3</v>
      </c>
      <c r="H21" s="25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1</v>
      </c>
      <c r="I21" s="31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L21" s="35"/>
      <c r="M21" s="35"/>
      <c r="N21" s="35"/>
      <c r="O21" s="35"/>
      <c r="X21" s="35"/>
      <c r="Y21" s="35"/>
      <c r="Z21" s="35"/>
      <c r="AA21" s="35"/>
    </row>
    <row r="22" spans="1:27" ht="15.75" x14ac:dyDescent="0.25">
      <c r="A22" s="22"/>
      <c r="B22" s="22" t="s">
        <v>8</v>
      </c>
      <c r="C22" s="22" t="s">
        <v>3</v>
      </c>
      <c r="D22" s="22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29</v>
      </c>
      <c r="E22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21</v>
      </c>
      <c r="F22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29</v>
      </c>
      <c r="G22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50</v>
      </c>
      <c r="H22" s="25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4</v>
      </c>
      <c r="I22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8</v>
      </c>
      <c r="L22" s="35"/>
      <c r="M22" s="35"/>
      <c r="N22" s="35"/>
      <c r="O22" s="35"/>
      <c r="X22" s="35"/>
      <c r="Y22" s="35"/>
      <c r="Z22" s="35"/>
      <c r="AA22" s="35"/>
    </row>
    <row r="23" spans="1:27" ht="15.75" x14ac:dyDescent="0.25">
      <c r="A23" s="31"/>
      <c r="B23" s="31" t="s">
        <v>30</v>
      </c>
      <c r="C23" s="31"/>
      <c r="D23" s="31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2</v>
      </c>
      <c r="E23" s="31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1</v>
      </c>
      <c r="F23" s="31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1</v>
      </c>
      <c r="G23" s="31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2</v>
      </c>
      <c r="H23" s="25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1</v>
      </c>
      <c r="I23" s="31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2</v>
      </c>
      <c r="L23" s="35"/>
      <c r="M23" s="35"/>
      <c r="N23" s="35"/>
      <c r="O23" s="35"/>
      <c r="X23" s="35"/>
      <c r="Y23" s="35"/>
      <c r="Z23" s="35"/>
      <c r="AA23" s="35"/>
    </row>
    <row r="24" spans="1:27" ht="15.75" x14ac:dyDescent="0.25">
      <c r="A24" s="30"/>
      <c r="B24" s="30" t="s">
        <v>36</v>
      </c>
      <c r="C24" s="30"/>
      <c r="D24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1</v>
      </c>
      <c r="E24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F24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1</v>
      </c>
      <c r="G24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1</v>
      </c>
      <c r="H24" s="25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1</v>
      </c>
      <c r="I24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L24" s="35"/>
      <c r="M24" s="35"/>
      <c r="N24" s="35"/>
      <c r="O24" s="35"/>
      <c r="P24" s="30"/>
      <c r="Q24" s="30"/>
      <c r="R24" s="30"/>
      <c r="S24" s="30"/>
      <c r="T24" s="30"/>
      <c r="U24" s="30"/>
      <c r="V24" s="30"/>
      <c r="W24" s="30"/>
      <c r="X24" s="35"/>
      <c r="Y24" s="35"/>
      <c r="Z24" s="35"/>
      <c r="AA24" s="35"/>
    </row>
    <row r="25" spans="1:27" ht="15.75" x14ac:dyDescent="0.25">
      <c r="A25" s="30"/>
      <c r="B25" s="30" t="s">
        <v>10</v>
      </c>
      <c r="C25" s="30" t="s">
        <v>3</v>
      </c>
      <c r="D25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23</v>
      </c>
      <c r="E25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13</v>
      </c>
      <c r="F25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28</v>
      </c>
      <c r="G25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41</v>
      </c>
      <c r="H25" s="25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3.7833333333333332</v>
      </c>
      <c r="I25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28</v>
      </c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</row>
    <row r="26" spans="1:27" ht="15.75" x14ac:dyDescent="0.25">
      <c r="A26" s="30"/>
      <c r="B26" s="30" t="s">
        <v>9</v>
      </c>
      <c r="C26" s="30" t="s">
        <v>3</v>
      </c>
      <c r="D26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25</v>
      </c>
      <c r="E26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24</v>
      </c>
      <c r="F26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24</v>
      </c>
      <c r="G26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48</v>
      </c>
      <c r="H26" s="25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3.9236111111111112</v>
      </c>
      <c r="I26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10</v>
      </c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</row>
    <row r="27" spans="1:27" ht="15.75" x14ac:dyDescent="0.25">
      <c r="A27" s="22"/>
      <c r="B27" s="22" t="s">
        <v>33</v>
      </c>
      <c r="C27" s="22"/>
      <c r="D27" s="22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E27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F27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G27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H27" s="25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I27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</row>
    <row r="28" spans="1:27" ht="15.75" x14ac:dyDescent="0.25">
      <c r="A28" s="22"/>
      <c r="B28" s="22" t="s">
        <v>40</v>
      </c>
      <c r="C28" s="22"/>
      <c r="D28" s="22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1</v>
      </c>
      <c r="E28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F28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G28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H28" s="25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I28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</row>
    <row r="29" spans="1:27" ht="15.75" x14ac:dyDescent="0.25">
      <c r="A29" s="22"/>
      <c r="B29" s="22" t="s">
        <v>14</v>
      </c>
      <c r="C29" s="22" t="s">
        <v>46</v>
      </c>
      <c r="D29" s="22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15</v>
      </c>
      <c r="E29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12</v>
      </c>
      <c r="F29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14</v>
      </c>
      <c r="G29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26</v>
      </c>
      <c r="H29" s="25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3.6111111111111107</v>
      </c>
      <c r="I29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2</v>
      </c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</row>
    <row r="30" spans="1:27" ht="15.75" x14ac:dyDescent="0.25">
      <c r="A30" s="22"/>
      <c r="B30" s="22" t="s">
        <v>15</v>
      </c>
      <c r="C30" s="22" t="s">
        <v>3</v>
      </c>
      <c r="D30" s="22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21</v>
      </c>
      <c r="E30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6</v>
      </c>
      <c r="F30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11</v>
      </c>
      <c r="G30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17</v>
      </c>
      <c r="H30" s="25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3.5050505050505052</v>
      </c>
      <c r="I30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</row>
    <row r="31" spans="1:27" ht="15.75" x14ac:dyDescent="0.25">
      <c r="A31" s="22"/>
      <c r="B31" s="22" t="s">
        <v>21</v>
      </c>
      <c r="C31" s="22"/>
      <c r="D31" s="22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3</v>
      </c>
      <c r="E31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2</v>
      </c>
      <c r="F31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2</v>
      </c>
      <c r="G31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4</v>
      </c>
      <c r="H31" s="25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1.3333333333333333</v>
      </c>
      <c r="I31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2</v>
      </c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</row>
    <row r="32" spans="1:27" ht="15.75" x14ac:dyDescent="0.25">
      <c r="A32" s="22"/>
      <c r="B32" s="22" t="s">
        <v>12</v>
      </c>
      <c r="C32" s="22" t="s">
        <v>3</v>
      </c>
      <c r="D32" s="22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18</v>
      </c>
      <c r="E32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12</v>
      </c>
      <c r="F32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15</v>
      </c>
      <c r="G32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27</v>
      </c>
      <c r="H32" s="25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3.6746031746031749</v>
      </c>
      <c r="I32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4</v>
      </c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</row>
    <row r="33" spans="1:27" ht="15.75" x14ac:dyDescent="0.25">
      <c r="A33" s="22"/>
      <c r="B33" s="22" t="s">
        <v>41</v>
      </c>
      <c r="C33" s="22"/>
      <c r="D33" s="22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1</v>
      </c>
      <c r="E33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F33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G33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H33" s="25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I33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</row>
    <row r="34" spans="1:27" ht="15.75" x14ac:dyDescent="0.25">
      <c r="A34" s="22"/>
      <c r="B34" s="22" t="s">
        <v>16</v>
      </c>
      <c r="C34" s="22" t="s">
        <v>46</v>
      </c>
      <c r="D34" s="22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E34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F34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G34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H34" s="25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I34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</row>
    <row r="35" spans="1:27" ht="15.75" x14ac:dyDescent="0.25">
      <c r="A35" s="22"/>
      <c r="B35" s="22" t="s">
        <v>29</v>
      </c>
      <c r="C35" s="22"/>
      <c r="D35" s="22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2</v>
      </c>
      <c r="E35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1</v>
      </c>
      <c r="F35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1</v>
      </c>
      <c r="G35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2</v>
      </c>
      <c r="H35" s="25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1</v>
      </c>
      <c r="I35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</row>
    <row r="36" spans="1:27" ht="15.75" x14ac:dyDescent="0.25">
      <c r="A36" s="22"/>
      <c r="B36" s="22" t="s">
        <v>39</v>
      </c>
      <c r="C36" s="22" t="s">
        <v>46</v>
      </c>
      <c r="D36" s="22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1</v>
      </c>
      <c r="E36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F36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G36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H36" s="25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  <c r="I36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</row>
    <row r="37" spans="1:27" ht="15.75" x14ac:dyDescent="0.25">
      <c r="A37" s="22"/>
      <c r="B37" s="22" t="s">
        <v>26</v>
      </c>
      <c r="C37" s="22" t="s">
        <v>3</v>
      </c>
      <c r="D37" s="22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4</v>
      </c>
      <c r="E37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1</v>
      </c>
      <c r="F37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2</v>
      </c>
      <c r="G37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3</v>
      </c>
      <c r="H37" s="25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2</v>
      </c>
      <c r="I37" s="30">
        <f>IFERROR(VLOOKUP(Joueuralltime[[#This Row],[Nom]],joueurh2022[[Nom]:[Min Pun]],COLUMN()-1,0),0)+IFERROR(VLOOKUP(Joueuralltime[[#This Row],[Nom]],Tableau19[[Nom]:[Min Pun]],COLUMN()-1,0),0)+IFERROR(VLOOKUP(Joueuralltime[[#This Row],[Nom]],JoueurH2020[[Nom]:[Min. Pun]],COLUMN()-1,0),0)</f>
        <v>0</v>
      </c>
    </row>
    <row r="39" spans="1:27" ht="18.75" x14ac:dyDescent="0.3">
      <c r="A39" s="11" t="s">
        <v>98</v>
      </c>
      <c r="B39" s="11"/>
      <c r="C39" s="11"/>
      <c r="D39" s="11"/>
      <c r="E39" s="11"/>
      <c r="F39" s="11"/>
      <c r="G39" s="11"/>
      <c r="H39" s="11"/>
      <c r="I39" s="11"/>
      <c r="J39" s="11"/>
    </row>
    <row r="40" spans="1:27" s="35" customFormat="1" ht="15.75" x14ac:dyDescent="0.25">
      <c r="A40" s="34" t="s">
        <v>7</v>
      </c>
      <c r="B40" s="34" t="s">
        <v>43</v>
      </c>
      <c r="C40" s="34" t="s">
        <v>66</v>
      </c>
      <c r="D40" s="34" t="s">
        <v>45</v>
      </c>
      <c r="E40" s="34" t="s">
        <v>46</v>
      </c>
      <c r="F40" s="34" t="s">
        <v>47</v>
      </c>
      <c r="G40" s="34" t="s">
        <v>90</v>
      </c>
      <c r="H40" s="34" t="s">
        <v>44</v>
      </c>
      <c r="I40" s="34" t="s">
        <v>2</v>
      </c>
      <c r="J40" s="34" t="s">
        <v>3</v>
      </c>
      <c r="K40" s="34" t="s">
        <v>5</v>
      </c>
    </row>
    <row r="41" spans="1:27" ht="15.75" x14ac:dyDescent="0.25">
      <c r="A41" s="13">
        <v>1</v>
      </c>
      <c r="B41" s="15" t="s">
        <v>48</v>
      </c>
      <c r="C41" s="13"/>
      <c r="D41" s="28"/>
      <c r="E41" s="28"/>
      <c r="F41" s="33" t="e">
        <f>Goaliealltime[[#This Row],[V]]/Goaliealltime[[#This Row],[PJ]]</f>
        <v>#DIV/0!</v>
      </c>
      <c r="G41" s="28"/>
      <c r="H41" s="28" t="e">
        <f>Goaliealltime[[#This Row],[BA]]/Goaliealltime[[#This Row],[PJ]]</f>
        <v>#DIV/0!</v>
      </c>
      <c r="I41" s="28"/>
      <c r="J41" s="28"/>
      <c r="K41" s="28"/>
    </row>
    <row r="42" spans="1:27" ht="15.75" x14ac:dyDescent="0.25">
      <c r="A42" s="13">
        <v>2</v>
      </c>
      <c r="B42" s="15" t="s">
        <v>49</v>
      </c>
      <c r="C42" s="30"/>
      <c r="D42" s="30"/>
      <c r="E42" s="30"/>
      <c r="F42" s="33" t="e">
        <f>Goaliealltime[[#This Row],[V]]/Goaliealltime[[#This Row],[PJ]]</f>
        <v>#DIV/0!</v>
      </c>
      <c r="G42" s="30"/>
      <c r="H42" s="30" t="e">
        <f>Goaliealltime[[#This Row],[BA]]/Goaliealltime[[#This Row],[PJ]]</f>
        <v>#DIV/0!</v>
      </c>
      <c r="I42" s="30"/>
      <c r="J42" s="30"/>
      <c r="K42" s="30"/>
    </row>
    <row r="43" spans="1:27" ht="15.75" x14ac:dyDescent="0.25">
      <c r="A43" s="14">
        <v>3</v>
      </c>
      <c r="B43" s="16" t="s">
        <v>50</v>
      </c>
      <c r="C43" s="31"/>
      <c r="D43" s="31"/>
      <c r="E43" s="31"/>
      <c r="F43" s="33" t="e">
        <f>Goaliealltime[[#This Row],[V]]/Goaliealltime[[#This Row],[PJ]]</f>
        <v>#DIV/0!</v>
      </c>
      <c r="G43" s="31"/>
      <c r="H43" s="30" t="e">
        <f>Goaliealltime[[#This Row],[BA]]/Goaliealltime[[#This Row],[PJ]]</f>
        <v>#DIV/0!</v>
      </c>
      <c r="I43" s="31"/>
      <c r="J43" s="31"/>
      <c r="K43" s="31"/>
    </row>
    <row r="44" spans="1:27" ht="15.75" x14ac:dyDescent="0.25">
      <c r="A44" s="14">
        <v>4</v>
      </c>
      <c r="B44" s="16" t="s">
        <v>51</v>
      </c>
      <c r="C44" s="31">
        <v>1</v>
      </c>
      <c r="D44" s="31">
        <v>0</v>
      </c>
      <c r="E44" s="31">
        <v>1</v>
      </c>
      <c r="F44" s="33">
        <f>Goaliealltime[[#This Row],[V]]/Goaliealltime[[#This Row],[PJ]]</f>
        <v>0</v>
      </c>
      <c r="G44" s="31">
        <v>9</v>
      </c>
      <c r="H44" s="28">
        <f>Goaliealltime[[#This Row],[BA]]/Goaliealltime[[#This Row],[PJ]]</f>
        <v>9</v>
      </c>
      <c r="I44" s="31">
        <v>1</v>
      </c>
      <c r="J44" s="30">
        <v>0</v>
      </c>
      <c r="K44" s="31">
        <v>0</v>
      </c>
    </row>
  </sheetData>
  <mergeCells count="2">
    <mergeCell ref="A1:B1"/>
    <mergeCell ref="AD4:AG4"/>
  </mergeCells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49FF5-5863-45CD-B98B-D46408CC99FF}">
  <dimension ref="A1:AB47"/>
  <sheetViews>
    <sheetView topLeftCell="B1" zoomScale="91" zoomScaleNormal="91" workbookViewId="0">
      <selection activeCell="I3" sqref="I3"/>
    </sheetView>
  </sheetViews>
  <sheetFormatPr baseColWidth="10" defaultRowHeight="15" x14ac:dyDescent="0.25"/>
  <cols>
    <col min="2" max="2" width="24.7109375" customWidth="1"/>
    <col min="8" max="8" width="13.28515625" customWidth="1"/>
    <col min="12" max="12" width="19.42578125" customWidth="1"/>
    <col min="13" max="13" width="16.85546875" customWidth="1"/>
  </cols>
  <sheetData>
    <row r="1" spans="1:28" ht="28.5" x14ac:dyDescent="0.45">
      <c r="A1" s="86" t="s">
        <v>88</v>
      </c>
      <c r="B1" s="86"/>
      <c r="C1" s="86"/>
    </row>
    <row r="2" spans="1:28" ht="18.75" x14ac:dyDescent="0.3">
      <c r="A2" s="11" t="s">
        <v>0</v>
      </c>
      <c r="B2" s="11"/>
      <c r="C2" s="11"/>
      <c r="D2" s="11"/>
      <c r="E2" s="11"/>
      <c r="F2" s="11"/>
      <c r="G2" s="11"/>
      <c r="H2" s="11"/>
      <c r="I2" s="11"/>
    </row>
    <row r="3" spans="1:28" ht="15.75" x14ac:dyDescent="0.25">
      <c r="A3" s="35" t="s">
        <v>7</v>
      </c>
      <c r="B3" s="35" t="s">
        <v>1</v>
      </c>
      <c r="C3" s="35" t="s">
        <v>6</v>
      </c>
      <c r="D3" s="35" t="s">
        <v>66</v>
      </c>
      <c r="E3" s="35" t="s">
        <v>2</v>
      </c>
      <c r="F3" s="35" t="s">
        <v>3</v>
      </c>
      <c r="G3" s="35" t="s">
        <v>4</v>
      </c>
      <c r="H3" s="35" t="s">
        <v>52</v>
      </c>
      <c r="I3" s="35" t="s">
        <v>99</v>
      </c>
      <c r="J3" s="35"/>
      <c r="K3" s="35"/>
      <c r="L3" s="35" t="s">
        <v>56</v>
      </c>
      <c r="M3" s="35" t="s">
        <v>73</v>
      </c>
      <c r="N3" s="35" t="s">
        <v>66</v>
      </c>
      <c r="O3" s="35" t="s">
        <v>45</v>
      </c>
      <c r="P3" s="35" t="s">
        <v>46</v>
      </c>
      <c r="Q3" s="35" t="s">
        <v>57</v>
      </c>
      <c r="R3" s="35" t="s">
        <v>58</v>
      </c>
      <c r="S3" s="35" t="s">
        <v>59</v>
      </c>
      <c r="T3" s="35" t="s">
        <v>4</v>
      </c>
      <c r="U3" s="35" t="s">
        <v>60</v>
      </c>
      <c r="V3" s="35" t="s">
        <v>61</v>
      </c>
      <c r="W3" s="35" t="s">
        <v>62</v>
      </c>
      <c r="X3" s="35" t="s">
        <v>72</v>
      </c>
      <c r="Y3" s="35" t="s">
        <v>63</v>
      </c>
      <c r="Z3" s="35" t="s">
        <v>64</v>
      </c>
      <c r="AA3" s="35" t="s">
        <v>65</v>
      </c>
      <c r="AB3" s="35"/>
    </row>
    <row r="4" spans="1:28" ht="15.75" x14ac:dyDescent="0.25">
      <c r="A4" s="35">
        <v>21</v>
      </c>
      <c r="B4" s="35" t="s">
        <v>35</v>
      </c>
      <c r="C4" s="35"/>
      <c r="D4" s="35">
        <v>1</v>
      </c>
      <c r="E4" s="35">
        <v>0</v>
      </c>
      <c r="F4" s="35">
        <v>1</v>
      </c>
      <c r="G4" s="35">
        <f>joueurh2022[[#This Row],[B]]+joueurh2022[[#This Row],[A]]</f>
        <v>1</v>
      </c>
      <c r="H4" s="67">
        <f>joueurh2022[[#This Row],[Pts]]/joueurh2022[[#This Row],[PJ]]</f>
        <v>1</v>
      </c>
      <c r="I4" s="35">
        <v>0</v>
      </c>
      <c r="J4" s="35"/>
      <c r="K4" s="35"/>
      <c r="L4" s="35" t="s">
        <v>55</v>
      </c>
      <c r="M4" s="35" t="s">
        <v>70</v>
      </c>
      <c r="N4" s="34">
        <v>17</v>
      </c>
      <c r="O4" s="34">
        <v>12</v>
      </c>
      <c r="P4" s="34">
        <v>4</v>
      </c>
      <c r="Q4" s="34">
        <v>0</v>
      </c>
      <c r="R4" s="34">
        <v>1</v>
      </c>
      <c r="S4" s="34">
        <v>2</v>
      </c>
      <c r="T4" s="34">
        <f>2*TeamH2021[[#This Row],[V]]+1*(TeamH2021[[#This Row],[N]]+TeamH2021[[#This Row],[DF]])</f>
        <v>25</v>
      </c>
      <c r="U4" s="32">
        <f>(TeamH2021[[#This Row],[V]]+ 0.5*TeamH2021[[#This Row],[N]])/TeamH2021[[#This Row],[PJ]]</f>
        <v>0.70588235294117652</v>
      </c>
      <c r="V4" s="34">
        <v>80</v>
      </c>
      <c r="W4" s="34">
        <v>64</v>
      </c>
      <c r="X4" s="34">
        <f>TeamH2021[[#This Row],[BP]]-TeamH2021[[#This Row],[BC]]</f>
        <v>16</v>
      </c>
      <c r="Y4" s="42">
        <f>7/37</f>
        <v>0.1891891891891892</v>
      </c>
      <c r="Z4" s="42">
        <f>1- (12/40)</f>
        <v>0.7</v>
      </c>
      <c r="AA4" s="34">
        <v>86</v>
      </c>
      <c r="AB4" s="35"/>
    </row>
    <row r="5" spans="1:28" ht="15.75" x14ac:dyDescent="0.25">
      <c r="A5" s="35">
        <v>11</v>
      </c>
      <c r="B5" s="35" t="s">
        <v>17</v>
      </c>
      <c r="C5" s="35"/>
      <c r="D5" s="35">
        <v>17</v>
      </c>
      <c r="E5" s="35">
        <v>2</v>
      </c>
      <c r="F5" s="35">
        <v>5</v>
      </c>
      <c r="G5" s="35">
        <f>joueurh2022[[#This Row],[B]]+joueurh2022[[#This Row],[A]]</f>
        <v>7</v>
      </c>
      <c r="H5" s="67">
        <f>joueurh2022[[#This Row],[Pts]]/joueurh2022[[#This Row],[PJ]]</f>
        <v>0.41176470588235292</v>
      </c>
      <c r="I5" s="35">
        <v>12</v>
      </c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1:28" ht="15.75" x14ac:dyDescent="0.25">
      <c r="A6" s="35">
        <v>27</v>
      </c>
      <c r="B6" s="35" t="s">
        <v>28</v>
      </c>
      <c r="C6" s="35"/>
      <c r="D6" s="35">
        <v>1</v>
      </c>
      <c r="E6" s="35">
        <v>0</v>
      </c>
      <c r="F6" s="35">
        <v>0</v>
      </c>
      <c r="G6" s="35">
        <f>joueurh2022[[#This Row],[B]]+joueurh2022[[#This Row],[A]]</f>
        <v>0</v>
      </c>
      <c r="H6" s="67">
        <f>joueurh2022[[#This Row],[Pts]]/joueurh2022[[#This Row],[PJ]]</f>
        <v>0</v>
      </c>
      <c r="I6" s="35">
        <v>0</v>
      </c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</row>
    <row r="7" spans="1:28" ht="15.75" x14ac:dyDescent="0.25">
      <c r="A7" s="35">
        <v>13</v>
      </c>
      <c r="B7" s="35" t="s">
        <v>22</v>
      </c>
      <c r="C7" s="35"/>
      <c r="D7" s="35">
        <v>2</v>
      </c>
      <c r="E7" s="35">
        <v>1</v>
      </c>
      <c r="F7" s="35">
        <v>3</v>
      </c>
      <c r="G7" s="35">
        <f>joueurh2022[[#This Row],[B]]+joueurh2022[[#This Row],[A]]</f>
        <v>4</v>
      </c>
      <c r="H7" s="67">
        <f>joueurh2022[[#This Row],[Pts]]/joueurh2022[[#This Row],[PJ]]</f>
        <v>2</v>
      </c>
      <c r="I7" s="35">
        <v>0</v>
      </c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</row>
    <row r="8" spans="1:28" ht="15.75" x14ac:dyDescent="0.25">
      <c r="A8" s="35">
        <v>19</v>
      </c>
      <c r="B8" s="35" t="s">
        <v>24</v>
      </c>
      <c r="C8" s="35"/>
      <c r="D8" s="35">
        <v>1</v>
      </c>
      <c r="E8" s="35">
        <v>1</v>
      </c>
      <c r="F8" s="35">
        <v>0</v>
      </c>
      <c r="G8" s="35">
        <f>joueurh2022[[#This Row],[B]]+joueurh2022[[#This Row],[A]]</f>
        <v>1</v>
      </c>
      <c r="H8" s="67">
        <f>joueurh2022[[#This Row],[Pts]]/joueurh2022[[#This Row],[PJ]]</f>
        <v>1</v>
      </c>
      <c r="I8" s="35">
        <v>0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1:28" ht="15.75" x14ac:dyDescent="0.25">
      <c r="A9" s="35">
        <v>5</v>
      </c>
      <c r="B9" s="35" t="s">
        <v>13</v>
      </c>
      <c r="C9" s="35"/>
      <c r="D9" s="35">
        <v>17</v>
      </c>
      <c r="E9" s="35">
        <v>5</v>
      </c>
      <c r="F9" s="35">
        <v>13</v>
      </c>
      <c r="G9" s="35">
        <f>joueurh2022[[#This Row],[B]]+joueurh2022[[#This Row],[A]]</f>
        <v>18</v>
      </c>
      <c r="H9" s="67">
        <f>joueurh2022[[#This Row],[Pts]]/joueurh2022[[#This Row],[PJ]]</f>
        <v>1.0588235294117647</v>
      </c>
      <c r="I9" s="35">
        <v>14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</row>
    <row r="10" spans="1:28" ht="15.75" x14ac:dyDescent="0.25">
      <c r="A10" s="35">
        <v>18</v>
      </c>
      <c r="B10" s="35" t="s">
        <v>32</v>
      </c>
      <c r="C10" s="35"/>
      <c r="D10" s="35">
        <v>1</v>
      </c>
      <c r="E10" s="35">
        <v>1</v>
      </c>
      <c r="F10" s="35">
        <v>1</v>
      </c>
      <c r="G10" s="35">
        <f>joueurh2022[[#This Row],[B]]+joueurh2022[[#This Row],[A]]</f>
        <v>2</v>
      </c>
      <c r="H10" s="67">
        <f>joueurh2022[[#This Row],[Pts]]/joueurh2022[[#This Row],[PJ]]</f>
        <v>2</v>
      </c>
      <c r="I10" s="35">
        <v>14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</row>
    <row r="11" spans="1:28" ht="15.75" x14ac:dyDescent="0.25">
      <c r="A11" s="35">
        <v>17</v>
      </c>
      <c r="B11" s="35" t="s">
        <v>31</v>
      </c>
      <c r="C11" s="35"/>
      <c r="D11" s="35">
        <v>1</v>
      </c>
      <c r="E11" s="35">
        <v>1</v>
      </c>
      <c r="F11" s="35">
        <v>1</v>
      </c>
      <c r="G11" s="35">
        <f>joueurh2022[[#This Row],[B]]+joueurh2022[[#This Row],[A]]</f>
        <v>2</v>
      </c>
      <c r="H11" s="67">
        <f>joueurh2022[[#This Row],[Pts]]/joueurh2022[[#This Row],[PJ]]</f>
        <v>2</v>
      </c>
      <c r="I11" s="35">
        <v>0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</row>
    <row r="12" spans="1:28" ht="15.75" x14ac:dyDescent="0.25">
      <c r="A12" s="35">
        <v>24</v>
      </c>
      <c r="B12" s="35" t="s">
        <v>38</v>
      </c>
      <c r="C12" s="35"/>
      <c r="D12" s="35">
        <v>2</v>
      </c>
      <c r="E12" s="35">
        <v>0</v>
      </c>
      <c r="F12" s="35">
        <v>0</v>
      </c>
      <c r="G12" s="35">
        <f>joueurh2022[[#This Row],[B]]+joueurh2022[[#This Row],[A]]</f>
        <v>0</v>
      </c>
      <c r="H12" s="67">
        <f>joueurh2022[[#This Row],[Pts]]/joueurh2022[[#This Row],[PJ]]</f>
        <v>0</v>
      </c>
      <c r="I12" s="35">
        <v>0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</row>
    <row r="13" spans="1:28" ht="15.75" x14ac:dyDescent="0.25">
      <c r="A13" s="35">
        <v>20</v>
      </c>
      <c r="B13" s="35" t="s">
        <v>34</v>
      </c>
      <c r="C13" s="35"/>
      <c r="D13" s="35">
        <v>1</v>
      </c>
      <c r="E13" s="35">
        <v>1</v>
      </c>
      <c r="F13" s="35">
        <v>0</v>
      </c>
      <c r="G13" s="35">
        <f>joueurh2022[[#This Row],[B]]+joueurh2022[[#This Row],[A]]</f>
        <v>1</v>
      </c>
      <c r="H13" s="67">
        <f>joueurh2022[[#This Row],[Pts]]/joueurh2022[[#This Row],[PJ]]</f>
        <v>1</v>
      </c>
      <c r="I13" s="35">
        <v>0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</row>
    <row r="14" spans="1:28" ht="15.75" x14ac:dyDescent="0.25">
      <c r="A14" s="35">
        <v>4</v>
      </c>
      <c r="B14" s="35" t="s">
        <v>11</v>
      </c>
      <c r="C14" s="35"/>
      <c r="D14" s="35">
        <v>10</v>
      </c>
      <c r="E14" s="35">
        <v>7</v>
      </c>
      <c r="F14" s="35">
        <v>12</v>
      </c>
      <c r="G14" s="35">
        <f>joueurh2022[[#This Row],[B]]+joueurh2022[[#This Row],[A]]</f>
        <v>19</v>
      </c>
      <c r="H14" s="67">
        <f>joueurh2022[[#This Row],[Pts]]/joueurh2022[[#This Row],[PJ]]</f>
        <v>1.9</v>
      </c>
      <c r="I14" s="35">
        <v>2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</row>
    <row r="15" spans="1:28" ht="15.75" x14ac:dyDescent="0.25">
      <c r="A15" s="35">
        <v>16</v>
      </c>
      <c r="B15" s="35" t="s">
        <v>19</v>
      </c>
      <c r="C15" s="35"/>
      <c r="D15" s="35">
        <v>10</v>
      </c>
      <c r="E15" s="35">
        <v>1</v>
      </c>
      <c r="F15" s="35">
        <v>1</v>
      </c>
      <c r="G15" s="35">
        <f>joueurh2022[[#This Row],[B]]+joueurh2022[[#This Row],[A]]</f>
        <v>2</v>
      </c>
      <c r="H15" s="67">
        <f>joueurh2022[[#This Row],[Pts]]/joueurh2022[[#This Row],[PJ]]</f>
        <v>0.2</v>
      </c>
      <c r="I15" s="35">
        <v>0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</row>
    <row r="16" spans="1:28" ht="15.75" x14ac:dyDescent="0.25">
      <c r="A16" s="35">
        <v>8</v>
      </c>
      <c r="B16" s="35" t="s">
        <v>18</v>
      </c>
      <c r="C16" s="35"/>
      <c r="D16" s="35">
        <v>5</v>
      </c>
      <c r="E16" s="35">
        <v>5</v>
      </c>
      <c r="F16" s="35">
        <v>4</v>
      </c>
      <c r="G16" s="35">
        <f>joueurh2022[[#This Row],[B]]+joueurh2022[[#This Row],[A]]</f>
        <v>9</v>
      </c>
      <c r="H16" s="67">
        <f>joueurh2022[[#This Row],[Pts]]/joueurh2022[[#This Row],[PJ]]</f>
        <v>1.8</v>
      </c>
      <c r="I16" s="35">
        <v>0</v>
      </c>
      <c r="J16" s="35"/>
      <c r="K16" s="35"/>
      <c r="L16" s="35"/>
      <c r="M16" s="35"/>
      <c r="N16" s="35"/>
      <c r="X16" s="35"/>
      <c r="Y16" s="35"/>
      <c r="Z16" s="35"/>
      <c r="AA16" s="35"/>
      <c r="AB16" s="35"/>
    </row>
    <row r="17" spans="1:28" ht="15.75" x14ac:dyDescent="0.25">
      <c r="A17" s="35">
        <v>14</v>
      </c>
      <c r="B17" s="35" t="s">
        <v>25</v>
      </c>
      <c r="C17" s="35"/>
      <c r="D17" s="35">
        <v>3</v>
      </c>
      <c r="E17" s="35">
        <v>1</v>
      </c>
      <c r="F17" s="35">
        <v>2</v>
      </c>
      <c r="G17" s="35">
        <f>joueurh2022[[#This Row],[B]]+joueurh2022[[#This Row],[A]]</f>
        <v>3</v>
      </c>
      <c r="H17" s="67">
        <f>joueurh2022[[#This Row],[Pts]]/joueurh2022[[#This Row],[PJ]]</f>
        <v>1</v>
      </c>
      <c r="I17" s="35">
        <v>0</v>
      </c>
      <c r="J17" s="35"/>
      <c r="K17" s="35"/>
      <c r="L17" s="35"/>
      <c r="M17" s="35"/>
      <c r="N17" s="35"/>
      <c r="X17" s="35"/>
      <c r="Y17" s="35"/>
      <c r="Z17" s="35"/>
      <c r="AA17" s="35"/>
      <c r="AB17" s="35"/>
    </row>
    <row r="18" spans="1:28" ht="15.75" x14ac:dyDescent="0.25">
      <c r="A18" s="35">
        <v>1</v>
      </c>
      <c r="B18" s="35" t="s">
        <v>8</v>
      </c>
      <c r="C18" s="35"/>
      <c r="D18" s="35">
        <v>17</v>
      </c>
      <c r="E18" s="35">
        <v>16</v>
      </c>
      <c r="F18" s="35">
        <v>18</v>
      </c>
      <c r="G18" s="35">
        <f>joueurh2022[[#This Row],[B]]+joueurh2022[[#This Row],[A]]</f>
        <v>34</v>
      </c>
      <c r="H18" s="67">
        <f>joueurh2022[[#This Row],[Pts]]/joueurh2022[[#This Row],[PJ]]</f>
        <v>2</v>
      </c>
      <c r="I18" s="35">
        <v>8</v>
      </c>
      <c r="J18" s="35"/>
      <c r="K18" s="35"/>
      <c r="L18" s="35"/>
      <c r="M18" s="35"/>
      <c r="N18" s="35"/>
      <c r="X18" s="35"/>
      <c r="Y18" s="35"/>
      <c r="Z18" s="35"/>
      <c r="AA18" s="35"/>
      <c r="AB18" s="35"/>
    </row>
    <row r="19" spans="1:28" ht="15.75" x14ac:dyDescent="0.25">
      <c r="A19" s="35">
        <v>15</v>
      </c>
      <c r="B19" s="35" t="s">
        <v>30</v>
      </c>
      <c r="C19" s="35"/>
      <c r="D19" s="35">
        <v>2</v>
      </c>
      <c r="E19" s="35">
        <v>1</v>
      </c>
      <c r="F19" s="35">
        <v>1</v>
      </c>
      <c r="G19" s="35">
        <f>joueurh2022[[#This Row],[B]]+joueurh2022[[#This Row],[A]]</f>
        <v>2</v>
      </c>
      <c r="H19" s="67">
        <f>joueurh2022[[#This Row],[Pts]]/joueurh2022[[#This Row],[PJ]]</f>
        <v>1</v>
      </c>
      <c r="I19" s="35">
        <v>2</v>
      </c>
      <c r="J19" s="35"/>
      <c r="K19" s="35"/>
      <c r="L19" s="35"/>
      <c r="M19" s="35"/>
      <c r="N19" s="35"/>
      <c r="X19" s="35"/>
      <c r="Y19" s="35"/>
      <c r="Z19" s="35"/>
      <c r="AA19" s="35"/>
      <c r="AB19" s="35"/>
    </row>
    <row r="20" spans="1:28" ht="15.75" x14ac:dyDescent="0.25">
      <c r="A20" s="35">
        <v>23</v>
      </c>
      <c r="B20" s="35" t="s">
        <v>36</v>
      </c>
      <c r="C20" s="35"/>
      <c r="D20" s="35">
        <v>1</v>
      </c>
      <c r="E20" s="35">
        <v>0</v>
      </c>
      <c r="F20" s="35">
        <v>1</v>
      </c>
      <c r="G20" s="35">
        <f>joueurh2022[[#This Row],[B]]+joueurh2022[[#This Row],[A]]</f>
        <v>1</v>
      </c>
      <c r="H20" s="67">
        <f>joueurh2022[[#This Row],[Pts]]/joueurh2022[[#This Row],[PJ]]</f>
        <v>1</v>
      </c>
      <c r="I20" s="35">
        <v>0</v>
      </c>
      <c r="J20" s="35"/>
      <c r="K20" s="35"/>
      <c r="L20" s="35"/>
      <c r="M20" s="35"/>
      <c r="N20" s="35"/>
      <c r="X20" s="35"/>
      <c r="Y20" s="35"/>
      <c r="Z20" s="35"/>
      <c r="AA20" s="35"/>
      <c r="AB20" s="35"/>
    </row>
    <row r="21" spans="1:28" ht="15.75" x14ac:dyDescent="0.25">
      <c r="A21" s="35">
        <v>3</v>
      </c>
      <c r="B21" s="35" t="s">
        <v>10</v>
      </c>
      <c r="C21" s="35"/>
      <c r="D21" s="35">
        <v>15</v>
      </c>
      <c r="E21" s="35">
        <v>8</v>
      </c>
      <c r="F21" s="35">
        <v>15</v>
      </c>
      <c r="G21" s="35">
        <f>joueurh2022[[#This Row],[B]]+joueurh2022[[#This Row],[A]]</f>
        <v>23</v>
      </c>
      <c r="H21" s="67">
        <f>joueurh2022[[#This Row],[Pts]]/joueurh2022[[#This Row],[PJ]]</f>
        <v>1.5333333333333334</v>
      </c>
      <c r="I21" s="35">
        <v>28</v>
      </c>
      <c r="J21" s="35"/>
      <c r="K21" s="35"/>
      <c r="L21" s="35"/>
      <c r="M21" s="35"/>
      <c r="N21" s="35"/>
      <c r="X21" s="35"/>
      <c r="Y21" s="35"/>
      <c r="Z21" s="35"/>
      <c r="AA21" s="35"/>
      <c r="AB21" s="35"/>
    </row>
    <row r="22" spans="1:28" ht="15.75" x14ac:dyDescent="0.25">
      <c r="A22" s="69">
        <v>2</v>
      </c>
      <c r="B22" s="68" t="s">
        <v>9</v>
      </c>
      <c r="C22" s="68"/>
      <c r="D22" s="69">
        <v>16</v>
      </c>
      <c r="E22" s="69">
        <v>14</v>
      </c>
      <c r="F22" s="69">
        <v>15</v>
      </c>
      <c r="G22" s="69">
        <f>joueurh2022[[#This Row],[B]]+joueurh2022[[#This Row],[A]]</f>
        <v>29</v>
      </c>
      <c r="H22" s="70">
        <f>joueurh2022[[#This Row],[Pts]]/joueurh2022[[#This Row],[PJ]]</f>
        <v>1.8125</v>
      </c>
      <c r="I22" s="69">
        <v>10</v>
      </c>
      <c r="J22" s="35"/>
      <c r="K22" s="35"/>
      <c r="L22" s="35"/>
      <c r="M22" s="35"/>
      <c r="N22" s="35"/>
      <c r="X22" s="35"/>
      <c r="Y22" s="35"/>
      <c r="Z22" s="35"/>
      <c r="AA22" s="35"/>
      <c r="AB22" s="35"/>
    </row>
    <row r="23" spans="1:28" ht="15.75" x14ac:dyDescent="0.25">
      <c r="A23" s="69">
        <v>26</v>
      </c>
      <c r="B23" s="68" t="s">
        <v>40</v>
      </c>
      <c r="C23" s="68"/>
      <c r="D23" s="69">
        <v>1</v>
      </c>
      <c r="E23" s="69">
        <v>0</v>
      </c>
      <c r="F23" s="69">
        <v>0</v>
      </c>
      <c r="G23" s="69">
        <f>joueurh2022[[#This Row],[B]]+joueurh2022[[#This Row],[A]]</f>
        <v>0</v>
      </c>
      <c r="H23" s="70">
        <f>joueurh2022[[#This Row],[Pts]]/joueurh2022[[#This Row],[PJ]]</f>
        <v>0</v>
      </c>
      <c r="I23" s="69">
        <v>0</v>
      </c>
      <c r="J23" s="35"/>
      <c r="K23" s="35"/>
      <c r="L23" s="35"/>
      <c r="M23" s="35"/>
      <c r="N23" s="35"/>
      <c r="X23" s="35"/>
      <c r="Y23" s="35"/>
      <c r="Z23" s="35"/>
      <c r="AA23" s="35"/>
      <c r="AB23" s="35"/>
    </row>
    <row r="24" spans="1:28" ht="15.75" x14ac:dyDescent="0.25">
      <c r="A24" s="69">
        <v>7</v>
      </c>
      <c r="B24" s="68" t="s">
        <v>14</v>
      </c>
      <c r="C24" s="68"/>
      <c r="D24" s="69">
        <v>6</v>
      </c>
      <c r="E24" s="69">
        <v>9</v>
      </c>
      <c r="F24" s="69">
        <v>4</v>
      </c>
      <c r="G24" s="69">
        <f>joueurh2022[[#This Row],[B]]+joueurh2022[[#This Row],[A]]</f>
        <v>13</v>
      </c>
      <c r="H24" s="70">
        <f>joueurh2022[[#This Row],[Pts]]/joueurh2022[[#This Row],[PJ]]</f>
        <v>2.1666666666666665</v>
      </c>
      <c r="I24" s="69">
        <v>2</v>
      </c>
      <c r="J24" s="35"/>
      <c r="K24" s="35"/>
      <c r="L24" s="35"/>
      <c r="M24" s="35"/>
      <c r="N24" s="35"/>
      <c r="X24" s="35"/>
      <c r="Y24" s="35"/>
      <c r="Z24" s="35"/>
      <c r="AA24" s="35"/>
      <c r="AB24" s="35"/>
    </row>
    <row r="25" spans="1:28" ht="15.75" x14ac:dyDescent="0.25">
      <c r="A25" s="35">
        <v>10</v>
      </c>
      <c r="B25" s="35" t="s">
        <v>15</v>
      </c>
      <c r="C25" s="35"/>
      <c r="D25" s="35">
        <v>11</v>
      </c>
      <c r="E25" s="35">
        <v>3</v>
      </c>
      <c r="F25" s="35">
        <v>5</v>
      </c>
      <c r="G25" s="35">
        <f>joueurh2022[[#This Row],[B]]+joueurh2022[[#This Row],[A]]</f>
        <v>8</v>
      </c>
      <c r="H25" s="67">
        <f>joueurh2022[[#This Row],[Pts]]/joueurh2022[[#This Row],[PJ]]</f>
        <v>0.72727272727272729</v>
      </c>
      <c r="I25" s="35">
        <v>0</v>
      </c>
      <c r="J25" s="35"/>
      <c r="K25" s="35"/>
      <c r="L25" s="35"/>
      <c r="M25" s="35"/>
      <c r="N25" s="35"/>
      <c r="X25" s="35"/>
      <c r="Y25" s="35"/>
      <c r="Z25" s="35"/>
      <c r="AA25" s="35"/>
      <c r="AB25" s="35"/>
    </row>
    <row r="26" spans="1:28" ht="15.75" x14ac:dyDescent="0.25">
      <c r="A26" s="35">
        <v>12</v>
      </c>
      <c r="B26" s="35" t="s">
        <v>21</v>
      </c>
      <c r="C26" s="35"/>
      <c r="D26" s="35">
        <v>3</v>
      </c>
      <c r="E26" s="35">
        <v>2</v>
      </c>
      <c r="F26" s="35">
        <v>2</v>
      </c>
      <c r="G26" s="35">
        <f>joueurh2022[[#This Row],[B]]+joueurh2022[[#This Row],[A]]</f>
        <v>4</v>
      </c>
      <c r="H26" s="67">
        <f>joueurh2022[[#This Row],[Pts]]/joueurh2022[[#This Row],[PJ]]</f>
        <v>1.3333333333333333</v>
      </c>
      <c r="I26" s="35">
        <v>2</v>
      </c>
      <c r="J26" s="35"/>
      <c r="K26" s="35"/>
      <c r="L26" s="35"/>
      <c r="M26" s="35"/>
      <c r="N26" s="35"/>
      <c r="X26" s="35"/>
      <c r="Y26" s="35"/>
      <c r="Z26" s="35"/>
      <c r="AA26" s="35"/>
      <c r="AB26" s="35"/>
    </row>
    <row r="27" spans="1:28" ht="15.75" x14ac:dyDescent="0.25">
      <c r="A27" s="35">
        <v>9</v>
      </c>
      <c r="B27" s="35" t="s">
        <v>12</v>
      </c>
      <c r="C27" s="35"/>
      <c r="D27" s="35">
        <v>7</v>
      </c>
      <c r="E27" s="35">
        <v>2</v>
      </c>
      <c r="F27" s="35">
        <v>7</v>
      </c>
      <c r="G27" s="35">
        <f>joueurh2022[[#This Row],[B]]+joueurh2022[[#This Row],[A]]</f>
        <v>9</v>
      </c>
      <c r="H27" s="67">
        <f>joueurh2022[[#This Row],[Pts]]/joueurh2022[[#This Row],[PJ]]</f>
        <v>1.2857142857142858</v>
      </c>
      <c r="I27" s="35">
        <v>4</v>
      </c>
      <c r="J27" s="35"/>
      <c r="K27" s="35"/>
      <c r="L27" s="35"/>
      <c r="M27" s="35"/>
      <c r="N27" s="35"/>
      <c r="X27" s="35"/>
      <c r="Y27" s="35"/>
      <c r="Z27" s="35"/>
      <c r="AA27" s="35"/>
      <c r="AB27" s="35"/>
    </row>
    <row r="28" spans="1:28" ht="15.75" x14ac:dyDescent="0.25">
      <c r="A28" s="35">
        <v>28</v>
      </c>
      <c r="B28" s="35" t="s">
        <v>41</v>
      </c>
      <c r="C28" s="35"/>
      <c r="D28" s="35">
        <v>1</v>
      </c>
      <c r="E28" s="35">
        <v>0</v>
      </c>
      <c r="F28" s="35">
        <v>0</v>
      </c>
      <c r="G28" s="35">
        <f>joueurh2022[[#This Row],[B]]+joueurh2022[[#This Row],[A]]</f>
        <v>0</v>
      </c>
      <c r="H28" s="67">
        <f>joueurh2022[[#This Row],[Pts]]/joueurh2022[[#This Row],[PJ]]</f>
        <v>0</v>
      </c>
      <c r="I28" s="35">
        <v>0</v>
      </c>
      <c r="J28" s="35"/>
      <c r="K28" s="35"/>
      <c r="L28" s="35"/>
      <c r="M28" s="35"/>
      <c r="N28" s="35"/>
      <c r="X28" s="35"/>
      <c r="Y28" s="35"/>
      <c r="Z28" s="35"/>
      <c r="AA28" s="35"/>
      <c r="AB28" s="35"/>
    </row>
    <row r="29" spans="1:28" ht="15.75" x14ac:dyDescent="0.25">
      <c r="A29" s="35">
        <v>6</v>
      </c>
      <c r="B29" s="35" t="s">
        <v>89</v>
      </c>
      <c r="C29" s="35"/>
      <c r="D29" s="35">
        <v>14</v>
      </c>
      <c r="E29" s="35">
        <v>1</v>
      </c>
      <c r="F29" s="35">
        <v>16</v>
      </c>
      <c r="G29" s="35">
        <f>joueurh2022[[#This Row],[B]]+joueurh2022[[#This Row],[A]]</f>
        <v>17</v>
      </c>
      <c r="H29" s="67">
        <f>joueurh2022[[#This Row],[Pts]]/joueurh2022[[#This Row],[PJ]]</f>
        <v>1.2142857142857142</v>
      </c>
      <c r="I29" s="35">
        <v>10</v>
      </c>
      <c r="J29" s="35"/>
      <c r="K29" s="35"/>
      <c r="L29" s="35"/>
      <c r="M29" s="35"/>
      <c r="N29" s="35"/>
      <c r="X29" s="35"/>
      <c r="Y29" s="35"/>
      <c r="Z29" s="35"/>
      <c r="AA29" s="35"/>
      <c r="AB29" s="35"/>
    </row>
    <row r="30" spans="1:28" ht="15.75" x14ac:dyDescent="0.25">
      <c r="A30" s="35">
        <v>25</v>
      </c>
      <c r="B30" s="35" t="s">
        <v>39</v>
      </c>
      <c r="C30" s="35"/>
      <c r="D30" s="35">
        <v>1</v>
      </c>
      <c r="E30" s="35">
        <v>0</v>
      </c>
      <c r="F30" s="35">
        <v>0</v>
      </c>
      <c r="G30" s="35">
        <f>joueurh2022[[#This Row],[B]]+joueurh2022[[#This Row],[A]]</f>
        <v>0</v>
      </c>
      <c r="H30" s="67">
        <f>joueurh2022[[#This Row],[Pts]]/joueurh2022[[#This Row],[PJ]]</f>
        <v>0</v>
      </c>
      <c r="I30" s="35">
        <v>0</v>
      </c>
      <c r="J30" s="35"/>
      <c r="K30" s="35"/>
      <c r="L30" s="35"/>
      <c r="M30" s="35"/>
      <c r="N30" s="35"/>
      <c r="X30" s="35"/>
      <c r="Y30" s="35"/>
      <c r="Z30" s="35"/>
      <c r="AA30" s="35"/>
      <c r="AB30" s="35"/>
    </row>
    <row r="31" spans="1:28" ht="15.75" x14ac:dyDescent="0.25">
      <c r="A31" s="35">
        <v>22</v>
      </c>
      <c r="B31" s="35" t="s">
        <v>26</v>
      </c>
      <c r="C31" s="35"/>
      <c r="D31" s="35">
        <v>1</v>
      </c>
      <c r="E31" s="35">
        <v>0</v>
      </c>
      <c r="F31" s="35">
        <v>1</v>
      </c>
      <c r="G31" s="35">
        <f>joueurh2022[[#This Row],[B]]+joueurh2022[[#This Row],[A]]</f>
        <v>1</v>
      </c>
      <c r="H31" s="67">
        <f>joueurh2022[[#This Row],[Pts]]/joueurh2022[[#This Row],[PJ]]</f>
        <v>1</v>
      </c>
      <c r="I31" s="35">
        <v>0</v>
      </c>
      <c r="J31" s="35"/>
      <c r="K31" s="35"/>
      <c r="L31" s="35"/>
      <c r="M31" s="35"/>
      <c r="N31" s="35"/>
      <c r="X31" s="35"/>
      <c r="Y31" s="35"/>
      <c r="Z31" s="35"/>
      <c r="AA31" s="35"/>
      <c r="AB31" s="35"/>
    </row>
    <row r="32" spans="1:28" ht="15.75" x14ac:dyDescent="0.25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X32" s="35"/>
      <c r="Y32" s="35"/>
      <c r="Z32" s="35"/>
      <c r="AA32" s="35"/>
      <c r="AB32" s="35"/>
    </row>
    <row r="33" spans="1:28" ht="15.75" x14ac:dyDescent="0.25">
      <c r="A33" s="35" t="s">
        <v>98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X33" s="35"/>
      <c r="Y33" s="35"/>
      <c r="Z33" s="35"/>
      <c r="AA33" s="35"/>
      <c r="AB33" s="35"/>
    </row>
    <row r="34" spans="1:28" ht="15.75" x14ac:dyDescent="0.25">
      <c r="A34" s="30" t="s">
        <v>7</v>
      </c>
      <c r="B34" s="30" t="s">
        <v>1</v>
      </c>
      <c r="C34" s="34" t="s">
        <v>66</v>
      </c>
      <c r="D34" s="34" t="s">
        <v>45</v>
      </c>
      <c r="E34" s="34" t="s">
        <v>46</v>
      </c>
      <c r="F34" s="34" t="s">
        <v>47</v>
      </c>
      <c r="G34" s="34" t="s">
        <v>90</v>
      </c>
      <c r="H34" s="34" t="s">
        <v>44</v>
      </c>
      <c r="I34" s="34" t="s">
        <v>2</v>
      </c>
      <c r="J34" s="34" t="s">
        <v>3</v>
      </c>
      <c r="K34" s="34" t="s">
        <v>99</v>
      </c>
      <c r="L34" s="35"/>
      <c r="M34" s="35"/>
      <c r="N34" s="35"/>
      <c r="X34" s="35"/>
      <c r="Y34" s="35"/>
      <c r="Z34" s="35"/>
      <c r="AA34" s="35"/>
      <c r="AB34" s="35"/>
    </row>
    <row r="35" spans="1:28" s="2" customFormat="1" ht="15.75" x14ac:dyDescent="0.25">
      <c r="A35" s="61">
        <v>1</v>
      </c>
      <c r="B35" s="61" t="s">
        <v>48</v>
      </c>
      <c r="C35" s="61">
        <v>14</v>
      </c>
      <c r="D35" s="61">
        <v>11</v>
      </c>
      <c r="E35" s="31">
        <v>3</v>
      </c>
      <c r="F35" s="32">
        <f>D35/C35</f>
        <v>0.7857142857142857</v>
      </c>
      <c r="G35" s="34">
        <v>48</v>
      </c>
      <c r="H35" s="25">
        <f>GoalieH2021[[#This Row],[BA]]/GoalieH2021[[#This Row],[PJ]]</f>
        <v>3.4285714285714284</v>
      </c>
      <c r="I35" s="34">
        <v>0</v>
      </c>
      <c r="J35" s="34">
        <v>0</v>
      </c>
      <c r="K35" s="34">
        <v>2</v>
      </c>
      <c r="L35" s="34"/>
      <c r="M35" s="34"/>
      <c r="N35" s="34"/>
      <c r="X35" s="34"/>
      <c r="Y35" s="34"/>
      <c r="Z35" s="34"/>
      <c r="AA35" s="34"/>
      <c r="AB35" s="34"/>
    </row>
    <row r="36" spans="1:28" s="2" customFormat="1" ht="15.75" x14ac:dyDescent="0.25">
      <c r="A36" s="30">
        <v>2</v>
      </c>
      <c r="B36" s="30" t="s">
        <v>49</v>
      </c>
      <c r="C36" s="31">
        <v>2</v>
      </c>
      <c r="D36" s="31">
        <v>1</v>
      </c>
      <c r="E36" s="31">
        <v>1</v>
      </c>
      <c r="F36" s="32">
        <f>D36/C36</f>
        <v>0.5</v>
      </c>
      <c r="G36" s="34">
        <v>8</v>
      </c>
      <c r="H36" s="25">
        <f>GoalieH2021[[#This Row],[BA]]/GoalieH2021[[#This Row],[PJ]]</f>
        <v>4</v>
      </c>
      <c r="I36" s="24">
        <v>0</v>
      </c>
      <c r="J36" s="24">
        <v>0</v>
      </c>
      <c r="K36" s="24">
        <v>0</v>
      </c>
      <c r="L36" s="34"/>
      <c r="M36" s="34"/>
      <c r="N36" s="34"/>
      <c r="X36" s="34"/>
      <c r="Y36" s="34"/>
      <c r="Z36" s="34"/>
      <c r="AA36" s="34"/>
      <c r="AB36" s="34"/>
    </row>
    <row r="37" spans="1:28" s="2" customFormat="1" ht="15.75" x14ac:dyDescent="0.25">
      <c r="A37" s="59">
        <v>3</v>
      </c>
      <c r="B37" s="59" t="s">
        <v>50</v>
      </c>
      <c r="C37" s="59">
        <v>1</v>
      </c>
      <c r="D37" s="59">
        <v>0</v>
      </c>
      <c r="E37" s="31">
        <v>1</v>
      </c>
      <c r="F37" s="32">
        <f>D37/C37</f>
        <v>0</v>
      </c>
      <c r="G37" s="34">
        <v>6</v>
      </c>
      <c r="H37" s="25">
        <f>GoalieH2021[[#This Row],[BA]]/GoalieH2021[[#This Row],[PJ]]</f>
        <v>6</v>
      </c>
      <c r="I37" s="24">
        <v>0</v>
      </c>
      <c r="J37" s="24">
        <v>0</v>
      </c>
      <c r="K37" s="24">
        <v>0</v>
      </c>
      <c r="L37" s="34"/>
      <c r="M37" s="34"/>
      <c r="N37" s="34"/>
      <c r="X37" s="34"/>
      <c r="Y37" s="34"/>
      <c r="Z37" s="34"/>
      <c r="AA37" s="34"/>
      <c r="AB37" s="34"/>
    </row>
    <row r="38" spans="1:28" ht="15.75" x14ac:dyDescent="0.25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X38" s="35"/>
      <c r="Y38" s="35"/>
      <c r="Z38" s="35"/>
      <c r="AA38" s="35"/>
      <c r="AB38" s="35"/>
    </row>
    <row r="39" spans="1:28" ht="15.75" x14ac:dyDescent="0.25">
      <c r="A39" s="35"/>
      <c r="B39" s="35"/>
      <c r="C39" s="30"/>
      <c r="D39" s="30"/>
      <c r="E39" s="30"/>
      <c r="F39" s="30"/>
      <c r="G39" s="30"/>
      <c r="H39" s="30"/>
      <c r="I39" s="31"/>
      <c r="J39" s="31"/>
      <c r="K39" s="31"/>
      <c r="L39" s="35"/>
      <c r="M39" s="35"/>
      <c r="N39" s="35"/>
      <c r="X39" s="35"/>
      <c r="Y39" s="35"/>
      <c r="Z39" s="35"/>
      <c r="AA39" s="35"/>
      <c r="AB39" s="35"/>
    </row>
    <row r="40" spans="1:28" ht="15.75" x14ac:dyDescent="0.25">
      <c r="A40" s="35"/>
      <c r="B40" s="35"/>
      <c r="C40" s="30"/>
      <c r="D40" s="30"/>
      <c r="E40" s="30"/>
      <c r="F40" s="30"/>
      <c r="G40" s="30"/>
      <c r="H40" s="30"/>
      <c r="I40" s="31"/>
      <c r="J40" s="31"/>
      <c r="K40" s="31"/>
      <c r="L40" s="35"/>
      <c r="M40" s="35"/>
      <c r="N40" s="35"/>
      <c r="X40" s="35"/>
      <c r="Y40" s="35"/>
      <c r="Z40" s="35"/>
      <c r="AA40" s="35"/>
      <c r="AB40" s="35"/>
    </row>
    <row r="41" spans="1:28" ht="15.75" x14ac:dyDescent="0.25">
      <c r="A41" s="35"/>
      <c r="B41" s="35"/>
      <c r="C41" s="29"/>
      <c r="D41" s="29"/>
      <c r="E41" s="29"/>
      <c r="F41" s="29"/>
      <c r="G41" s="29"/>
      <c r="H41" s="29"/>
      <c r="I41" s="29"/>
      <c r="J41" s="29"/>
      <c r="K41" s="29"/>
      <c r="L41" s="35"/>
      <c r="M41" s="35"/>
      <c r="N41" s="35"/>
      <c r="X41" s="35"/>
      <c r="Y41" s="35"/>
      <c r="Z41" s="35"/>
      <c r="AA41" s="35"/>
      <c r="AB41" s="35"/>
    </row>
    <row r="42" spans="1:28" ht="15.75" x14ac:dyDescent="0.25">
      <c r="A42" s="35"/>
      <c r="B42" s="35"/>
      <c r="C42" s="29"/>
      <c r="D42" s="29"/>
      <c r="E42" s="29"/>
      <c r="F42" s="29"/>
      <c r="G42" s="29"/>
      <c r="H42" s="29"/>
      <c r="I42" s="29"/>
      <c r="J42" s="29"/>
      <c r="K42" s="29"/>
      <c r="L42" s="35"/>
      <c r="M42" s="35"/>
      <c r="N42" s="35"/>
      <c r="X42" s="35"/>
      <c r="Y42" s="35"/>
      <c r="Z42" s="35"/>
      <c r="AA42" s="35"/>
      <c r="AB42" s="35"/>
    </row>
    <row r="43" spans="1:28" ht="15.75" x14ac:dyDescent="0.25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X43" s="35"/>
      <c r="Y43" s="35"/>
      <c r="Z43" s="35"/>
      <c r="AA43" s="35"/>
      <c r="AB43" s="35"/>
    </row>
    <row r="44" spans="1:28" ht="15.75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X44" s="35"/>
      <c r="Y44" s="35"/>
      <c r="Z44" s="35"/>
      <c r="AA44" s="35"/>
      <c r="AB44" s="35"/>
    </row>
    <row r="45" spans="1:28" ht="15.75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</row>
    <row r="46" spans="1:28" ht="15.75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</row>
    <row r="47" spans="1:28" ht="15.75" x14ac:dyDescent="0.2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</row>
  </sheetData>
  <mergeCells count="1">
    <mergeCell ref="A1:C1"/>
  </mergeCell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6E377-0C37-462B-BBAC-E32FC68A328A}">
  <dimension ref="A1:AA37"/>
  <sheetViews>
    <sheetView zoomScale="80" zoomScaleNormal="80" workbookViewId="0">
      <selection activeCell="D9" sqref="D9"/>
    </sheetView>
  </sheetViews>
  <sheetFormatPr baseColWidth="10" defaultRowHeight="15" x14ac:dyDescent="0.25"/>
  <cols>
    <col min="2" max="2" width="29" customWidth="1"/>
    <col min="3" max="3" width="14.5703125" customWidth="1"/>
    <col min="8" max="8" width="12.28515625" customWidth="1"/>
    <col min="12" max="12" width="25.7109375" customWidth="1"/>
    <col min="13" max="13" width="15.42578125" customWidth="1"/>
  </cols>
  <sheetData>
    <row r="1" spans="1:27" ht="35.1" customHeight="1" x14ac:dyDescent="0.45">
      <c r="A1" s="84" t="s">
        <v>100</v>
      </c>
      <c r="B1" s="84"/>
    </row>
    <row r="2" spans="1:27" s="11" customFormat="1" ht="18.75" x14ac:dyDescent="0.3">
      <c r="A2" s="11" t="s">
        <v>0</v>
      </c>
    </row>
    <row r="3" spans="1:27" s="1" customFormat="1" x14ac:dyDescent="0.25">
      <c r="A3" s="79" t="s">
        <v>7</v>
      </c>
      <c r="B3" s="79" t="s">
        <v>1</v>
      </c>
      <c r="C3" s="79" t="s">
        <v>6</v>
      </c>
      <c r="D3" s="79" t="s">
        <v>66</v>
      </c>
      <c r="E3" s="79" t="s">
        <v>2</v>
      </c>
      <c r="F3" s="79" t="s">
        <v>3</v>
      </c>
      <c r="G3" s="79" t="s">
        <v>4</v>
      </c>
      <c r="H3" s="79" t="s">
        <v>52</v>
      </c>
      <c r="I3" s="79" t="s">
        <v>99</v>
      </c>
      <c r="L3" t="s">
        <v>56</v>
      </c>
      <c r="M3" t="s">
        <v>73</v>
      </c>
      <c r="N3" t="s">
        <v>66</v>
      </c>
      <c r="O3" t="s">
        <v>45</v>
      </c>
      <c r="P3" t="s">
        <v>46</v>
      </c>
      <c r="Q3" t="s">
        <v>57</v>
      </c>
      <c r="R3" t="s">
        <v>58</v>
      </c>
      <c r="S3" t="s">
        <v>59</v>
      </c>
      <c r="T3" t="s">
        <v>4</v>
      </c>
      <c r="U3" t="s">
        <v>60</v>
      </c>
      <c r="V3" t="s">
        <v>61</v>
      </c>
      <c r="W3" t="s">
        <v>62</v>
      </c>
      <c r="X3" t="s">
        <v>72</v>
      </c>
      <c r="Y3" t="s">
        <v>63</v>
      </c>
      <c r="Z3" t="s">
        <v>64</v>
      </c>
      <c r="AA3" t="s">
        <v>65</v>
      </c>
    </row>
    <row r="4" spans="1:27" ht="15.75" x14ac:dyDescent="0.25">
      <c r="A4" s="72">
        <v>11</v>
      </c>
      <c r="B4" s="71" t="s">
        <v>17</v>
      </c>
      <c r="C4" s="72" t="s">
        <v>46</v>
      </c>
      <c r="D4" s="72">
        <v>9</v>
      </c>
      <c r="E4" s="72">
        <v>0</v>
      </c>
      <c r="F4" s="72">
        <v>1</v>
      </c>
      <c r="G4" s="73">
        <f>'Saison Été 2021'!$E4+'Saison Été 2021'!$F4</f>
        <v>1</v>
      </c>
      <c r="H4" s="74">
        <f>'Saison Été 2021'!$G4/'Saison Été 2021'!$D4</f>
        <v>0.1111111111111111</v>
      </c>
      <c r="I4" s="72">
        <v>0</v>
      </c>
      <c r="L4" t="s">
        <v>55</v>
      </c>
      <c r="M4" t="s">
        <v>69</v>
      </c>
      <c r="N4" s="1">
        <v>9</v>
      </c>
      <c r="O4" s="1">
        <v>7</v>
      </c>
      <c r="P4" s="1">
        <v>2</v>
      </c>
      <c r="Q4" s="1">
        <v>0</v>
      </c>
      <c r="R4" s="1">
        <v>0</v>
      </c>
      <c r="S4" s="1">
        <v>0</v>
      </c>
      <c r="T4" s="1">
        <v>14</v>
      </c>
      <c r="U4" s="19">
        <f>Teamé2021[[#This Row],[V]]/Teamé2021[[#This Row],[PJ]]</f>
        <v>0.77777777777777779</v>
      </c>
      <c r="V4" s="1">
        <v>46</v>
      </c>
      <c r="W4" s="1">
        <v>20</v>
      </c>
      <c r="X4" s="1">
        <f>Teamé2021[[#This Row],[BP]]-Teamé2021[[#This Row],[BC]]</f>
        <v>26</v>
      </c>
      <c r="Y4" s="18">
        <f>(5/24)</f>
        <v>0.20833333333333334</v>
      </c>
      <c r="Z4" s="18">
        <f xml:space="preserve"> 1-(0/24)</f>
        <v>1</v>
      </c>
      <c r="AA4" s="1" t="s">
        <v>91</v>
      </c>
    </row>
    <row r="5" spans="1:27" ht="15.75" x14ac:dyDescent="0.25">
      <c r="A5" s="76">
        <v>7</v>
      </c>
      <c r="B5" s="75" t="s">
        <v>13</v>
      </c>
      <c r="C5" s="76" t="s">
        <v>46</v>
      </c>
      <c r="D5" s="76">
        <v>9</v>
      </c>
      <c r="E5" s="76">
        <v>5</v>
      </c>
      <c r="F5" s="76">
        <v>4</v>
      </c>
      <c r="G5" s="77">
        <f>'Saison Été 2021'!$E5+'Saison Été 2021'!$F5</f>
        <v>9</v>
      </c>
      <c r="H5" s="78">
        <f>'Saison Été 2021'!$G5/'Saison Été 2021'!$D5</f>
        <v>1</v>
      </c>
      <c r="I5" s="76">
        <v>0</v>
      </c>
      <c r="U5" s="8"/>
    </row>
    <row r="6" spans="1:27" ht="15.75" x14ac:dyDescent="0.25">
      <c r="A6" s="72">
        <v>12</v>
      </c>
      <c r="B6" s="71" t="s">
        <v>37</v>
      </c>
      <c r="C6" s="72" t="s">
        <v>3</v>
      </c>
      <c r="D6" s="72">
        <v>1</v>
      </c>
      <c r="E6" s="72">
        <v>0</v>
      </c>
      <c r="F6" s="72">
        <v>0</v>
      </c>
      <c r="G6" s="73">
        <f>'Saison Été 2021'!$E6+'Saison Été 2021'!$F6</f>
        <v>0</v>
      </c>
      <c r="H6" s="74">
        <f>'Saison Été 2021'!$G6/'Saison Été 2021'!$D6</f>
        <v>0</v>
      </c>
      <c r="I6" s="72">
        <v>0</v>
      </c>
      <c r="U6" s="5"/>
    </row>
    <row r="7" spans="1:27" ht="15.75" x14ac:dyDescent="0.25">
      <c r="A7" s="76">
        <v>5</v>
      </c>
      <c r="B7" s="75" t="s">
        <v>11</v>
      </c>
      <c r="C7" s="76" t="s">
        <v>3</v>
      </c>
      <c r="D7" s="76">
        <v>6</v>
      </c>
      <c r="E7" s="76">
        <v>3</v>
      </c>
      <c r="F7" s="76">
        <v>10</v>
      </c>
      <c r="G7" s="77">
        <f>'Saison Été 2021'!$E7+'Saison Été 2021'!$F7</f>
        <v>13</v>
      </c>
      <c r="H7" s="78">
        <f>'Saison Été 2021'!$G7/'Saison Été 2021'!$D7</f>
        <v>2.1666666666666665</v>
      </c>
      <c r="I7" s="76">
        <v>0</v>
      </c>
      <c r="K7" s="4"/>
      <c r="L7" s="9"/>
      <c r="M7" s="5"/>
      <c r="N7" s="5"/>
      <c r="O7" s="5"/>
      <c r="P7" s="5"/>
      <c r="Q7" s="5"/>
      <c r="R7" s="5"/>
      <c r="S7" s="5"/>
      <c r="T7" s="7"/>
      <c r="U7" s="5"/>
    </row>
    <row r="8" spans="1:27" ht="15.75" x14ac:dyDescent="0.25">
      <c r="A8" s="72">
        <v>9</v>
      </c>
      <c r="B8" s="71" t="s">
        <v>19</v>
      </c>
      <c r="C8" s="72" t="s">
        <v>46</v>
      </c>
      <c r="D8" s="72">
        <v>9</v>
      </c>
      <c r="E8" s="72">
        <v>0</v>
      </c>
      <c r="F8" s="72">
        <v>3</v>
      </c>
      <c r="G8" s="73">
        <f>'Saison Été 2021'!$E8+'Saison Été 2021'!$F8</f>
        <v>3</v>
      </c>
      <c r="H8" s="74">
        <f>'Saison Été 2021'!$G8/'Saison Été 2021'!$D8</f>
        <v>0.33333333333333331</v>
      </c>
      <c r="I8" s="72">
        <v>0</v>
      </c>
    </row>
    <row r="9" spans="1:27" ht="15.75" x14ac:dyDescent="0.25">
      <c r="A9" s="76">
        <v>4</v>
      </c>
      <c r="B9" s="75" t="s">
        <v>8</v>
      </c>
      <c r="C9" s="76" t="s">
        <v>3</v>
      </c>
      <c r="D9" s="76">
        <v>9</v>
      </c>
      <c r="E9" s="76">
        <v>5</v>
      </c>
      <c r="F9" s="76">
        <v>10</v>
      </c>
      <c r="G9" s="77">
        <f>'Saison Été 2021'!$E9+'Saison Été 2021'!$F9</f>
        <v>15</v>
      </c>
      <c r="H9" s="78">
        <f>'Saison Été 2021'!$G9/'Saison Été 2021'!$D9</f>
        <v>1.6666666666666667</v>
      </c>
      <c r="I9" s="76">
        <v>0</v>
      </c>
    </row>
    <row r="10" spans="1:27" ht="15.75" x14ac:dyDescent="0.25">
      <c r="A10" s="72">
        <v>2</v>
      </c>
      <c r="B10" s="71" t="s">
        <v>10</v>
      </c>
      <c r="C10" s="72" t="s">
        <v>3</v>
      </c>
      <c r="D10" s="72">
        <v>8</v>
      </c>
      <c r="E10" s="72">
        <v>5</v>
      </c>
      <c r="F10" s="72">
        <v>13</v>
      </c>
      <c r="G10" s="73">
        <f>'Saison Été 2021'!$E10+'Saison Été 2021'!$F10</f>
        <v>18</v>
      </c>
      <c r="H10" s="74">
        <f>'Saison Été 2021'!$G10/'Saison Été 2021'!$D10</f>
        <v>2.25</v>
      </c>
      <c r="I10" s="72">
        <v>0</v>
      </c>
    </row>
    <row r="11" spans="1:27" ht="15.75" x14ac:dyDescent="0.25">
      <c r="A11" s="76">
        <v>1</v>
      </c>
      <c r="B11" s="75" t="s">
        <v>9</v>
      </c>
      <c r="C11" s="76" t="s">
        <v>3</v>
      </c>
      <c r="D11" s="76">
        <v>9</v>
      </c>
      <c r="E11" s="76">
        <v>10</v>
      </c>
      <c r="F11" s="76">
        <v>9</v>
      </c>
      <c r="G11" s="77">
        <f>'Saison Été 2021'!$E11+'Saison Été 2021'!$F11</f>
        <v>19</v>
      </c>
      <c r="H11" s="78">
        <f>'Saison Été 2021'!$G11/'Saison Été 2021'!$D11</f>
        <v>2.1111111111111112</v>
      </c>
      <c r="I11" s="76">
        <v>0</v>
      </c>
    </row>
    <row r="12" spans="1:27" ht="15.75" x14ac:dyDescent="0.25">
      <c r="A12" s="72">
        <v>6</v>
      </c>
      <c r="B12" s="71" t="s">
        <v>14</v>
      </c>
      <c r="C12" s="72" t="s">
        <v>46</v>
      </c>
      <c r="D12" s="72">
        <v>9</v>
      </c>
      <c r="E12" s="72">
        <v>3</v>
      </c>
      <c r="F12" s="72">
        <v>10</v>
      </c>
      <c r="G12" s="73">
        <f>'Saison Été 2021'!$E12+'Saison Été 2021'!$F12</f>
        <v>13</v>
      </c>
      <c r="H12" s="74">
        <f>'Saison Été 2021'!$G12/'Saison Été 2021'!$D12</f>
        <v>1.4444444444444444</v>
      </c>
      <c r="I12" s="72">
        <v>0</v>
      </c>
    </row>
    <row r="13" spans="1:27" ht="15.75" x14ac:dyDescent="0.25">
      <c r="A13" s="76">
        <v>8</v>
      </c>
      <c r="B13" s="75" t="s">
        <v>15</v>
      </c>
      <c r="C13" s="76" t="s">
        <v>3</v>
      </c>
      <c r="D13" s="76">
        <v>9</v>
      </c>
      <c r="E13" s="76">
        <v>2</v>
      </c>
      <c r="F13" s="76">
        <v>5</v>
      </c>
      <c r="G13" s="77">
        <f>'Saison Été 2021'!$E13+'Saison Été 2021'!$F13</f>
        <v>7</v>
      </c>
      <c r="H13" s="78">
        <f>'Saison Été 2021'!$G13/'Saison Été 2021'!$D13</f>
        <v>0.77777777777777779</v>
      </c>
      <c r="I13" s="76">
        <v>0</v>
      </c>
    </row>
    <row r="14" spans="1:27" ht="15.75" x14ac:dyDescent="0.25">
      <c r="A14" s="72">
        <v>3</v>
      </c>
      <c r="B14" s="71" t="s">
        <v>12</v>
      </c>
      <c r="C14" s="72" t="s">
        <v>3</v>
      </c>
      <c r="D14" s="72">
        <v>9</v>
      </c>
      <c r="E14" s="72">
        <v>10</v>
      </c>
      <c r="F14" s="72">
        <v>7</v>
      </c>
      <c r="G14" s="73">
        <f>'Saison Été 2021'!$E14+'Saison Été 2021'!$F14</f>
        <v>17</v>
      </c>
      <c r="H14" s="74">
        <f>'Saison Été 2021'!$G14/'Saison Été 2021'!$D14</f>
        <v>1.8888888888888888</v>
      </c>
      <c r="I14" s="72">
        <v>0</v>
      </c>
    </row>
    <row r="15" spans="1:27" ht="15.75" x14ac:dyDescent="0.25">
      <c r="A15" s="76">
        <v>10</v>
      </c>
      <c r="B15" s="75" t="s">
        <v>29</v>
      </c>
      <c r="C15" s="76" t="s">
        <v>3</v>
      </c>
      <c r="D15" s="76">
        <v>2</v>
      </c>
      <c r="E15" s="76">
        <v>1</v>
      </c>
      <c r="F15" s="76">
        <v>1</v>
      </c>
      <c r="G15" s="77">
        <f>'Saison Été 2021'!$E15+'Saison Été 2021'!$F15</f>
        <v>2</v>
      </c>
      <c r="H15" s="78">
        <f>'Saison Été 2021'!$G15/'Saison Été 2021'!$D15</f>
        <v>1</v>
      </c>
      <c r="I15" s="76">
        <v>0</v>
      </c>
    </row>
    <row r="16" spans="1:27" ht="15.75" x14ac:dyDescent="0.25">
      <c r="A16" s="72">
        <v>13</v>
      </c>
      <c r="B16" s="71" t="s">
        <v>26</v>
      </c>
      <c r="C16" s="72" t="s">
        <v>3</v>
      </c>
      <c r="D16" s="72">
        <v>1</v>
      </c>
      <c r="E16" s="72">
        <v>0</v>
      </c>
      <c r="F16" s="72">
        <v>0</v>
      </c>
      <c r="G16" s="73">
        <f>'Saison Été 2021'!$E16+'Saison Été 2021'!$F16</f>
        <v>0</v>
      </c>
      <c r="H16" s="74">
        <f>'Saison Été 2021'!$G16/'Saison Été 2021'!$D16</f>
        <v>0</v>
      </c>
      <c r="I16" s="72">
        <v>0</v>
      </c>
    </row>
    <row r="17" spans="1:11" ht="15.75" x14ac:dyDescent="0.25">
      <c r="A17" s="76"/>
      <c r="B17" s="75"/>
      <c r="C17" s="76"/>
      <c r="D17" s="76"/>
      <c r="E17" s="76"/>
      <c r="F17" s="76"/>
      <c r="G17" s="80"/>
      <c r="H17" s="81"/>
      <c r="I17" s="76" t="s">
        <v>91</v>
      </c>
    </row>
    <row r="18" spans="1:11" ht="18.75" x14ac:dyDescent="0.3">
      <c r="A18" s="11" t="s">
        <v>42</v>
      </c>
      <c r="B18" s="11"/>
      <c r="C18" s="11"/>
      <c r="D18" s="11"/>
      <c r="E18" s="11"/>
      <c r="F18" s="11"/>
      <c r="G18" s="11"/>
      <c r="H18" s="11"/>
      <c r="I18" s="11"/>
      <c r="J18" s="11"/>
    </row>
    <row r="19" spans="1:11" x14ac:dyDescent="0.25">
      <c r="A19" s="1" t="s">
        <v>7</v>
      </c>
      <c r="B19" s="1" t="s">
        <v>43</v>
      </c>
      <c r="C19" s="1" t="s">
        <v>66</v>
      </c>
      <c r="D19" s="1" t="s">
        <v>45</v>
      </c>
      <c r="E19" s="1" t="s">
        <v>46</v>
      </c>
      <c r="F19" s="1" t="s">
        <v>47</v>
      </c>
      <c r="G19" s="1" t="s">
        <v>90</v>
      </c>
      <c r="H19" s="1" t="s">
        <v>44</v>
      </c>
      <c r="I19" s="1" t="s">
        <v>2</v>
      </c>
      <c r="J19" s="1" t="s">
        <v>3</v>
      </c>
      <c r="K19" s="1" t="s">
        <v>99</v>
      </c>
    </row>
    <row r="20" spans="1:11" ht="15.75" x14ac:dyDescent="0.25">
      <c r="A20" s="3">
        <v>1</v>
      </c>
      <c r="B20" s="26" t="s">
        <v>48</v>
      </c>
      <c r="C20" s="3">
        <v>9</v>
      </c>
      <c r="D20" s="3">
        <v>7</v>
      </c>
      <c r="E20" s="3">
        <v>2</v>
      </c>
      <c r="F20" s="33">
        <f>goalieé2021[[#This Row],[V]]/goalieé2021[[#This Row],[PJ]]</f>
        <v>0.77777777777777779</v>
      </c>
      <c r="G20" s="20"/>
      <c r="H20" s="3"/>
      <c r="I20" s="3">
        <v>0</v>
      </c>
      <c r="J20" s="3">
        <v>0</v>
      </c>
      <c r="K20" s="28">
        <v>6</v>
      </c>
    </row>
    <row r="21" spans="1:11" ht="15.75" x14ac:dyDescent="0.25">
      <c r="A21" s="3"/>
      <c r="B21" s="26"/>
      <c r="C21" s="8"/>
      <c r="D21" s="8"/>
      <c r="E21" s="8"/>
      <c r="F21" s="8"/>
      <c r="G21" s="23"/>
      <c r="H21" s="8"/>
      <c r="I21" s="8"/>
      <c r="J21" s="8"/>
      <c r="K21" s="7"/>
    </row>
    <row r="22" spans="1:11" ht="15.75" x14ac:dyDescent="0.25">
      <c r="A22" s="4"/>
      <c r="B22" s="27"/>
      <c r="C22" s="5"/>
      <c r="D22" s="5"/>
      <c r="E22" s="5"/>
      <c r="F22" s="5"/>
      <c r="G22" s="21"/>
      <c r="H22" s="5"/>
      <c r="I22" s="5"/>
      <c r="J22" s="5"/>
      <c r="K22" s="17"/>
    </row>
    <row r="23" spans="1:11" ht="15.75" x14ac:dyDescent="0.25">
      <c r="A23" s="3"/>
      <c r="B23" s="6"/>
      <c r="C23" s="8"/>
      <c r="D23" s="8"/>
      <c r="E23" s="8"/>
      <c r="F23" s="8"/>
      <c r="I23" s="10"/>
    </row>
    <row r="24" spans="1:11" ht="15.75" x14ac:dyDescent="0.25">
      <c r="A24" s="3"/>
      <c r="B24" s="6"/>
      <c r="C24" s="8"/>
      <c r="D24" s="8"/>
      <c r="E24" s="8"/>
      <c r="F24" s="8"/>
      <c r="I24" s="10"/>
    </row>
    <row r="25" spans="1:11" ht="15.75" x14ac:dyDescent="0.25">
      <c r="A25" s="3"/>
      <c r="B25" s="6"/>
      <c r="C25" s="8"/>
      <c r="D25" s="8"/>
      <c r="E25" s="8"/>
      <c r="F25" s="8"/>
      <c r="I25" s="10"/>
    </row>
    <row r="26" spans="1:11" ht="15.75" x14ac:dyDescent="0.25">
      <c r="A26" s="4"/>
      <c r="B26" s="9"/>
      <c r="C26" s="5"/>
      <c r="D26" s="5"/>
      <c r="E26" s="5"/>
      <c r="F26" s="5"/>
      <c r="I26" s="10"/>
    </row>
    <row r="27" spans="1:11" ht="15.75" x14ac:dyDescent="0.25">
      <c r="A27" s="3"/>
      <c r="B27" s="6"/>
      <c r="C27" s="8"/>
      <c r="D27" s="8"/>
      <c r="E27" s="8"/>
      <c r="F27" s="8"/>
      <c r="I27" s="10"/>
    </row>
    <row r="28" spans="1:11" ht="15.75" x14ac:dyDescent="0.25">
      <c r="A28" s="3"/>
      <c r="B28" s="6"/>
      <c r="C28" s="8"/>
      <c r="D28" s="8"/>
      <c r="E28" s="8"/>
      <c r="F28" s="8"/>
      <c r="I28" s="10"/>
    </row>
    <row r="29" spans="1:11" ht="15.75" x14ac:dyDescent="0.25">
      <c r="A29" s="3"/>
      <c r="B29" s="6"/>
      <c r="C29" s="8"/>
      <c r="D29" s="8"/>
      <c r="E29" s="8"/>
      <c r="F29" s="8"/>
      <c r="I29" s="10"/>
    </row>
    <row r="30" spans="1:11" ht="15.75" x14ac:dyDescent="0.25">
      <c r="A30" s="3"/>
      <c r="B30" s="6"/>
      <c r="C30" s="8"/>
      <c r="D30" s="8"/>
      <c r="E30" s="8"/>
      <c r="F30" s="8"/>
      <c r="I30" s="10"/>
    </row>
    <row r="31" spans="1:11" ht="15.75" x14ac:dyDescent="0.25">
      <c r="A31" s="3"/>
      <c r="B31" s="6"/>
      <c r="C31" s="6"/>
      <c r="D31" s="6"/>
      <c r="E31" s="6"/>
      <c r="F31" s="6"/>
      <c r="I31" s="10"/>
    </row>
    <row r="32" spans="1:11" ht="15.75" x14ac:dyDescent="0.25">
      <c r="A32" s="3"/>
      <c r="B32" s="6"/>
      <c r="C32" s="8"/>
      <c r="D32" s="8"/>
      <c r="E32" s="8"/>
      <c r="F32" s="8"/>
      <c r="I32" s="10"/>
    </row>
    <row r="33" spans="1:9" ht="15.75" x14ac:dyDescent="0.25">
      <c r="A33" s="3"/>
      <c r="B33" s="6"/>
      <c r="C33" s="8"/>
      <c r="D33" s="8"/>
      <c r="E33" s="8"/>
      <c r="F33" s="8"/>
      <c r="I33" s="10"/>
    </row>
    <row r="34" spans="1:9" ht="15.75" x14ac:dyDescent="0.25">
      <c r="A34" s="3"/>
      <c r="B34" s="6"/>
      <c r="C34" s="8"/>
      <c r="D34" s="8"/>
      <c r="E34" s="8"/>
      <c r="F34" s="8"/>
      <c r="I34" s="10"/>
    </row>
    <row r="35" spans="1:9" ht="15.75" x14ac:dyDescent="0.25">
      <c r="A35" s="3"/>
      <c r="B35" s="6"/>
      <c r="C35" s="8"/>
      <c r="D35" s="8"/>
      <c r="E35" s="8"/>
      <c r="F35" s="8"/>
      <c r="I35" s="10"/>
    </row>
    <row r="36" spans="1:9" ht="15.75" x14ac:dyDescent="0.25">
      <c r="A36" s="3"/>
      <c r="B36" s="6"/>
      <c r="C36" s="8"/>
      <c r="D36" s="8"/>
      <c r="E36" s="8"/>
      <c r="F36" s="8"/>
      <c r="I36" s="10"/>
    </row>
    <row r="37" spans="1:9" ht="15.75" x14ac:dyDescent="0.25">
      <c r="A37" s="3"/>
      <c r="B37" s="6"/>
      <c r="C37" s="8"/>
      <c r="D37" s="8"/>
      <c r="E37" s="8"/>
      <c r="F37" s="8"/>
      <c r="I37" s="10"/>
    </row>
  </sheetData>
  <mergeCells count="1">
    <mergeCell ref="A1:B1"/>
  </mergeCell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6B173-B1B8-4545-862A-B74B202B69C1}">
  <dimension ref="A1:AA23"/>
  <sheetViews>
    <sheetView zoomScale="80" zoomScaleNormal="80" workbookViewId="0">
      <selection activeCell="I3" sqref="I3"/>
    </sheetView>
  </sheetViews>
  <sheetFormatPr baseColWidth="10" defaultRowHeight="15" x14ac:dyDescent="0.25"/>
  <cols>
    <col min="2" max="2" width="19.42578125" bestFit="1" customWidth="1"/>
    <col min="8" max="8" width="11.42578125" customWidth="1"/>
    <col min="12" max="12" width="18.7109375" customWidth="1"/>
    <col min="13" max="13" width="17.42578125" customWidth="1"/>
  </cols>
  <sheetData>
    <row r="1" spans="1:27" ht="28.5" x14ac:dyDescent="0.45">
      <c r="A1" s="12" t="s">
        <v>101</v>
      </c>
    </row>
    <row r="2" spans="1:27" ht="18.75" x14ac:dyDescent="0.3">
      <c r="A2" s="11" t="s">
        <v>0</v>
      </c>
      <c r="B2" s="11"/>
      <c r="C2" s="11"/>
      <c r="D2" s="11"/>
      <c r="E2" s="11"/>
      <c r="F2" s="11"/>
      <c r="G2" s="11"/>
      <c r="H2" s="11"/>
      <c r="I2" s="11"/>
    </row>
    <row r="3" spans="1:27" ht="15.75" x14ac:dyDescent="0.25">
      <c r="A3" s="34" t="s">
        <v>7</v>
      </c>
      <c r="B3" s="34" t="s">
        <v>1</v>
      </c>
      <c r="C3" s="34" t="s">
        <v>6</v>
      </c>
      <c r="D3" s="34" t="s">
        <v>66</v>
      </c>
      <c r="E3" s="34" t="s">
        <v>2</v>
      </c>
      <c r="F3" s="34" t="s">
        <v>3</v>
      </c>
      <c r="G3" s="34" t="s">
        <v>4</v>
      </c>
      <c r="H3" s="34" t="s">
        <v>52</v>
      </c>
      <c r="I3" s="34" t="s">
        <v>65</v>
      </c>
      <c r="J3" s="35"/>
      <c r="K3" s="35"/>
      <c r="L3" s="35" t="s">
        <v>56</v>
      </c>
      <c r="M3" s="35" t="s">
        <v>73</v>
      </c>
      <c r="N3" s="35" t="s">
        <v>66</v>
      </c>
      <c r="O3" s="35" t="s">
        <v>45</v>
      </c>
      <c r="P3" s="35" t="s">
        <v>46</v>
      </c>
      <c r="Q3" s="35" t="s">
        <v>57</v>
      </c>
      <c r="R3" s="35" t="s">
        <v>58</v>
      </c>
      <c r="S3" s="35" t="s">
        <v>59</v>
      </c>
      <c r="T3" s="35" t="s">
        <v>4</v>
      </c>
      <c r="U3" s="35" t="s">
        <v>60</v>
      </c>
      <c r="V3" s="35" t="s">
        <v>61</v>
      </c>
      <c r="W3" s="35" t="s">
        <v>62</v>
      </c>
      <c r="X3" s="35" t="s">
        <v>72</v>
      </c>
      <c r="Y3" s="35" t="s">
        <v>63</v>
      </c>
      <c r="Z3" s="35" t="s">
        <v>64</v>
      </c>
      <c r="AA3" s="35" t="s">
        <v>65</v>
      </c>
    </row>
    <row r="4" spans="1:27" ht="15.75" x14ac:dyDescent="0.25">
      <c r="A4" s="43">
        <v>12</v>
      </c>
      <c r="B4" s="44" t="s">
        <v>27</v>
      </c>
      <c r="C4" s="46" t="s">
        <v>3</v>
      </c>
      <c r="D4" s="46">
        <v>3</v>
      </c>
      <c r="E4" s="46">
        <v>0</v>
      </c>
      <c r="F4" s="46">
        <v>0</v>
      </c>
      <c r="G4" s="47">
        <f t="shared" ref="G4:G16" si="0">E4+F4</f>
        <v>0</v>
      </c>
      <c r="H4" s="52">
        <f>JoueurH2020[[#This Row],[Pts]]/JoueurH2020[[#This Row],[PJ]]</f>
        <v>0</v>
      </c>
      <c r="I4" s="41">
        <v>0</v>
      </c>
      <c r="J4" s="35"/>
      <c r="K4" s="35"/>
      <c r="L4" s="35" t="s">
        <v>55</v>
      </c>
      <c r="M4" s="35" t="s">
        <v>68</v>
      </c>
      <c r="N4" s="35">
        <v>3</v>
      </c>
      <c r="O4" s="35">
        <v>3</v>
      </c>
      <c r="P4" s="35">
        <v>0</v>
      </c>
      <c r="Q4" s="35">
        <v>0</v>
      </c>
      <c r="R4" s="35">
        <v>0</v>
      </c>
      <c r="S4" s="35">
        <v>1</v>
      </c>
      <c r="T4" s="35">
        <v>6</v>
      </c>
      <c r="U4" s="42">
        <f>TEamH2020[[#This Row],[V]]/TEamH2020[[#This Row],[PJ]]</f>
        <v>1</v>
      </c>
      <c r="V4" s="35">
        <v>12</v>
      </c>
      <c r="W4" s="35">
        <v>8</v>
      </c>
      <c r="X4" s="35">
        <f>TEamH2020[[#This Row],[BP]]-TEamH2020[[#This Row],[BC]]</f>
        <v>4</v>
      </c>
      <c r="Y4" s="42">
        <f>1/11</f>
        <v>9.0909090909090912E-2</v>
      </c>
      <c r="Z4" s="42">
        <f>1-(0/11)</f>
        <v>1</v>
      </c>
      <c r="AA4" s="35">
        <v>32</v>
      </c>
    </row>
    <row r="5" spans="1:27" ht="15.75" x14ac:dyDescent="0.25">
      <c r="A5" s="43">
        <v>2</v>
      </c>
      <c r="B5" s="44" t="s">
        <v>93</v>
      </c>
      <c r="C5" s="45" t="s">
        <v>3</v>
      </c>
      <c r="D5" s="46">
        <v>2</v>
      </c>
      <c r="E5" s="45">
        <v>0</v>
      </c>
      <c r="F5" s="46">
        <v>3</v>
      </c>
      <c r="G5" s="47">
        <f t="shared" si="0"/>
        <v>3</v>
      </c>
      <c r="H5" s="48">
        <f>JoueurH2020[[#This Row],[Pts]]/JoueurH2020[[#This Row],[PJ]]</f>
        <v>1.5</v>
      </c>
      <c r="I5" s="41">
        <v>0</v>
      </c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</row>
    <row r="6" spans="1:27" ht="15.75" x14ac:dyDescent="0.25">
      <c r="A6" s="36">
        <v>13</v>
      </c>
      <c r="B6" s="37" t="s">
        <v>17</v>
      </c>
      <c r="C6" s="38" t="s">
        <v>46</v>
      </c>
      <c r="D6" s="38">
        <v>3</v>
      </c>
      <c r="E6" s="38">
        <v>0</v>
      </c>
      <c r="F6" s="38">
        <v>0</v>
      </c>
      <c r="G6" s="39">
        <f t="shared" si="0"/>
        <v>0</v>
      </c>
      <c r="H6" s="40">
        <f>JoueurH2020[[#This Row],[Pts]]/JoueurH2020[[#This Row],[PJ]]</f>
        <v>0</v>
      </c>
      <c r="I6" s="41">
        <v>0</v>
      </c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</row>
    <row r="7" spans="1:27" ht="15.75" x14ac:dyDescent="0.25">
      <c r="A7" s="43">
        <v>4</v>
      </c>
      <c r="B7" s="44" t="s">
        <v>95</v>
      </c>
      <c r="C7" s="46"/>
      <c r="D7" s="46">
        <v>1</v>
      </c>
      <c r="E7" s="46">
        <v>2</v>
      </c>
      <c r="F7" s="46">
        <v>0</v>
      </c>
      <c r="G7" s="47">
        <f t="shared" si="0"/>
        <v>2</v>
      </c>
      <c r="H7" s="52">
        <f>JoueurH2020[[#This Row],[Pts]]/JoueurH2020[[#This Row],[PJ]]</f>
        <v>2</v>
      </c>
      <c r="I7" s="41">
        <v>0</v>
      </c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</row>
    <row r="8" spans="1:27" ht="15.75" x14ac:dyDescent="0.25">
      <c r="A8" s="36">
        <v>7</v>
      </c>
      <c r="B8" s="37" t="s">
        <v>97</v>
      </c>
      <c r="C8" s="38" t="s">
        <v>3</v>
      </c>
      <c r="D8" s="38">
        <v>3</v>
      </c>
      <c r="E8" s="38">
        <v>0</v>
      </c>
      <c r="F8" s="38">
        <v>1</v>
      </c>
      <c r="G8" s="39">
        <f t="shared" si="0"/>
        <v>1</v>
      </c>
      <c r="H8" s="40">
        <f>JoueurH2020[[#This Row],[Pts]]/JoueurH2020[[#This Row],[PJ]]</f>
        <v>0.33333333333333331</v>
      </c>
      <c r="I8" s="41">
        <v>0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</row>
    <row r="9" spans="1:27" ht="15.75" x14ac:dyDescent="0.25">
      <c r="A9" s="36">
        <v>3</v>
      </c>
      <c r="B9" s="49" t="s">
        <v>94</v>
      </c>
      <c r="C9" s="50" t="s">
        <v>46</v>
      </c>
      <c r="D9" s="50">
        <v>3</v>
      </c>
      <c r="E9" s="50">
        <v>1</v>
      </c>
      <c r="F9" s="50">
        <v>2</v>
      </c>
      <c r="G9" s="39">
        <f t="shared" si="0"/>
        <v>3</v>
      </c>
      <c r="H9" s="51">
        <f>JoueurH2020[[#This Row],[Pts]]/JoueurH2020[[#This Row],[PJ]]</f>
        <v>1</v>
      </c>
      <c r="I9" s="41">
        <v>0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</row>
    <row r="10" spans="1:27" ht="15.75" x14ac:dyDescent="0.25">
      <c r="A10" s="36">
        <v>1</v>
      </c>
      <c r="B10" s="37" t="s">
        <v>11</v>
      </c>
      <c r="C10" s="38" t="s">
        <v>3</v>
      </c>
      <c r="D10" s="38">
        <v>3</v>
      </c>
      <c r="E10" s="38">
        <v>4</v>
      </c>
      <c r="F10" s="38">
        <v>2</v>
      </c>
      <c r="G10" s="39">
        <f t="shared" si="0"/>
        <v>6</v>
      </c>
      <c r="H10" s="40">
        <f>JoueurH2020[[#This Row],[Pts]]/JoueurH2020[[#This Row],[PJ]]</f>
        <v>2</v>
      </c>
      <c r="I10" s="41">
        <v>0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</row>
    <row r="11" spans="1:27" ht="15.75" x14ac:dyDescent="0.25">
      <c r="A11" s="43">
        <v>8</v>
      </c>
      <c r="B11" s="44" t="s">
        <v>49</v>
      </c>
      <c r="C11" s="46" t="s">
        <v>46</v>
      </c>
      <c r="D11" s="46">
        <v>3</v>
      </c>
      <c r="E11" s="46">
        <v>0</v>
      </c>
      <c r="F11" s="46">
        <v>1</v>
      </c>
      <c r="G11" s="47">
        <f t="shared" si="0"/>
        <v>1</v>
      </c>
      <c r="H11" s="52">
        <f>JoueurH2020[[#This Row],[Pts]]/JoueurH2020[[#This Row],[PJ]]</f>
        <v>0.33333333333333331</v>
      </c>
      <c r="I11" s="41">
        <v>0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</row>
    <row r="12" spans="1:27" ht="15.75" x14ac:dyDescent="0.25">
      <c r="A12" s="36">
        <v>9</v>
      </c>
      <c r="B12" s="37" t="s">
        <v>8</v>
      </c>
      <c r="C12" s="38" t="s">
        <v>3</v>
      </c>
      <c r="D12" s="38">
        <v>3</v>
      </c>
      <c r="E12" s="38">
        <v>0</v>
      </c>
      <c r="F12" s="38">
        <v>1</v>
      </c>
      <c r="G12" s="39">
        <f t="shared" si="0"/>
        <v>1</v>
      </c>
      <c r="H12" s="40">
        <f>JoueurH2020[[#This Row],[Pts]]/JoueurH2020[[#This Row],[PJ]]</f>
        <v>0.33333333333333331</v>
      </c>
      <c r="I12" s="41">
        <v>0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</row>
    <row r="13" spans="1:27" ht="15.75" x14ac:dyDescent="0.25">
      <c r="A13" s="43">
        <v>10</v>
      </c>
      <c r="B13" s="44" t="s">
        <v>96</v>
      </c>
      <c r="C13" s="46" t="s">
        <v>3</v>
      </c>
      <c r="D13" s="46">
        <v>2</v>
      </c>
      <c r="E13" s="46">
        <v>1</v>
      </c>
      <c r="F13" s="46">
        <v>0</v>
      </c>
      <c r="G13" s="47">
        <f t="shared" si="0"/>
        <v>1</v>
      </c>
      <c r="H13" s="52">
        <f>JoueurH2020[[#This Row],[Pts]]/JoueurH2020[[#This Row],[PJ]]</f>
        <v>0.5</v>
      </c>
      <c r="I13" s="41">
        <v>0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</row>
    <row r="14" spans="1:27" ht="15.75" x14ac:dyDescent="0.25">
      <c r="A14" s="36">
        <v>5</v>
      </c>
      <c r="B14" s="37" t="s">
        <v>15</v>
      </c>
      <c r="C14" s="38" t="s">
        <v>3</v>
      </c>
      <c r="D14" s="38">
        <v>1</v>
      </c>
      <c r="E14" s="38">
        <v>1</v>
      </c>
      <c r="F14" s="38">
        <v>1</v>
      </c>
      <c r="G14" s="39">
        <f t="shared" si="0"/>
        <v>2</v>
      </c>
      <c r="H14" s="40">
        <f>JoueurH2020[[#This Row],[Pts]]/JoueurH2020[[#This Row],[PJ]]</f>
        <v>2</v>
      </c>
      <c r="I14" s="41">
        <v>0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</row>
    <row r="15" spans="1:27" ht="15.75" x14ac:dyDescent="0.25">
      <c r="A15" s="36">
        <v>11</v>
      </c>
      <c r="B15" s="49" t="s">
        <v>12</v>
      </c>
      <c r="C15" s="50" t="s">
        <v>3</v>
      </c>
      <c r="D15" s="50">
        <v>2</v>
      </c>
      <c r="E15" s="50">
        <v>0</v>
      </c>
      <c r="F15" s="50">
        <v>1</v>
      </c>
      <c r="G15" s="39">
        <f t="shared" si="0"/>
        <v>1</v>
      </c>
      <c r="H15" s="51">
        <f>JoueurH2020[[#This Row],[Pts]]/JoueurH2020[[#This Row],[PJ]]</f>
        <v>0.5</v>
      </c>
      <c r="I15" s="41">
        <v>0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</row>
    <row r="16" spans="1:27" ht="15.75" x14ac:dyDescent="0.25">
      <c r="A16" s="43">
        <v>6</v>
      </c>
      <c r="B16" s="62" t="s">
        <v>26</v>
      </c>
      <c r="C16" s="63" t="s">
        <v>3</v>
      </c>
      <c r="D16" s="63">
        <v>2</v>
      </c>
      <c r="E16" s="63">
        <v>1</v>
      </c>
      <c r="F16" s="63">
        <v>1</v>
      </c>
      <c r="G16" s="47">
        <f t="shared" si="0"/>
        <v>2</v>
      </c>
      <c r="H16" s="64">
        <f>JoueurH2020[[#This Row],[Pts]]/JoueurH2020[[#This Row],[PJ]]</f>
        <v>1</v>
      </c>
      <c r="I16" s="41">
        <v>0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</row>
    <row r="17" spans="1:27" ht="15.75" x14ac:dyDescent="0.25">
      <c r="A17" s="54"/>
      <c r="B17" s="53"/>
      <c r="C17" s="54"/>
      <c r="D17" s="54"/>
      <c r="E17" s="54"/>
      <c r="F17" s="54"/>
      <c r="G17" s="56"/>
      <c r="H17" s="55"/>
      <c r="I17" s="54" t="s">
        <v>91</v>
      </c>
      <c r="J17" s="42"/>
      <c r="K17" s="35"/>
      <c r="L17" s="35"/>
      <c r="M17" s="35"/>
      <c r="N17" s="42"/>
      <c r="O17" s="42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</row>
    <row r="18" spans="1:27" ht="15.75" x14ac:dyDescent="0.25">
      <c r="A18" s="35" t="s">
        <v>42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</row>
    <row r="19" spans="1:27" ht="15.75" x14ac:dyDescent="0.25">
      <c r="A19" s="35" t="s">
        <v>7</v>
      </c>
      <c r="B19" s="35" t="s">
        <v>43</v>
      </c>
      <c r="C19" s="35" t="s">
        <v>66</v>
      </c>
      <c r="D19" s="35" t="s">
        <v>45</v>
      </c>
      <c r="E19" s="35" t="s">
        <v>46</v>
      </c>
      <c r="F19" s="35" t="s">
        <v>47</v>
      </c>
      <c r="G19" s="35" t="s">
        <v>90</v>
      </c>
      <c r="H19" s="35" t="s">
        <v>44</v>
      </c>
      <c r="I19" s="35" t="s">
        <v>2</v>
      </c>
      <c r="J19" s="35" t="s">
        <v>3</v>
      </c>
      <c r="K19" s="35" t="s">
        <v>99</v>
      </c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</row>
    <row r="20" spans="1:27" ht="15.75" x14ac:dyDescent="0.25">
      <c r="A20" s="34">
        <v>1</v>
      </c>
      <c r="B20" s="35" t="s">
        <v>48</v>
      </c>
      <c r="C20" s="34">
        <v>3</v>
      </c>
      <c r="D20" s="34">
        <v>3</v>
      </c>
      <c r="E20" s="34">
        <v>0</v>
      </c>
      <c r="F20" s="34">
        <f>GoalieH2020[[#This Row],[V]]/GoalieH2020[[#This Row],[PJ]]</f>
        <v>1</v>
      </c>
      <c r="G20" s="34">
        <v>8</v>
      </c>
      <c r="H20" s="57">
        <f>GoalieH2020[[#This Row],[BA]]/GoalieH2020[[#This Row],[PJ]]</f>
        <v>2.6666666666666665</v>
      </c>
      <c r="I20" s="34">
        <v>0</v>
      </c>
      <c r="J20" s="34">
        <v>0</v>
      </c>
      <c r="K20" s="34">
        <v>0</v>
      </c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</row>
    <row r="21" spans="1:27" ht="15.75" x14ac:dyDescent="0.2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</row>
    <row r="22" spans="1:27" ht="15.75" x14ac:dyDescent="0.25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</row>
    <row r="23" spans="1:27" ht="15.75" x14ac:dyDescent="0.2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Stats all time</vt:lpstr>
      <vt:lpstr>Saison Hiver 2021-2022</vt:lpstr>
      <vt:lpstr>Saison Été 2021</vt:lpstr>
      <vt:lpstr>Saison Hiver 2020-2021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félix labelle</dc:creator>
  <cp:lastModifiedBy>Daniel Colardelle</cp:lastModifiedBy>
  <dcterms:created xsi:type="dcterms:W3CDTF">2022-02-10T18:52:32Z</dcterms:created>
  <dcterms:modified xsi:type="dcterms:W3CDTF">2022-02-23T08:08:54Z</dcterms:modified>
</cp:coreProperties>
</file>