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b\OneDrive\Documents\GPRO\new GPRO\outils\wolfcoder\"/>
    </mc:Choice>
  </mc:AlternateContent>
  <xr:revisionPtr revIDLastSave="0" documentId="13_ncr:1_{DEBE213F-EE82-47CB-A514-F72E664A3063}" xr6:coauthVersionLast="47" xr6:coauthVersionMax="47" xr10:uidLastSave="{00000000-0000-0000-0000-000000000000}"/>
  <bookViews>
    <workbookView xWindow="-108" yWindow="-108" windowWidth="23256" windowHeight="13176" tabRatio="789" xr2:uid="{00000000-000D-0000-FFFF-FFFF00000000}"/>
  </bookViews>
  <sheets>
    <sheet name="Setup&amp;WS" sheetId="2" r:id="rId1"/>
    <sheet name="Tyre&amp;Fuel" sheetId="3" r:id="rId2"/>
    <sheet name="Tracks" sheetId="4" r:id="rId3"/>
    <sheet name="Tracks save" sheetId="8" r:id="rId4"/>
    <sheet name="Tables" sheetId="5" r:id="rId5"/>
    <sheet name="ReverseCalc" sheetId="6" r:id="rId6"/>
    <sheet name="Sheet1" sheetId="7" state="hidden" r:id="rId7"/>
  </sheets>
  <externalReferences>
    <externalReference r:id="rId8"/>
  </externalReferences>
  <definedNames>
    <definedName name="Agr">[1]Fuel_Raw_Data!$AI$73</definedName>
    <definedName name="CirA">[1]Fuel_Raw_Data!$AI$74</definedName>
    <definedName name="Con">[1]Fuel_Raw_Data!$AI$65</definedName>
    <definedName name="CTA">[1]Fuel_Raw_Data!$AI$69</definedName>
    <definedName name="CTR">[1]Fuel_Raw_Data!$AI$64</definedName>
    <definedName name="Endu">[1]Fuel_Raw_Data!$AI$70</definedName>
    <definedName name="Exp">[1]Fuel_Raw_Data!$AI$66</definedName>
    <definedName name="Motiv">[1]Fuel_Raw_Data!$AI$72</definedName>
    <definedName name="Poids">[1]Fuel_Raw_Data!$AI$68</definedName>
    <definedName name="talent">[1]Fuel_Raw_Data!$AI$71</definedName>
    <definedName name="tech">[1]Fuel_Raw_Data!$AI$67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5" i="2" l="1"/>
  <c r="Y24" i="2"/>
  <c r="Y23" i="2"/>
  <c r="Y22" i="2"/>
  <c r="Y26" i="2"/>
  <c r="T43" i="3"/>
  <c r="T38" i="3"/>
  <c r="I40" i="3"/>
  <c r="R37" i="3" l="1"/>
  <c r="J37" i="3"/>
  <c r="J36" i="3"/>
  <c r="J38" i="3"/>
  <c r="AE22" i="3" l="1"/>
  <c r="AG22" i="3" s="1"/>
  <c r="AF23" i="3"/>
  <c r="AG23" i="3"/>
  <c r="AF24" i="3"/>
  <c r="AG24" i="3"/>
  <c r="AF25" i="3"/>
  <c r="AG25" i="3"/>
  <c r="AF26" i="3"/>
  <c r="AG26" i="3"/>
  <c r="AF27" i="3"/>
  <c r="AG27" i="3"/>
  <c r="AF28" i="3"/>
  <c r="AG28" i="3"/>
  <c r="AF29" i="3"/>
  <c r="AG29" i="3"/>
  <c r="AF30" i="3"/>
  <c r="AG30" i="3"/>
  <c r="AF31" i="3"/>
  <c r="AG31" i="3"/>
  <c r="AG21" i="3"/>
  <c r="AF21" i="3"/>
  <c r="BB63" i="4"/>
  <c r="BB62" i="4"/>
  <c r="BB61" i="4"/>
  <c r="BB60" i="4"/>
  <c r="BB59" i="4"/>
  <c r="BB58" i="4"/>
  <c r="BB57" i="4"/>
  <c r="BB56" i="4"/>
  <c r="BB55" i="4"/>
  <c r="BB54" i="4"/>
  <c r="BB53" i="4"/>
  <c r="BB52" i="4"/>
  <c r="BB51" i="4"/>
  <c r="BB50" i="4"/>
  <c r="BB49" i="4"/>
  <c r="BB48" i="4"/>
  <c r="BB47" i="4"/>
  <c r="BB46" i="4"/>
  <c r="BB45" i="4"/>
  <c r="BB44" i="4"/>
  <c r="BB43" i="4"/>
  <c r="BB42" i="4"/>
  <c r="BB41" i="4"/>
  <c r="BB40" i="4"/>
  <c r="BB39" i="4"/>
  <c r="BB38" i="4"/>
  <c r="BB37" i="4"/>
  <c r="BB36" i="4"/>
  <c r="BB35" i="4"/>
  <c r="BB34" i="4"/>
  <c r="BB33" i="4"/>
  <c r="BB32" i="4"/>
  <c r="BB31" i="4"/>
  <c r="BB30" i="4"/>
  <c r="BB28" i="4"/>
  <c r="BB27" i="4"/>
  <c r="BB26" i="4"/>
  <c r="BB25" i="4"/>
  <c r="BB24" i="4"/>
  <c r="BB23" i="4"/>
  <c r="BB22" i="4"/>
  <c r="BB21" i="4"/>
  <c r="BB20" i="4"/>
  <c r="BB19" i="4"/>
  <c r="BB18" i="4"/>
  <c r="BB17" i="4"/>
  <c r="BB16" i="4"/>
  <c r="BB15" i="4"/>
  <c r="BB14" i="4"/>
  <c r="BB13" i="4"/>
  <c r="BB12" i="4"/>
  <c r="BB11" i="4"/>
  <c r="BB10" i="4"/>
  <c r="BB9" i="4"/>
  <c r="BB8" i="4"/>
  <c r="BB7" i="4"/>
  <c r="BB6" i="4"/>
  <c r="BB5" i="4"/>
  <c r="BB4" i="4"/>
  <c r="BB3" i="4"/>
  <c r="AF22" i="3" l="1"/>
  <c r="M18" i="3"/>
  <c r="J80" i="5" l="1"/>
  <c r="W17" i="2" l="1"/>
  <c r="BB63" i="8" l="1"/>
  <c r="BB62" i="8"/>
  <c r="BB61" i="8"/>
  <c r="BB60" i="8"/>
  <c r="BB59" i="8"/>
  <c r="BB58" i="8"/>
  <c r="BB57" i="8"/>
  <c r="BB56" i="8"/>
  <c r="BB55" i="8"/>
  <c r="BB54" i="8"/>
  <c r="BB53" i="8"/>
  <c r="BB52" i="8"/>
  <c r="BB51" i="8"/>
  <c r="BB50" i="8"/>
  <c r="BB49" i="8"/>
  <c r="BB48" i="8"/>
  <c r="BB47" i="8"/>
  <c r="BB46" i="8"/>
  <c r="BB45" i="8"/>
  <c r="BB44" i="8"/>
  <c r="BB43" i="8"/>
  <c r="BB42" i="8"/>
  <c r="BB41" i="8"/>
  <c r="BB40" i="8"/>
  <c r="BB39" i="8"/>
  <c r="BB38" i="8"/>
  <c r="BB37" i="8"/>
  <c r="BB36" i="8"/>
  <c r="BB35" i="8"/>
  <c r="BB34" i="8"/>
  <c r="BB33" i="8"/>
  <c r="BB32" i="8"/>
  <c r="BB31" i="8"/>
  <c r="BB30" i="8"/>
  <c r="BB28" i="8"/>
  <c r="BB27" i="8"/>
  <c r="BB26" i="8"/>
  <c r="BB25" i="8"/>
  <c r="BB24" i="8"/>
  <c r="BB23" i="8"/>
  <c r="BB22" i="8"/>
  <c r="BB21" i="8"/>
  <c r="BB20" i="8"/>
  <c r="BB19" i="8"/>
  <c r="BB18" i="8"/>
  <c r="BB17" i="8"/>
  <c r="BB16" i="8"/>
  <c r="BB15" i="8"/>
  <c r="BB14" i="8"/>
  <c r="BB13" i="8"/>
  <c r="BB12" i="8"/>
  <c r="BB11" i="8"/>
  <c r="BB10" i="8"/>
  <c r="BB9" i="8"/>
  <c r="BB8" i="8"/>
  <c r="BB7" i="8"/>
  <c r="BB6" i="8"/>
  <c r="BB5" i="8"/>
  <c r="BB4" i="8"/>
  <c r="BB3" i="8"/>
  <c r="W13" i="2" l="1"/>
  <c r="C6" i="6" l="1"/>
  <c r="W14" i="2" l="1"/>
  <c r="W15" i="2"/>
  <c r="W16" i="2"/>
  <c r="X13" i="2"/>
  <c r="X14" i="2"/>
  <c r="X15" i="2"/>
  <c r="X16" i="2"/>
  <c r="X17" i="2"/>
  <c r="W18" i="3"/>
  <c r="M9" i="3"/>
  <c r="H31" i="5"/>
  <c r="I31" i="5"/>
  <c r="S22" i="3" l="1"/>
  <c r="S23" i="3"/>
  <c r="S24" i="3"/>
  <c r="S25" i="3"/>
  <c r="S26" i="3"/>
  <c r="S27" i="3"/>
  <c r="S28" i="3"/>
  <c r="S29" i="3"/>
  <c r="S30" i="3"/>
  <c r="S31" i="3"/>
  <c r="S21" i="3"/>
  <c r="Z22" i="3" l="1"/>
  <c r="Y22" i="3"/>
  <c r="Y29" i="3"/>
  <c r="Z29" i="3"/>
  <c r="Y28" i="3"/>
  <c r="Z28" i="3"/>
  <c r="Y27" i="3"/>
  <c r="Z27" i="3"/>
  <c r="Y26" i="3"/>
  <c r="Z26" i="3"/>
  <c r="Z25" i="3"/>
  <c r="Y25" i="3"/>
  <c r="Y21" i="3"/>
  <c r="Z21" i="3"/>
  <c r="Z24" i="3"/>
  <c r="Y24" i="3"/>
  <c r="Z31" i="3"/>
  <c r="Y31" i="3"/>
  <c r="Y23" i="3"/>
  <c r="Z23" i="3"/>
  <c r="Y30" i="3"/>
  <c r="Z30" i="3"/>
  <c r="H32" i="3"/>
  <c r="W4" i="3" l="1"/>
  <c r="V4" i="3"/>
  <c r="W8" i="3" l="1"/>
  <c r="M54" i="5" l="1"/>
  <c r="J59" i="5" l="1"/>
  <c r="J56" i="5"/>
  <c r="I59" i="5"/>
  <c r="J55" i="5"/>
  <c r="I55" i="5"/>
  <c r="I56" i="5"/>
  <c r="I58" i="5"/>
  <c r="J58" i="5"/>
  <c r="J57" i="5"/>
  <c r="I57" i="5"/>
  <c r="D20" i="3"/>
  <c r="Q23" i="5"/>
  <c r="Q22" i="5"/>
  <c r="Q21" i="5"/>
  <c r="Q20" i="5"/>
  <c r="Q19" i="5"/>
  <c r="Q18" i="5"/>
  <c r="Q17" i="5"/>
  <c r="Q16" i="5"/>
  <c r="Q15" i="5"/>
  <c r="Q14" i="5"/>
  <c r="Q13" i="5"/>
  <c r="D23" i="3" l="1"/>
  <c r="Q79" i="5"/>
  <c r="Q81" i="5" s="1"/>
  <c r="P79" i="5"/>
  <c r="P81" i="5" s="1"/>
  <c r="O79" i="5"/>
  <c r="O81" i="5" s="1"/>
  <c r="N79" i="5"/>
  <c r="N81" i="5" s="1"/>
  <c r="M79" i="5"/>
  <c r="M81" i="5" s="1"/>
  <c r="B45" i="6" l="1"/>
  <c r="B46" i="6"/>
  <c r="B47" i="6"/>
  <c r="B48" i="6"/>
  <c r="B49" i="6"/>
  <c r="B50" i="6"/>
  <c r="B51" i="6"/>
  <c r="B52" i="6"/>
  <c r="B53" i="6"/>
  <c r="B44" i="6"/>
  <c r="B31" i="6"/>
  <c r="B32" i="6"/>
  <c r="B33" i="6"/>
  <c r="B34" i="6"/>
  <c r="B35" i="6"/>
  <c r="B36" i="6"/>
  <c r="B37" i="6"/>
  <c r="B38" i="6"/>
  <c r="B39" i="6"/>
  <c r="B30" i="6"/>
  <c r="B17" i="6"/>
  <c r="B18" i="6"/>
  <c r="B19" i="6"/>
  <c r="B20" i="6"/>
  <c r="B21" i="6"/>
  <c r="B22" i="6"/>
  <c r="B23" i="6"/>
  <c r="B24" i="6"/>
  <c r="B25" i="6"/>
  <c r="B16" i="6"/>
  <c r="B66" i="5" l="1"/>
  <c r="B65" i="5"/>
  <c r="B64" i="5"/>
  <c r="B63" i="5"/>
  <c r="B62" i="5"/>
  <c r="B61" i="5"/>
  <c r="C80" i="5"/>
  <c r="C82" i="5" s="1"/>
  <c r="M80" i="6"/>
  <c r="L80" i="6"/>
  <c r="K80" i="6"/>
  <c r="J80" i="6"/>
  <c r="I80" i="6"/>
  <c r="H80" i="6"/>
  <c r="G80" i="6"/>
  <c r="F80" i="6"/>
  <c r="E80" i="6"/>
  <c r="D80" i="6"/>
  <c r="C80" i="6"/>
  <c r="B54" i="6"/>
  <c r="B40" i="6"/>
  <c r="B26" i="6"/>
  <c r="F7" i="6"/>
  <c r="F10" i="6" s="1"/>
  <c r="H107" i="5"/>
  <c r="F111" i="5" s="1"/>
  <c r="B91" i="5"/>
  <c r="F86" i="5"/>
  <c r="E86" i="5"/>
  <c r="D86" i="5"/>
  <c r="C86" i="5"/>
  <c r="B86" i="5"/>
  <c r="J81" i="5"/>
  <c r="I80" i="5"/>
  <c r="I82" i="5" s="1"/>
  <c r="H80" i="5"/>
  <c r="H82" i="5" s="1"/>
  <c r="G80" i="5"/>
  <c r="G82" i="5" s="1"/>
  <c r="F80" i="5"/>
  <c r="F82" i="5" s="1"/>
  <c r="E80" i="5"/>
  <c r="E82" i="5" s="1"/>
  <c r="F72" i="5"/>
  <c r="H47" i="5"/>
  <c r="C11" i="3" s="1"/>
  <c r="C43" i="5"/>
  <c r="C42" i="5"/>
  <c r="C41" i="5"/>
  <c r="C40" i="5"/>
  <c r="C39" i="5"/>
  <c r="C38" i="5"/>
  <c r="C37" i="5"/>
  <c r="C36" i="5"/>
  <c r="C35" i="5"/>
  <c r="G31" i="5"/>
  <c r="AB9" i="2" s="1"/>
  <c r="G30" i="5"/>
  <c r="AB8" i="2" s="1"/>
  <c r="G29" i="5"/>
  <c r="AB7" i="2" s="1"/>
  <c r="G28" i="5"/>
  <c r="M23" i="5"/>
  <c r="M22" i="5"/>
  <c r="M21" i="5"/>
  <c r="M20" i="5"/>
  <c r="M19" i="5"/>
  <c r="M17" i="5"/>
  <c r="M16" i="5"/>
  <c r="M15" i="5"/>
  <c r="M14" i="5"/>
  <c r="M13" i="5"/>
  <c r="D19" i="3"/>
  <c r="D18" i="3"/>
  <c r="D17" i="3"/>
  <c r="Y9" i="2"/>
  <c r="X9" i="2"/>
  <c r="W9" i="2"/>
  <c r="Y8" i="2"/>
  <c r="X8" i="2"/>
  <c r="W8" i="2"/>
  <c r="Y7" i="2"/>
  <c r="X7" i="2"/>
  <c r="W7" i="2"/>
  <c r="Y6" i="2"/>
  <c r="X6" i="2"/>
  <c r="W6" i="2"/>
  <c r="Y5" i="2"/>
  <c r="X5" i="2"/>
  <c r="W5" i="2"/>
  <c r="R8" i="3" l="1"/>
  <c r="B24" i="3"/>
  <c r="B25" i="3"/>
  <c r="D80" i="5"/>
  <c r="D82" i="5" s="1"/>
  <c r="T26" i="3"/>
  <c r="U26" i="3" s="1"/>
  <c r="T21" i="3"/>
  <c r="U21" i="3" s="1"/>
  <c r="V9" i="3"/>
  <c r="V12" i="3"/>
  <c r="V8" i="3"/>
  <c r="V11" i="3"/>
  <c r="V10" i="3"/>
  <c r="D26" i="3"/>
  <c r="D40" i="3" s="1"/>
  <c r="AA6" i="2"/>
  <c r="T30" i="3"/>
  <c r="U30" i="3" s="1"/>
  <c r="T24" i="3"/>
  <c r="U24" i="3" s="1"/>
  <c r="T28" i="3"/>
  <c r="U28" i="3" s="1"/>
  <c r="AA7" i="2"/>
  <c r="T31" i="3"/>
  <c r="U31" i="3" s="1"/>
  <c r="Z7" i="2"/>
  <c r="Z9" i="2"/>
  <c r="Z5" i="2"/>
  <c r="AC5" i="2" s="1"/>
  <c r="T23" i="3"/>
  <c r="U23" i="3" s="1"/>
  <c r="T25" i="3"/>
  <c r="U25" i="3" s="1"/>
  <c r="T27" i="3"/>
  <c r="U27" i="3" s="1"/>
  <c r="T29" i="3"/>
  <c r="U29" i="3" s="1"/>
  <c r="Z6" i="2"/>
  <c r="AC6" i="2" s="1"/>
  <c r="Z8" i="2"/>
  <c r="AC8" i="2"/>
  <c r="AB5" i="2"/>
  <c r="AA5" i="2"/>
  <c r="B80" i="5"/>
  <c r="B82" i="5" s="1"/>
  <c r="D11" i="3"/>
  <c r="AA8" i="2"/>
  <c r="AC9" i="2"/>
  <c r="T22" i="3"/>
  <c r="U22" i="3" s="1"/>
  <c r="AD6" i="2"/>
  <c r="H31" i="2" s="1"/>
  <c r="K31" i="2" s="1"/>
  <c r="AD8" i="2"/>
  <c r="AD5" i="2"/>
  <c r="H30" i="2" s="1"/>
  <c r="K30" i="2" s="1"/>
  <c r="AD7" i="2"/>
  <c r="AF7" i="2" s="1"/>
  <c r="O16" i="2" s="1"/>
  <c r="AD9" i="2"/>
  <c r="AC7" i="2"/>
  <c r="AA9" i="2"/>
  <c r="D43" i="5"/>
  <c r="C2" i="2" s="1"/>
  <c r="F87" i="5"/>
  <c r="L21" i="3" s="1"/>
  <c r="F107" i="5"/>
  <c r="J82" i="5"/>
  <c r="AB6" i="2"/>
  <c r="B87" i="5"/>
  <c r="H21" i="3" s="1"/>
  <c r="C87" i="5"/>
  <c r="I21" i="3" s="1"/>
  <c r="D87" i="5"/>
  <c r="J21" i="3" s="1"/>
  <c r="E87" i="5"/>
  <c r="K21" i="3" s="1"/>
  <c r="F108" i="5"/>
  <c r="F109" i="5"/>
  <c r="F110" i="5"/>
  <c r="F8" i="6"/>
  <c r="F9" i="6"/>
  <c r="M11" i="3" l="1"/>
  <c r="M10" i="3"/>
  <c r="Q82" i="5"/>
  <c r="M82" i="5"/>
  <c r="N82" i="5"/>
  <c r="P82" i="5"/>
  <c r="O82" i="5"/>
  <c r="F11" i="6"/>
  <c r="I7" i="6" s="1"/>
  <c r="I8" i="6" s="1"/>
  <c r="I9" i="6" s="1"/>
  <c r="AG8" i="2"/>
  <c r="O24" i="2" s="1"/>
  <c r="AG9" i="2"/>
  <c r="O25" i="2" s="1"/>
  <c r="E58" i="5"/>
  <c r="F58" i="5" s="1"/>
  <c r="E56" i="5"/>
  <c r="F56" i="5" s="1"/>
  <c r="E59" i="5"/>
  <c r="F59" i="5" s="1"/>
  <c r="H12" i="3" s="1"/>
  <c r="E57" i="5"/>
  <c r="F57" i="5" s="1"/>
  <c r="E55" i="5"/>
  <c r="F55" i="5" s="1"/>
  <c r="K82" i="5"/>
  <c r="C14" i="3" s="1"/>
  <c r="H29" i="3" s="1"/>
  <c r="AE8" i="2"/>
  <c r="O10" i="2" s="1"/>
  <c r="H34" i="2"/>
  <c r="K34" i="2" s="1"/>
  <c r="H32" i="2"/>
  <c r="K32" i="2" s="1"/>
  <c r="AE7" i="2"/>
  <c r="O9" i="2" s="1"/>
  <c r="AG7" i="2"/>
  <c r="O23" i="2" s="1"/>
  <c r="AE9" i="2"/>
  <c r="O11" i="2" s="1"/>
  <c r="AF6" i="2"/>
  <c r="O15" i="2" s="1"/>
  <c r="AF5" i="2"/>
  <c r="AF9" i="2"/>
  <c r="O18" i="2" s="1"/>
  <c r="AG6" i="2"/>
  <c r="O22" i="2" s="1"/>
  <c r="AE6" i="2"/>
  <c r="O8" i="2" s="1"/>
  <c r="AE5" i="2"/>
  <c r="L23" i="3"/>
  <c r="AF8" i="2"/>
  <c r="O17" i="2" s="1"/>
  <c r="H33" i="2"/>
  <c r="K33" i="2" s="1"/>
  <c r="AG5" i="2"/>
  <c r="K23" i="3"/>
  <c r="J23" i="3"/>
  <c r="I23" i="3"/>
  <c r="F12" i="6"/>
  <c r="I10" i="6" s="1"/>
  <c r="P16" i="2"/>
  <c r="N16" i="2"/>
  <c r="I29" i="3" l="1"/>
  <c r="I30" i="3"/>
  <c r="J30" i="3" s="1"/>
  <c r="H30" i="3"/>
  <c r="H31" i="3" s="1"/>
  <c r="H23" i="3"/>
  <c r="M23" i="3" s="1"/>
  <c r="L30" i="3" s="1"/>
  <c r="M30" i="3" s="1"/>
  <c r="O4" i="2"/>
  <c r="Z14" i="2"/>
  <c r="O6" i="2" s="1"/>
  <c r="M14" i="3"/>
  <c r="N20" i="2"/>
  <c r="P20" i="2"/>
  <c r="N21" i="2"/>
  <c r="P21" i="2"/>
  <c r="P7" i="2"/>
  <c r="P6" i="2"/>
  <c r="N6" i="2"/>
  <c r="N7" i="2"/>
  <c r="N14" i="2"/>
  <c r="P14" i="2"/>
  <c r="P13" i="2"/>
  <c r="N13" i="2"/>
  <c r="P9" i="2"/>
  <c r="N9" i="2"/>
  <c r="P8" i="2"/>
  <c r="N8" i="2"/>
  <c r="N15" i="2"/>
  <c r="P17" i="2"/>
  <c r="P22" i="2"/>
  <c r="N11" i="2"/>
  <c r="P11" i="2"/>
  <c r="P25" i="2"/>
  <c r="P18" i="2"/>
  <c r="P23" i="2"/>
  <c r="N10" i="2"/>
  <c r="P10" i="2"/>
  <c r="P24" i="2"/>
  <c r="H9" i="3"/>
  <c r="G56" i="5"/>
  <c r="H10" i="3"/>
  <c r="G57" i="5"/>
  <c r="H8" i="3"/>
  <c r="G55" i="5"/>
  <c r="H11" i="3"/>
  <c r="G58" i="5"/>
  <c r="G59" i="5"/>
  <c r="AA14" i="2"/>
  <c r="O13" i="2" s="1"/>
  <c r="AB14" i="2"/>
  <c r="O20" i="2" s="1"/>
  <c r="O7" i="2" l="1"/>
  <c r="O14" i="2"/>
  <c r="O21" i="2"/>
  <c r="N18" i="2"/>
  <c r="N25" i="2"/>
  <c r="N17" i="2"/>
  <c r="P15" i="2"/>
  <c r="N22" i="2"/>
  <c r="N23" i="2"/>
  <c r="N24" i="2"/>
  <c r="K58" i="5"/>
  <c r="L58" i="5" s="1"/>
  <c r="M58" i="5" s="1"/>
  <c r="K57" i="5"/>
  <c r="L57" i="5" s="1"/>
  <c r="M57" i="5" s="1"/>
  <c r="K59" i="5"/>
  <c r="L59" i="5" s="1"/>
  <c r="M59" i="5" s="1"/>
  <c r="K55" i="5"/>
  <c r="K56" i="5"/>
  <c r="L56" i="5" s="1"/>
  <c r="M56" i="5" s="1"/>
  <c r="I12" i="3"/>
  <c r="J12" i="3" s="1"/>
  <c r="K12" i="3" s="1"/>
  <c r="I11" i="3"/>
  <c r="J11" i="3" s="1"/>
  <c r="K11" i="3" s="1"/>
  <c r="I8" i="3"/>
  <c r="J8" i="3" s="1"/>
  <c r="K8" i="3" s="1"/>
  <c r="L9" i="3"/>
  <c r="L12" i="3"/>
  <c r="L11" i="3"/>
  <c r="I9" i="3"/>
  <c r="J9" i="3" s="1"/>
  <c r="K9" i="3" s="1"/>
  <c r="L10" i="3"/>
  <c r="I10" i="3"/>
  <c r="J10" i="3" s="1"/>
  <c r="K10" i="3" s="1"/>
  <c r="L8" i="3"/>
  <c r="D14" i="3"/>
  <c r="L22" i="3"/>
  <c r="K22" i="3"/>
  <c r="J22" i="3"/>
  <c r="I22" i="3"/>
  <c r="H22" i="3"/>
  <c r="L27" i="3"/>
  <c r="M27" i="3" s="1"/>
  <c r="L29" i="3"/>
  <c r="M29" i="3" s="1"/>
  <c r="L26" i="3"/>
  <c r="M26" i="3" s="1"/>
  <c r="L28" i="3"/>
  <c r="M28" i="3" s="1"/>
  <c r="L55" i="5" l="1"/>
  <c r="M55" i="5" s="1"/>
  <c r="T12" i="3"/>
  <c r="U12" i="3" s="1"/>
  <c r="N12" i="3"/>
  <c r="P12" i="3" s="1"/>
  <c r="N9" i="3"/>
  <c r="P9" i="3" s="1"/>
  <c r="N11" i="3"/>
  <c r="P11" i="3" s="1"/>
  <c r="T9" i="3"/>
  <c r="U9" i="3" s="1"/>
  <c r="T11" i="3"/>
  <c r="U11" i="3" s="1"/>
  <c r="T10" i="3"/>
  <c r="U10" i="3" s="1"/>
  <c r="N10" i="3"/>
  <c r="P10" i="3" s="1"/>
  <c r="M31" i="3"/>
  <c r="T8" i="3" l="1"/>
  <c r="U8" i="3" s="1"/>
  <c r="N8" i="3"/>
  <c r="P8" i="3" s="1"/>
</calcChain>
</file>

<file path=xl/sharedStrings.xml><?xml version="1.0" encoding="utf-8"?>
<sst xmlns="http://schemas.openxmlformats.org/spreadsheetml/2006/main" count="2062" uniqueCount="478">
  <si>
    <t>Driver</t>
  </si>
  <si>
    <t>Setup Factor Calculations</t>
  </si>
  <si>
    <t>OA</t>
  </si>
  <si>
    <t>Concentration</t>
  </si>
  <si>
    <t>Track Base</t>
  </si>
  <si>
    <t>Weather</t>
  </si>
  <si>
    <t>Talent</t>
  </si>
  <si>
    <t>Q1</t>
  </si>
  <si>
    <t>Q2</t>
  </si>
  <si>
    <t>Race</t>
  </si>
  <si>
    <t>Experience</t>
  </si>
  <si>
    <t>Low</t>
  </si>
  <si>
    <t>High</t>
  </si>
  <si>
    <t>Wings</t>
  </si>
  <si>
    <t>Engine</t>
  </si>
  <si>
    <t>Technical insight</t>
  </si>
  <si>
    <t>Staff</t>
  </si>
  <si>
    <t>Brake</t>
  </si>
  <si>
    <t>Stamina</t>
  </si>
  <si>
    <t>Stress handling</t>
  </si>
  <si>
    <t>Charisma</t>
  </si>
  <si>
    <t>Suspension</t>
  </si>
  <si>
    <t>Motivation</t>
  </si>
  <si>
    <t>Reputation</t>
  </si>
  <si>
    <t>Stint Details</t>
  </si>
  <si>
    <t>Track</t>
  </si>
  <si>
    <t>Mugello</t>
  </si>
  <si>
    <t>Happy Range</t>
  </si>
  <si>
    <t>Generic</t>
  </si>
  <si>
    <t>TD</t>
  </si>
  <si>
    <t>Wing Split</t>
  </si>
  <si>
    <t>Age</t>
  </si>
  <si>
    <t>Temp</t>
  </si>
  <si>
    <t>Hum</t>
  </si>
  <si>
    <t>Dry</t>
  </si>
  <si>
    <t>Level</t>
  </si>
  <si>
    <t>Wear</t>
  </si>
  <si>
    <t>RACE</t>
  </si>
  <si>
    <t>Chassis</t>
  </si>
  <si>
    <t>Front wing</t>
  </si>
  <si>
    <t>Rear wing</t>
  </si>
  <si>
    <t>Underbody</t>
  </si>
  <si>
    <t>Sidepods</t>
  </si>
  <si>
    <t>Cooling</t>
  </si>
  <si>
    <t>Gearbox</t>
  </si>
  <si>
    <t>Q1 Setup</t>
  </si>
  <si>
    <t>Brakes</t>
  </si>
  <si>
    <t>(FW+RW)/2</t>
  </si>
  <si>
    <t>Electronics</t>
  </si>
  <si>
    <t>Race Options</t>
  </si>
  <si>
    <t>Determines Lost time due to pitting, fuel load and Tyre choice</t>
  </si>
  <si>
    <t>Tyre Wear</t>
  </si>
  <si>
    <t>(at which point the tyres should be replaced)</t>
  </si>
  <si>
    <t>Tyres</t>
  </si>
  <si>
    <t>Lost Time (s)</t>
  </si>
  <si>
    <t>Brand</t>
  </si>
  <si>
    <t>Pipirelli</t>
  </si>
  <si>
    <t>Req. Stops</t>
  </si>
  <si>
    <t>Fuel Load</t>
  </si>
  <si>
    <t>Estm. Pit Time</t>
  </si>
  <si>
    <t>Pits</t>
  </si>
  <si>
    <t>Total</t>
  </si>
  <si>
    <t>Type</t>
  </si>
  <si>
    <t>Soft</t>
  </si>
  <si>
    <t>Extra Soft</t>
  </si>
  <si>
    <t>Tyre &amp; Fuel Calculations</t>
  </si>
  <si>
    <t>L/km</t>
  </si>
  <si>
    <t>Total L</t>
  </si>
  <si>
    <t>Medium</t>
  </si>
  <si>
    <t>Fuel</t>
  </si>
  <si>
    <t>Hard</t>
  </si>
  <si>
    <t>Rain</t>
  </si>
  <si>
    <t>-</t>
  </si>
  <si>
    <t>Máx. Km</t>
  </si>
  <si>
    <t>Laps</t>
  </si>
  <si>
    <t>Race Details</t>
  </si>
  <si>
    <t>Chosen pit strategy details</t>
  </si>
  <si>
    <t>Estimated Parts Wear</t>
  </si>
  <si>
    <t>Overtaking</t>
  </si>
  <si>
    <t>Pitstops</t>
  </si>
  <si>
    <t>CT Risk</t>
  </si>
  <si>
    <t>Pit I/O</t>
  </si>
  <si>
    <t>Stint1</t>
  </si>
  <si>
    <t>Stint2</t>
  </si>
  <si>
    <t>Stint3</t>
  </si>
  <si>
    <t>Stint4</t>
  </si>
  <si>
    <t>Stint5</t>
  </si>
  <si>
    <t>Start</t>
  </si>
  <si>
    <t>Est.Wear</t>
  </si>
  <si>
    <t>End</t>
  </si>
  <si>
    <t>Tyre Final Wear</t>
  </si>
  <si>
    <t>Fuel Needed</t>
  </si>
  <si>
    <t>Pitstop</t>
  </si>
  <si>
    <t>No stop</t>
  </si>
  <si>
    <t>1 Stop</t>
  </si>
  <si>
    <t>Custom Stint</t>
  </si>
  <si>
    <t>2 Stops</t>
  </si>
  <si>
    <t>Final Wear</t>
  </si>
  <si>
    <t>3 Stops</t>
  </si>
  <si>
    <t>4 Stops</t>
  </si>
  <si>
    <t>Est. Pit time</t>
  </si>
  <si>
    <t>Avg. Pit time</t>
  </si>
  <si>
    <t>WS Base</t>
  </si>
  <si>
    <t>Tyre Base</t>
  </si>
  <si>
    <t>Distance</t>
  </si>
  <si>
    <t>P (10)</t>
  </si>
  <si>
    <t>A</t>
  </si>
  <si>
    <t>Note</t>
  </si>
  <si>
    <t>Grip</t>
  </si>
  <si>
    <t>Gear</t>
  </si>
  <si>
    <t>WS (25)</t>
  </si>
  <si>
    <t>L/km (27)</t>
  </si>
  <si>
    <t>L/km (wet)</t>
  </si>
  <si>
    <t>Wear (30)</t>
  </si>
  <si>
    <t>Eng</t>
  </si>
  <si>
    <t>FW</t>
  </si>
  <si>
    <t>RW</t>
  </si>
  <si>
    <t>A1-Ring</t>
  </si>
  <si>
    <t>Easy</t>
  </si>
  <si>
    <t>Adelaide</t>
  </si>
  <si>
    <t>Ahvenisto</t>
  </si>
  <si>
    <t>Normal</t>
  </si>
  <si>
    <t>Anderstorp</t>
  </si>
  <si>
    <t>Austin</t>
  </si>
  <si>
    <t>Barcelona</t>
  </si>
  <si>
    <t>Brands Hatch</t>
  </si>
  <si>
    <t>Brasilia</t>
  </si>
  <si>
    <t>Brno</t>
  </si>
  <si>
    <t>Bucharest Ring</t>
  </si>
  <si>
    <t>Very high</t>
  </si>
  <si>
    <t>Buenos Aires</t>
  </si>
  <si>
    <t>Very low</t>
  </si>
  <si>
    <t>Estoril</t>
  </si>
  <si>
    <t>Fiorano</t>
  </si>
  <si>
    <t>Fuji</t>
  </si>
  <si>
    <t>Hockenheim</t>
  </si>
  <si>
    <t>Hungaroring</t>
  </si>
  <si>
    <t>Imola</t>
  </si>
  <si>
    <t>Indianapolis</t>
  </si>
  <si>
    <t>Indianapolis Oval</t>
  </si>
  <si>
    <t>Very Easy</t>
  </si>
  <si>
    <t>Interlagos</t>
  </si>
  <si>
    <t>Irungattukottai</t>
  </si>
  <si>
    <t>Istanbul</t>
  </si>
  <si>
    <t>Jerez</t>
  </si>
  <si>
    <t>Kaunas</t>
  </si>
  <si>
    <t>Kyalami</t>
  </si>
  <si>
    <t>Laguna Seca</t>
  </si>
  <si>
    <t>Magny Cours</t>
  </si>
  <si>
    <t>Melbourne</t>
  </si>
  <si>
    <t>Mexico City</t>
  </si>
  <si>
    <t>Monte Carlo</t>
  </si>
  <si>
    <t>Montreal</t>
  </si>
  <si>
    <t>Monza</t>
  </si>
  <si>
    <t>New Delhi</t>
  </si>
  <si>
    <t>Nurburgring</t>
  </si>
  <si>
    <t>Oesterreichring</t>
  </si>
  <si>
    <t>Paul Ricard</t>
  </si>
  <si>
    <t>Portimao</t>
  </si>
  <si>
    <t>Poznan</t>
  </si>
  <si>
    <t>Sakhir</t>
  </si>
  <si>
    <t>Sepang</t>
  </si>
  <si>
    <t>Shanghai</t>
  </si>
  <si>
    <t>Silverstone</t>
  </si>
  <si>
    <t>Singapore</t>
  </si>
  <si>
    <t>Slovakiaring</t>
  </si>
  <si>
    <t>Spa</t>
  </si>
  <si>
    <t>Suzuka</t>
  </si>
  <si>
    <t>Valencia</t>
  </si>
  <si>
    <t>Yas Marina</t>
  </si>
  <si>
    <t>Yeongam</t>
  </si>
  <si>
    <t>Zandvoort</t>
  </si>
  <si>
    <t>Zolder</t>
  </si>
  <si>
    <t>Serres</t>
  </si>
  <si>
    <t>Setup Calculation - Weather Influence Table</t>
  </si>
  <si>
    <t>Wet</t>
  </si>
  <si>
    <t>Offset</t>
  </si>
  <si>
    <t>Suspsensions</t>
  </si>
  <si>
    <t>Setup Calculation – Car Influence Table</t>
  </si>
  <si>
    <t>Cha</t>
  </si>
  <si>
    <t>F Wing</t>
  </si>
  <si>
    <t>R Wing</t>
  </si>
  <si>
    <t>Und</t>
  </si>
  <si>
    <t>Side</t>
  </si>
  <si>
    <t>Cool</t>
  </si>
  <si>
    <t>Susp</t>
  </si>
  <si>
    <t>Elec</t>
  </si>
  <si>
    <t>Setup Calculation – Driver Influence Table</t>
  </si>
  <si>
    <t>Conc</t>
  </si>
  <si>
    <t>Tal</t>
  </si>
  <si>
    <t>Aggr</t>
  </si>
  <si>
    <t>Exp</t>
  </si>
  <si>
    <t>Weight</t>
  </si>
  <si>
    <t>Driver Overall Calculation</t>
  </si>
  <si>
    <t>Factor</t>
  </si>
  <si>
    <t>F*Att</t>
  </si>
  <si>
    <t>Agressiveness</t>
  </si>
  <si>
    <t>Fuel Calculation – Using method 2</t>
  </si>
  <si>
    <t>Agg</t>
  </si>
  <si>
    <t>TI</t>
  </si>
  <si>
    <t>Eng lvl</t>
  </si>
  <si>
    <t>Elec lvl</t>
  </si>
  <si>
    <t>Factors</t>
  </si>
  <si>
    <t>Tyre Wear Calculation</t>
  </si>
  <si>
    <t>max km</t>
  </si>
  <si>
    <t>Yokomama</t>
  </si>
  <si>
    <t>Dunnolop</t>
  </si>
  <si>
    <t>Badyear</t>
  </si>
  <si>
    <t>Michelini</t>
  </si>
  <si>
    <t>Bridgerock</t>
  </si>
  <si>
    <t>Selected Track</t>
  </si>
  <si>
    <t>Track Wear</t>
  </si>
  <si>
    <t>Base Wear</t>
  </si>
  <si>
    <t>Trk Wear</t>
  </si>
  <si>
    <t>AvgT</t>
  </si>
  <si>
    <t>T Dur</t>
  </si>
  <si>
    <t>T Type</t>
  </si>
  <si>
    <t>Weig</t>
  </si>
  <si>
    <t>CT</t>
  </si>
  <si>
    <t>Values</t>
  </si>
  <si>
    <t>Factors^Val</t>
  </si>
  <si>
    <t>Race Pit Stop Calculation</t>
  </si>
  <si>
    <t>Lap Calcs</t>
  </si>
  <si>
    <t>Parts Wear Calculation</t>
  </si>
  <si>
    <t>Common Factor</t>
  </si>
  <si>
    <t>Lvl</t>
  </si>
  <si>
    <t>CT Risk Factors / Lvl</t>
  </si>
  <si>
    <t>Pit Stop Estimated Refuel Time</t>
  </si>
  <si>
    <t>No TD</t>
  </si>
  <si>
    <t>Using TD?</t>
  </si>
  <si>
    <t>Fuel Tanked</t>
  </si>
  <si>
    <t>Staff Concentration</t>
  </si>
  <si>
    <t>Staff Stress Handling</t>
  </si>
  <si>
    <t>TD Experience</t>
  </si>
  <si>
    <t>TD Pit Coordination</t>
  </si>
  <si>
    <t>Base Pitstop</t>
  </si>
  <si>
    <t>Tyre Compound Difference</t>
  </si>
  <si>
    <t>Determine the best WS based on 3 laps with different WS</t>
  </si>
  <si>
    <t>Proposed Wings</t>
  </si>
  <si>
    <t>Denom</t>
  </si>
  <si>
    <t>B</t>
  </si>
  <si>
    <t>C</t>
  </si>
  <si>
    <t>XV</t>
  </si>
  <si>
    <t>YV</t>
  </si>
  <si>
    <t>Determine the Wing Split base value</t>
  </si>
  <si>
    <t>FW lvl</t>
  </si>
  <si>
    <t>RW lvl</t>
  </si>
  <si>
    <t>Average</t>
  </si>
  <si>
    <t>FW and RW represent the best WS</t>
  </si>
  <si>
    <t>Determine the Fuel base value ( dry / wet )</t>
  </si>
  <si>
    <t>Fuel Base</t>
  </si>
  <si>
    <t>Fuel Used</t>
  </si>
  <si>
    <t>Km Done</t>
  </si>
  <si>
    <t>EngLvl</t>
  </si>
  <si>
    <t>EleLvl</t>
  </si>
  <si>
    <t>If race is full wet or dry then race totals can be used instead of stint totals</t>
  </si>
  <si>
    <t>Determine the Tyre base value</t>
  </si>
  <si>
    <t>Máx Km</t>
  </si>
  <si>
    <t>Avg Temp</t>
  </si>
  <si>
    <t>T Brand</t>
  </si>
  <si>
    <t>Susp lvl</t>
  </si>
  <si>
    <t>Determine the Parts base value</t>
  </si>
  <si>
    <t>Race 1</t>
  </si>
  <si>
    <t>Race 2</t>
  </si>
  <si>
    <t>Race 3</t>
  </si>
  <si>
    <t>Base Values</t>
  </si>
  <si>
    <t>Avonn</t>
  </si>
  <si>
    <t>Contimental</t>
  </si>
  <si>
    <t>Avus</t>
  </si>
  <si>
    <t>Bremgarten</t>
  </si>
  <si>
    <t>Rafaela Oval</t>
  </si>
  <si>
    <t>Sochi</t>
  </si>
  <si>
    <t>Very Hard</t>
  </si>
  <si>
    <t>Very High</t>
  </si>
  <si>
    <t>Very Low</t>
  </si>
  <si>
    <t>Tyre Durability</t>
  </si>
  <si>
    <t>Analyzer's Track Base Values</t>
  </si>
  <si>
    <t>http://www.gproanalyzer.info/trackbv.php</t>
  </si>
  <si>
    <t>Baku City</t>
  </si>
  <si>
    <t>Grobnik</t>
  </si>
  <si>
    <t>Jyllands-Ringen</t>
  </si>
  <si>
    <t>xs</t>
  </si>
  <si>
    <t>s</t>
  </si>
  <si>
    <t>m</t>
  </si>
  <si>
    <t>d</t>
  </si>
  <si>
    <t>p</t>
  </si>
  <si>
    <t xml:space="preserve"> </t>
  </si>
  <si>
    <t>chrono</t>
  </si>
  <si>
    <t>pluie</t>
  </si>
  <si>
    <t>sec</t>
  </si>
  <si>
    <t>pb tech</t>
  </si>
  <si>
    <t>risque moyen</t>
  </si>
  <si>
    <t>Nb tour</t>
  </si>
  <si>
    <t>Tours de pluie</t>
  </si>
  <si>
    <t>Nb tour pb technique</t>
  </si>
  <si>
    <t>Hors pluie</t>
  </si>
  <si>
    <t>Sous la pluie</t>
  </si>
  <si>
    <t>Tours de boost</t>
  </si>
  <si>
    <t>Energie</t>
  </si>
  <si>
    <t>Avant course</t>
  </si>
  <si>
    <t>Après course</t>
  </si>
  <si>
    <t>Aggressivité</t>
  </si>
  <si>
    <t>Technique</t>
  </si>
  <si>
    <t>Endurance</t>
  </si>
  <si>
    <t>Poids</t>
  </si>
  <si>
    <t>Risque</t>
  </si>
  <si>
    <t>Boost</t>
  </si>
  <si>
    <t>CirA</t>
  </si>
  <si>
    <t>CTA</t>
  </si>
  <si>
    <t>CTr</t>
  </si>
  <si>
    <t>tech</t>
  </si>
  <si>
    <t>Con</t>
  </si>
  <si>
    <t>Endu</t>
  </si>
  <si>
    <t>Motiv</t>
  </si>
  <si>
    <t>Agr</t>
  </si>
  <si>
    <t>coef base</t>
  </si>
  <si>
    <t>coef pluie</t>
  </si>
  <si>
    <t>Coef</t>
  </si>
  <si>
    <t>Energie du pilote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</si>
  <si>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</si>
  <si>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</si>
  <si>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</si>
  <si>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</si>
  <si>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</si>
  <si>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</si>
  <si>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</si>
  <si>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</si>
  <si>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</si>
  <si>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</si>
  <si>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</si>
  <si>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</si>
  <si>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</si>
  <si>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</si>
  <si>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</si>
  <si>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</si>
  <si>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</si>
  <si>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</si>
  <si>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</si>
  <si>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</si>
  <si>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o4</t>
  </si>
  <si>
    <t>km</t>
  </si>
  <si>
    <t>usure pneus</t>
  </si>
  <si>
    <t>coef</t>
  </si>
  <si>
    <t>A1-Ring D</t>
  </si>
  <si>
    <t>Ahvenisto D</t>
  </si>
  <si>
    <t>Anderstorp D</t>
  </si>
  <si>
    <t>Austin T</t>
  </si>
  <si>
    <t>Brands Hatch D</t>
  </si>
  <si>
    <t>Fuji T</t>
  </si>
  <si>
    <t>Hungaroring D</t>
  </si>
  <si>
    <t>Kaunas D</t>
  </si>
  <si>
    <t>Laguna Seca D</t>
  </si>
  <si>
    <t>Magny Cours T</t>
  </si>
  <si>
    <t>Melbourne T</t>
  </si>
  <si>
    <t>Mexico City D</t>
  </si>
  <si>
    <t>New Delhi T</t>
  </si>
  <si>
    <t>Portimao T</t>
  </si>
  <si>
    <t>Singapore T</t>
  </si>
  <si>
    <t>Slovakiaring T</t>
  </si>
  <si>
    <t>Sochi T</t>
  </si>
  <si>
    <t>Spa T</t>
  </si>
  <si>
    <t>Valencia T</t>
  </si>
  <si>
    <t>Yas Marina T</t>
  </si>
  <si>
    <t>Yeongam T</t>
  </si>
  <si>
    <t>km 18%</t>
  </si>
  <si>
    <t>perte/km</t>
  </si>
  <si>
    <t>a</t>
  </si>
  <si>
    <t>b</t>
  </si>
  <si>
    <t>Usure pneus</t>
  </si>
  <si>
    <t>perte sur un tour avec pneus usé de :</t>
  </si>
  <si>
    <t>usure pneus course</t>
  </si>
  <si>
    <t>nombre d'arrets</t>
  </si>
  <si>
    <t xml:space="preserve"> Recharge fuel</t>
  </si>
  <si>
    <t>Arrondit (O/N)?</t>
  </si>
  <si>
    <t>O</t>
  </si>
  <si>
    <t>N</t>
  </si>
  <si>
    <t>nb km</t>
  </si>
  <si>
    <t>TCD (type pneus)</t>
  </si>
  <si>
    <t xml:space="preserve">  </t>
  </si>
  <si>
    <t>Moteur</t>
  </si>
  <si>
    <t>Ailerons avant</t>
  </si>
  <si>
    <t>Fond plat</t>
  </si>
  <si>
    <t>Pontons latéraux</t>
  </si>
  <si>
    <t>Refroidissement</t>
  </si>
  <si>
    <t>Boite de vitesse</t>
  </si>
  <si>
    <t>Freins</t>
  </si>
  <si>
    <t>Electronique</t>
  </si>
  <si>
    <t>Puissance</t>
  </si>
  <si>
    <t>Maniabilité</t>
  </si>
  <si>
    <t>Accélération</t>
  </si>
  <si>
    <t>Agresivité</t>
  </si>
  <si>
    <t>Connais technique</t>
  </si>
  <si>
    <t>Charisme</t>
  </si>
  <si>
    <t>R&amp;D mechanique</t>
  </si>
  <si>
    <t>R&amp;D electronique</t>
  </si>
  <si>
    <t>R&amp;D aerodynamique</t>
  </si>
  <si>
    <t>coordination arrets aux stands</t>
  </si>
  <si>
    <t>Ailerons arrière</t>
  </si>
  <si>
    <t>Ailerons</t>
  </si>
  <si>
    <t>Météo</t>
  </si>
  <si>
    <t>Pilote</t>
  </si>
  <si>
    <t>Voiture</t>
  </si>
  <si>
    <t>Réglages</t>
  </si>
  <si>
    <t>Course</t>
  </si>
  <si>
    <t>Détail de la météo de la course</t>
  </si>
  <si>
    <t>Calcul les valeurs de base du circuit</t>
  </si>
  <si>
    <t>Directeur technique</t>
  </si>
  <si>
    <t>Réglage optimum</t>
  </si>
  <si>
    <t>Optimum</t>
  </si>
  <si>
    <t>Mini</t>
  </si>
  <si>
    <t>Maxi</t>
  </si>
  <si>
    <t>Hancock</t>
  </si>
  <si>
    <t>Moy :</t>
  </si>
  <si>
    <t>Somme ailerons</t>
  </si>
  <si>
    <t>Aav – Aar</t>
  </si>
  <si>
    <t>Chrono (Secs)</t>
  </si>
  <si>
    <t>Données des 3 essais</t>
  </si>
  <si>
    <t>Formules</t>
  </si>
  <si>
    <t>A Avant</t>
  </si>
  <si>
    <t>A Arrière</t>
  </si>
  <si>
    <t>A Av – A Ar</t>
  </si>
  <si>
    <t>CT (gain en secondes selon le CT)</t>
  </si>
  <si>
    <t>Boost Laps Per Stint</t>
  </si>
  <si>
    <t>avec boost</t>
  </si>
  <si>
    <t>temp</t>
  </si>
  <si>
    <t>dur</t>
  </si>
  <si>
    <t>per sec / pluie</t>
  </si>
  <si>
    <t>mise temp</t>
  </si>
  <si>
    <t>prix</t>
  </si>
  <si>
    <t>S83 course 1</t>
  </si>
  <si>
    <t>coef multi si pneus pluie sur sec</t>
  </si>
  <si>
    <t>litres</t>
  </si>
  <si>
    <t>Efficacité</t>
  </si>
  <si>
    <t>motivation</t>
  </si>
  <si>
    <t>Jeddah</t>
  </si>
  <si>
    <t>Force d'appui</t>
  </si>
  <si>
    <t>Dépassement</t>
  </si>
  <si>
    <t>Consommation</t>
  </si>
  <si>
    <t>Longueur tour</t>
  </si>
  <si>
    <t>Nombre de tours</t>
  </si>
  <si>
    <t>M</t>
  </si>
  <si>
    <t>Temps E/S stands</t>
  </si>
  <si>
    <t>Ailerons (19)</t>
  </si>
  <si>
    <t>Boite Vitesse</t>
  </si>
  <si>
    <t>Consommation 2 Base</t>
  </si>
  <si>
    <t>Pneus Base</t>
  </si>
  <si>
    <t>Usure pièce Base</t>
  </si>
  <si>
    <t>Réglage pièce base</t>
  </si>
  <si>
    <t>Boosts base</t>
  </si>
  <si>
    <t>Liste circuits</t>
  </si>
  <si>
    <t>Noms</t>
  </si>
  <si>
    <t>Détail des circuits</t>
  </si>
  <si>
    <t>Vit Moy</t>
  </si>
  <si>
    <t>Nbre Virages</t>
  </si>
  <si>
    <t>Châssis (32)</t>
  </si>
  <si>
    <t>A arrière</t>
  </si>
  <si>
    <t>Pontons</t>
  </si>
  <si>
    <t>Sec (44)</t>
  </si>
  <si>
    <t>Pluie</t>
  </si>
  <si>
    <t>tours</t>
  </si>
  <si>
    <t>réél</t>
  </si>
  <si>
    <t>Fond Plat</t>
  </si>
  <si>
    <t>Electonique</t>
  </si>
  <si>
    <t>usure min</t>
  </si>
  <si>
    <t>usure max</t>
  </si>
  <si>
    <t>coeff min</t>
  </si>
  <si>
    <t>coef max</t>
  </si>
  <si>
    <t>Joël</t>
  </si>
  <si>
    <t>Redge</t>
  </si>
  <si>
    <t>Nikolaï</t>
  </si>
  <si>
    <t>nb tours</t>
  </si>
  <si>
    <t>60% course sec</t>
  </si>
  <si>
    <t>1'12</t>
  </si>
  <si>
    <t>1'36</t>
  </si>
  <si>
    <t>durée</t>
  </si>
  <si>
    <t>nb tours tendre</t>
  </si>
  <si>
    <t>1'04</t>
  </si>
  <si>
    <t>nb tours médium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</si>
</sst>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&quot; %&quot;"/>
    <numFmt numFmtId="165" formatCode="0.0"/>
    <numFmt numFmtId="166" formatCode="0.0&quot; s&quot;"/>
    <numFmt numFmtId="167" formatCode="0.0&quot; %&quot;"/>
    <numFmt numFmtId="168" formatCode="0&quot; L&quot;"/>
    <numFmt numFmtId="169" formatCode="0.00&quot; s&quot;"/>
    <numFmt numFmtId="170" formatCode="0.000"/>
    <numFmt numFmtId="171" formatCode="0.0000"/>
    <numFmt numFmtId="172" formatCode="0.000000000"/>
    <numFmt numFmtId="173" formatCode="0.0000000"/>
    <numFmt numFmtId="174" formatCode="0.00000"/>
    <numFmt numFmtId="175" formatCode="\+0.0&quot; L&quot;"/>
  </numFmts>
  <fonts count="17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8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rgb="FF666666"/>
      <name val="Tahoma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b/>
      <sz val="10"/>
      <color indexed="19"/>
      <name val="Arial"/>
      <family val="2"/>
    </font>
    <font>
      <sz val="10"/>
      <color indexed="16"/>
      <name val="Arial"/>
      <family val="2"/>
    </font>
    <font>
      <sz val="10"/>
      <color indexed="19"/>
      <name val="Arial"/>
      <family val="2"/>
    </font>
    <font>
      <sz val="10"/>
      <color indexed="53"/>
      <name val="Arial"/>
      <family val="2"/>
    </font>
    <font>
      <u/>
      <sz val="10"/>
      <color theme="10"/>
      <name val="Arial"/>
      <family val="2"/>
      <charset val="1"/>
    </font>
    <font>
      <b/>
      <sz val="11"/>
      <color rgb="FF17375E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66"/>
        <bgColor rgb="FFFFFFCC"/>
      </patternFill>
    </fill>
    <fill>
      <patternFill patternType="solid">
        <fgColor rgb="FFC0C0C0"/>
        <bgColor rgb="FFCCCCCC"/>
      </patternFill>
    </fill>
    <fill>
      <patternFill patternType="solid">
        <fgColor rgb="FFCCCCCC"/>
        <bgColor rgb="FFC0C0C0"/>
      </patternFill>
    </fill>
    <fill>
      <patternFill patternType="solid">
        <fgColor rgb="FFC00000"/>
        <bgColor rgb="FF83CAFF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43"/>
      </patternFill>
    </fill>
    <fill>
      <patternFill patternType="solid">
        <fgColor indexed="31"/>
        <bgColor indexed="47"/>
      </patternFill>
    </fill>
    <fill>
      <patternFill patternType="solid">
        <fgColor rgb="FFD99694"/>
        <bgColor rgb="FFD99694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0" tint="-0.34998626667073579"/>
        <bgColor rgb="FFFFFFCC"/>
      </patternFill>
    </fill>
    <fill>
      <patternFill patternType="solid">
        <fgColor theme="1" tint="4.9989318521683403E-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CCC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theme="0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0" fontId="4" fillId="2" borderId="1" applyNumberFormat="0">
      <alignment horizontal="center"/>
    </xf>
    <xf numFmtId="0" fontId="5" fillId="5" borderId="1" applyNumberFormat="0">
      <alignment horizontal="center"/>
    </xf>
    <xf numFmtId="0" fontId="4" fillId="6" borderId="1" applyNumberFormat="0">
      <alignment horizontal="center" vertical="center"/>
    </xf>
    <xf numFmtId="0" fontId="3" fillId="8" borderId="1" applyNumberFormat="0">
      <alignment horizontal="center"/>
    </xf>
    <xf numFmtId="2" fontId="3" fillId="7" borderId="1">
      <alignment horizontal="center"/>
    </xf>
    <xf numFmtId="0" fontId="8" fillId="0" borderId="0"/>
    <xf numFmtId="0" fontId="8" fillId="0" borderId="0"/>
    <xf numFmtId="0" fontId="9" fillId="0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1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4" fillId="10" borderId="0" applyNumberFormat="0" applyBorder="0" applyAlignment="0" applyProtection="0"/>
    <xf numFmtId="0" fontId="10" fillId="9" borderId="0" applyNumberFormat="0" applyBorder="0" applyAlignment="0" applyProtection="0"/>
    <xf numFmtId="0" fontId="7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4" fillId="2" borderId="1" xfId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0" xfId="0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3" fontId="0" fillId="0" borderId="0" xfId="0" applyNumberFormat="1"/>
    <xf numFmtId="173" fontId="0" fillId="0" borderId="0" xfId="0" applyNumberFormat="1" applyAlignment="1">
      <alignment horizontal="center"/>
    </xf>
    <xf numFmtId="0" fontId="4" fillId="6" borderId="1" xfId="3">
      <alignment horizontal="center" vertical="center"/>
    </xf>
    <xf numFmtId="0" fontId="5" fillId="5" borderId="1" xfId="2">
      <alignment horizontal="center"/>
    </xf>
    <xf numFmtId="0" fontId="3" fillId="8" borderId="1" xfId="4">
      <alignment horizontal="center"/>
    </xf>
    <xf numFmtId="2" fontId="3" fillId="7" borderId="1" xfId="5">
      <alignment horizontal="center"/>
    </xf>
    <xf numFmtId="164" fontId="4" fillId="2" borderId="1" xfId="1" applyNumberFormat="1">
      <alignment horizontal="center"/>
    </xf>
    <xf numFmtId="2" fontId="3" fillId="8" borderId="1" xfId="4" applyNumberFormat="1">
      <alignment horizontal="center"/>
    </xf>
    <xf numFmtId="168" fontId="3" fillId="8" borderId="1" xfId="4" applyNumberFormat="1">
      <alignment horizontal="center"/>
    </xf>
    <xf numFmtId="167" fontId="3" fillId="8" borderId="1" xfId="4" applyNumberFormat="1">
      <alignment horizontal="center"/>
    </xf>
    <xf numFmtId="166" fontId="3" fillId="8" borderId="1" xfId="4" applyNumberFormat="1">
      <alignment horizontal="center"/>
    </xf>
    <xf numFmtId="169" fontId="3" fillId="8" borderId="1" xfId="4" applyNumberFormat="1">
      <alignment horizontal="center"/>
    </xf>
    <xf numFmtId="170" fontId="3" fillId="8" borderId="1" xfId="4" applyNumberFormat="1">
      <alignment horizontal="center"/>
    </xf>
    <xf numFmtId="171" fontId="5" fillId="5" borderId="1" xfId="2" applyNumberFormat="1">
      <alignment horizontal="center"/>
    </xf>
    <xf numFmtId="170" fontId="4" fillId="6" borderId="1" xfId="3" applyNumberFormat="1">
      <alignment horizontal="center" vertical="center"/>
    </xf>
    <xf numFmtId="171" fontId="4" fillId="6" borderId="1" xfId="3" applyNumberFormat="1">
      <alignment horizontal="center" vertical="center"/>
    </xf>
    <xf numFmtId="170" fontId="3" fillId="7" borderId="1" xfId="5" applyNumberFormat="1">
      <alignment horizontal="center"/>
    </xf>
    <xf numFmtId="171" fontId="3" fillId="7" borderId="1" xfId="5" applyNumberFormat="1">
      <alignment horizontal="center"/>
    </xf>
    <xf numFmtId="170" fontId="4" fillId="2" borderId="1" xfId="1" applyNumberFormat="1">
      <alignment horizontal="center"/>
    </xf>
    <xf numFmtId="1" fontId="3" fillId="7" borderId="1" xfId="5" applyNumberFormat="1">
      <alignment horizontal="center"/>
    </xf>
    <xf numFmtId="165" fontId="4" fillId="6" borderId="1" xfId="3" applyNumberFormat="1">
      <alignment horizontal="center" vertical="center"/>
    </xf>
    <xf numFmtId="165" fontId="3" fillId="7" borderId="1" xfId="5" applyNumberFormat="1">
      <alignment horizontal="center"/>
    </xf>
    <xf numFmtId="173" fontId="3" fillId="7" borderId="1" xfId="5" applyNumberFormat="1">
      <alignment horizontal="center"/>
    </xf>
    <xf numFmtId="1" fontId="3" fillId="8" borderId="1" xfId="4" applyNumberFormat="1">
      <alignment horizontal="center"/>
    </xf>
    <xf numFmtId="2" fontId="4" fillId="6" borderId="1" xfId="3" applyNumberFormat="1">
      <alignment horizontal="center" vertical="center"/>
    </xf>
    <xf numFmtId="1" fontId="4" fillId="2" borderId="1" xfId="1" applyNumberFormat="1">
      <alignment horizontal="center"/>
    </xf>
    <xf numFmtId="0" fontId="8" fillId="0" borderId="0" xfId="6"/>
    <xf numFmtId="0" fontId="4" fillId="6" borderId="0" xfId="3" applyBorder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2" fontId="3" fillId="7" borderId="11" xfId="5" applyBorder="1">
      <alignment horizontal="center"/>
    </xf>
    <xf numFmtId="0" fontId="0" fillId="0" borderId="0" xfId="7" applyFont="1" applyAlignment="1">
      <alignment wrapText="1"/>
    </xf>
    <xf numFmtId="0" fontId="0" fillId="0" borderId="0" xfId="7" applyFont="1"/>
    <xf numFmtId="0" fontId="0" fillId="0" borderId="0" xfId="7" applyFont="1" applyAlignment="1">
      <alignment horizontal="center" vertical="center"/>
    </xf>
    <xf numFmtId="165" fontId="3" fillId="8" borderId="1" xfId="4" applyNumberFormat="1">
      <alignment horizontal="center"/>
    </xf>
    <xf numFmtId="0" fontId="4" fillId="2" borderId="11" xfId="1" applyBorder="1">
      <alignment horizontal="center"/>
    </xf>
    <xf numFmtId="170" fontId="5" fillId="5" borderId="13" xfId="2" applyNumberFormat="1" applyBorder="1" applyAlignment="1">
      <alignment horizontal="center"/>
    </xf>
    <xf numFmtId="0" fontId="16" fillId="11" borderId="0" xfId="7" applyFont="1" applyFill="1"/>
    <xf numFmtId="0" fontId="16" fillId="12" borderId="0" xfId="7" applyFont="1" applyFill="1"/>
    <xf numFmtId="0" fontId="16" fillId="13" borderId="0" xfId="7" applyFont="1" applyFill="1"/>
    <xf numFmtId="171" fontId="8" fillId="0" borderId="0" xfId="7" applyNumberFormat="1" applyAlignment="1">
      <alignment horizontal="center"/>
    </xf>
    <xf numFmtId="171" fontId="8" fillId="0" borderId="0" xfId="7" applyNumberFormat="1" applyFill="1" applyAlignment="1">
      <alignment horizontal="center"/>
    </xf>
    <xf numFmtId="0" fontId="4" fillId="6" borderId="1" xfId="3">
      <alignment horizontal="center" vertical="center"/>
    </xf>
    <xf numFmtId="9" fontId="4" fillId="6" borderId="1" xfId="3" applyNumberFormat="1">
      <alignment horizontal="center" vertical="center"/>
    </xf>
    <xf numFmtId="0" fontId="4" fillId="2" borderId="1" xfId="1">
      <alignment horizontal="center"/>
    </xf>
    <xf numFmtId="2" fontId="3" fillId="8" borderId="13" xfId="4" applyNumberFormat="1" applyBorder="1" applyAlignment="1">
      <alignment horizontal="center"/>
    </xf>
    <xf numFmtId="0" fontId="4" fillId="14" borderId="1" xfId="1" applyFill="1">
      <alignment horizontal="center"/>
    </xf>
    <xf numFmtId="2" fontId="0" fillId="0" borderId="0" xfId="0" applyNumberFormat="1"/>
    <xf numFmtId="0" fontId="4" fillId="6" borderId="1" xfId="3">
      <alignment horizontal="center" vertical="center"/>
    </xf>
    <xf numFmtId="165" fontId="4" fillId="6" borderId="0" xfId="3" applyNumberFormat="1" applyBorder="1">
      <alignment horizontal="center" vertical="center"/>
    </xf>
    <xf numFmtId="165" fontId="0" fillId="3" borderId="0" xfId="0" applyNumberFormat="1" applyFill="1" applyAlignment="1">
      <alignment horizontal="center"/>
    </xf>
    <xf numFmtId="0" fontId="4" fillId="6" borderId="1" xfId="3">
      <alignment horizontal="center" vertical="center"/>
    </xf>
    <xf numFmtId="0" fontId="4" fillId="2" borderId="1" xfId="1">
      <alignment horizontal="center"/>
    </xf>
    <xf numFmtId="2" fontId="3" fillId="7" borderId="1" xfId="5">
      <alignment horizontal="center"/>
    </xf>
    <xf numFmtId="0" fontId="4" fillId="6" borderId="1" xfId="3">
      <alignment horizontal="center" vertical="center"/>
    </xf>
    <xf numFmtId="0" fontId="4" fillId="15" borderId="1" xfId="1" applyFill="1">
      <alignment horizontal="center"/>
    </xf>
    <xf numFmtId="2" fontId="4" fillId="15" borderId="1" xfId="1" applyNumberFormat="1" applyFill="1">
      <alignment horizontal="center"/>
    </xf>
    <xf numFmtId="0" fontId="0" fillId="0" borderId="0" xfId="0" applyAlignment="1">
      <alignment horizontal="center" vertical="center"/>
    </xf>
    <xf numFmtId="171" fontId="3" fillId="7" borderId="1" xfId="5" applyNumberFormat="1">
      <alignment horizontal="center"/>
    </xf>
    <xf numFmtId="174" fontId="3" fillId="7" borderId="1" xfId="5" applyNumberFormat="1">
      <alignment horizontal="center"/>
    </xf>
    <xf numFmtId="171" fontId="4" fillId="2" borderId="1" xfId="1" applyNumberFormat="1">
      <alignment horizontal="center"/>
    </xf>
    <xf numFmtId="0" fontId="4" fillId="6" borderId="1" xfId="3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1" fontId="4" fillId="2" borderId="1" xfId="1" applyNumberFormat="1">
      <alignment horizontal="center"/>
    </xf>
    <xf numFmtId="0" fontId="0" fillId="0" borderId="0" xfId="0"/>
    <xf numFmtId="0" fontId="0" fillId="0" borderId="0" xfId="0" applyAlignment="1">
      <alignment horizontal="center"/>
    </xf>
    <xf numFmtId="1" fontId="3" fillId="7" borderId="1" xfId="5" applyNumberFormat="1">
      <alignment horizontal="center"/>
    </xf>
    <xf numFmtId="165" fontId="4" fillId="6" borderId="1" xfId="3" applyNumberFormat="1">
      <alignment horizontal="center" vertical="center"/>
    </xf>
    <xf numFmtId="0" fontId="0" fillId="0" borderId="0" xfId="0" applyAlignment="1">
      <alignment horizontal="center"/>
    </xf>
    <xf numFmtId="170" fontId="3" fillId="7" borderId="1" xfId="5" applyNumberFormat="1">
      <alignment horizontal="center"/>
    </xf>
    <xf numFmtId="165" fontId="4" fillId="6" borderId="1" xfId="3" applyNumberFormat="1">
      <alignment horizontal="center" vertical="center"/>
    </xf>
    <xf numFmtId="0" fontId="5" fillId="5" borderId="1" xfId="2">
      <alignment horizontal="center"/>
    </xf>
    <xf numFmtId="0" fontId="4" fillId="6" borderId="1" xfId="3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3" fillId="7" borderId="1" xfId="5">
      <alignment horizontal="center"/>
    </xf>
    <xf numFmtId="171" fontId="0" fillId="0" borderId="0" xfId="0" applyNumberFormat="1"/>
    <xf numFmtId="0" fontId="4" fillId="2" borderId="1" xfId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4" fillId="6" borderId="1" xfId="3">
      <alignment horizontal="center" vertical="center"/>
    </xf>
    <xf numFmtId="0" fontId="4" fillId="2" borderId="1" xfId="1">
      <alignment horizontal="center"/>
    </xf>
    <xf numFmtId="2" fontId="3" fillId="7" borderId="1" xfId="5">
      <alignment horizontal="center"/>
    </xf>
    <xf numFmtId="175" fontId="3" fillId="8" borderId="1" xfId="4" applyNumberFormat="1">
      <alignment horizontal="center"/>
    </xf>
    <xf numFmtId="165" fontId="3" fillId="16" borderId="1" xfId="4" applyNumberFormat="1" applyFill="1">
      <alignment horizontal="center"/>
    </xf>
    <xf numFmtId="165" fontId="0" fillId="17" borderId="0" xfId="0" applyNumberFormat="1" applyFill="1" applyAlignment="1">
      <alignment horizontal="center"/>
    </xf>
    <xf numFmtId="1" fontId="3" fillId="18" borderId="1" xfId="4" applyNumberFormat="1" applyFill="1">
      <alignment horizontal="center"/>
    </xf>
    <xf numFmtId="165" fontId="0" fillId="0" borderId="0" xfId="0" applyNumberFormat="1"/>
    <xf numFmtId="0" fontId="4" fillId="6" borderId="1" xfId="3">
      <alignment horizontal="center" vertic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0" fontId="4" fillId="2" borderId="1" xfId="1">
      <alignment horizontal="center"/>
    </xf>
    <xf numFmtId="0" fontId="4" fillId="6" borderId="1" xfId="3">
      <alignment horizontal="center" vertical="center"/>
    </xf>
    <xf numFmtId="0" fontId="5" fillId="5" borderId="1" xfId="2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3" fillId="7" borderId="1" xfId="5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6" borderId="1" xfId="3">
      <alignment horizontal="center" vertical="center"/>
    </xf>
    <xf numFmtId="0" fontId="4" fillId="6" borderId="13" xfId="3" applyBorder="1">
      <alignment horizontal="center" vertical="center"/>
    </xf>
    <xf numFmtId="0" fontId="4" fillId="6" borderId="14" xfId="3" applyBorder="1">
      <alignment horizontal="center" vertical="center"/>
    </xf>
    <xf numFmtId="0" fontId="4" fillId="6" borderId="13" xfId="3" applyBorder="1" applyAlignment="1">
      <alignment horizontal="center" vertical="center"/>
    </xf>
    <xf numFmtId="0" fontId="4" fillId="6" borderId="14" xfId="3" applyBorder="1" applyAlignment="1">
      <alignment horizontal="center" vertical="center"/>
    </xf>
    <xf numFmtId="0" fontId="5" fillId="5" borderId="1" xfId="2">
      <alignment horizontal="center"/>
    </xf>
    <xf numFmtId="0" fontId="5" fillId="5" borderId="2" xfId="2" applyBorder="1" applyAlignment="1">
      <alignment horizontal="center" vertical="center"/>
    </xf>
    <xf numFmtId="0" fontId="5" fillId="5" borderId="3" xfId="2" applyBorder="1" applyAlignment="1">
      <alignment horizontal="center" vertical="center"/>
    </xf>
    <xf numFmtId="0" fontId="5" fillId="5" borderId="4" xfId="2" applyBorder="1" applyAlignment="1">
      <alignment horizontal="center" vertical="center"/>
    </xf>
    <xf numFmtId="0" fontId="5" fillId="5" borderId="7" xfId="2" applyBorder="1" applyAlignment="1">
      <alignment horizontal="center" vertical="center"/>
    </xf>
    <xf numFmtId="0" fontId="5" fillId="5" borderId="8" xfId="2" applyBorder="1" applyAlignment="1">
      <alignment horizontal="center" vertical="center"/>
    </xf>
    <xf numFmtId="0" fontId="5" fillId="5" borderId="9" xfId="2" applyBorder="1" applyAlignment="1">
      <alignment horizontal="center" vertical="center"/>
    </xf>
    <xf numFmtId="0" fontId="15" fillId="6" borderId="2" xfId="24" applyFill="1" applyBorder="1" applyAlignment="1" applyProtection="1">
      <alignment horizontal="center" vertical="center"/>
    </xf>
    <xf numFmtId="0" fontId="4" fillId="6" borderId="3" xfId="3" applyBorder="1">
      <alignment horizontal="center" vertical="center"/>
    </xf>
    <xf numFmtId="0" fontId="4" fillId="6" borderId="4" xfId="3" applyBorder="1">
      <alignment horizontal="center" vertical="center"/>
    </xf>
    <xf numFmtId="0" fontId="4" fillId="6" borderId="7" xfId="3" applyBorder="1">
      <alignment horizontal="center" vertical="center"/>
    </xf>
    <xf numFmtId="0" fontId="4" fillId="6" borderId="8" xfId="3" applyBorder="1">
      <alignment horizontal="center" vertical="center"/>
    </xf>
    <xf numFmtId="0" fontId="4" fillId="6" borderId="9" xfId="3" applyBorder="1">
      <alignment horizontal="center" vertical="center"/>
    </xf>
    <xf numFmtId="0" fontId="4" fillId="6" borderId="10" xfId="3" applyBorder="1" applyAlignment="1">
      <alignment horizontal="center" vertical="center" textRotation="90"/>
    </xf>
    <xf numFmtId="0" fontId="4" fillId="6" borderId="11" xfId="3" applyBorder="1" applyAlignment="1">
      <alignment horizontal="center" vertical="center" textRotation="90"/>
    </xf>
    <xf numFmtId="0" fontId="4" fillId="6" borderId="12" xfId="3" applyBorder="1" applyAlignment="1">
      <alignment horizontal="center" vertical="center" textRotation="90"/>
    </xf>
    <xf numFmtId="0" fontId="4" fillId="2" borderId="1" xfId="1">
      <alignment horizontal="center"/>
    </xf>
    <xf numFmtId="0" fontId="4" fillId="6" borderId="15" xfId="3" applyBorder="1">
      <alignment horizontal="center" vertical="center"/>
    </xf>
    <xf numFmtId="0" fontId="4" fillId="6" borderId="10" xfId="3" applyBorder="1" applyAlignment="1">
      <alignment horizontal="center" vertical="center" wrapText="1"/>
    </xf>
    <xf numFmtId="0" fontId="4" fillId="6" borderId="12" xfId="3" applyBorder="1" applyAlignment="1">
      <alignment horizontal="center" vertical="center" wrapText="1"/>
    </xf>
    <xf numFmtId="0" fontId="5" fillId="5" borderId="10" xfId="2" applyBorder="1" applyAlignment="1">
      <alignment horizontal="center" wrapText="1"/>
    </xf>
    <xf numFmtId="0" fontId="0" fillId="0" borderId="12" xfId="0" applyBorder="1" applyAlignment="1">
      <alignment horizontal="center"/>
    </xf>
    <xf numFmtId="2" fontId="3" fillId="8" borderId="13" xfId="4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6" fillId="3" borderId="0" xfId="0" applyFont="1" applyFill="1" applyAlignment="1">
      <alignment horizontal="center"/>
    </xf>
    <xf numFmtId="0" fontId="4" fillId="6" borderId="2" xfId="3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3" fillId="8" borderId="10" xfId="4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4" fillId="6" borderId="2" xfId="3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6" borderId="7" xfId="3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6" borderId="1" xfId="3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0" fontId="5" fillId="5" borderId="1" xfId="2" applyNumberFormat="1">
      <alignment horizontal="center"/>
    </xf>
    <xf numFmtId="170" fontId="5" fillId="5" borderId="13" xfId="2" applyNumberFormat="1" applyBorder="1">
      <alignment horizontal="center"/>
    </xf>
    <xf numFmtId="0" fontId="0" fillId="0" borderId="15" xfId="0" applyBorder="1" applyAlignment="1">
      <alignment horizontal="center"/>
    </xf>
    <xf numFmtId="0" fontId="5" fillId="5" borderId="5" xfId="2" applyBorder="1" applyAlignment="1">
      <alignment horizontal="center" vertical="center"/>
    </xf>
    <xf numFmtId="0" fontId="5" fillId="5" borderId="0" xfId="2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3" fillId="7" borderId="1" xfId="5">
      <alignment horizontal="center"/>
    </xf>
    <xf numFmtId="172" fontId="3" fillId="7" borderId="1" xfId="5" applyNumberFormat="1">
      <alignment horizontal="center"/>
    </xf>
    <xf numFmtId="0" fontId="4" fillId="4" borderId="1" xfId="0" applyFont="1" applyFill="1" applyBorder="1" applyAlignment="1">
      <alignment horizontal="center"/>
    </xf>
    <xf numFmtId="2" fontId="3" fillId="19" borderId="1" xfId="5" applyFill="1">
      <alignment horizontal="center"/>
    </xf>
  </cellXfs>
  <cellStyles count="25">
    <cellStyle name="DL_H1" xfId="2" xr:uid="{00000000-0005-0000-0000-000000000000}"/>
    <cellStyle name="DL_H2" xfId="3" xr:uid="{00000000-0005-0000-0000-000001000000}"/>
    <cellStyle name="DL_H3" xfId="4" xr:uid="{00000000-0005-0000-0000-000002000000}"/>
    <cellStyle name="DL_H4" xfId="5" xr:uid="{00000000-0005-0000-0000-000003000000}"/>
    <cellStyle name="DL_UserData" xfId="1" xr:uid="{00000000-0005-0000-0000-000004000000}"/>
    <cellStyle name="Excel Built-in Normal" xfId="7" xr:uid="{00000000-0005-0000-0000-000005000000}"/>
    <cellStyle name="Lien hypertexte" xfId="24" builtinId="8"/>
    <cellStyle name="Normal" xfId="0" builtinId="0"/>
    <cellStyle name="Normal 2" xfId="6" xr:uid="{00000000-0005-0000-0000-000008000000}"/>
    <cellStyle name="Sem nome1" xfId="8" xr:uid="{00000000-0005-0000-0000-000009000000}"/>
    <cellStyle name="Sem nome10" xfId="9" xr:uid="{00000000-0005-0000-0000-00000A000000}"/>
    <cellStyle name="Sem nome11" xfId="10" xr:uid="{00000000-0005-0000-0000-00000B000000}"/>
    <cellStyle name="Sem nome12" xfId="11" xr:uid="{00000000-0005-0000-0000-00000C000000}"/>
    <cellStyle name="Sem nome13" xfId="12" xr:uid="{00000000-0005-0000-0000-00000D000000}"/>
    <cellStyle name="Sem nome14" xfId="13" xr:uid="{00000000-0005-0000-0000-00000E000000}"/>
    <cellStyle name="Sem nome15" xfId="14" xr:uid="{00000000-0005-0000-0000-00000F000000}"/>
    <cellStyle name="Sem nome2" xfId="15" xr:uid="{00000000-0005-0000-0000-000010000000}"/>
    <cellStyle name="Sem nome3" xfId="16" xr:uid="{00000000-0005-0000-0000-000011000000}"/>
    <cellStyle name="Sem nome4" xfId="17" xr:uid="{00000000-0005-0000-0000-000012000000}"/>
    <cellStyle name="Sem nome5" xfId="18" xr:uid="{00000000-0005-0000-0000-000013000000}"/>
    <cellStyle name="Sem nome6" xfId="19" xr:uid="{00000000-0005-0000-0000-000014000000}"/>
    <cellStyle name="Sem nome7" xfId="20" xr:uid="{00000000-0005-0000-0000-000015000000}"/>
    <cellStyle name="Sem nome8" xfId="21" xr:uid="{00000000-0005-0000-0000-000016000000}"/>
    <cellStyle name="Sem nome9" xfId="22" xr:uid="{00000000-0005-0000-0000-000017000000}"/>
    <cellStyle name="TableStyleLight1" xfId="23" xr:uid="{00000000-0005-0000-0000-000018000000}"/>
  </cellStyles>
  <dxfs count="2">
    <dxf>
      <font>
        <sz val="10"/>
        <color rgb="FFFF6633"/>
        <name val="Arial"/>
      </font>
      <numFmt numFmtId="0" formatCode="General"/>
      <fill>
        <patternFill>
          <bgColor rgb="FFCCCCFF"/>
        </patternFill>
      </fill>
    </dxf>
    <dxf>
      <font>
        <sz val="10"/>
        <color rgb="FF800000"/>
        <name val="Arial"/>
      </font>
      <numFmt numFmtId="0" formatCode="General"/>
      <fill>
        <patternFill>
          <bgColor rgb="FFCCCC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3DEB3D"/>
      <rgbColor rgb="FF0000FF"/>
      <rgbColor rgb="FFE6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CCCC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CCCCCC"/>
      <rgbColor rgb="FF3366FF"/>
      <rgbColor rgb="FF83CAFF"/>
      <rgbColor rgb="FFAECF00"/>
      <rgbColor rgb="FFFFD320"/>
      <rgbColor rgb="FFFF950E"/>
      <rgbColor rgb="FFFF6633"/>
      <rgbColor rgb="FF666666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00FF00"/>
      <color rgb="FF69D717"/>
      <color rgb="FF8AEB41"/>
      <color rgb="FFC0C0C0"/>
      <color rgb="FFE6FF00"/>
      <color rgb="FFCCCCFF"/>
      <color rgb="FF254061"/>
      <color rgb="FFAECF00"/>
      <color rgb="FFFFD3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&#235;l%20Becane\Documents\GPRO\new%20GPRO\outils\z&#233;ros\FichierSaison72j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glages"/>
      <sheetName val="Fuel_Raw_Data"/>
      <sheetName val="Essais Q1"/>
      <sheetName val="Niveau Voiture"/>
      <sheetName val="Estimation usures"/>
      <sheetName val="Essais Circuits"/>
      <sheetName val="Calculs_voiture_v2"/>
      <sheetName val="Calculs_pneus"/>
      <sheetName val="Balance"/>
      <sheetName val="Entrainement"/>
      <sheetName val="Finances"/>
      <sheetName val="Prévisions"/>
      <sheetName val="Calculs_voiture"/>
      <sheetName val="Calculs_essence"/>
      <sheetName val="Strat_calc"/>
      <sheetName val="Usures de base"/>
      <sheetName val="Rapport sur la compatibilité"/>
    </sheetNames>
    <sheetDataSet>
      <sheetData sheetId="0" refreshError="1"/>
      <sheetData sheetId="1">
        <row r="64">
          <cell r="AI64">
            <v>65.337806779999994</v>
          </cell>
        </row>
        <row r="65">
          <cell r="AI65">
            <v>-0.28311636500000004</v>
          </cell>
        </row>
        <row r="66">
          <cell r="AI66">
            <v>-0.27759661900000004</v>
          </cell>
        </row>
        <row r="67">
          <cell r="AI67">
            <v>1.6262563000000001E-2</v>
          </cell>
        </row>
        <row r="68">
          <cell r="AI68">
            <v>-4.4713100000000003E-4</v>
          </cell>
        </row>
        <row r="69">
          <cell r="AI69">
            <v>2.0226307449999998</v>
          </cell>
        </row>
        <row r="70">
          <cell r="AI70">
            <v>-0.35339979500000002</v>
          </cell>
        </row>
        <row r="71">
          <cell r="AI71">
            <v>-0.281445538</v>
          </cell>
        </row>
        <row r="72">
          <cell r="AI72">
            <v>2.2387817000000001E-2</v>
          </cell>
        </row>
        <row r="73">
          <cell r="AI73">
            <v>-0.28312775300000004</v>
          </cell>
        </row>
        <row r="74">
          <cell r="AI74">
            <v>5.4410350190000001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proanalyzer.info/trackbv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AG61"/>
  <sheetViews>
    <sheetView tabSelected="1" zoomScale="80" zoomScaleNormal="80" workbookViewId="0">
      <selection activeCell="V23" sqref="V23"/>
    </sheetView>
  </sheetViews>
  <sheetFormatPr baseColWidth="10" defaultColWidth="9.109375" defaultRowHeight="13.2" x14ac:dyDescent="0.25"/>
  <cols>
    <col min="1" max="1" width="14.33203125"/>
    <col min="2" max="2" width="5.88671875"/>
    <col min="3" max="3" width="7" bestFit="1" customWidth="1"/>
    <col min="4" max="5" width="4.44140625" bestFit="1" customWidth="1"/>
    <col min="6" max="9" width="8.6640625"/>
    <col min="10" max="10" width="4" bestFit="1" customWidth="1"/>
    <col min="11" max="11" width="12" bestFit="1" customWidth="1"/>
    <col min="12" max="12" width="4" bestFit="1" customWidth="1"/>
    <col min="13" max="13" width="12.5546875"/>
    <col min="14" max="16" width="6.6640625"/>
    <col min="17" max="17" width="3.6640625"/>
    <col min="18" max="18" width="3.109375"/>
    <col min="19" max="19" width="4" bestFit="1" customWidth="1"/>
    <col min="20" max="20" width="5.5546875" style="94" bestFit="1" customWidth="1"/>
    <col min="21" max="21" width="4" style="94" customWidth="1"/>
    <col min="22" max="22" width="13"/>
    <col min="23" max="23" width="11.109375"/>
    <col min="24" max="26" width="8.109375"/>
    <col min="27" max="1027" width="11.5546875"/>
  </cols>
  <sheetData>
    <row r="1" spans="1:33" x14ac:dyDescent="0.25">
      <c r="A1" s="134" t="s">
        <v>400</v>
      </c>
      <c r="B1" s="134"/>
      <c r="C1" s="134"/>
      <c r="D1" s="2"/>
      <c r="F1" s="134" t="s">
        <v>406</v>
      </c>
      <c r="G1" s="134"/>
      <c r="H1" s="134"/>
      <c r="I1" s="134"/>
      <c r="J1" s="2"/>
      <c r="K1" s="2"/>
      <c r="M1" s="77" t="s">
        <v>373</v>
      </c>
      <c r="N1" s="77"/>
      <c r="O1" s="63" t="s">
        <v>374</v>
      </c>
      <c r="V1" s="134" t="s">
        <v>1</v>
      </c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</row>
    <row r="2" spans="1:33" x14ac:dyDescent="0.25">
      <c r="A2" s="129" t="s">
        <v>2</v>
      </c>
      <c r="B2" s="129"/>
      <c r="C2" s="36">
        <f>Tables!D43</f>
        <v>114.46440000000003</v>
      </c>
      <c r="D2" t="s">
        <v>286</v>
      </c>
      <c r="E2" t="s">
        <v>286</v>
      </c>
      <c r="F2" s="129" t="s">
        <v>393</v>
      </c>
      <c r="G2" s="129"/>
      <c r="H2" s="129"/>
      <c r="I2" s="1">
        <v>0</v>
      </c>
      <c r="L2" s="4"/>
      <c r="M2" s="5"/>
      <c r="N2" s="5"/>
      <c r="O2" s="5"/>
      <c r="P2" s="5"/>
      <c r="Q2" s="5"/>
      <c r="R2" s="6"/>
      <c r="V2" s="7"/>
      <c r="W2" s="7"/>
      <c r="X2" s="7"/>
    </row>
    <row r="3" spans="1:33" x14ac:dyDescent="0.25">
      <c r="A3" s="129" t="s">
        <v>3</v>
      </c>
      <c r="B3" s="129"/>
      <c r="C3" s="81">
        <v>194</v>
      </c>
      <c r="D3">
        <v>194</v>
      </c>
      <c r="E3" s="94">
        <v>194</v>
      </c>
      <c r="F3" s="129" t="s">
        <v>394</v>
      </c>
      <c r="G3" s="129"/>
      <c r="H3" s="129"/>
      <c r="I3" s="1">
        <v>0</v>
      </c>
      <c r="J3" s="7"/>
      <c r="K3" s="7"/>
      <c r="L3" s="8"/>
      <c r="M3" s="134" t="s">
        <v>407</v>
      </c>
      <c r="N3" s="134"/>
      <c r="O3" s="134"/>
      <c r="P3" s="134"/>
      <c r="Q3" s="134"/>
      <c r="R3" s="9"/>
      <c r="S3">
        <v>259</v>
      </c>
      <c r="T3" s="94">
        <v>218</v>
      </c>
      <c r="V3" s="7" t="s">
        <v>286</v>
      </c>
      <c r="W3" s="129" t="s">
        <v>4</v>
      </c>
      <c r="X3" s="129" t="s">
        <v>399</v>
      </c>
      <c r="Y3" s="129"/>
      <c r="Z3" s="129"/>
      <c r="AA3" s="129" t="s">
        <v>400</v>
      </c>
      <c r="AB3" s="129"/>
      <c r="AC3" s="129"/>
      <c r="AD3" s="129" t="s">
        <v>401</v>
      </c>
      <c r="AE3" s="129" t="s">
        <v>402</v>
      </c>
      <c r="AF3" s="129"/>
      <c r="AG3" s="129"/>
    </row>
    <row r="4" spans="1:33" x14ac:dyDescent="0.25">
      <c r="A4" s="129" t="s">
        <v>6</v>
      </c>
      <c r="B4" s="129"/>
      <c r="C4" s="1">
        <v>204</v>
      </c>
      <c r="D4">
        <v>204</v>
      </c>
      <c r="E4" s="94">
        <v>204</v>
      </c>
      <c r="F4" s="129" t="s">
        <v>395</v>
      </c>
      <c r="G4" s="129"/>
      <c r="H4" s="129"/>
      <c r="I4" s="1">
        <v>0</v>
      </c>
      <c r="L4" s="8"/>
      <c r="M4" s="10"/>
      <c r="N4" s="90" t="s">
        <v>412</v>
      </c>
      <c r="O4" s="63">
        <f>IF($O$1="O",ROUND(AE5,0),AE5)</f>
        <v>205</v>
      </c>
      <c r="P4" s="10"/>
      <c r="Q4" s="10"/>
      <c r="R4" s="9"/>
      <c r="S4">
        <v>253</v>
      </c>
      <c r="T4" s="94">
        <v>192</v>
      </c>
      <c r="V4" s="7" t="s">
        <v>286</v>
      </c>
      <c r="W4" s="129"/>
      <c r="X4" s="31" t="s">
        <v>7</v>
      </c>
      <c r="Y4" s="31" t="s">
        <v>8</v>
      </c>
      <c r="Z4" s="31" t="s">
        <v>403</v>
      </c>
      <c r="AA4" s="31" t="s">
        <v>7</v>
      </c>
      <c r="AB4" s="31" t="s">
        <v>8</v>
      </c>
      <c r="AC4" s="31" t="s">
        <v>403</v>
      </c>
      <c r="AD4" s="129"/>
      <c r="AE4" s="31" t="s">
        <v>7</v>
      </c>
      <c r="AF4" s="31" t="s">
        <v>8</v>
      </c>
      <c r="AG4" s="31" t="s">
        <v>403</v>
      </c>
    </row>
    <row r="5" spans="1:33" x14ac:dyDescent="0.25">
      <c r="A5" s="129" t="s">
        <v>390</v>
      </c>
      <c r="B5" s="129"/>
      <c r="C5" s="1">
        <v>0</v>
      </c>
      <c r="D5">
        <v>1</v>
      </c>
      <c r="E5" s="94">
        <v>0</v>
      </c>
      <c r="F5" s="129" t="s">
        <v>10</v>
      </c>
      <c r="G5" s="129"/>
      <c r="H5" s="129"/>
      <c r="I5" s="1">
        <v>0</v>
      </c>
      <c r="J5" t="s">
        <v>286</v>
      </c>
      <c r="L5" s="8"/>
      <c r="M5" s="11"/>
      <c r="N5" s="31" t="s">
        <v>409</v>
      </c>
      <c r="O5" s="31" t="s">
        <v>408</v>
      </c>
      <c r="P5" s="31" t="s">
        <v>410</v>
      </c>
      <c r="Q5" s="10"/>
      <c r="R5" s="9"/>
      <c r="S5" t="s">
        <v>286</v>
      </c>
      <c r="V5" s="83" t="s">
        <v>398</v>
      </c>
      <c r="W5" s="34">
        <f>VLOOKUP($G$13,Tracks!$A$3:$W$890,19,0)*2</f>
        <v>252.78518355988746</v>
      </c>
      <c r="X5" s="34">
        <f>IF($I$15="Dry",Tables!D4*$G$15,Tables!B4*$G$15+Tables!C4)*2</f>
        <v>168</v>
      </c>
      <c r="Y5" s="34">
        <f>IF($I$16="Dry",Tables!D4*$G$16,Tables!B4*$G$16+Tables!C4)*2</f>
        <v>204</v>
      </c>
      <c r="Z5" s="34">
        <f>IF($I$17="Dry",Tables!D4*$G$17,Tables!B4*$G$17+Tables!C4)*2</f>
        <v>192</v>
      </c>
      <c r="AA5" s="34">
        <f>($C$4*FLOOR(($W$5+X5),1)*(-0.001349079032746))*IF($G$13&lt;&gt;"Indianapolis Oval",1,0.39)</f>
        <v>-115.58909152567728</v>
      </c>
      <c r="AB5" s="34">
        <f>($C$4*FLOOR(($W$5+Y5),1)*(-0.001349079032746))*IF($G$13&lt;&gt;"Indianapolis Oval",1,0.39)</f>
        <v>-125.4967279421639</v>
      </c>
      <c r="AC5" s="34">
        <f>($C$4*FLOOR(($W$5+Z5),1)*(-0.001349079032746))*IF($G$13&lt;&gt;"Indianapolis Oval",1,0.39)</f>
        <v>-122.19418247000169</v>
      </c>
      <c r="AD5" s="34">
        <f>Tables!M13+Tables!M19</f>
        <v>105.02000000000002</v>
      </c>
      <c r="AE5" s="34">
        <f>(W5+X5+AA5+AD5)/2</f>
        <v>205.10804601710512</v>
      </c>
      <c r="AF5" s="34">
        <f>(W5+Y5+AB5+AD5)/2</f>
        <v>218.1542278088618</v>
      </c>
      <c r="AG5" s="34">
        <f>(W5+Z5+AC5+AD5)/2</f>
        <v>213.8055005449429</v>
      </c>
    </row>
    <row r="6" spans="1:33" x14ac:dyDescent="0.25">
      <c r="A6" s="129" t="s">
        <v>10</v>
      </c>
      <c r="B6" s="129"/>
      <c r="C6" s="1">
        <v>134</v>
      </c>
      <c r="D6">
        <v>132</v>
      </c>
      <c r="E6" s="94">
        <v>134</v>
      </c>
      <c r="F6" s="129" t="s">
        <v>396</v>
      </c>
      <c r="G6" s="129"/>
      <c r="H6" s="129"/>
      <c r="I6" s="1">
        <v>0</v>
      </c>
      <c r="J6" t="s">
        <v>286</v>
      </c>
      <c r="K6" t="s">
        <v>286</v>
      </c>
      <c r="L6" s="8"/>
      <c r="M6" s="31" t="s">
        <v>380</v>
      </c>
      <c r="N6" s="50">
        <f>IF($O$1="O",ROUND($AE$5,0)-IF($I$5=0,$W13/2,$X13/2),AE5-IF($I$5=0,$W13/2,$X13/2))</f>
        <v>154</v>
      </c>
      <c r="O6" s="114">
        <f>IF($O$1="O",ROUND(AE5+Z14,0),AE5+Z14)</f>
        <v>218</v>
      </c>
      <c r="P6" s="50">
        <f>IF($O$1="O",ROUND($AE$5,0)+IF($I$5=0,$W13/2,$X13/2),AE5+IF($I$5=0,$W13/2,$X13/2))</f>
        <v>256</v>
      </c>
      <c r="Q6" s="147" t="s">
        <v>7</v>
      </c>
      <c r="R6" s="9"/>
      <c r="S6">
        <v>166</v>
      </c>
      <c r="T6" s="94">
        <v>205</v>
      </c>
      <c r="V6" s="83" t="s">
        <v>379</v>
      </c>
      <c r="W6" s="34">
        <f>VLOOKUP($G$13,Tracks!$A$3:$W$890,20,0)</f>
        <v>575.4540379770275</v>
      </c>
      <c r="X6" s="34">
        <f>IF($I$15="Dry",Tables!D5*$G$15,Tables!B5*$G$15+Tables!C5)</f>
        <v>-42</v>
      </c>
      <c r="Y6" s="34">
        <f>IF($I$16="Dry",Tables!D5*$G$16,Tables!B5*$G$16+Tables!C5)</f>
        <v>-51</v>
      </c>
      <c r="Z6" s="34">
        <f>IF($I$17="Dry",Tables!D5*$G$17,Tables!B5*$G$17+Tables!C5)</f>
        <v>-48</v>
      </c>
      <c r="AA6" s="34">
        <f>(Tables!$G$28+$C$6*(($W$6+X6)*0.001655723+0.0469416263186552))*IF($G$13&lt;&gt;"Indianapolis Oval",1,0.39)</f>
        <v>124.64596202297248</v>
      </c>
      <c r="AB6" s="34">
        <f>(Tables!$G$28+$C$6*(($W$6+Y6)*0.001655723+0.0469416263186552))*IF($G$13&lt;&gt;"Indianapolis Oval",1,0.39)</f>
        <v>122.64916008497248</v>
      </c>
      <c r="AC6" s="34">
        <f>(Tables!$G$28+$C$6*(($W$6+Z6)*0.001655723+0.0469416263186552))*IF($G$13&lt;&gt;"Indianapolis Oval",1,0.39)</f>
        <v>123.31476073097247</v>
      </c>
      <c r="AD6" s="34">
        <f>Tables!M14+Tables!M20</f>
        <v>105.89999999999999</v>
      </c>
      <c r="AE6" s="34">
        <f>W6+X6+AA6+AD6</f>
        <v>764</v>
      </c>
      <c r="AF6" s="34">
        <f>W6+Y6+AB6+AD6</f>
        <v>753.00319806199991</v>
      </c>
      <c r="AG6" s="34">
        <f>W6+Z6+AC6+AD6</f>
        <v>756.66879870799994</v>
      </c>
    </row>
    <row r="7" spans="1:33" x14ac:dyDescent="0.25">
      <c r="A7" s="129" t="s">
        <v>391</v>
      </c>
      <c r="B7" s="129"/>
      <c r="C7" s="1">
        <v>63</v>
      </c>
      <c r="D7">
        <v>61</v>
      </c>
      <c r="E7" s="94">
        <v>65</v>
      </c>
      <c r="F7" s="129" t="s">
        <v>433</v>
      </c>
      <c r="G7" s="129"/>
      <c r="H7" s="129"/>
      <c r="I7" s="121">
        <v>0</v>
      </c>
      <c r="K7" t="s">
        <v>286</v>
      </c>
      <c r="L7" s="8"/>
      <c r="M7" s="118" t="s">
        <v>397</v>
      </c>
      <c r="N7" s="50">
        <f>IF($O$1="O",ROUND($AE$5,0)-IF($I$5=0,$W13/2,$X13/2),AE5-IF($I$5=0,$W13/2,$X13/2))</f>
        <v>154</v>
      </c>
      <c r="O7" s="114">
        <f>IF($O$1="O",ROUND(AE5-Z14,0),AE5-Z14)</f>
        <v>192</v>
      </c>
      <c r="P7" s="50">
        <f>IF($O$1="O",ROUND($AE$5,0)+IF($I$5=0,$W13/2,$X13/2),AE5+IF($I$5=0,$W13/2,$X13/2))</f>
        <v>256</v>
      </c>
      <c r="Q7" s="148"/>
      <c r="R7" s="9"/>
      <c r="S7">
        <v>166</v>
      </c>
      <c r="T7" s="94">
        <v>205</v>
      </c>
      <c r="V7" s="83" t="s">
        <v>385</v>
      </c>
      <c r="W7" s="34">
        <f>VLOOKUP($G$13,Tracks!$A$3:$W$890,21,0)</f>
        <v>206.26199999999997</v>
      </c>
      <c r="X7" s="34">
        <f>IF($I$15="Dry",Tables!D6*$G$15,Tables!B6*$G$15+Tables!C6)</f>
        <v>84</v>
      </c>
      <c r="Y7" s="34">
        <f>IF($I$16="Dry",Tables!D6*$G$16,Tables!B6*$G$16+Tables!C6)</f>
        <v>102</v>
      </c>
      <c r="Z7" s="34">
        <f>IF($I$17="Dry",Tables!D6*$G$17,Tables!B6*$G$17+Tables!C6)</f>
        <v>96</v>
      </c>
      <c r="AA7" s="34">
        <f>Tables!G29</f>
        <v>-101.592</v>
      </c>
      <c r="AB7" s="34">
        <f>Tables!G29</f>
        <v>-101.592</v>
      </c>
      <c r="AC7" s="34">
        <f>Tables!G29</f>
        <v>-101.592</v>
      </c>
      <c r="AD7" s="34">
        <f>Tables!M15+Tables!M21</f>
        <v>-72.669999999999987</v>
      </c>
      <c r="AE7" s="34">
        <f>W7+X7+AA7+AD7</f>
        <v>115.99999999999997</v>
      </c>
      <c r="AF7" s="34">
        <f>W7+Y7+AB7+AD7</f>
        <v>133.99999999999997</v>
      </c>
      <c r="AG7" s="34">
        <f>W7+Z7+AC7+AD7</f>
        <v>127.99999999999997</v>
      </c>
    </row>
    <row r="8" spans="1:33" x14ac:dyDescent="0.25">
      <c r="A8" s="129" t="s">
        <v>303</v>
      </c>
      <c r="B8" s="129"/>
      <c r="C8" s="1">
        <v>56</v>
      </c>
      <c r="D8">
        <v>58</v>
      </c>
      <c r="E8" s="94">
        <v>51</v>
      </c>
      <c r="F8" s="134" t="s">
        <v>16</v>
      </c>
      <c r="G8" s="134"/>
      <c r="H8" s="134"/>
      <c r="I8" s="134"/>
      <c r="J8" t="s">
        <v>286</v>
      </c>
      <c r="K8" t="s">
        <v>286</v>
      </c>
      <c r="L8" s="8"/>
      <c r="M8" s="31" t="s">
        <v>379</v>
      </c>
      <c r="N8" s="50">
        <f>O8-IF($I$5=0,$W14/2,$X14/2)</f>
        <v>713</v>
      </c>
      <c r="O8" s="114">
        <f>IF($O$1="O",ROUND(AE6,0),AE6)</f>
        <v>764</v>
      </c>
      <c r="P8" s="50">
        <f>O8+IF($I$5=0,$W14/2,$X14/2)</f>
        <v>815</v>
      </c>
      <c r="Q8" s="148"/>
      <c r="R8" s="9"/>
      <c r="S8">
        <v>849</v>
      </c>
      <c r="T8" s="94">
        <v>764</v>
      </c>
      <c r="V8" s="83" t="s">
        <v>384</v>
      </c>
      <c r="W8" s="34">
        <f>VLOOKUP($G$13,Tracks!$A$3:$W$890,22,0)</f>
        <v>722.41</v>
      </c>
      <c r="X8" s="34">
        <f>IF($I$15="Dry",Tables!D7*$G$15,Tables!B7*$G$15+Tables!C7)</f>
        <v>-56</v>
      </c>
      <c r="Y8" s="34">
        <f>IF($I$16="Dry",Tables!D7*$G$16,Tables!B7*$G$16+Tables!C7)</f>
        <v>-68</v>
      </c>
      <c r="Z8" s="34">
        <f>IF($I$17="Dry",Tables!D7*$G$17,Tables!B7*$G$17+Tables!C7)</f>
        <v>-64</v>
      </c>
      <c r="AA8" s="34">
        <f>Tables!G30</f>
        <v>97</v>
      </c>
      <c r="AB8" s="34">
        <f>Tables!G30</f>
        <v>97</v>
      </c>
      <c r="AC8" s="34">
        <f>Tables!G30</f>
        <v>97</v>
      </c>
      <c r="AD8" s="34">
        <f>Tables!M16+Tables!M22</f>
        <v>-126.41</v>
      </c>
      <c r="AE8" s="34">
        <f>W8+X8+AA8+AD8</f>
        <v>637</v>
      </c>
      <c r="AF8" s="34">
        <f>W8+Y8+AB8+AD8</f>
        <v>625</v>
      </c>
      <c r="AG8" s="34">
        <f>W8+Z8+AC8+AD8</f>
        <v>629</v>
      </c>
    </row>
    <row r="9" spans="1:33" x14ac:dyDescent="0.25">
      <c r="A9" s="129" t="s">
        <v>392</v>
      </c>
      <c r="B9" s="129"/>
      <c r="C9" s="1">
        <v>69</v>
      </c>
      <c r="D9">
        <v>68</v>
      </c>
      <c r="E9" s="94">
        <v>67</v>
      </c>
      <c r="F9" s="129" t="s">
        <v>19</v>
      </c>
      <c r="G9" s="129"/>
      <c r="H9" s="129"/>
      <c r="I9" s="1">
        <v>21</v>
      </c>
      <c r="J9" t="s">
        <v>286</v>
      </c>
      <c r="K9" t="s">
        <v>286</v>
      </c>
      <c r="L9" s="8"/>
      <c r="M9" s="31" t="s">
        <v>385</v>
      </c>
      <c r="N9" s="50">
        <f>O9-IF($I$5=0,$W15/2,$X15/2)</f>
        <v>65</v>
      </c>
      <c r="O9" s="114">
        <f t="shared" ref="O9:O11" si="0">IF($O$1="O",ROUND(AE7,0),AE7)</f>
        <v>116</v>
      </c>
      <c r="P9" s="50">
        <f>O9+IF($I$5=0,$W15/2,$X15/2)</f>
        <v>167</v>
      </c>
      <c r="Q9" s="148"/>
      <c r="R9" s="9"/>
      <c r="S9">
        <v>55</v>
      </c>
      <c r="T9" s="94">
        <v>116</v>
      </c>
      <c r="V9" s="83" t="s">
        <v>21</v>
      </c>
      <c r="W9" s="34">
        <f>VLOOKUP($G$13,Tracks!$A$3:$W$890,23,0)</f>
        <v>293.48</v>
      </c>
      <c r="X9" s="34">
        <f>IF($I$15="Dry",Tables!D8*$G$15,Tables!B8*$G$15+Tables!C8)</f>
        <v>-84</v>
      </c>
      <c r="Y9" s="34">
        <f>IF($I$16="Dry",Tables!D8*$G$16,Tables!B8*$G$16+Tables!C8)</f>
        <v>-102</v>
      </c>
      <c r="Z9" s="34">
        <f>IF($I$17="Dry",Tables!D8*$G$17,Tables!B8*$G$17+Tables!C8)</f>
        <v>-96</v>
      </c>
      <c r="AA9" s="34">
        <f>Tables!G31</f>
        <v>250.5</v>
      </c>
      <c r="AB9" s="34">
        <f>Tables!G31</f>
        <v>250.5</v>
      </c>
      <c r="AC9" s="34">
        <f>Tables!G31</f>
        <v>250.5</v>
      </c>
      <c r="AD9" s="34">
        <f>Tables!M17+Tables!M23</f>
        <v>50.020000000000017</v>
      </c>
      <c r="AE9" s="34">
        <f>W9+X9+AA9+AD9</f>
        <v>510.00000000000006</v>
      </c>
      <c r="AF9" s="34">
        <f>W9+Y9+AB9+AD9</f>
        <v>492.00000000000006</v>
      </c>
      <c r="AG9" s="34">
        <f>W9+Z9+AC9+AD9</f>
        <v>498.00000000000006</v>
      </c>
    </row>
    <row r="10" spans="1:33" x14ac:dyDescent="0.25">
      <c r="A10" s="129" t="s">
        <v>22</v>
      </c>
      <c r="B10" s="129"/>
      <c r="C10" s="1">
        <v>55</v>
      </c>
      <c r="D10">
        <v>13</v>
      </c>
      <c r="E10" s="94">
        <v>0</v>
      </c>
      <c r="F10" s="130" t="s">
        <v>3</v>
      </c>
      <c r="G10" s="151"/>
      <c r="H10" s="131"/>
      <c r="I10" s="121">
        <v>21</v>
      </c>
      <c r="J10" t="s">
        <v>286</v>
      </c>
      <c r="K10" t="s">
        <v>286</v>
      </c>
      <c r="L10" s="8"/>
      <c r="M10" s="31" t="s">
        <v>384</v>
      </c>
      <c r="N10" s="50">
        <f>O10-IF($I$5=0,$W16/2,$X16/2)</f>
        <v>586</v>
      </c>
      <c r="O10" s="114">
        <f t="shared" si="0"/>
        <v>637</v>
      </c>
      <c r="P10" s="50">
        <f>O10+IF($I$5=0,$W16/2,$X16/2)</f>
        <v>688</v>
      </c>
      <c r="Q10" s="148"/>
      <c r="R10" s="9"/>
      <c r="S10">
        <v>696</v>
      </c>
      <c r="T10" s="94">
        <v>637</v>
      </c>
      <c r="V10" s="98" t="s">
        <v>286</v>
      </c>
      <c r="W10" s="7" t="s">
        <v>286</v>
      </c>
      <c r="X10" s="7" t="s">
        <v>286</v>
      </c>
      <c r="Y10" s="7" t="s">
        <v>286</v>
      </c>
    </row>
    <row r="11" spans="1:33" x14ac:dyDescent="0.25">
      <c r="A11" s="129" t="s">
        <v>23</v>
      </c>
      <c r="B11" s="129"/>
      <c r="C11" s="1">
        <v>0</v>
      </c>
      <c r="D11">
        <v>0</v>
      </c>
      <c r="E11" s="94">
        <v>0</v>
      </c>
      <c r="F11" s="130" t="s">
        <v>432</v>
      </c>
      <c r="G11" s="151"/>
      <c r="H11" s="131"/>
      <c r="I11" s="64">
        <v>23</v>
      </c>
      <c r="J11" t="s">
        <v>286</v>
      </c>
      <c r="K11" t="s">
        <v>286</v>
      </c>
      <c r="L11" s="8"/>
      <c r="M11" s="31" t="s">
        <v>21</v>
      </c>
      <c r="N11" s="50">
        <f>O11-IF($I$5=0,$W17/2,$X17/2)</f>
        <v>459</v>
      </c>
      <c r="O11" s="114">
        <f t="shared" si="0"/>
        <v>510</v>
      </c>
      <c r="P11" s="50">
        <f>O11+IF($I$5=0,$W17/2,$X17/2)</f>
        <v>561</v>
      </c>
      <c r="Q11" s="149"/>
      <c r="R11" s="9"/>
      <c r="S11">
        <v>571</v>
      </c>
      <c r="T11" s="94">
        <v>510</v>
      </c>
      <c r="U11" s="94" t="s">
        <v>286</v>
      </c>
      <c r="V11" s="7" t="s">
        <v>286</v>
      </c>
      <c r="W11" s="7" t="s">
        <v>286</v>
      </c>
      <c r="X11" s="7"/>
      <c r="Y11" t="s">
        <v>286</v>
      </c>
    </row>
    <row r="12" spans="1:33" x14ac:dyDescent="0.25">
      <c r="A12" s="129" t="s">
        <v>304</v>
      </c>
      <c r="B12" s="129"/>
      <c r="C12" s="1">
        <v>75</v>
      </c>
      <c r="D12">
        <v>71</v>
      </c>
      <c r="E12" s="94">
        <v>75</v>
      </c>
      <c r="F12" s="134" t="s">
        <v>24</v>
      </c>
      <c r="G12" s="134"/>
      <c r="H12" s="134"/>
      <c r="I12" s="134"/>
      <c r="J12" t="s">
        <v>286</v>
      </c>
      <c r="K12" t="s">
        <v>286</v>
      </c>
      <c r="L12" s="8"/>
      <c r="M12" s="11"/>
      <c r="N12" s="79"/>
      <c r="O12" s="115"/>
      <c r="P12" s="79"/>
      <c r="Q12" s="10"/>
      <c r="R12" s="9"/>
      <c r="S12" t="s">
        <v>286</v>
      </c>
      <c r="V12" s="32" t="s">
        <v>27</v>
      </c>
      <c r="W12" s="31" t="s">
        <v>28</v>
      </c>
      <c r="X12" s="31" t="s">
        <v>29</v>
      </c>
      <c r="Y12" t="s">
        <v>286</v>
      </c>
      <c r="Z12" s="134" t="s">
        <v>30</v>
      </c>
      <c r="AA12" s="134"/>
      <c r="AB12" s="134"/>
    </row>
    <row r="13" spans="1:33" x14ac:dyDescent="0.25">
      <c r="A13" s="129" t="s">
        <v>31</v>
      </c>
      <c r="B13" s="129"/>
      <c r="C13" s="1">
        <v>30</v>
      </c>
      <c r="D13">
        <v>29</v>
      </c>
      <c r="E13" s="94">
        <v>29</v>
      </c>
      <c r="F13" s="31" t="s">
        <v>25</v>
      </c>
      <c r="G13" s="150" t="s">
        <v>270</v>
      </c>
      <c r="H13" s="150"/>
      <c r="I13" s="150"/>
      <c r="L13" s="8"/>
      <c r="M13" s="118" t="s">
        <v>380</v>
      </c>
      <c r="N13" s="50">
        <f>IF($O$1="O",ROUND($AF$5,0)-IF($I$5=0,$W13/2,$X13/2),AF5-IF($I$5=0,$W13/2,$X13/2))</f>
        <v>167</v>
      </c>
      <c r="O13" s="114">
        <f>IF($O$1="O",ROUND(AF5+AA14,0),AF5+AA14)</f>
        <v>230</v>
      </c>
      <c r="P13" s="50">
        <f>IF($O$1="O",ROUND($AF$5,0)+IF($I$5=0,$W13/2,$X13/2),AF5+IF($I$5=0,$W13/2,$X13/2))</f>
        <v>269</v>
      </c>
      <c r="Q13" s="147" t="s">
        <v>8</v>
      </c>
      <c r="R13" s="9"/>
      <c r="S13" t="s">
        <v>286</v>
      </c>
      <c r="V13" s="31" t="s">
        <v>398</v>
      </c>
      <c r="W13" s="34">
        <f>IF($O$1="O",ROUND($C$6*-0.051+$C$7*-0.153+67.594,0)*2,2*($C$6*-0.051+$C$7*-0.153+67.594))</f>
        <v>102</v>
      </c>
      <c r="X13" s="34">
        <f>IF($O$1="O",MAX(2,ROUND($C$6*-0.051+$C$7*-0.153+69.592+$I$5*-0.031+$I$4*-0.203,0)*2),MAX(2,2*($C$6*-0.051+$C$7*-0.153+69.592+$I$5*-0.031+$I$4*-0.203)))</f>
        <v>106</v>
      </c>
      <c r="Y13" t="s">
        <v>286</v>
      </c>
      <c r="Z13" s="31" t="s">
        <v>7</v>
      </c>
      <c r="AA13" s="31" t="s">
        <v>8</v>
      </c>
      <c r="AB13" s="31" t="s">
        <v>403</v>
      </c>
    </row>
    <row r="14" spans="1:33" x14ac:dyDescent="0.25">
      <c r="G14" s="31" t="s">
        <v>32</v>
      </c>
      <c r="H14" s="31" t="s">
        <v>33</v>
      </c>
      <c r="I14" s="31" t="s">
        <v>5</v>
      </c>
      <c r="L14" s="8"/>
      <c r="M14" s="118" t="s">
        <v>397</v>
      </c>
      <c r="N14" s="50">
        <f>IF($O$1="O",ROUND($AF$5,0)-IF($I$5=0,$W13/2,$X13/2),AF5-IF($I$5=0,$W13/2,$X13/2))</f>
        <v>167</v>
      </c>
      <c r="O14" s="114">
        <f>IF($O$1="O",ROUND(AF5-AA14,0),AF5-AA14)</f>
        <v>206</v>
      </c>
      <c r="P14" s="50">
        <f>IF($O$1="O",ROUND($AF$5,0)+IF($I$5=0,$W13/2,$X13/2),AF5+IF($I$5=0,$W13/2,$X13/2))</f>
        <v>269</v>
      </c>
      <c r="Q14" s="148"/>
      <c r="R14" s="9"/>
      <c r="S14" t="s">
        <v>286</v>
      </c>
      <c r="V14" s="31" t="s">
        <v>379</v>
      </c>
      <c r="W14" s="34">
        <f>IF($O$1="O",ROUND($C$6*-0.051+$C$7*-0.153+67.594,0)*2,2*($C$6*-0.051+$C$7*-0.153+67.594))</f>
        <v>102</v>
      </c>
      <c r="X14" s="34">
        <f>IF($O$1="O",MAX(2,ROUND($C$6*-0.051+$C$7*-0.153+69.592+$I$5*-0.031+$I$2*-0.076+$I$3*-0.123,0)*2),MAX(2,($C$6*-0.051+$C$7*-0.153+69.592+$I$5*-0.031+$I$2*-0.076+$I$3*-0.123)*2))</f>
        <v>106</v>
      </c>
      <c r="Y14" t="s">
        <v>286</v>
      </c>
      <c r="Z14" s="34">
        <f>VLOOKUP($G$13,Tracks!$A$3:$Y$890,25,0)+$C$4*-0.246534498671854+3.69107049712848*($B$23+$B$24)/2+$AE$5*-0.189968386659174+$G$15*0.376337780506523+IF($I$15="Wet",58.8818967363256,0)</f>
        <v>13.008119090990425</v>
      </c>
      <c r="AA14" s="34">
        <f>VLOOKUP($G$13,Tracks!$A$3:$Y$890,25,0)+$C$4*-0.246534498671854+3.69107049712848*($B$23+$B$24)/2+$AF$5*-0.189968386659174+$G$16*0.376337780506523+IF($I$16="Wet",58.8818967363256,0)</f>
        <v>11.658770325467685</v>
      </c>
      <c r="AB14" s="34">
        <f>VLOOKUP($G$13,Tracks!$A$3:$Y$890,25,0)+$C$4*-0.246534498671854+3.69107049712848*($B$23+$B$24)/2+$AG$5*-0.189968386659174+$G$17*0.376337780506523+IF($I$17="Wet",58.8818967363256,0)</f>
        <v>12.108553247308601</v>
      </c>
    </row>
    <row r="15" spans="1:33" x14ac:dyDescent="0.25">
      <c r="A15" s="134" t="s">
        <v>401</v>
      </c>
      <c r="B15" s="134"/>
      <c r="C15" s="134"/>
      <c r="D15" s="2" t="s">
        <v>286</v>
      </c>
      <c r="E15" t="s">
        <v>286</v>
      </c>
      <c r="F15" s="31" t="s">
        <v>7</v>
      </c>
      <c r="G15" s="1">
        <v>14</v>
      </c>
      <c r="H15" s="1">
        <v>24</v>
      </c>
      <c r="I15" s="1" t="s">
        <v>34</v>
      </c>
      <c r="L15" s="8"/>
      <c r="M15" s="83" t="s">
        <v>379</v>
      </c>
      <c r="N15" s="50">
        <f>O15-IF($I$5=0,$W14/2,$X14/2)</f>
        <v>702</v>
      </c>
      <c r="O15" s="114">
        <f>IF($O$1="O",ROUND(AF6,0),AF6)</f>
        <v>753</v>
      </c>
      <c r="P15" s="50">
        <f>O15+IF($I$5=0,$W14/2,$X14/2)</f>
        <v>804</v>
      </c>
      <c r="Q15" s="148"/>
      <c r="R15" s="9"/>
      <c r="S15" t="s">
        <v>286</v>
      </c>
      <c r="V15" s="31" t="s">
        <v>385</v>
      </c>
      <c r="W15" s="34">
        <f>IF($O$1="O",ROUND($C$6*-0.051+$C$7*-0.153+67.594,0)*2,2*($C$6*-0.051+$C$7*-0.153+67.594))</f>
        <v>102</v>
      </c>
      <c r="X15" s="34">
        <f>IF($O$1="O",MAX(2,ROUND($C$6*-0.051+$C$7*-0.153+69.592+$I$5*-0.031+$I$2*-0.12+$I$3*-0.075,0)*2),MAX(2,($C$6*-0.051+$C$7*-0.153+69.592+$I$5*-0.031+$I$2*-0.12+$I$3*-0.075)*2))</f>
        <v>106</v>
      </c>
      <c r="Y15" t="s">
        <v>286</v>
      </c>
      <c r="Z15" t="s">
        <v>286</v>
      </c>
    </row>
    <row r="16" spans="1:33" x14ac:dyDescent="0.25">
      <c r="A16" s="129" t="s">
        <v>387</v>
      </c>
      <c r="B16" s="129"/>
      <c r="C16" s="1">
        <v>73</v>
      </c>
      <c r="D16" t="s">
        <v>286</v>
      </c>
      <c r="E16" t="s">
        <v>286</v>
      </c>
      <c r="F16" s="31" t="s">
        <v>8</v>
      </c>
      <c r="G16" s="1">
        <v>17</v>
      </c>
      <c r="H16" s="1">
        <v>20</v>
      </c>
      <c r="I16" s="1" t="s">
        <v>34</v>
      </c>
      <c r="L16" s="8"/>
      <c r="M16" s="83" t="s">
        <v>385</v>
      </c>
      <c r="N16" s="50">
        <f>O16-IF($I$5=0,$W15/2,$X15/2)</f>
        <v>83</v>
      </c>
      <c r="O16" s="114">
        <f t="shared" ref="O16:O18" si="1">IF($O$1="O",ROUND(AF7,0),AF7)</f>
        <v>134</v>
      </c>
      <c r="P16" s="50">
        <f>O16+IF($I$5=0,$W15/2,$X15/2)</f>
        <v>185</v>
      </c>
      <c r="Q16" s="148"/>
      <c r="R16" s="9"/>
      <c r="S16" t="s">
        <v>286</v>
      </c>
      <c r="V16" s="31" t="s">
        <v>384</v>
      </c>
      <c r="W16" s="34">
        <f>IF($O$1="O",ROUND($C$6*-0.051+$C$7*-0.153+67.594,0)*2,2*($C$6*-0.051+$C$7*-0.153+67.594))</f>
        <v>102</v>
      </c>
      <c r="X16" s="34">
        <f>IF($O$1="O",MAX(2,ROUND($C$6*-0.051+$C$7*-0.153+69.594+$I$5*-0.031+$I$2*-0.0418+$I$3*-0.157,0)*2),MAX(2,($C$6*-0.051+$C$7*-0.153+69.594+$I$5*-0.031+$I$2*-0.0418+$I$3*-0.157)*2))</f>
        <v>106</v>
      </c>
      <c r="Y16" t="s">
        <v>286</v>
      </c>
      <c r="Z16" t="s">
        <v>286</v>
      </c>
    </row>
    <row r="17" spans="1:27" x14ac:dyDescent="0.25">
      <c r="A17" s="129" t="s">
        <v>388</v>
      </c>
      <c r="B17" s="129"/>
      <c r="C17" s="1">
        <v>73</v>
      </c>
      <c r="D17" t="s">
        <v>286</v>
      </c>
      <c r="E17" t="s">
        <v>286</v>
      </c>
      <c r="F17" s="31" t="s">
        <v>9</v>
      </c>
      <c r="G17" s="116">
        <v>16</v>
      </c>
      <c r="H17" s="116">
        <v>27</v>
      </c>
      <c r="I17" s="1" t="s">
        <v>34</v>
      </c>
      <c r="L17" s="8"/>
      <c r="M17" s="83" t="s">
        <v>384</v>
      </c>
      <c r="N17" s="50">
        <f>O17-IF($I$5=0,$W16/2,$X16/2)</f>
        <v>574</v>
      </c>
      <c r="O17" s="114">
        <f t="shared" si="1"/>
        <v>625</v>
      </c>
      <c r="P17" s="50">
        <f>O17+IF($I$5=0,$W16/2,$X16/2)</f>
        <v>676</v>
      </c>
      <c r="Q17" s="148"/>
      <c r="R17" s="9"/>
      <c r="S17" t="s">
        <v>286</v>
      </c>
      <c r="V17" s="31" t="s">
        <v>21</v>
      </c>
      <c r="W17" s="34">
        <f>IF($O$1="O",ROUND($C$6*-0.051+$C$7*-0.153+67.594,0)*2,2*($C$6*-0.051+$C$7*-0.153+67.594))</f>
        <v>102</v>
      </c>
      <c r="X17" s="34">
        <f>IF($O$1="O",MAX(2,ROUND($C$6*-0.051+$C$7*-0.153+69.594+$I$5*-0.031+$I$2*-0.134+$I$4*-0.061,0)*2),MAX(2,($C$6*-0.051+$C$7*-0.153+69.594+$I$5*-0.031+$I$2*-0.134+$I$4*-0.061)*2))</f>
        <v>106</v>
      </c>
      <c r="Y17" t="s">
        <v>286</v>
      </c>
      <c r="Z17" t="s">
        <v>286</v>
      </c>
      <c r="AA17" t="s">
        <v>286</v>
      </c>
    </row>
    <row r="18" spans="1:27" x14ac:dyDescent="0.25">
      <c r="A18" s="129" t="s">
        <v>389</v>
      </c>
      <c r="B18" s="129"/>
      <c r="C18" s="1">
        <v>71</v>
      </c>
      <c r="D18" t="s">
        <v>286</v>
      </c>
      <c r="E18" t="s">
        <v>286</v>
      </c>
      <c r="L18" s="8"/>
      <c r="M18" s="83" t="s">
        <v>21</v>
      </c>
      <c r="N18" s="50">
        <f>O18-IF($I$5=0,$W17/2,$X17/2)</f>
        <v>441</v>
      </c>
      <c r="O18" s="114">
        <f t="shared" si="1"/>
        <v>492</v>
      </c>
      <c r="P18" s="50">
        <f>O18+IF($I$5=0,$W17/2,$X17/2)</f>
        <v>543</v>
      </c>
      <c r="Q18" s="149"/>
      <c r="R18" s="12"/>
      <c r="S18" t="s">
        <v>286</v>
      </c>
      <c r="V18" t="s">
        <v>286</v>
      </c>
      <c r="W18" t="s">
        <v>286</v>
      </c>
      <c r="X18" t="s">
        <v>286</v>
      </c>
      <c r="Y18" t="s">
        <v>286</v>
      </c>
      <c r="Z18" t="s">
        <v>378</v>
      </c>
      <c r="AA18" t="s">
        <v>286</v>
      </c>
    </row>
    <row r="19" spans="1:27" x14ac:dyDescent="0.25">
      <c r="D19" t="s">
        <v>286</v>
      </c>
      <c r="E19" s="94" t="s">
        <v>286</v>
      </c>
      <c r="F19" s="129" t="s">
        <v>404</v>
      </c>
      <c r="G19" s="129"/>
      <c r="H19" s="129"/>
      <c r="I19" s="129"/>
      <c r="L19" s="8"/>
      <c r="M19" s="11"/>
      <c r="N19" s="79"/>
      <c r="O19" s="115"/>
      <c r="P19" s="79"/>
      <c r="Q19" s="10"/>
      <c r="R19" s="9"/>
      <c r="V19" s="117"/>
      <c r="W19" s="57"/>
    </row>
    <row r="20" spans="1:27" x14ac:dyDescent="0.25">
      <c r="A20" s="7"/>
      <c r="B20" s="31" t="s">
        <v>35</v>
      </c>
      <c r="C20" s="31" t="s">
        <v>36</v>
      </c>
      <c r="D20" t="s">
        <v>286</v>
      </c>
      <c r="E20" s="94" t="s">
        <v>286</v>
      </c>
      <c r="F20" s="130" t="s">
        <v>32</v>
      </c>
      <c r="G20" s="131"/>
      <c r="H20" s="130" t="s">
        <v>33</v>
      </c>
      <c r="I20" s="131"/>
      <c r="L20" s="8"/>
      <c r="M20" s="118" t="s">
        <v>380</v>
      </c>
      <c r="N20" s="50">
        <f>IF($O$1="O",ROUND($AG$5,0)-IF($I$5=0,$W13/2,$X13/2),AG5-IF($I$5=0,$W13/2,$X13/2))</f>
        <v>163</v>
      </c>
      <c r="O20" s="114">
        <f>IF($O$1="O",ROUND(AG5+AB14,0),AG5+AB14)</f>
        <v>226</v>
      </c>
      <c r="P20" s="50">
        <f>IF($O$1="O",ROUND($AG$5,0)+IF($I$5=0,$W13/2,$X13/2),AG5+IF($I$5=0,$W13/2,$X13/2))</f>
        <v>265</v>
      </c>
      <c r="Q20" s="147" t="s">
        <v>37</v>
      </c>
      <c r="R20" s="9"/>
      <c r="Y20" s="94"/>
    </row>
    <row r="21" spans="1:27" x14ac:dyDescent="0.25">
      <c r="A21" s="31" t="s">
        <v>38</v>
      </c>
      <c r="B21" s="1">
        <v>5</v>
      </c>
      <c r="C21" s="107">
        <v>18</v>
      </c>
      <c r="D21" s="2" t="s">
        <v>286</v>
      </c>
      <c r="E21" s="94" t="s">
        <v>286</v>
      </c>
      <c r="F21" s="75">
        <v>12</v>
      </c>
      <c r="G21" s="75">
        <v>50</v>
      </c>
      <c r="H21" s="75">
        <v>50</v>
      </c>
      <c r="I21" s="75">
        <v>50</v>
      </c>
      <c r="L21" s="8"/>
      <c r="M21" s="118" t="s">
        <v>397</v>
      </c>
      <c r="N21" s="50">
        <f>IF($O$1="O",ROUND($AG$5,0)-IF($I$5=0,$W13/2,$X13/2),AG5-IF($I$5=0,$W13/2,$X13/2))</f>
        <v>163</v>
      </c>
      <c r="O21" s="114">
        <f>IF($O$1="O",ROUND(AG5-AB14,0),AG5-AB14)</f>
        <v>202</v>
      </c>
      <c r="P21" s="50">
        <f>IF($O$1="O",ROUND($AG$5,0)+IF($I$5=0,$W13/2,$X13/2),AG5+IF($I$5=0,$W13/2,$X13/2))</f>
        <v>265</v>
      </c>
      <c r="Q21" s="148"/>
      <c r="R21" s="9"/>
      <c r="S21" s="57" t="s">
        <v>286</v>
      </c>
      <c r="T21" s="57"/>
      <c r="U21" s="57"/>
      <c r="X21" s="94">
        <v>205</v>
      </c>
      <c r="Y21" s="94"/>
    </row>
    <row r="22" spans="1:27" x14ac:dyDescent="0.25">
      <c r="A22" s="31" t="s">
        <v>379</v>
      </c>
      <c r="B22" s="1">
        <v>5</v>
      </c>
      <c r="C22" s="1">
        <v>25</v>
      </c>
      <c r="D22" t="s">
        <v>286</v>
      </c>
      <c r="F22" s="75">
        <v>11</v>
      </c>
      <c r="G22" s="75">
        <v>48</v>
      </c>
      <c r="H22" s="75">
        <v>50</v>
      </c>
      <c r="I22" s="75">
        <v>50</v>
      </c>
      <c r="L22" s="8"/>
      <c r="M22" s="83" t="s">
        <v>379</v>
      </c>
      <c r="N22" s="50">
        <f>O22-IF($I$5=0,$W14/2,$X14/2)</f>
        <v>706</v>
      </c>
      <c r="O22" s="114">
        <f>IF($O$1="O",ROUND(AG6,0),AG6)</f>
        <v>757</v>
      </c>
      <c r="P22" s="50">
        <f>O22+IF($I$5=0,$W14/2,$X14/2)</f>
        <v>808</v>
      </c>
      <c r="Q22" s="148"/>
      <c r="R22" s="9"/>
      <c r="S22" s="57" t="s">
        <v>286</v>
      </c>
      <c r="T22" s="57"/>
      <c r="U22" s="57"/>
      <c r="V22" s="117"/>
      <c r="X22" s="94">
        <v>205</v>
      </c>
      <c r="Y22" s="94">
        <f>X22+51</f>
        <v>256</v>
      </c>
    </row>
    <row r="23" spans="1:27" x14ac:dyDescent="0.25">
      <c r="A23" s="31" t="s">
        <v>380</v>
      </c>
      <c r="B23" s="1">
        <v>5</v>
      </c>
      <c r="C23" s="1">
        <v>28</v>
      </c>
      <c r="D23" t="s">
        <v>286</v>
      </c>
      <c r="F23" s="75">
        <v>14</v>
      </c>
      <c r="G23" s="75">
        <v>48</v>
      </c>
      <c r="H23" s="75">
        <v>50</v>
      </c>
      <c r="I23" s="75">
        <v>50</v>
      </c>
      <c r="L23" s="8"/>
      <c r="M23" s="83" t="s">
        <v>385</v>
      </c>
      <c r="N23" s="50">
        <f>O23-IF($I$5=0,$W15/2,$X15/2)</f>
        <v>77</v>
      </c>
      <c r="O23" s="114">
        <f t="shared" ref="O23:O25" si="2">IF($O$1="O",ROUND(AG7,0),AG7)</f>
        <v>128</v>
      </c>
      <c r="P23" s="50">
        <f>O23+IF($I$5=0,$W15/2,$X15/2)</f>
        <v>179</v>
      </c>
      <c r="Q23" s="148"/>
      <c r="R23" s="9"/>
      <c r="S23" s="58" t="s">
        <v>286</v>
      </c>
      <c r="T23" s="58"/>
      <c r="U23" s="58"/>
      <c r="X23">
        <v>764</v>
      </c>
      <c r="Y23" s="94">
        <f>X23+51</f>
        <v>815</v>
      </c>
      <c r="Z23" s="2"/>
    </row>
    <row r="24" spans="1:27" x14ac:dyDescent="0.25">
      <c r="A24" s="31" t="s">
        <v>397</v>
      </c>
      <c r="B24" s="1">
        <v>5</v>
      </c>
      <c r="C24" s="1">
        <v>31</v>
      </c>
      <c r="D24" t="s">
        <v>286</v>
      </c>
      <c r="F24" s="75">
        <v>16</v>
      </c>
      <c r="G24" s="75">
        <v>18</v>
      </c>
      <c r="H24" s="75">
        <v>0</v>
      </c>
      <c r="I24" s="75">
        <v>0</v>
      </c>
      <c r="L24" s="8"/>
      <c r="M24" s="83" t="s">
        <v>384</v>
      </c>
      <c r="N24" s="50">
        <f>O24-IF($I$5=0,$W16/2,$X16/2)</f>
        <v>578</v>
      </c>
      <c r="O24" s="114">
        <f t="shared" si="2"/>
        <v>629</v>
      </c>
      <c r="P24" s="50">
        <f>O24+IF($I$5=0,$W16/2,$X16/2)</f>
        <v>680</v>
      </c>
      <c r="Q24" s="148"/>
      <c r="R24" s="9"/>
      <c r="S24" s="57" t="s">
        <v>286</v>
      </c>
      <c r="T24" s="57"/>
      <c r="U24" s="57"/>
      <c r="X24">
        <v>116</v>
      </c>
      <c r="Y24" s="94">
        <f>X24+51</f>
        <v>167</v>
      </c>
      <c r="Z24" s="109"/>
    </row>
    <row r="25" spans="1:27" x14ac:dyDescent="0.25">
      <c r="A25" s="31" t="s">
        <v>381</v>
      </c>
      <c r="B25" s="1">
        <v>5</v>
      </c>
      <c r="C25" s="1">
        <v>16</v>
      </c>
      <c r="D25" s="7" t="s">
        <v>286</v>
      </c>
      <c r="E25" s="94"/>
      <c r="F25" s="94"/>
      <c r="G25" s="94"/>
      <c r="H25" s="94"/>
      <c r="I25" s="94"/>
      <c r="J25" s="94"/>
      <c r="L25" s="8"/>
      <c r="M25" s="83" t="s">
        <v>21</v>
      </c>
      <c r="N25" s="50">
        <f>O25-IF($I$5=0,$W17/2,$X17/2)</f>
        <v>447</v>
      </c>
      <c r="O25" s="114">
        <f t="shared" si="2"/>
        <v>498</v>
      </c>
      <c r="P25" s="50">
        <f>O25+IF($I$5=0,$W17/2,$X17/2)</f>
        <v>549</v>
      </c>
      <c r="Q25" s="149"/>
      <c r="R25" s="9"/>
      <c r="S25" s="57" t="s">
        <v>286</v>
      </c>
      <c r="T25" s="57"/>
      <c r="U25" s="57"/>
      <c r="X25">
        <v>637</v>
      </c>
      <c r="Y25">
        <f>X25+51</f>
        <v>688</v>
      </c>
    </row>
    <row r="26" spans="1:27" x14ac:dyDescent="0.25">
      <c r="A26" s="31" t="s">
        <v>382</v>
      </c>
      <c r="B26" s="1">
        <v>5</v>
      </c>
      <c r="C26" s="1">
        <v>14</v>
      </c>
      <c r="D26" s="7" t="s">
        <v>286</v>
      </c>
      <c r="E26" s="8"/>
      <c r="F26" s="5"/>
      <c r="G26" s="5"/>
      <c r="H26" s="5"/>
      <c r="I26" s="5"/>
      <c r="J26" s="9"/>
      <c r="L26" s="13"/>
      <c r="M26" s="14"/>
      <c r="N26" s="14"/>
      <c r="O26" s="14"/>
      <c r="P26" s="14"/>
      <c r="Q26" s="14"/>
      <c r="R26" s="15"/>
      <c r="X26">
        <v>510</v>
      </c>
      <c r="Y26">
        <f>X26+51</f>
        <v>561</v>
      </c>
    </row>
    <row r="27" spans="1:27" x14ac:dyDescent="0.25">
      <c r="A27" s="31" t="s">
        <v>383</v>
      </c>
      <c r="B27" s="1">
        <v>5</v>
      </c>
      <c r="C27" s="1">
        <v>23</v>
      </c>
      <c r="D27" s="7" t="s">
        <v>286</v>
      </c>
      <c r="E27" s="8"/>
      <c r="F27" s="134" t="s">
        <v>405</v>
      </c>
      <c r="G27" s="134"/>
      <c r="H27" s="134"/>
      <c r="I27" s="134"/>
      <c r="J27" s="9"/>
    </row>
    <row r="28" spans="1:27" x14ac:dyDescent="0.25">
      <c r="A28" s="31" t="s">
        <v>384</v>
      </c>
      <c r="B28" s="1">
        <v>5</v>
      </c>
      <c r="C28" s="1">
        <v>33</v>
      </c>
      <c r="D28" s="7" t="s">
        <v>286</v>
      </c>
      <c r="E28" s="8"/>
      <c r="F28" s="5"/>
      <c r="G28" s="5"/>
      <c r="H28" s="5"/>
      <c r="I28" s="5"/>
      <c r="J28" s="9"/>
      <c r="N28">
        <v>6</v>
      </c>
      <c r="O28">
        <v>10</v>
      </c>
      <c r="Q28">
        <v>3</v>
      </c>
      <c r="R28">
        <v>0</v>
      </c>
    </row>
    <row r="29" spans="1:27" x14ac:dyDescent="0.25">
      <c r="A29" s="31" t="s">
        <v>385</v>
      </c>
      <c r="B29" s="1">
        <v>5</v>
      </c>
      <c r="C29" s="1">
        <v>23</v>
      </c>
      <c r="D29" s="7" t="s">
        <v>286</v>
      </c>
      <c r="E29" s="8"/>
      <c r="F29" s="11"/>
      <c r="G29" s="31" t="s">
        <v>45</v>
      </c>
      <c r="H29" s="129" t="s">
        <v>4</v>
      </c>
      <c r="I29" s="129"/>
      <c r="J29" s="9"/>
      <c r="M29" t="s">
        <v>286</v>
      </c>
      <c r="N29">
        <v>6</v>
      </c>
      <c r="O29">
        <v>19</v>
      </c>
      <c r="Q29">
        <v>6</v>
      </c>
      <c r="R29">
        <v>0</v>
      </c>
      <c r="V29" s="94"/>
    </row>
    <row r="30" spans="1:27" x14ac:dyDescent="0.25">
      <c r="A30" s="31" t="s">
        <v>21</v>
      </c>
      <c r="B30" s="1">
        <v>5</v>
      </c>
      <c r="C30" s="1">
        <v>19</v>
      </c>
      <c r="D30" s="7" t="s">
        <v>286</v>
      </c>
      <c r="E30" s="8"/>
      <c r="F30" s="31" t="s">
        <v>47</v>
      </c>
      <c r="G30" s="1">
        <v>205</v>
      </c>
      <c r="H30" s="130">
        <f>((2*G30-AD5-X5*(1-IF($G$13&lt;&gt;"Indianapolis Oval",1,0.39)*C4*0.001349079032746))/(1-IF($G$13&lt;&gt;"Indianapolis Oval",1,0.39)*C4*0.001349079032746))/2</f>
        <v>126.39259177994373</v>
      </c>
      <c r="I30" s="131"/>
      <c r="J30" s="9"/>
      <c r="K30" s="94">
        <f>H30</f>
        <v>126.39259177994373</v>
      </c>
      <c r="L30" t="s">
        <v>286</v>
      </c>
      <c r="M30" t="s">
        <v>286</v>
      </c>
      <c r="N30">
        <v>6</v>
      </c>
      <c r="O30">
        <v>10</v>
      </c>
      <c r="Q30">
        <v>4</v>
      </c>
      <c r="R30">
        <v>0</v>
      </c>
      <c r="V30" s="94"/>
    </row>
    <row r="31" spans="1:27" x14ac:dyDescent="0.25">
      <c r="A31" s="31" t="s">
        <v>386</v>
      </c>
      <c r="B31" s="1">
        <v>5</v>
      </c>
      <c r="C31" s="1">
        <v>17</v>
      </c>
      <c r="D31" s="7" t="s">
        <v>286</v>
      </c>
      <c r="E31" s="8"/>
      <c r="F31" s="31" t="s">
        <v>379</v>
      </c>
      <c r="G31" s="1">
        <v>764</v>
      </c>
      <c r="H31" s="130">
        <f>(G31-X6-AD6-IF($G$13&lt;&gt;"Indianapolis Oval",1,0.39)*C5*0.29521804804429-IF($G$13&lt;&gt;"Indianapolis Oval",1,0.39)*C6*X6*0.001655723-IF($G$13&lt;&gt;"Indianapolis Oval",1,0.39)*C6*0.0469416263186552)/(1+IF($G$13&lt;&gt;"Indianapolis Oval",1,0.39)*C6*0.001655723)</f>
        <v>575.4540379770275</v>
      </c>
      <c r="I31" s="131"/>
      <c r="J31" s="9"/>
      <c r="K31" s="94">
        <f>H31</f>
        <v>575.4540379770275</v>
      </c>
      <c r="N31">
        <v>6</v>
      </c>
      <c r="O31">
        <v>13</v>
      </c>
      <c r="Q31">
        <v>4</v>
      </c>
      <c r="R31">
        <v>0</v>
      </c>
      <c r="V31" s="94"/>
    </row>
    <row r="32" spans="1:27" x14ac:dyDescent="0.25">
      <c r="D32" s="7" t="s">
        <v>286</v>
      </c>
      <c r="E32" s="8"/>
      <c r="F32" s="31" t="s">
        <v>385</v>
      </c>
      <c r="G32" s="1">
        <v>116</v>
      </c>
      <c r="H32" s="130">
        <f>G32-X7-AA7-AD7</f>
        <v>206.26199999999997</v>
      </c>
      <c r="I32" s="131"/>
      <c r="J32" s="9"/>
      <c r="K32" s="94">
        <f>H32</f>
        <v>206.26199999999997</v>
      </c>
      <c r="N32">
        <v>6</v>
      </c>
      <c r="O32">
        <v>10</v>
      </c>
      <c r="Q32">
        <v>5</v>
      </c>
      <c r="R32">
        <v>0</v>
      </c>
      <c r="V32" s="94"/>
    </row>
    <row r="33" spans="1:22" x14ac:dyDescent="0.25">
      <c r="A33" s="134" t="s">
        <v>275</v>
      </c>
      <c r="B33" s="134"/>
      <c r="C33" s="134"/>
      <c r="D33" s="7"/>
      <c r="E33" s="8"/>
      <c r="F33" s="31" t="s">
        <v>384</v>
      </c>
      <c r="G33" s="1">
        <v>637</v>
      </c>
      <c r="H33" s="130">
        <f>G33-X8-AA8-AD8</f>
        <v>722.41</v>
      </c>
      <c r="I33" s="131"/>
      <c r="J33" s="9"/>
      <c r="K33" s="94">
        <f>H33</f>
        <v>722.41</v>
      </c>
      <c r="L33" t="s">
        <v>286</v>
      </c>
      <c r="M33" t="s">
        <v>286</v>
      </c>
      <c r="N33">
        <v>6</v>
      </c>
      <c r="O33">
        <v>7</v>
      </c>
      <c r="Q33">
        <v>4</v>
      </c>
      <c r="R33">
        <v>0</v>
      </c>
      <c r="V33" s="94"/>
    </row>
    <row r="34" spans="1:22" x14ac:dyDescent="0.25">
      <c r="A34" s="130" t="s">
        <v>56</v>
      </c>
      <c r="B34" s="131"/>
      <c r="C34" s="54">
        <v>1</v>
      </c>
      <c r="D34" s="7"/>
      <c r="E34" s="13"/>
      <c r="F34" s="31" t="s">
        <v>21</v>
      </c>
      <c r="G34" s="1">
        <v>510</v>
      </c>
      <c r="H34" s="130">
        <f>G34-X9-AA9-AD9</f>
        <v>293.47999999999996</v>
      </c>
      <c r="I34" s="131"/>
      <c r="J34" s="15"/>
      <c r="K34" s="94">
        <f>H34</f>
        <v>293.47999999999996</v>
      </c>
      <c r="N34">
        <v>6</v>
      </c>
      <c r="O34">
        <v>7</v>
      </c>
      <c r="Q34">
        <v>4</v>
      </c>
      <c r="R34">
        <v>0</v>
      </c>
      <c r="V34" s="94"/>
    </row>
    <row r="35" spans="1:22" x14ac:dyDescent="0.25">
      <c r="A35" s="130" t="s">
        <v>266</v>
      </c>
      <c r="B35" s="131"/>
      <c r="C35" s="54">
        <v>8</v>
      </c>
      <c r="E35" s="13"/>
      <c r="F35" s="14"/>
      <c r="G35" s="14"/>
      <c r="H35" s="5"/>
      <c r="I35" s="5"/>
      <c r="J35" s="6"/>
      <c r="N35">
        <v>6</v>
      </c>
      <c r="O35">
        <v>10</v>
      </c>
      <c r="Q35">
        <v>5</v>
      </c>
      <c r="R35">
        <v>0</v>
      </c>
      <c r="V35" s="94"/>
    </row>
    <row r="36" spans="1:22" x14ac:dyDescent="0.25">
      <c r="A36" s="130" t="s">
        <v>205</v>
      </c>
      <c r="B36" s="131"/>
      <c r="C36" s="54">
        <v>3</v>
      </c>
      <c r="N36">
        <v>6</v>
      </c>
      <c r="O36">
        <v>16</v>
      </c>
      <c r="Q36">
        <v>5</v>
      </c>
      <c r="R36">
        <v>0</v>
      </c>
      <c r="V36" s="94"/>
    </row>
    <row r="37" spans="1:22" x14ac:dyDescent="0.25">
      <c r="A37" s="130" t="s">
        <v>206</v>
      </c>
      <c r="B37" s="131"/>
      <c r="C37" s="54">
        <v>4</v>
      </c>
      <c r="N37">
        <v>6</v>
      </c>
      <c r="O37">
        <v>10</v>
      </c>
      <c r="Q37">
        <v>4</v>
      </c>
      <c r="R37">
        <v>0</v>
      </c>
      <c r="V37" s="94"/>
    </row>
    <row r="38" spans="1:22" x14ac:dyDescent="0.25">
      <c r="A38" s="130" t="s">
        <v>267</v>
      </c>
      <c r="B38" s="131"/>
      <c r="C38" s="54">
        <v>8</v>
      </c>
      <c r="E38" s="135" t="s">
        <v>276</v>
      </c>
      <c r="F38" s="136"/>
      <c r="G38" s="136"/>
      <c r="H38" s="136"/>
      <c r="I38" s="136"/>
      <c r="J38" s="137"/>
      <c r="N38">
        <v>6</v>
      </c>
      <c r="O38">
        <v>7</v>
      </c>
      <c r="Q38">
        <v>3</v>
      </c>
      <c r="R38">
        <v>0</v>
      </c>
      <c r="V38" s="94" t="s">
        <v>286</v>
      </c>
    </row>
    <row r="39" spans="1:22" x14ac:dyDescent="0.25">
      <c r="A39" s="130" t="s">
        <v>207</v>
      </c>
      <c r="B39" s="131"/>
      <c r="C39" s="54">
        <v>7</v>
      </c>
      <c r="E39" s="138"/>
      <c r="F39" s="139"/>
      <c r="G39" s="139"/>
      <c r="H39" s="139"/>
      <c r="I39" s="139"/>
      <c r="J39" s="140"/>
      <c r="V39" t="s">
        <v>286</v>
      </c>
    </row>
    <row r="40" spans="1:22" x14ac:dyDescent="0.25">
      <c r="A40" s="132" t="s">
        <v>411</v>
      </c>
      <c r="B40" s="133"/>
      <c r="C40" s="93">
        <v>1</v>
      </c>
      <c r="E40" s="141" t="s">
        <v>277</v>
      </c>
      <c r="F40" s="142"/>
      <c r="G40" s="142"/>
      <c r="H40" s="142"/>
      <c r="I40" s="142"/>
      <c r="J40" s="143"/>
    </row>
    <row r="41" spans="1:22" x14ac:dyDescent="0.25">
      <c r="A41" s="132" t="s">
        <v>208</v>
      </c>
      <c r="B41" s="133"/>
      <c r="C41" s="93">
        <v>5</v>
      </c>
      <c r="E41" s="144"/>
      <c r="F41" s="145"/>
      <c r="G41" s="145"/>
      <c r="H41" s="145"/>
      <c r="I41" s="145"/>
      <c r="J41" s="146"/>
    </row>
    <row r="42" spans="1:22" x14ac:dyDescent="0.25">
      <c r="A42" s="132" t="s">
        <v>209</v>
      </c>
      <c r="B42" s="133"/>
      <c r="C42" s="93">
        <v>7</v>
      </c>
    </row>
    <row r="61" spans="7:7" x14ac:dyDescent="0.25">
      <c r="G61">
        <v>0</v>
      </c>
    </row>
  </sheetData>
  <mergeCells count="63">
    <mergeCell ref="F1:I1"/>
    <mergeCell ref="V1:AG1"/>
    <mergeCell ref="A2:B2"/>
    <mergeCell ref="F2:H2"/>
    <mergeCell ref="AA3:AC3"/>
    <mergeCell ref="AD3:AD4"/>
    <mergeCell ref="AE3:AG3"/>
    <mergeCell ref="A4:B4"/>
    <mergeCell ref="F4:H4"/>
    <mergeCell ref="A3:B3"/>
    <mergeCell ref="F3:H3"/>
    <mergeCell ref="M3:Q3"/>
    <mergeCell ref="W3:W4"/>
    <mergeCell ref="X3:Z3"/>
    <mergeCell ref="A1:C1"/>
    <mergeCell ref="A12:B12"/>
    <mergeCell ref="F5:H5"/>
    <mergeCell ref="A6:B6"/>
    <mergeCell ref="F6:H6"/>
    <mergeCell ref="Q6:Q11"/>
    <mergeCell ref="A7:B7"/>
    <mergeCell ref="F8:I8"/>
    <mergeCell ref="A8:B8"/>
    <mergeCell ref="F9:H9"/>
    <mergeCell ref="A9:B9"/>
    <mergeCell ref="F10:H10"/>
    <mergeCell ref="A10:B10"/>
    <mergeCell ref="A11:B11"/>
    <mergeCell ref="F12:I12"/>
    <mergeCell ref="A5:B5"/>
    <mergeCell ref="F11:H11"/>
    <mergeCell ref="A13:B13"/>
    <mergeCell ref="Q13:Q18"/>
    <mergeCell ref="A15:C15"/>
    <mergeCell ref="A16:B16"/>
    <mergeCell ref="A17:B17"/>
    <mergeCell ref="A18:B18"/>
    <mergeCell ref="Q20:Q25"/>
    <mergeCell ref="F27:I27"/>
    <mergeCell ref="H29:I29"/>
    <mergeCell ref="G13:I13"/>
    <mergeCell ref="Z12:AB12"/>
    <mergeCell ref="F19:I19"/>
    <mergeCell ref="A40:B40"/>
    <mergeCell ref="A41:B41"/>
    <mergeCell ref="A42:B42"/>
    <mergeCell ref="H34:I34"/>
    <mergeCell ref="A33:C33"/>
    <mergeCell ref="A34:B34"/>
    <mergeCell ref="A35:B35"/>
    <mergeCell ref="A36:B36"/>
    <mergeCell ref="A37:B37"/>
    <mergeCell ref="A38:B38"/>
    <mergeCell ref="A39:B39"/>
    <mergeCell ref="E38:J39"/>
    <mergeCell ref="E40:J41"/>
    <mergeCell ref="F7:H7"/>
    <mergeCell ref="H33:I33"/>
    <mergeCell ref="H32:I32"/>
    <mergeCell ref="H31:I31"/>
    <mergeCell ref="H30:I30"/>
    <mergeCell ref="F20:G20"/>
    <mergeCell ref="H20:I20"/>
  </mergeCells>
  <dataValidations count="2">
    <dataValidation type="list" operator="equal" allowBlank="1" sqref="I15:I17" xr:uid="{00000000-0002-0000-0000-000000000000}">
      <formula1>"Dry,Wet"</formula1>
      <formula2>0</formula2>
    </dataValidation>
    <dataValidation type="list" allowBlank="1" showInputMessage="1" showErrorMessage="1" sqref="O1" xr:uid="{C5C06EA9-D515-4568-9507-6FDAD8830AB5}">
      <formula1>"O,N"</formula1>
    </dataValidation>
  </dataValidations>
  <hyperlinks>
    <hyperlink ref="E40" r:id="rId1" xr:uid="{00000000-0004-0000-0000-000000000000}"/>
  </hyperlinks>
  <pageMargins left="0.78749999999999998" right="0.78749999999999998" top="1.05277777777778" bottom="1.05277777777778" header="0.78749999999999998" footer="0.78749999999999998"/>
  <pageSetup paperSize="9" orientation="portrait" useFirstPageNumber="1" r:id="rId2"/>
  <headerFooter>
    <oddHeader>&amp;C&amp;"Times New Roman,Navadno"&amp;12&amp;A</oddHeader>
    <oddFooter>&amp;C&amp;"Times New Roman,Navadno"&amp;12Página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Tracks!$A$3:$A$63</xm:f>
          </x14:formula1>
          <xm:sqref>G13:I13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C000"/>
  </sheetPr>
  <dimension ref="A1:AML59"/>
  <sheetViews>
    <sheetView zoomScale="83" zoomScaleNormal="83" workbookViewId="0">
      <selection activeCell="O24" sqref="O24"/>
    </sheetView>
  </sheetViews>
  <sheetFormatPr baseColWidth="10" defaultColWidth="9.109375" defaultRowHeight="13.2" x14ac:dyDescent="0.25"/>
  <cols>
    <col min="1" max="1" width="1.6640625" style="7"/>
    <col min="2" max="2" width="11.33203125" customWidth="1"/>
    <col min="3" max="3" width="12.88671875" customWidth="1"/>
    <col min="4" max="4" width="11" bestFit="1" customWidth="1"/>
    <col min="5" max="5" width="5" style="7"/>
    <col min="6" max="6" width="3" bestFit="1" customWidth="1"/>
    <col min="7" max="7" width="14.5546875"/>
    <col min="8" max="11" width="8.44140625"/>
    <col min="12" max="12" width="9.88671875" bestFit="1" customWidth="1"/>
    <col min="13" max="13" width="8.44140625"/>
    <col min="14" max="14" width="1.6640625" customWidth="1"/>
    <col min="15" max="15" width="7.44140625" customWidth="1"/>
    <col min="16" max="16" width="6.109375" customWidth="1"/>
    <col min="17" max="17" width="2.6640625" customWidth="1"/>
    <col min="18" max="18" width="11.5546875"/>
    <col min="19" max="19" width="7.109375" customWidth="1"/>
    <col min="20" max="20" width="7.33203125" customWidth="1"/>
    <col min="21" max="21" width="6.6640625" customWidth="1"/>
    <col min="22" max="22" width="8" customWidth="1"/>
    <col min="23" max="23" width="10.44140625" style="7" customWidth="1"/>
    <col min="24" max="24" width="2.44140625" style="7" customWidth="1"/>
    <col min="25" max="25" width="11.5546875" style="7"/>
    <col min="26" max="26" width="9.6640625" style="7" customWidth="1"/>
    <col min="27" max="27" width="8.5546875" style="7" customWidth="1"/>
    <col min="28" max="28" width="7.88671875" style="7" customWidth="1"/>
    <col min="29" max="29" width="2.44140625" style="7" customWidth="1"/>
    <col min="30" max="30" width="6.77734375" style="98" customWidth="1"/>
    <col min="31" max="31" width="7.88671875" style="7" customWidth="1"/>
    <col min="32" max="1026" width="11.5546875" style="7"/>
  </cols>
  <sheetData>
    <row r="1" spans="2:33" ht="12.75" customHeight="1" x14ac:dyDescent="0.25">
      <c r="B1" s="134" t="s">
        <v>49</v>
      </c>
      <c r="C1" s="134"/>
      <c r="F1" s="16"/>
      <c r="G1" s="5"/>
      <c r="H1" s="5"/>
      <c r="I1" s="5"/>
      <c r="J1" s="17"/>
      <c r="K1" s="5"/>
      <c r="L1" s="5"/>
      <c r="M1" s="5"/>
      <c r="N1" s="5"/>
      <c r="O1" s="17"/>
      <c r="P1" s="18"/>
      <c r="Q1" s="18"/>
      <c r="R1" s="18"/>
      <c r="S1" s="18"/>
      <c r="T1" s="18" t="s">
        <v>286</v>
      </c>
      <c r="U1" s="18"/>
      <c r="V1" s="159" t="s">
        <v>369</v>
      </c>
      <c r="W1" s="160"/>
    </row>
    <row r="2" spans="2:33" x14ac:dyDescent="0.25">
      <c r="B2" s="129" t="s">
        <v>5</v>
      </c>
      <c r="C2" s="129"/>
      <c r="F2" s="19"/>
      <c r="G2" s="134" t="s">
        <v>50</v>
      </c>
      <c r="H2" s="134"/>
      <c r="I2" s="134"/>
      <c r="J2" s="134"/>
      <c r="K2" s="134"/>
      <c r="L2" s="134"/>
      <c r="M2" s="134"/>
      <c r="N2" s="134"/>
      <c r="O2" s="134"/>
      <c r="P2" s="20"/>
      <c r="Q2" s="20"/>
      <c r="R2" s="20"/>
      <c r="S2" s="20"/>
      <c r="T2" s="20"/>
      <c r="U2" s="20"/>
      <c r="V2" s="161"/>
      <c r="W2" s="162"/>
    </row>
    <row r="3" spans="2:33" x14ac:dyDescent="0.25">
      <c r="B3" s="31" t="s">
        <v>9</v>
      </c>
      <c r="C3" s="1" t="s">
        <v>34</v>
      </c>
      <c r="F3" s="19"/>
      <c r="G3" s="10"/>
      <c r="H3" s="10"/>
      <c r="I3" s="10"/>
      <c r="J3" s="11"/>
      <c r="K3" s="10"/>
      <c r="L3" s="10"/>
      <c r="M3" s="10"/>
      <c r="N3" s="10"/>
      <c r="O3" s="11"/>
      <c r="P3" s="20"/>
      <c r="Q3" s="20"/>
      <c r="R3" s="20"/>
      <c r="S3" s="20"/>
      <c r="T3" s="20" t="s">
        <v>286</v>
      </c>
      <c r="U3" s="20" t="s">
        <v>286</v>
      </c>
      <c r="V3" s="72">
        <v>0.18</v>
      </c>
      <c r="W3" s="72">
        <v>0</v>
      </c>
    </row>
    <row r="4" spans="2:33" x14ac:dyDescent="0.25">
      <c r="E4" s="7" t="s">
        <v>286</v>
      </c>
      <c r="F4" s="8"/>
      <c r="G4" s="31" t="s">
        <v>51</v>
      </c>
      <c r="H4" s="35">
        <v>15</v>
      </c>
      <c r="I4" s="158" t="s">
        <v>52</v>
      </c>
      <c r="J4" s="158"/>
      <c r="K4" s="158"/>
      <c r="L4" s="158"/>
      <c r="M4" s="158"/>
      <c r="N4" s="10"/>
      <c r="O4" s="11"/>
      <c r="P4" s="20"/>
      <c r="Q4" s="20"/>
      <c r="R4" s="20"/>
      <c r="S4" s="20"/>
      <c r="T4" s="20" t="s">
        <v>286</v>
      </c>
      <c r="U4" s="20" t="s">
        <v>286</v>
      </c>
      <c r="V4" s="36">
        <f>VLOOKUP('Setup&amp;WS'!$G$13,Tracks!$A$3:$G$890,7,0)*Tracks!$BB$2/Tracks!$BC$1</f>
        <v>1.0524444444444443</v>
      </c>
      <c r="W4" s="36">
        <f>VLOOKUP('Setup&amp;WS'!$G$13,Tracks!$A$3:$G$890,7,0)*Tracks!$BC$2/Tracks!$BC$1</f>
        <v>3.1573333333333329</v>
      </c>
    </row>
    <row r="5" spans="2:33" x14ac:dyDescent="0.25">
      <c r="B5" s="129" t="s">
        <v>53</v>
      </c>
      <c r="C5" s="129"/>
      <c r="D5" t="s">
        <v>286</v>
      </c>
      <c r="E5" s="7" t="s">
        <v>286</v>
      </c>
      <c r="F5" s="8"/>
      <c r="G5" s="11"/>
      <c r="H5" s="11"/>
      <c r="I5" s="11"/>
      <c r="J5" s="11"/>
      <c r="K5" s="172" t="s">
        <v>54</v>
      </c>
      <c r="L5" s="173"/>
      <c r="M5" s="173"/>
      <c r="N5" s="173"/>
      <c r="O5" s="173"/>
      <c r="P5" s="173"/>
      <c r="Q5" s="20"/>
      <c r="R5" s="20"/>
      <c r="S5" s="20"/>
      <c r="T5" s="20"/>
      <c r="U5" s="20"/>
      <c r="V5" s="20" t="s">
        <v>286</v>
      </c>
      <c r="W5" s="152" t="s">
        <v>369</v>
      </c>
    </row>
    <row r="6" spans="2:33" ht="19.5" customHeight="1" x14ac:dyDescent="0.25">
      <c r="B6" s="31" t="s">
        <v>55</v>
      </c>
      <c r="C6" s="1" t="s">
        <v>56</v>
      </c>
      <c r="D6" t="s">
        <v>286</v>
      </c>
      <c r="F6" s="19"/>
      <c r="G6" s="10"/>
      <c r="H6" s="129" t="s">
        <v>57</v>
      </c>
      <c r="I6" s="129" t="s">
        <v>58</v>
      </c>
      <c r="J6" s="152" t="s">
        <v>59</v>
      </c>
      <c r="K6" s="129" t="s">
        <v>60</v>
      </c>
      <c r="L6" s="129" t="s">
        <v>58</v>
      </c>
      <c r="M6" s="174" t="s">
        <v>377</v>
      </c>
      <c r="N6" s="168" t="s">
        <v>368</v>
      </c>
      <c r="O6" s="175"/>
      <c r="P6" s="168" t="s">
        <v>61</v>
      </c>
      <c r="Q6" s="16"/>
      <c r="R6" s="174" t="s">
        <v>421</v>
      </c>
      <c r="S6" s="174" t="s">
        <v>371</v>
      </c>
      <c r="T6" s="152" t="s">
        <v>370</v>
      </c>
      <c r="U6" s="152" t="s">
        <v>61</v>
      </c>
      <c r="V6" s="152" t="s">
        <v>372</v>
      </c>
      <c r="W6" s="167"/>
      <c r="Y6" s="7" t="s">
        <v>286</v>
      </c>
      <c r="Z6" s="7" t="s">
        <v>286</v>
      </c>
    </row>
    <row r="7" spans="2:33" x14ac:dyDescent="0.25">
      <c r="B7" s="31" t="s">
        <v>62</v>
      </c>
      <c r="C7" s="1" t="s">
        <v>70</v>
      </c>
      <c r="F7" s="19"/>
      <c r="G7" s="10"/>
      <c r="H7" s="129"/>
      <c r="I7" s="129"/>
      <c r="J7" s="153"/>
      <c r="K7" s="129"/>
      <c r="L7" s="129"/>
      <c r="M7" s="174"/>
      <c r="N7" s="172"/>
      <c r="O7" s="176"/>
      <c r="P7" s="169"/>
      <c r="Q7" s="19"/>
      <c r="R7" s="174"/>
      <c r="S7" s="174"/>
      <c r="T7" s="166"/>
      <c r="U7" s="166"/>
      <c r="V7" s="155"/>
      <c r="W7" s="35">
        <v>16</v>
      </c>
      <c r="AE7" s="98"/>
      <c r="AF7" s="98"/>
      <c r="AG7" s="98"/>
    </row>
    <row r="8" spans="2:33" x14ac:dyDescent="0.25">
      <c r="F8" s="8"/>
      <c r="G8" s="31" t="s">
        <v>64</v>
      </c>
      <c r="H8" s="33">
        <f>(ROUNDUP(VLOOKUP('Setup&amp;WS'!$G$13,Tracks!$A$3:$I$890,9,0)/(Tables!F55*(100-$H$4)/100),0))-1</f>
        <v>4</v>
      </c>
      <c r="I8" s="33">
        <f>ROUNDUP(VLOOKUP('Setup&amp;WS'!G13,Tracks!$A$3:$AA$890,9,0)*(VLOOKUP('Setup&amp;WS'!G13,Tracks!$A$3:$AB$890,27,0)+Tables!H47)/(H8+1),0)</f>
        <v>49</v>
      </c>
      <c r="J8" s="36">
        <f>I8*Tables!F107+Tables!C113+Tables!F108*'Setup&amp;WS'!I10+Tables!F109*'Setup&amp;WS'!I9+Tables!F110*'Setup&amp;WS'!I5+Tables!F111*'Setup&amp;WS'!I6</f>
        <v>24.32567702096355</v>
      </c>
      <c r="K8" s="36">
        <f>H8*(J8+$D$19)</f>
        <v>137.30270808385421</v>
      </c>
      <c r="L8" s="36">
        <f>0.005*((VLOOKUP('Setup&amp;WS'!G13,Tracks!$A$3:$AA$890,9,0)*(VLOOKUP('Setup&amp;WS'!G13,Tracks!$A$3:$AB$890,27,0)+Tables!H47))*VLOOKUP('Setup&amp;WS'!$G$13,Tracks!$A$3:$I$890,9,0)/(H8+1))/2</f>
        <v>38.209874693464016</v>
      </c>
      <c r="M8" s="36">
        <v>0</v>
      </c>
      <c r="N8" s="156">
        <f>IF($D$20/($H8+1)&gt;=Tables!$G55,($D$20/($H8+1)-Tables!G55)*(Tables!$K55*$D$20/($H8+1)+Tables!$L55)*(H8+1),0)</f>
        <v>0</v>
      </c>
      <c r="O8" s="157"/>
      <c r="P8" s="74">
        <f>SUM(K8:M8)+N8</f>
        <v>175.51258277731824</v>
      </c>
      <c r="Q8" s="19"/>
      <c r="R8" s="163">
        <f>-VLOOKUP('Setup&amp;WS'!$G$13,Tracks!$A$3:$AY$890,51,0)*$D$18*$W$18</f>
        <v>-22.556927519999999</v>
      </c>
      <c r="S8" s="73">
        <v>3</v>
      </c>
      <c r="T8" s="36">
        <f>IF($D$20/($S8+1)&gt;=Tables!$G55,($D$20/($S8+1)-Tables!G55)*(Tables!$K55*$D$20/($S8+1)+Tables!$L55)*(S8+1),0)</f>
        <v>10.915738615044518</v>
      </c>
      <c r="U8" s="36">
        <f>S8*(ROUNDUP(VLOOKUP('Setup&amp;WS'!G$13,Tracks!$A$3:$AA$890,9,0)*(VLOOKUP('Setup&amp;WS'!G$13,Tracks!$A$3:$AB$890,27,0)+Tables!H$47)/(S8+1),0)*Tables!F$107+Tables!C$113+Tables!F$108*'Setup&amp;WS'!I$10+Tables!F$109*'Setup&amp;WS'!I$9+Tables!F$110*'Setup&amp;WS'!I$5+Tables!F$111*'Setup&amp;WS'!I$6+$D$19)+0.005*((VLOOKUP('Setup&amp;WS'!G$13,Tracks!$A$3:$AA$890,9,0)*(VLOOKUP('Setup&amp;WS'!G$13,Tracks!$A$3:$AB$890,27,0)+Tables!H$47))*VLOOKUP('Setup&amp;WS'!$G$13,Tracks!$A$3:$I$890,9,0)/(S8+1))/2+M8+T8</f>
        <v>162.9345311085599</v>
      </c>
      <c r="V8" s="40">
        <f>0.005*((VLOOKUP('Setup&amp;WS'!G13,Tracks!$A$3:$AA$890,9,0)*(VLOOKUP('Setup&amp;WS'!G13,Tracks!$A$3:$AB$890,27,0)+Tables!H47))*VLOOKUP('Setup&amp;WS'!$G$13,Tracks!$A$3:$I$890,9,0)/(S8+1))/$D$18</f>
        <v>1.4257415930397019</v>
      </c>
      <c r="W8" s="163">
        <f>IF(W7&gt;18,0,IF(W7&gt;=0,W4-W7*(W4-V4)/18,0))</f>
        <v>1.2863209876543209</v>
      </c>
      <c r="AE8" s="98"/>
      <c r="AF8" s="98"/>
      <c r="AG8" s="98"/>
    </row>
    <row r="9" spans="2:33" x14ac:dyDescent="0.25">
      <c r="B9" s="134" t="s">
        <v>65</v>
      </c>
      <c r="C9" s="134"/>
      <c r="D9" s="134"/>
      <c r="F9" s="8"/>
      <c r="G9" s="31" t="s">
        <v>63</v>
      </c>
      <c r="H9" s="33">
        <f>(ROUNDUP(VLOOKUP('Setup&amp;WS'!$G$13,Tracks!$A$3:$I$890,9,0)/(Tables!F56*(100-$H$4)/100),0))-1</f>
        <v>3</v>
      </c>
      <c r="I9" s="33">
        <f>ROUNDUP(VLOOKUP('Setup&amp;WS'!G13,Tracks!$A$3:$AA$890,9,0)*(VLOOKUP('Setup&amp;WS'!G13,Tracks!$A$3:$AB$890,27,0)+Tables!H47)/(H9+1),0)</f>
        <v>61</v>
      </c>
      <c r="J9" s="36">
        <f>I9*Tables!F107+Tables!C113+Tables!F108*'Setup&amp;WS'!I10+Tables!F109*'Setup&amp;WS'!I9+Tables!F110*'Setup&amp;WS'!I5+Tables!F111*'Setup&amp;WS'!I6</f>
        <v>24.752149708895121</v>
      </c>
      <c r="K9" s="36">
        <f>H9*(J9+$D$19)</f>
        <v>104.25644912668535</v>
      </c>
      <c r="L9" s="36">
        <f>0.005*((VLOOKUP('Setup&amp;WS'!G13,Tracks!$A$3:$AA$890,9,0)*(VLOOKUP('Setup&amp;WS'!G13,Tracks!$A$3:$AB$890,27,0)+Tables!H47))*VLOOKUP('Setup&amp;WS'!$G$13,Tracks!$A$3:$I$890,9,0)/(H9+1))/2</f>
        <v>47.762343366830017</v>
      </c>
      <c r="M9" s="36">
        <f>VLOOKUP('Setup&amp;WS'!$G$13,Tracks!$A$3:$O$890,8,0)*(VLOOKUP('Setup&amp;WS'!$G$13,Tracks!$A$3:$O$890,15,0)*VLOOKUP('Setup&amp;WS'!$G$13,Tracks!$A$3:$O$890,7,0)*0.00018*(50-'Setup&amp;WS'!$G$17)+VLOOKUP($C$6,Tables!$A$117:$B$125,2,0))</f>
        <v>15.535595519999999</v>
      </c>
      <c r="N9" s="156">
        <f>IF($D$20/($H9+1)&gt;=Tables!$G56,($D$20/($H9+1)-Tables!G56)*(Tables!$K56*$D$20/($H9+1)+Tables!$L56)*(H9+1),0)</f>
        <v>0</v>
      </c>
      <c r="O9" s="157"/>
      <c r="P9" s="74">
        <f>SUM(K9:M9)+N9</f>
        <v>167.55438801351536</v>
      </c>
      <c r="Q9" s="8"/>
      <c r="R9" s="170"/>
      <c r="S9" s="73">
        <v>2</v>
      </c>
      <c r="T9" s="36">
        <f>IF($D$20/($S9+1)&gt;=Tables!$G56,($D$20/($S9+1)-Tables!G56)*(Tables!$K56*$D$20/($S9+1)+Tables!$L56)*(S9+1),0)</f>
        <v>11.947930667225286</v>
      </c>
      <c r="U9" s="36">
        <f>S9*(ROUNDUP(VLOOKUP('Setup&amp;WS'!G$13,Tracks!$A$3:$AA$890,9,0)*(VLOOKUP('Setup&amp;WS'!G$13,Tracks!$A$3:$AB$890,27,0)+Tables!H$47)/(S9+1),0)*Tables!F$107+Tables!C$113+Tables!F$108*'Setup&amp;WS'!I$10+Tables!F$109*'Setup&amp;WS'!I$9+Tables!F$110*'Setup&amp;WS'!I$5+Tables!F$111*'Setup&amp;WS'!I$6+$D$19)+0.005*((VLOOKUP('Setup&amp;WS'!G$13,Tracks!$A$3:$AA$890,9,0)*(VLOOKUP('Setup&amp;WS'!G$13,Tracks!$A$3:$AB$890,27,0)+Tables!H$47))*VLOOKUP('Setup&amp;WS'!$G$13,Tracks!$A$3:$I$890,9,0)/(S9+1))/2+M9+T9</f>
        <v>162.09252572056079</v>
      </c>
      <c r="V9" s="40">
        <f>0.005*((VLOOKUP('Setup&amp;WS'!G13,Tracks!$A$3:$AA$890,9,0)*(VLOOKUP('Setup&amp;WS'!G13,Tracks!$A$3:$AB$890,27,0)+Tables!H47))*VLOOKUP('Setup&amp;WS'!$G$13,Tracks!$A$3:$I$890,9,0)/(S9+1))/$D$18</f>
        <v>1.9009887907196028</v>
      </c>
      <c r="W9" s="164"/>
      <c r="AE9" s="98"/>
      <c r="AF9" s="98"/>
      <c r="AG9" s="98"/>
    </row>
    <row r="10" spans="2:33" x14ac:dyDescent="0.25">
      <c r="C10" s="31" t="s">
        <v>66</v>
      </c>
      <c r="D10" s="31" t="s">
        <v>67</v>
      </c>
      <c r="F10" s="8"/>
      <c r="G10" s="31" t="s">
        <v>68</v>
      </c>
      <c r="H10" s="33">
        <f>(ROUNDUP(VLOOKUP('Setup&amp;WS'!$G$13,Tracks!$A$3:$I$890,9,0)/(Tables!F57*(100-$H$4)/100),0))-1</f>
        <v>2</v>
      </c>
      <c r="I10" s="33">
        <f>ROUNDUP(VLOOKUP('Setup&amp;WS'!G13,Tracks!$A$3:$AA$890,9,0)*(VLOOKUP('Setup&amp;WS'!G13,Tracks!$A$3:$AB$890,27,0)+Tables!H47)/(H10+1),0)</f>
        <v>81</v>
      </c>
      <c r="J10" s="36">
        <f>I10*Tables!F107+Tables!C113+Tables!F108*'Setup&amp;WS'!I10+Tables!F109*'Setup&amp;WS'!I9+Tables!F110*'Setup&amp;WS'!I5+Tables!F111*'Setup&amp;WS'!I6</f>
        <v>25.462937522114412</v>
      </c>
      <c r="K10" s="36">
        <f>H10*(J10+$D$19)</f>
        <v>70.925875044228832</v>
      </c>
      <c r="L10" s="36">
        <f>0.005*((VLOOKUP('Setup&amp;WS'!G13,Tracks!$A$3:$AA$890,9,0)*(VLOOKUP('Setup&amp;WS'!G13,Tracks!$A$3:$AB$890,27,0)+Tables!H47))*VLOOKUP('Setup&amp;WS'!$G$13,Tracks!$A$3:$I$890,9,0)/(H10+1))/2</f>
        <v>63.683124489106696</v>
      </c>
      <c r="M10" s="36">
        <f>M9*2</f>
        <v>31.071191039999999</v>
      </c>
      <c r="N10" s="156">
        <f>IF($D$20/($H10+1)&gt;=Tables!$G57,($D$20/($H10+1)-Tables!G57)*(Tables!$K57*$D$20/($H10+1)+Tables!$L57)*(H10+1),0)</f>
        <v>0</v>
      </c>
      <c r="O10" s="157"/>
      <c r="P10" s="74">
        <f>SUM(K10:M10)+N10</f>
        <v>165.68019057333552</v>
      </c>
      <c r="Q10" s="8"/>
      <c r="R10" s="170"/>
      <c r="S10" s="73">
        <v>2</v>
      </c>
      <c r="T10" s="36">
        <f>IF($D$20/($S10+1)&gt;=Tables!$G57,($D$20/($S10+1)-Tables!G57)*(Tables!$K57*$D$20/($S10+1)+Tables!$L57)*(S10+1),0)</f>
        <v>0</v>
      </c>
      <c r="U10" s="36">
        <f>S10*(ROUNDUP(VLOOKUP('Setup&amp;WS'!G$13,Tracks!$A$3:$AA$890,9,0)*(VLOOKUP('Setup&amp;WS'!G$13,Tracks!$A$3:$AB$890,27,0)+Tables!H$47)/(S10+1),0)*Tables!F$107+Tables!C$113+Tables!F$108*'Setup&amp;WS'!I$10+Tables!F$109*'Setup&amp;WS'!I$9+Tables!F$110*'Setup&amp;WS'!I$5+Tables!F$111*'Setup&amp;WS'!I$6+$D$19)+0.005*((VLOOKUP('Setup&amp;WS'!G$13,Tracks!$A$3:$AA$890,9,0)*(VLOOKUP('Setup&amp;WS'!G$13,Tracks!$A$3:$AB$890,27,0)+Tables!H$47))*VLOOKUP('Setup&amp;WS'!$G$13,Tracks!$A$3:$I$890,9,0)/(S10+1))/2+M10+T10</f>
        <v>165.68019057333552</v>
      </c>
      <c r="V10" s="40">
        <f>0.005*((VLOOKUP('Setup&amp;WS'!G13,Tracks!$A$3:$AA$890,9,0)*(VLOOKUP('Setup&amp;WS'!G13,Tracks!$A$3:$AB$890,27,0)+Tables!H47))*VLOOKUP('Setup&amp;WS'!$G$13,Tracks!$A$3:$I$890,9,0)/(S10+1))/$D$18</f>
        <v>1.9009887907196028</v>
      </c>
      <c r="W10" s="164"/>
      <c r="X10" s="7" t="s">
        <v>286</v>
      </c>
      <c r="AE10" s="98"/>
      <c r="AF10" s="98"/>
      <c r="AG10" s="98"/>
    </row>
    <row r="11" spans="2:33" x14ac:dyDescent="0.25">
      <c r="B11" s="31" t="s">
        <v>69</v>
      </c>
      <c r="C11" s="41">
        <f>IF(C3="Dry",VLOOKUP('Setup&amp;WS'!G13,Tracks!$A$3:$AB$890,27,0),VLOOKUP('Setup&amp;WS'!G13,Tracks!$A$3:$AB$890,28,0))+Tables!H47</f>
        <v>0.75904140153280797</v>
      </c>
      <c r="D11" s="36">
        <f>VLOOKUP('Setup&amp;WS'!G13,Tracks!$A$3:$AA$890,9,0)*C11</f>
        <v>240.84383670635998</v>
      </c>
      <c r="F11" s="8"/>
      <c r="G11" s="31" t="s">
        <v>70</v>
      </c>
      <c r="H11" s="33">
        <f>(ROUNDUP(VLOOKUP('Setup&amp;WS'!$G$13,Tracks!$A$3:$I$890,9,0)/(Tables!F58*(100-$H$4)/100),0))-1</f>
        <v>1</v>
      </c>
      <c r="I11" s="33">
        <f>ROUNDUP(VLOOKUP('Setup&amp;WS'!G13,Tracks!$A$3:$AA$890,9,0)*(VLOOKUP('Setup&amp;WS'!G13,Tracks!$A$3:$AB$890,27,0)+Tables!H47)/(H11+1),0)</f>
        <v>121</v>
      </c>
      <c r="J11" s="36">
        <f>I11*Tables!F107+Tables!C113+Tables!F108*'Setup&amp;WS'!I10+Tables!F109*'Setup&amp;WS'!I9+Tables!F110*'Setup&amp;WS'!I5+Tables!F111*'Setup&amp;WS'!I6</f>
        <v>26.884513148552994</v>
      </c>
      <c r="K11" s="36">
        <f>H11*(J11+$D$19)</f>
        <v>36.884513148552998</v>
      </c>
      <c r="L11" s="36">
        <f>0.005*((VLOOKUP('Setup&amp;WS'!G13,Tracks!$A$3:$AA$890,9,0)*(VLOOKUP('Setup&amp;WS'!G13,Tracks!$A$3:$AB$890,27,0)+Tables!H47))*VLOOKUP('Setup&amp;WS'!$G$13,Tracks!$A$3:$I$890,9,0)/(H11+1))/2</f>
        <v>95.524686733660033</v>
      </c>
      <c r="M11" s="36">
        <f>M9*3</f>
        <v>46.606786559999996</v>
      </c>
      <c r="N11" s="156">
        <f>IF($D$20/($H11+1)&gt;=Tables!$G58,($D$20/($H11+1)-Tables!G58)*(Tables!$K58*$D$20/($H11+1)+Tables!$L58)*(H11+1),0)</f>
        <v>0</v>
      </c>
      <c r="O11" s="157"/>
      <c r="P11" s="74">
        <f>SUM(K11:M11)+N11</f>
        <v>179.01598644221303</v>
      </c>
      <c r="Q11" s="8"/>
      <c r="R11" s="170"/>
      <c r="S11" s="73">
        <v>1</v>
      </c>
      <c r="T11" s="36">
        <f>IF($D$20/($S11+1)&gt;=Tables!$G58,($D$20/($S11+1)-Tables!G58)*(Tables!$K58*$D$20/($S11+1)+Tables!$L58)*(S11+1),0)</f>
        <v>0</v>
      </c>
      <c r="U11" s="36">
        <f>S11*(ROUNDUP(VLOOKUP('Setup&amp;WS'!G$13,Tracks!$A$3:$AA$890,9,0)*(VLOOKUP('Setup&amp;WS'!G$13,Tracks!$A$3:$AB$890,27,0)+Tables!H$47)/(S11+1),0)*Tables!F$107+Tables!C$113+Tables!F$108*'Setup&amp;WS'!I$10+Tables!F$109*'Setup&amp;WS'!I$9+Tables!F$110*'Setup&amp;WS'!I$5+Tables!F$111*'Setup&amp;WS'!I$6+$D$19)+0.005*((VLOOKUP('Setup&amp;WS'!G$13,Tracks!$A$3:$AA$890,9,0)*(VLOOKUP('Setup&amp;WS'!G$13,Tracks!$A$3:$AB$890,27,0)+Tables!H$47))*VLOOKUP('Setup&amp;WS'!$G$13,Tracks!$A$3:$I$890,9,0)/(S11+1))/2+M11+T11</f>
        <v>179.01598644221303</v>
      </c>
      <c r="V11" s="40">
        <f>0.005*((VLOOKUP('Setup&amp;WS'!G13,Tracks!$A$3:$AA$890,9,0)*(VLOOKUP('Setup&amp;WS'!G13,Tracks!$A$3:$AB$890,27,0)+Tables!H47))*VLOOKUP('Setup&amp;WS'!$G$13,Tracks!$A$3:$I$890,9,0)/(S11+1))/$D$18</f>
        <v>2.8514831860794039</v>
      </c>
      <c r="W11" s="164"/>
      <c r="AE11" s="98"/>
      <c r="AF11" s="98"/>
      <c r="AG11" s="98"/>
    </row>
    <row r="12" spans="2:33" x14ac:dyDescent="0.25">
      <c r="B12" t="s">
        <v>286</v>
      </c>
      <c r="C12" t="s">
        <v>286</v>
      </c>
      <c r="F12" s="8"/>
      <c r="G12" s="31" t="s">
        <v>71</v>
      </c>
      <c r="H12" s="33">
        <f>(ROUNDUP(VLOOKUP('Setup&amp;WS'!$G$13,Tracks!$A$3:$I$890,9,0)/(Tables!F59*(100-$H$4)/100),0))-1</f>
        <v>1</v>
      </c>
      <c r="I12" s="33">
        <f>ROUNDUP(VLOOKUP('Setup&amp;WS'!G13,Tracks!$A$3:$AA$890,9,0)*(VLOOKUP('Setup&amp;WS'!G13,Tracks!$A$3:$AB$890,28,0)+Tables!H47)/(H12+1),0)</f>
        <v>99</v>
      </c>
      <c r="J12" s="36">
        <f>I12*Tables!F107+Tables!C113+Tables!F108*'Setup&amp;WS'!I10+Tables!F109*'Setup&amp;WS'!I9+Tables!F110*'Setup&amp;WS'!I5+Tables!F111*'Setup&amp;WS'!I6</f>
        <v>26.102646554011773</v>
      </c>
      <c r="K12" s="36">
        <f>H12*(J12+$D$19)</f>
        <v>36.10264655401177</v>
      </c>
      <c r="L12" s="36">
        <f>0.005*((VLOOKUP('Setup&amp;WS'!G13,Tracks!$A$3:$AA$890,9,0)*(VLOOKUP('Setup&amp;WS'!G13,Tracks!$A$3:$AB$890,28,0)+Tables!H47))*VLOOKUP('Setup&amp;WS'!$G$13,Tracks!$A$3:$I$890,9,0)/(H12+1))/2</f>
        <v>78.360126279785035</v>
      </c>
      <c r="M12" s="36" t="s">
        <v>72</v>
      </c>
      <c r="N12" s="156">
        <f>IF($D$20/($H12+1)&gt;=Tables!$G59,($D$20/($H12+1)-Tables!G59)*(Tables!$K59*$D$20/($H12+1)+Tables!$L59)*(H12+1),0)</f>
        <v>0</v>
      </c>
      <c r="O12" s="157"/>
      <c r="P12" s="74">
        <f>SUM(K12:M12)+N12</f>
        <v>114.46277283379681</v>
      </c>
      <c r="Q12" s="8"/>
      <c r="R12" s="171"/>
      <c r="S12" s="73">
        <v>1</v>
      </c>
      <c r="T12" s="36">
        <f>IF($D$20/($S12+1)&gt;=Tables!$G59,($D$20/($S12+1)-Tables!G59)*(Tables!$K59*$D$20/($S12+1)+Tables!$L59)*(S12+1),0)</f>
        <v>0</v>
      </c>
      <c r="U12" s="36">
        <f>S12*(ROUNDUP(VLOOKUP('Setup&amp;WS'!G13,Tracks!$A$3:$AA$890,9,0)*(VLOOKUP('Setup&amp;WS'!G13,Tracks!$A$3:$AB$890,28,0)+Tables!H47)/(S12+1),0)*Tables!F107+Tables!C113+Tables!F108*'Setup&amp;WS'!I10+Tables!F109*'Setup&amp;WS'!I9+Tables!F110*'Setup&amp;WS'!I5+Tables!F111*'Setup&amp;WS'!I6+$D$19)+0.005*((VLOOKUP('Setup&amp;WS'!G13,Tracks!$A$3:$AA$890,9,0)*(VLOOKUP('Setup&amp;WS'!G13,Tracks!$A$3:$AB$890,28,0)+Tables!H47))*VLOOKUP('Setup&amp;WS'!$G$13,Tracks!$A$3:$I$890,9,0)/(S12+1))/2+T12</f>
        <v>114.46277283379681</v>
      </c>
      <c r="V12" s="40">
        <f>0.005*((VLOOKUP('Setup&amp;WS'!G13,Tracks!$A$3:$AA$890,9,0)*(VLOOKUP('Setup&amp;WS'!G13,Tracks!$A$3:$AB$890,28,0)+Tables!H47))*VLOOKUP('Setup&amp;WS'!$G$13,Tracks!$A$3:$I$890,9,0)/(S12+1))/$D$18</f>
        <v>2.3391082471577622</v>
      </c>
      <c r="W12" s="165"/>
      <c r="Y12" s="28"/>
      <c r="AE12" s="98"/>
      <c r="AF12" s="98"/>
      <c r="AG12" s="98"/>
    </row>
    <row r="13" spans="2:33" x14ac:dyDescent="0.25">
      <c r="C13" s="31" t="s">
        <v>73</v>
      </c>
      <c r="D13" s="31" t="s">
        <v>74</v>
      </c>
      <c r="F13" s="13"/>
      <c r="G13" s="14" t="s">
        <v>286</v>
      </c>
      <c r="H13" s="14"/>
      <c r="I13" s="14"/>
      <c r="J13" s="14"/>
      <c r="K13" s="14" t="s">
        <v>286</v>
      </c>
      <c r="L13" s="14" t="s">
        <v>286</v>
      </c>
      <c r="M13" s="14" t="s">
        <v>286</v>
      </c>
      <c r="N13" s="14"/>
      <c r="O13" s="14"/>
      <c r="P13" s="15"/>
      <c r="Q13" s="15"/>
      <c r="R13" s="15"/>
      <c r="S13" s="15"/>
      <c r="T13" s="15"/>
      <c r="U13" s="15"/>
      <c r="V13" s="15"/>
    </row>
    <row r="14" spans="2:33" x14ac:dyDescent="0.25">
      <c r="B14" s="31" t="s">
        <v>53</v>
      </c>
      <c r="C14" s="36">
        <f>Tables!K82*VLOOKUP('Setup&amp;WS'!$G$13,Tracks!A3:AD890,30,0)*Tables!B77*IF(C7="Rain",0.73,1)</f>
        <v>210.58919693944992</v>
      </c>
      <c r="D14" s="36">
        <f>C14/VLOOKUP('Setup&amp;WS'!G13,Tracks!$A$3:$G$890,7,0)</f>
        <v>44.465624353768987</v>
      </c>
      <c r="G14" t="s">
        <v>286</v>
      </c>
      <c r="H14" t="s">
        <v>286</v>
      </c>
      <c r="I14" t="s">
        <v>286</v>
      </c>
      <c r="J14">
        <v>25</v>
      </c>
      <c r="K14">
        <v>46</v>
      </c>
      <c r="L14">
        <v>59</v>
      </c>
      <c r="M14">
        <f>(M11-M10)/D18</f>
        <v>0.23187455999999995</v>
      </c>
      <c r="N14" t="s">
        <v>286</v>
      </c>
      <c r="O14" t="s">
        <v>286</v>
      </c>
      <c r="R14" s="76" t="s">
        <v>286</v>
      </c>
      <c r="S14" s="76" t="s">
        <v>286</v>
      </c>
      <c r="T14" s="76" t="s">
        <v>286</v>
      </c>
    </row>
    <row r="15" spans="2:33" x14ac:dyDescent="0.25">
      <c r="C15" t="s">
        <v>286</v>
      </c>
      <c r="D15" t="s">
        <v>286</v>
      </c>
      <c r="F15" s="16"/>
      <c r="G15" s="5"/>
      <c r="H15" s="5"/>
      <c r="I15" s="5"/>
      <c r="J15" s="5"/>
      <c r="K15" s="5"/>
      <c r="L15" s="5"/>
      <c r="M15" s="5"/>
      <c r="N15" s="6"/>
      <c r="O15" t="s">
        <v>286</v>
      </c>
      <c r="P15" s="76" t="s">
        <v>286</v>
      </c>
      <c r="Q15" s="16"/>
      <c r="R15" s="17"/>
      <c r="S15" s="17"/>
      <c r="T15" s="17"/>
      <c r="U15" s="17"/>
      <c r="V15" s="18"/>
      <c r="X15" t="s">
        <v>286</v>
      </c>
      <c r="Y15"/>
      <c r="Z15"/>
      <c r="AA15"/>
      <c r="AB15"/>
      <c r="AC15"/>
      <c r="AD15" s="94"/>
    </row>
    <row r="16" spans="2:33" x14ac:dyDescent="0.25">
      <c r="B16" s="134" t="s">
        <v>75</v>
      </c>
      <c r="C16" s="134"/>
      <c r="D16" s="134"/>
      <c r="F16" s="19"/>
      <c r="G16" s="134" t="s">
        <v>76</v>
      </c>
      <c r="H16" s="134"/>
      <c r="I16" s="134"/>
      <c r="J16" s="134"/>
      <c r="K16" s="134"/>
      <c r="L16" s="134"/>
      <c r="M16" s="134"/>
      <c r="N16" s="9"/>
      <c r="O16" t="s">
        <v>286</v>
      </c>
      <c r="P16" s="94" t="s">
        <v>286</v>
      </c>
      <c r="Q16" s="19"/>
      <c r="R16" s="134" t="s">
        <v>77</v>
      </c>
      <c r="S16" s="134"/>
      <c r="T16" s="134"/>
      <c r="U16" s="134"/>
      <c r="V16" s="20"/>
      <c r="X16" t="s">
        <v>286</v>
      </c>
      <c r="Y16"/>
      <c r="Z16"/>
      <c r="AA16"/>
      <c r="AB16"/>
      <c r="AC16"/>
      <c r="AD16" s="94"/>
    </row>
    <row r="17" spans="2:36" x14ac:dyDescent="0.25">
      <c r="B17" s="129" t="s">
        <v>78</v>
      </c>
      <c r="C17" s="129"/>
      <c r="D17" s="33" t="str">
        <f>VLOOKUP('Setup&amp;WS'!$G$13,Tracks!$A$3:$P$890,3,0)</f>
        <v>Very Easy</v>
      </c>
      <c r="F17" s="8"/>
      <c r="G17" s="10"/>
      <c r="H17" s="10"/>
      <c r="I17" s="10"/>
      <c r="J17" s="10"/>
      <c r="K17" s="10"/>
      <c r="L17" s="10"/>
      <c r="M17" s="10"/>
      <c r="N17" s="9"/>
      <c r="O17" s="98" t="s">
        <v>459</v>
      </c>
      <c r="P17" s="98" t="s">
        <v>431</v>
      </c>
      <c r="Q17" s="19"/>
      <c r="R17" s="10"/>
      <c r="S17" s="11" t="s">
        <v>289</v>
      </c>
      <c r="T17" s="11" t="s">
        <v>288</v>
      </c>
      <c r="U17" s="11" t="s">
        <v>290</v>
      </c>
      <c r="V17" s="20"/>
      <c r="W17" s="31" t="s">
        <v>291</v>
      </c>
      <c r="X17"/>
      <c r="Z17"/>
      <c r="AA17"/>
      <c r="AB17"/>
      <c r="AC17"/>
      <c r="AD17" s="94"/>
    </row>
    <row r="18" spans="2:36" x14ac:dyDescent="0.25">
      <c r="B18" s="129" t="s">
        <v>74</v>
      </c>
      <c r="C18" s="129"/>
      <c r="D18" s="33">
        <f>VLOOKUP('Setup&amp;WS'!$G$13,Tracks!$A$3:$P$890,8,0)</f>
        <v>67</v>
      </c>
      <c r="F18" s="8"/>
      <c r="G18" s="31" t="s">
        <v>79</v>
      </c>
      <c r="H18" s="1">
        <v>8</v>
      </c>
      <c r="I18" s="10"/>
      <c r="J18" s="130" t="s">
        <v>422</v>
      </c>
      <c r="K18" s="131"/>
      <c r="L18" s="111">
        <v>0</v>
      </c>
      <c r="M18" s="113">
        <f>L18*VLOOKUP('Setup&amp;WS'!G13,Tracks!$A$3:$AA$890,7,0)*IF(C3="Dry",VLOOKUP('Setup&amp;WS'!G13,Tracks!$A$3:$AV$890,44,0),VLOOKUP('Setup&amp;WS'!G13,Tracks!$A$3:$AV$890,45,0))</f>
        <v>0</v>
      </c>
      <c r="N18" s="9"/>
      <c r="O18" s="98">
        <v>30</v>
      </c>
      <c r="P18" s="98">
        <v>85</v>
      </c>
      <c r="Q18" s="8"/>
      <c r="R18" s="31" t="s">
        <v>80</v>
      </c>
      <c r="S18" s="1">
        <v>20</v>
      </c>
      <c r="T18" s="1">
        <v>20</v>
      </c>
      <c r="U18" s="1">
        <v>20</v>
      </c>
      <c r="V18" s="9"/>
      <c r="W18" s="33">
        <f>IF(C3="dry",S18,T18)</f>
        <v>20</v>
      </c>
      <c r="X18"/>
      <c r="Z18" s="127" t="s">
        <v>467</v>
      </c>
      <c r="AA18"/>
      <c r="AB18"/>
      <c r="AC18"/>
      <c r="AD18" s="94"/>
      <c r="AG18" s="128" t="s">
        <v>468</v>
      </c>
      <c r="AJ18" s="128" t="s">
        <v>469</v>
      </c>
    </row>
    <row r="19" spans="2:36" x14ac:dyDescent="0.25">
      <c r="B19" s="129" t="s">
        <v>81</v>
      </c>
      <c r="C19" s="129"/>
      <c r="D19" s="39">
        <f>VLOOKUP('Setup&amp;WS'!$G$13,Tracks!$A$3:$P$890,16,0)</f>
        <v>10</v>
      </c>
      <c r="F19" s="8"/>
      <c r="G19" s="10"/>
      <c r="H19" s="10" t="s">
        <v>286</v>
      </c>
      <c r="I19" s="10"/>
      <c r="J19" s="10"/>
      <c r="K19" s="10"/>
      <c r="L19" s="10"/>
      <c r="M19" s="10"/>
      <c r="N19" s="9"/>
      <c r="O19" s="98">
        <v>30</v>
      </c>
      <c r="P19" s="98">
        <v>85</v>
      </c>
      <c r="Q19" s="8"/>
      <c r="R19" s="10"/>
      <c r="S19" s="10"/>
      <c r="T19" s="10"/>
      <c r="U19" s="10"/>
      <c r="V19" s="9"/>
      <c r="X19"/>
      <c r="Y19"/>
      <c r="Z19"/>
      <c r="AA19"/>
      <c r="AB19"/>
      <c r="AC19"/>
      <c r="AD19" s="94"/>
      <c r="AG19" s="128"/>
    </row>
    <row r="20" spans="2:36" x14ac:dyDescent="0.25">
      <c r="B20" s="129" t="s">
        <v>340</v>
      </c>
      <c r="C20" s="129"/>
      <c r="D20" s="63">
        <f>VLOOKUP('Setup&amp;WS'!G13,Tracks!A3:I63,9)</f>
        <v>317.3</v>
      </c>
      <c r="F20" s="8"/>
      <c r="G20" s="10"/>
      <c r="H20" s="31" t="s">
        <v>82</v>
      </c>
      <c r="I20" s="31" t="s">
        <v>83</v>
      </c>
      <c r="J20" s="31" t="s">
        <v>84</v>
      </c>
      <c r="K20" s="31" t="s">
        <v>85</v>
      </c>
      <c r="L20" s="31" t="s">
        <v>86</v>
      </c>
      <c r="M20" s="10"/>
      <c r="N20" s="9"/>
      <c r="O20" s="98">
        <v>12</v>
      </c>
      <c r="P20" s="98">
        <v>41</v>
      </c>
      <c r="Q20" s="19"/>
      <c r="R20" s="11"/>
      <c r="S20" s="31" t="s">
        <v>87</v>
      </c>
      <c r="T20" s="31" t="s">
        <v>88</v>
      </c>
      <c r="U20" s="31" t="s">
        <v>89</v>
      </c>
      <c r="V20" s="20"/>
      <c r="W20" s="7" t="s">
        <v>460</v>
      </c>
      <c r="X20"/>
      <c r="Y20" t="s">
        <v>463</v>
      </c>
      <c r="Z20" t="s">
        <v>464</v>
      </c>
      <c r="AA20" t="s">
        <v>465</v>
      </c>
      <c r="AB20" t="s">
        <v>466</v>
      </c>
      <c r="AC20"/>
      <c r="AD20" s="94"/>
      <c r="AE20" s="7" t="s">
        <v>460</v>
      </c>
      <c r="AF20" s="94" t="s">
        <v>463</v>
      </c>
      <c r="AG20" s="94" t="s">
        <v>464</v>
      </c>
      <c r="AH20" s="94" t="s">
        <v>465</v>
      </c>
      <c r="AI20" s="94" t="s">
        <v>466</v>
      </c>
    </row>
    <row r="21" spans="2:36" x14ac:dyDescent="0.25">
      <c r="D21" s="7" t="s">
        <v>286</v>
      </c>
      <c r="F21" s="8"/>
      <c r="G21" s="31" t="s">
        <v>74</v>
      </c>
      <c r="H21" s="33">
        <f>IF(SUM(Tables!B86:B87)&gt;0,SUM(Tables!B86:B87),"-")</f>
        <v>8</v>
      </c>
      <c r="I21" s="33">
        <f>IF(SUM(Tables!C86:C87)&gt;0,SUM(Tables!C86:C87),"-")</f>
        <v>8</v>
      </c>
      <c r="J21" s="33">
        <f>IF(SUM(Tables!D86:D87)&gt;0,SUM(Tables!D86:D87),"-")</f>
        <v>8</v>
      </c>
      <c r="K21" s="33">
        <f>IF(SUM(Tables!E86:E87)&gt;0,SUM(Tables!E86:E87),"-")</f>
        <v>8</v>
      </c>
      <c r="L21" s="33">
        <f>IF(SUM(Tables!F86:F87)&gt;0,SUM(Tables!F86:F87),"-")</f>
        <v>8</v>
      </c>
      <c r="M21" s="10"/>
      <c r="N21" s="9"/>
      <c r="O21" s="98" t="s">
        <v>286</v>
      </c>
      <c r="P21" s="98" t="s">
        <v>286</v>
      </c>
      <c r="Q21" s="19"/>
      <c r="R21" s="31" t="s">
        <v>38</v>
      </c>
      <c r="S21" s="34">
        <f>'Setup&amp;WS'!C21</f>
        <v>18</v>
      </c>
      <c r="T21" s="36">
        <f>VLOOKUP('Setup&amp;WS'!$G$13,Tracks!$A$3:$AP$890,32,0)*VLOOKUP('Setup&amp;WS'!B21,Tables!$B$94:$C$102,2,0)^$S$18*Tables!$B$91</f>
        <v>14.159634504289111</v>
      </c>
      <c r="U21" s="34">
        <f t="shared" ref="U21:U31" si="0">T21+S21</f>
        <v>32.159634504289109</v>
      </c>
      <c r="V21" s="20"/>
      <c r="W21" s="7">
        <v>24</v>
      </c>
      <c r="X21" t="s">
        <v>286</v>
      </c>
      <c r="Y21" s="76">
        <f>W21-S21-1</f>
        <v>5</v>
      </c>
      <c r="Z21" s="76">
        <f>W21-S21+1</f>
        <v>7</v>
      </c>
      <c r="AA21">
        <v>22.5</v>
      </c>
      <c r="AB21">
        <v>26</v>
      </c>
      <c r="AC21"/>
      <c r="AD21" s="94">
        <v>0</v>
      </c>
      <c r="AE21" s="7">
        <v>19</v>
      </c>
      <c r="AF21" s="7">
        <f>AE21-0.5</f>
        <v>18.5</v>
      </c>
      <c r="AG21" s="7">
        <f>AE21+0.5</f>
        <v>19.5</v>
      </c>
      <c r="AH21" s="7">
        <v>24.1</v>
      </c>
      <c r="AI21" s="7">
        <v>25.4</v>
      </c>
      <c r="AJ21" s="7">
        <v>25</v>
      </c>
    </row>
    <row r="22" spans="2:36" x14ac:dyDescent="0.25">
      <c r="B22" s="32" t="s">
        <v>298</v>
      </c>
      <c r="C22" s="31" t="s">
        <v>299</v>
      </c>
      <c r="D22" s="31" t="s">
        <v>300</v>
      </c>
      <c r="F22" s="19"/>
      <c r="G22" s="31" t="s">
        <v>90</v>
      </c>
      <c r="H22" s="38">
        <f>IF(H21&lt;&gt;"-",100-H21*100*VLOOKUP('Setup&amp;WS'!$G$13,Tracks!$A$3:$G$890,7,0)/$C$14,"-")</f>
        <v>82.008573777460285</v>
      </c>
      <c r="I22" s="38">
        <f>IF(I21&lt;&gt;"-",100-I21*100*VLOOKUP('Setup&amp;WS'!$G$13,Tracks!$A$3:$G$890,7,0)/$C$14,"-")</f>
        <v>82.008573777460285</v>
      </c>
      <c r="J22" s="38">
        <f>IF(J21&lt;&gt;"-",100-J21*100*VLOOKUP('Setup&amp;WS'!$G$13,Tracks!$A$3:$G$890,7,0)/$C$14,"-")</f>
        <v>82.008573777460285</v>
      </c>
      <c r="K22" s="38">
        <f>IF(K21&lt;&gt;"-",100-K21*100*VLOOKUP('Setup&amp;WS'!$G$13,Tracks!$A$3:$G$890,7,0)/$C$14,"-")</f>
        <v>82.008573777460285</v>
      </c>
      <c r="L22" s="38">
        <f>IF(L21&lt;&gt;"-",100-L21*100*VLOOKUP('Setup&amp;WS'!$G$13,Tracks!$A$3:$G$890,7,0)/$C$14,"-")</f>
        <v>82.008573777460285</v>
      </c>
      <c r="M22" s="31" t="s">
        <v>61</v>
      </c>
      <c r="N22" s="9"/>
      <c r="O22" s="98">
        <v>12</v>
      </c>
      <c r="P22" s="98">
        <v>45</v>
      </c>
      <c r="Q22" s="19"/>
      <c r="R22" s="31" t="s">
        <v>379</v>
      </c>
      <c r="S22" s="82">
        <f>'Setup&amp;WS'!C22</f>
        <v>25</v>
      </c>
      <c r="T22" s="36">
        <f>VLOOKUP('Setup&amp;WS'!$G$13,Tracks!$A$3:$AP$890,33,0)*VLOOKUP('Setup&amp;WS'!B22,Tables!$B$94:$C$102,2,0)^$S$18*Tables!$B$91</f>
        <v>52.658808944525205</v>
      </c>
      <c r="U22" s="34">
        <f t="shared" si="0"/>
        <v>77.658808944525205</v>
      </c>
      <c r="V22" s="20"/>
      <c r="W22" s="7">
        <v>46</v>
      </c>
      <c r="X22" t="s">
        <v>286</v>
      </c>
      <c r="Y22" s="76">
        <f>W22-S22-1-5/3</f>
        <v>18.333333333333332</v>
      </c>
      <c r="Z22" s="76">
        <f>W22-S22+1-5/3</f>
        <v>20.333333333333332</v>
      </c>
      <c r="AA22">
        <v>42.2</v>
      </c>
      <c r="AB22">
        <v>45.6</v>
      </c>
      <c r="AC22"/>
      <c r="AD22" s="94">
        <v>0</v>
      </c>
      <c r="AE22" s="7">
        <f>30-5/3</f>
        <v>28.333333333333332</v>
      </c>
      <c r="AF22" s="98">
        <f t="shared" ref="AF22:AF31" si="1">AE22-0.5</f>
        <v>27.833333333333332</v>
      </c>
      <c r="AG22" s="98">
        <f t="shared" ref="AG22:AG31" si="2">AE22+0.5</f>
        <v>28.833333333333332</v>
      </c>
      <c r="AH22" s="7">
        <v>38.9</v>
      </c>
      <c r="AI22" s="7">
        <v>40.4</v>
      </c>
      <c r="AJ22" s="7">
        <v>45</v>
      </c>
    </row>
    <row r="23" spans="2:36" x14ac:dyDescent="0.25">
      <c r="B23" t="s">
        <v>286</v>
      </c>
      <c r="C23" s="1">
        <v>100</v>
      </c>
      <c r="D23" s="36">
        <f>C23-(Tables!Q13+VLOOKUP('Setup&amp;WS'!G13,Tracks!A3:AW63,46))*(Tables!Q14+Tables!Q15*'Tyre&amp;Fuel'!W18/100)*(1+Tables!Q16*'Setup&amp;WS'!C7/250)*(1+Tables!Q17*'Setup&amp;WS'!C3/250)*(1+Tables!Q18*'Setup&amp;WS'!C12)*(1+Tables!Q19*'Setup&amp;WS'!C6/250)*(1+Tables!Q20*'Setup&amp;WS'!C8/250)*(1+Tables!Q21*'Setup&amp;WS'!C10/250)*(1+Tables!Q22*'Setup&amp;WS'!C5/200)*(1+Tables!Q23*('Setup&amp;WS'!C4-20)/230)</f>
        <v>62.05379956079571</v>
      </c>
      <c r="F23" s="8"/>
      <c r="G23" s="31" t="s">
        <v>91</v>
      </c>
      <c r="H23" s="37">
        <f>IF(H21&lt;&gt;"-",ROUNDUP(H21*$C11*VLOOKUP('Setup&amp;WS'!$G$13,Tracks!$A$3:$G$890,7,0),0),"-")</f>
        <v>29</v>
      </c>
      <c r="I23" s="37">
        <f>IF(I21&lt;&gt;"-",ROUNDUP(I21*$C11*VLOOKUP('Setup&amp;WS'!$G$13,Tracks!$A$3:$G$890,7,0),0),"-")</f>
        <v>29</v>
      </c>
      <c r="J23" s="37">
        <f>IF(J21&lt;&gt;"-",ROUNDUP(J21*$C11*VLOOKUP('Setup&amp;WS'!$G$13,Tracks!$A$3:$G$890,7,0),0),"-")</f>
        <v>29</v>
      </c>
      <c r="K23" s="37">
        <f>IF(K21&lt;&gt;"-",ROUNDUP(K21*$C11*VLOOKUP('Setup&amp;WS'!$G$13,Tracks!$A$3:$G$890,7,0),0),"-")</f>
        <v>29</v>
      </c>
      <c r="L23" s="37">
        <f>IF(L21&lt;&gt;"-",ROUNDUP(L21*$C11*VLOOKUP('Setup&amp;WS'!$G$13,Tracks!$A$3:$G$890,7,0),0),"-")</f>
        <v>29</v>
      </c>
      <c r="M23" s="37">
        <f>SUM(H23:L23)</f>
        <v>145</v>
      </c>
      <c r="N23" s="20"/>
      <c r="O23" s="98" t="s">
        <v>286</v>
      </c>
      <c r="P23" s="94" t="s">
        <v>286</v>
      </c>
      <c r="Q23" s="19"/>
      <c r="R23" s="31" t="s">
        <v>380</v>
      </c>
      <c r="S23" s="82">
        <f>'Setup&amp;WS'!C23</f>
        <v>28</v>
      </c>
      <c r="T23" s="36">
        <f>VLOOKUP('Setup&amp;WS'!$G$13,Tracks!$A$3:$AP$890,34,0)*VLOOKUP('Setup&amp;WS'!B23,Tables!$B$94:$C$102,2,0)^$S$18*Tables!$B$91</f>
        <v>8.2981704431872032</v>
      </c>
      <c r="U23" s="34">
        <f t="shared" si="0"/>
        <v>36.298170443187203</v>
      </c>
      <c r="V23" s="20"/>
      <c r="W23" s="7">
        <v>22</v>
      </c>
      <c r="X23"/>
      <c r="Y23" s="76">
        <f t="shared" ref="Y23:Y31" si="3">W23-S23-1</f>
        <v>-7</v>
      </c>
      <c r="Z23" s="76">
        <f t="shared" ref="Z23:Z31" si="4">W23-S23+1</f>
        <v>-5</v>
      </c>
      <c r="AA23">
        <v>19</v>
      </c>
      <c r="AB23">
        <v>22.5</v>
      </c>
      <c r="AC23"/>
      <c r="AD23" s="94">
        <v>0</v>
      </c>
      <c r="AE23" s="7">
        <v>16</v>
      </c>
      <c r="AF23" s="98">
        <f t="shared" si="1"/>
        <v>15.5</v>
      </c>
      <c r="AG23" s="98">
        <f t="shared" si="2"/>
        <v>16.5</v>
      </c>
      <c r="AH23" s="7">
        <v>21</v>
      </c>
      <c r="AI23" s="7">
        <v>22.4</v>
      </c>
      <c r="AJ23" s="7">
        <v>21</v>
      </c>
    </row>
    <row r="24" spans="2:36" x14ac:dyDescent="0.25">
      <c r="B24">
        <f>24*D18/80</f>
        <v>20.100000000000001</v>
      </c>
      <c r="C24" s="76" t="s">
        <v>286</v>
      </c>
      <c r="D24" t="s">
        <v>286</v>
      </c>
      <c r="F24" s="8"/>
      <c r="G24" s="11"/>
      <c r="H24" s="10"/>
      <c r="I24" s="10"/>
      <c r="J24" s="10"/>
      <c r="K24" s="10"/>
      <c r="L24" s="11"/>
      <c r="M24" s="11"/>
      <c r="N24" s="20"/>
      <c r="O24" s="98" t="s">
        <v>286</v>
      </c>
      <c r="P24" s="94" t="s">
        <v>286</v>
      </c>
      <c r="Q24" s="19"/>
      <c r="R24" s="31" t="s">
        <v>397</v>
      </c>
      <c r="S24" s="82">
        <f>'Setup&amp;WS'!C24</f>
        <v>31</v>
      </c>
      <c r="T24" s="36">
        <f>VLOOKUP('Setup&amp;WS'!$G$13,Tracks!$A$3:$AP$890,35,0)*VLOOKUP('Setup&amp;WS'!B24,Tables!$B$94:$C$102,2,0)^$S$18*Tables!$B$91</f>
        <v>9.7468255283411889</v>
      </c>
      <c r="U24" s="34">
        <f t="shared" si="0"/>
        <v>40.746825528341191</v>
      </c>
      <c r="V24" s="20"/>
      <c r="W24" s="7">
        <v>24</v>
      </c>
      <c r="X24"/>
      <c r="Y24" s="76">
        <f t="shared" si="3"/>
        <v>-8</v>
      </c>
      <c r="Z24" s="76">
        <f t="shared" si="4"/>
        <v>-6</v>
      </c>
      <c r="AA24">
        <v>17.3</v>
      </c>
      <c r="AB24">
        <v>20.8</v>
      </c>
      <c r="AC24"/>
      <c r="AD24" s="94">
        <v>0</v>
      </c>
      <c r="AE24" s="7">
        <v>15</v>
      </c>
      <c r="AF24" s="98">
        <f t="shared" si="1"/>
        <v>14.5</v>
      </c>
      <c r="AG24" s="98">
        <f t="shared" si="2"/>
        <v>15.5</v>
      </c>
      <c r="AH24" s="7">
        <v>19.7</v>
      </c>
      <c r="AI24" s="7">
        <v>21</v>
      </c>
      <c r="AJ24" s="7">
        <v>20.5</v>
      </c>
    </row>
    <row r="25" spans="2:36" x14ac:dyDescent="0.25">
      <c r="B25">
        <f>5*D18/8</f>
        <v>41.875</v>
      </c>
      <c r="C25" t="s">
        <v>286</v>
      </c>
      <c r="D25" s="94" t="s">
        <v>286</v>
      </c>
      <c r="F25" s="19"/>
      <c r="G25" s="10" t="s">
        <v>286</v>
      </c>
      <c r="H25" s="10"/>
      <c r="I25" s="11"/>
      <c r="J25" s="10"/>
      <c r="K25" s="10"/>
      <c r="L25" s="31" t="s">
        <v>69</v>
      </c>
      <c r="M25" s="31" t="s">
        <v>92</v>
      </c>
      <c r="N25" s="20"/>
      <c r="O25" s="7" t="s">
        <v>286</v>
      </c>
      <c r="P25" t="s">
        <v>286</v>
      </c>
      <c r="Q25" s="19"/>
      <c r="R25" s="31" t="s">
        <v>461</v>
      </c>
      <c r="S25" s="82">
        <f>'Setup&amp;WS'!C25</f>
        <v>16</v>
      </c>
      <c r="T25" s="36">
        <f>VLOOKUP('Setup&amp;WS'!$G$13,Tracks!$A$3:$AP$890,36,0)*VLOOKUP('Setup&amp;WS'!B25,Tables!$B$94:$C$102,2,0)^$S$18*Tables!$B$91</f>
        <v>17.131090650262195</v>
      </c>
      <c r="U25" s="34">
        <f t="shared" si="0"/>
        <v>33.131090650262195</v>
      </c>
      <c r="V25" s="20"/>
      <c r="W25" s="7">
        <v>18</v>
      </c>
      <c r="X25"/>
      <c r="Y25" s="76">
        <f t="shared" si="3"/>
        <v>1</v>
      </c>
      <c r="Z25" s="76">
        <f t="shared" si="4"/>
        <v>3</v>
      </c>
      <c r="AA25">
        <v>12</v>
      </c>
      <c r="AB25">
        <v>15.6</v>
      </c>
      <c r="AC25"/>
      <c r="AD25" s="94">
        <v>0</v>
      </c>
      <c r="AE25" s="7">
        <v>11</v>
      </c>
      <c r="AF25" s="98">
        <f t="shared" si="1"/>
        <v>10.5</v>
      </c>
      <c r="AG25" s="98">
        <f t="shared" si="2"/>
        <v>11.5</v>
      </c>
      <c r="AH25" s="7">
        <v>14.5</v>
      </c>
      <c r="AI25" s="7">
        <v>15.9</v>
      </c>
      <c r="AJ25" s="7">
        <v>13</v>
      </c>
    </row>
    <row r="26" spans="2:36" x14ac:dyDescent="0.25">
      <c r="C26" s="32" t="s">
        <v>292</v>
      </c>
      <c r="D26" s="32">
        <f>D18</f>
        <v>67</v>
      </c>
      <c r="F26" s="19"/>
      <c r="G26" s="10" t="s">
        <v>286</v>
      </c>
      <c r="H26" s="10"/>
      <c r="I26" s="11"/>
      <c r="J26" s="10"/>
      <c r="K26" s="31" t="s">
        <v>93</v>
      </c>
      <c r="L26" s="37">
        <f>$M$23</f>
        <v>145</v>
      </c>
      <c r="M26" s="39">
        <f>L26*Tables!F107+Tables!C113+Tables!F108*'Setup&amp;WS'!I10+Tables!F109*'Setup&amp;WS'!I9+Tables!F110*'Setup&amp;WS'!I5+Tables!F111*'Setup&amp;WS'!I6</f>
        <v>27.737458524416141</v>
      </c>
      <c r="N26" s="20"/>
      <c r="O26" s="98" t="s">
        <v>286</v>
      </c>
      <c r="P26" s="94" t="s">
        <v>378</v>
      </c>
      <c r="Q26" s="19"/>
      <c r="R26" s="31" t="s">
        <v>456</v>
      </c>
      <c r="S26" s="82">
        <f>'Setup&amp;WS'!C26</f>
        <v>14</v>
      </c>
      <c r="T26" s="36">
        <f>VLOOKUP('Setup&amp;WS'!$G$13,Tracks!$A$3:$AP$890,37,0)*VLOOKUP('Setup&amp;WS'!B26,Tables!$B$94:$C$102,2,0)^$S$18*Tables!$B$91</f>
        <v>10.093963505318762</v>
      </c>
      <c r="U26" s="34">
        <f t="shared" si="0"/>
        <v>24.093963505318762</v>
      </c>
      <c r="V26" s="20"/>
      <c r="W26" s="7">
        <v>14</v>
      </c>
      <c r="X26"/>
      <c r="Y26" s="76">
        <f t="shared" si="3"/>
        <v>-1</v>
      </c>
      <c r="Z26" s="76">
        <f t="shared" si="4"/>
        <v>1</v>
      </c>
      <c r="AA26">
        <v>10.3</v>
      </c>
      <c r="AB26" s="94">
        <v>14</v>
      </c>
      <c r="AC26"/>
      <c r="AD26" s="94">
        <v>0</v>
      </c>
      <c r="AE26" s="7">
        <v>11</v>
      </c>
      <c r="AF26" s="98">
        <f t="shared" si="1"/>
        <v>10.5</v>
      </c>
      <c r="AG26" s="98">
        <f t="shared" si="2"/>
        <v>11.5</v>
      </c>
      <c r="AH26" s="7">
        <v>14.2</v>
      </c>
      <c r="AI26" s="7">
        <v>15.6</v>
      </c>
      <c r="AJ26" s="7">
        <v>13</v>
      </c>
    </row>
    <row r="27" spans="2:36" x14ac:dyDescent="0.25">
      <c r="C27" s="32" t="s">
        <v>293</v>
      </c>
      <c r="D27" s="1">
        <v>0</v>
      </c>
      <c r="F27" s="19"/>
      <c r="G27" s="10"/>
      <c r="H27" s="10"/>
      <c r="I27" s="10"/>
      <c r="J27" s="10"/>
      <c r="K27" s="31" t="s">
        <v>94</v>
      </c>
      <c r="L27" s="37">
        <f>$M$23/2</f>
        <v>72.5</v>
      </c>
      <c r="M27" s="39">
        <f>L27*Tables!F107+Tables!C113+Tables!F108*'Setup&amp;WS'!I10+Tables!F109*'Setup&amp;WS'!I9+Tables!F110*'Setup&amp;WS'!I5+Tables!F111*'Setup&amp;WS'!I6</f>
        <v>25.160852701496214</v>
      </c>
      <c r="N27" s="20"/>
      <c r="O27" s="7" t="s">
        <v>286</v>
      </c>
      <c r="P27" t="s">
        <v>286</v>
      </c>
      <c r="Q27" s="19"/>
      <c r="R27" s="31" t="s">
        <v>383</v>
      </c>
      <c r="S27" s="82">
        <f>'Setup&amp;WS'!C27</f>
        <v>23</v>
      </c>
      <c r="T27" s="36">
        <f>VLOOKUP('Setup&amp;WS'!$G$13,Tracks!$A$3:$AP$890,38,0)*VLOOKUP('Setup&amp;WS'!B27,Tables!$B$94:$C$102,2,0)^$S$18*Tables!$B$91</f>
        <v>13.177200326726368</v>
      </c>
      <c r="U27" s="34">
        <f t="shared" si="0"/>
        <v>36.177200326726364</v>
      </c>
      <c r="V27" s="20"/>
      <c r="W27" s="7">
        <v>28</v>
      </c>
      <c r="X27"/>
      <c r="Y27" s="76">
        <f t="shared" si="3"/>
        <v>4</v>
      </c>
      <c r="Z27" s="76">
        <f t="shared" si="4"/>
        <v>6</v>
      </c>
      <c r="AA27">
        <v>34.5</v>
      </c>
      <c r="AB27" s="94">
        <v>38</v>
      </c>
      <c r="AC27"/>
      <c r="AD27" s="94">
        <v>0</v>
      </c>
      <c r="AE27" s="7">
        <v>25</v>
      </c>
      <c r="AF27" s="98">
        <f t="shared" si="1"/>
        <v>24.5</v>
      </c>
      <c r="AG27" s="98">
        <f t="shared" si="2"/>
        <v>25.5</v>
      </c>
      <c r="AH27" s="7">
        <v>33.200000000000003</v>
      </c>
      <c r="AI27" s="7">
        <v>34.6</v>
      </c>
      <c r="AJ27" s="7">
        <v>37</v>
      </c>
    </row>
    <row r="28" spans="2:36" x14ac:dyDescent="0.25">
      <c r="F28" s="8"/>
      <c r="G28" s="31" t="s">
        <v>95</v>
      </c>
      <c r="H28" s="1">
        <v>13</v>
      </c>
      <c r="I28" s="10">
        <v>7.0000000000000007E-2</v>
      </c>
      <c r="J28" s="10"/>
      <c r="K28" s="31" t="s">
        <v>96</v>
      </c>
      <c r="L28" s="37">
        <f>$M$23/3</f>
        <v>48.333333333333336</v>
      </c>
      <c r="M28" s="39">
        <f>L28*Tables!F107+Tables!C113+Tables!F108*'Setup&amp;WS'!I10+Tables!F109*'Setup&amp;WS'!I9+Tables!F110*'Setup&amp;WS'!I5+Tables!F111*'Setup&amp;WS'!I6</f>
        <v>24.301984093856237</v>
      </c>
      <c r="N28" s="9"/>
      <c r="O28" t="s">
        <v>286</v>
      </c>
      <c r="P28" t="s">
        <v>286</v>
      </c>
      <c r="Q28" s="19"/>
      <c r="R28" s="31" t="s">
        <v>384</v>
      </c>
      <c r="S28" s="82">
        <f>'Setup&amp;WS'!C28</f>
        <v>33</v>
      </c>
      <c r="T28" s="36">
        <f>VLOOKUP('Setup&amp;WS'!$G$13,Tracks!$A$3:$AP$890,39,0)*VLOOKUP('Setup&amp;WS'!B28,Tables!$B$94:$C$102,2,0)^$S$18*Tables!$B$91</f>
        <v>15.231942591748963</v>
      </c>
      <c r="U28" s="34">
        <f t="shared" si="0"/>
        <v>48.231942591748961</v>
      </c>
      <c r="V28" s="20"/>
      <c r="W28" s="7">
        <v>24</v>
      </c>
      <c r="X28"/>
      <c r="Y28" s="76">
        <f t="shared" si="3"/>
        <v>-10</v>
      </c>
      <c r="Z28" s="76">
        <f t="shared" si="4"/>
        <v>-8</v>
      </c>
      <c r="AA28">
        <v>22.5</v>
      </c>
      <c r="AB28">
        <v>26</v>
      </c>
      <c r="AC28"/>
      <c r="AD28" s="94">
        <v>0</v>
      </c>
      <c r="AE28" s="7">
        <v>17</v>
      </c>
      <c r="AF28" s="98">
        <f t="shared" si="1"/>
        <v>16.5</v>
      </c>
      <c r="AG28" s="98">
        <f t="shared" si="2"/>
        <v>17.5</v>
      </c>
      <c r="AH28" s="7">
        <v>22.8</v>
      </c>
      <c r="AI28" s="7">
        <v>24.2</v>
      </c>
      <c r="AJ28" s="7">
        <v>25</v>
      </c>
    </row>
    <row r="29" spans="2:36" x14ac:dyDescent="0.25">
      <c r="B29" s="154" t="s">
        <v>294</v>
      </c>
      <c r="C29" s="32" t="s">
        <v>295</v>
      </c>
      <c r="D29" s="32" t="s">
        <v>296</v>
      </c>
      <c r="F29" s="19"/>
      <c r="G29" s="31" t="s">
        <v>97</v>
      </c>
      <c r="H29" s="38">
        <f>IF(H21&lt;&gt;"-",100-H28*100*VLOOKUP('Setup&amp;WS'!$G$13,Tracks!$A$3:$G$890,7,0)/$C$14,"-")</f>
        <v>70.763932388372965</v>
      </c>
      <c r="I29" s="10">
        <f>100-(100-H29)*(1-I28)</f>
        <v>72.810457121186857</v>
      </c>
      <c r="J29" s="10" t="s">
        <v>286</v>
      </c>
      <c r="K29" s="31" t="s">
        <v>98</v>
      </c>
      <c r="L29" s="37">
        <f>$M$23/4</f>
        <v>36.25</v>
      </c>
      <c r="M29" s="39">
        <f>L29*Tables!F107+Tables!C113+Tables!F108*'Setup&amp;WS'!I10+Tables!F109*'Setup&amp;WS'!I9+Tables!F110*'Setup&amp;WS'!I5+Tables!F111*'Setup&amp;WS'!I6</f>
        <v>23.872549790036249</v>
      </c>
      <c r="N29" s="20"/>
      <c r="O29" s="7" t="s">
        <v>286</v>
      </c>
      <c r="P29" t="s">
        <v>286</v>
      </c>
      <c r="Q29" s="19"/>
      <c r="R29" s="31" t="s">
        <v>385</v>
      </c>
      <c r="S29" s="82">
        <f>'Setup&amp;WS'!C29</f>
        <v>23</v>
      </c>
      <c r="T29" s="36">
        <f>VLOOKUP('Setup&amp;WS'!$G$13,Tracks!$A$3:$AP$890,40,0)*VLOOKUP('Setup&amp;WS'!B29,Tables!$B$94:$C$102,2,0)^$S$18*Tables!$B$91</f>
        <v>14.497785090276974</v>
      </c>
      <c r="U29" s="34">
        <f t="shared" si="0"/>
        <v>37.497785090276977</v>
      </c>
      <c r="V29" s="20"/>
      <c r="W29" s="7">
        <v>33</v>
      </c>
      <c r="X29"/>
      <c r="Y29" s="76">
        <f t="shared" si="3"/>
        <v>9</v>
      </c>
      <c r="Z29" s="76">
        <f t="shared" si="4"/>
        <v>11</v>
      </c>
      <c r="AA29">
        <v>27.8</v>
      </c>
      <c r="AB29">
        <v>31.3</v>
      </c>
      <c r="AC29"/>
      <c r="AD29" s="94">
        <v>0</v>
      </c>
      <c r="AE29" s="7">
        <v>20</v>
      </c>
      <c r="AF29" s="98">
        <f t="shared" si="1"/>
        <v>19.5</v>
      </c>
      <c r="AG29" s="98">
        <f t="shared" si="2"/>
        <v>20.5</v>
      </c>
      <c r="AH29" s="7">
        <v>27</v>
      </c>
      <c r="AI29" s="7">
        <v>28.4</v>
      </c>
      <c r="AJ29" s="7">
        <v>30.5</v>
      </c>
    </row>
    <row r="30" spans="2:36" x14ac:dyDescent="0.25">
      <c r="B30" s="155"/>
      <c r="C30" s="1">
        <v>0</v>
      </c>
      <c r="D30" s="1">
        <v>0</v>
      </c>
      <c r="F30" s="8"/>
      <c r="G30" s="31" t="s">
        <v>91</v>
      </c>
      <c r="H30" s="37">
        <f>IF(H21&lt;&gt;"-",ROUNDUP(H28*$C11*VLOOKUP('Setup&amp;WS'!$G$13,Tracks!$A$3:$G$890,7,0)+M18,0),"-")</f>
        <v>47</v>
      </c>
      <c r="I30" s="36">
        <f>IF(H21&lt;&gt;"-",H28*$C11*VLOOKUP('Setup&amp;WS'!$G$13,Tracks!$A$3:$G$890,7,0),"-")+M18</f>
        <v>46.73266100957192</v>
      </c>
      <c r="J30" s="10">
        <f>I30/1.15</f>
        <v>40.637096530062543</v>
      </c>
      <c r="K30" s="31" t="s">
        <v>99</v>
      </c>
      <c r="L30" s="37">
        <f>$M$23/5</f>
        <v>29</v>
      </c>
      <c r="M30" s="39">
        <f>L30*Tables!F107+Tables!C113+Tables!F108*'Setup&amp;WS'!I10+Tables!F109*'Setup&amp;WS'!I9+Tables!F110*'Setup&amp;WS'!I5+Tables!F111*'Setup&amp;WS'!I6</f>
        <v>23.614889207744259</v>
      </c>
      <c r="N30" s="9"/>
      <c r="O30" s="7" t="s">
        <v>286</v>
      </c>
      <c r="P30" t="s">
        <v>286</v>
      </c>
      <c r="Q30" s="19"/>
      <c r="R30" s="31" t="s">
        <v>21</v>
      </c>
      <c r="S30" s="82">
        <f>'Setup&amp;WS'!C30</f>
        <v>19</v>
      </c>
      <c r="T30" s="36">
        <f>VLOOKUP('Setup&amp;WS'!$G$13,Tracks!$A$3:$AP$890,41,0)*VLOOKUP('Setup&amp;WS'!B30,Tables!$B$94:$C$102,2,0)^$S$18*Tables!$B$91</f>
        <v>20.449123061275991</v>
      </c>
      <c r="U30" s="34">
        <f t="shared" si="0"/>
        <v>39.449123061275991</v>
      </c>
      <c r="V30" s="20"/>
      <c r="W30" s="7">
        <v>23</v>
      </c>
      <c r="X30"/>
      <c r="Y30" s="76">
        <f t="shared" si="3"/>
        <v>3</v>
      </c>
      <c r="Z30" s="76">
        <f t="shared" si="4"/>
        <v>5</v>
      </c>
      <c r="AA30">
        <v>20.7</v>
      </c>
      <c r="AB30">
        <v>24.3</v>
      </c>
      <c r="AC30"/>
      <c r="AD30" s="94">
        <v>0</v>
      </c>
      <c r="AE30" s="7">
        <v>17</v>
      </c>
      <c r="AF30" s="98">
        <f t="shared" si="1"/>
        <v>16.5</v>
      </c>
      <c r="AG30" s="98">
        <f t="shared" si="2"/>
        <v>17.5</v>
      </c>
      <c r="AH30" s="7">
        <v>22.4</v>
      </c>
      <c r="AI30" s="7">
        <v>23.8</v>
      </c>
      <c r="AJ30" s="7">
        <v>23</v>
      </c>
    </row>
    <row r="31" spans="2:36" x14ac:dyDescent="0.25">
      <c r="F31" s="8"/>
      <c r="G31" s="31" t="s">
        <v>100</v>
      </c>
      <c r="H31" s="40">
        <f>H30*Tables!F107+Tables!C113+Tables!F108*'Setup&amp;WS'!I10+Tables!F109*'Setup&amp;WS'!I9+Tables!F110*'Setup&amp;WS'!I5+Tables!F111*'Setup&amp;WS'!I6</f>
        <v>24.25459823964162</v>
      </c>
      <c r="I31" s="10" t="s">
        <v>423</v>
      </c>
      <c r="J31" s="10"/>
      <c r="K31" s="129" t="s">
        <v>101</v>
      </c>
      <c r="L31" s="129"/>
      <c r="M31" s="39">
        <f>AVERAGE(M26:M30)</f>
        <v>24.937546863509816</v>
      </c>
      <c r="N31" s="9"/>
      <c r="O31" s="7" t="s">
        <v>286</v>
      </c>
      <c r="P31" t="s">
        <v>286</v>
      </c>
      <c r="Q31" s="19"/>
      <c r="R31" s="31" t="s">
        <v>462</v>
      </c>
      <c r="S31" s="82">
        <f>'Setup&amp;WS'!C31</f>
        <v>17</v>
      </c>
      <c r="T31" s="36">
        <f>VLOOKUP('Setup&amp;WS'!$G$13,Tracks!$A$3:$AP$890,42,0)*VLOOKUP('Setup&amp;WS'!B31,Tables!$B$94:$C$102,2,0)^$S$18*Tables!$B$91</f>
        <v>9.7327827299197676</v>
      </c>
      <c r="U31" s="34">
        <f t="shared" si="0"/>
        <v>26.732782729919769</v>
      </c>
      <c r="V31" s="20"/>
      <c r="W31" s="7">
        <v>15</v>
      </c>
      <c r="X31"/>
      <c r="Y31" s="76">
        <f t="shared" si="3"/>
        <v>-3</v>
      </c>
      <c r="Z31" s="76">
        <f t="shared" si="4"/>
        <v>-1</v>
      </c>
      <c r="AA31">
        <v>12</v>
      </c>
      <c r="AB31">
        <v>15.7</v>
      </c>
      <c r="AC31"/>
      <c r="AD31" s="94">
        <v>0</v>
      </c>
      <c r="AE31" s="7">
        <v>13</v>
      </c>
      <c r="AF31" s="98">
        <f t="shared" si="1"/>
        <v>12.5</v>
      </c>
      <c r="AG31" s="98">
        <f t="shared" si="2"/>
        <v>13.5</v>
      </c>
      <c r="AH31" s="7">
        <v>16.3</v>
      </c>
      <c r="AI31" s="7">
        <v>17.600000000000001</v>
      </c>
      <c r="AJ31" s="7">
        <v>14.3</v>
      </c>
    </row>
    <row r="32" spans="2:36" x14ac:dyDescent="0.25">
      <c r="B32" s="32" t="s">
        <v>297</v>
      </c>
      <c r="C32" s="1">
        <v>0</v>
      </c>
      <c r="F32" s="13"/>
      <c r="G32" s="80" t="s">
        <v>376</v>
      </c>
      <c r="H32" s="36">
        <f>VLOOKUP('Setup&amp;WS'!G13,Tracks!A3:I63,7)*H28</f>
        <v>61.567999999999998</v>
      </c>
      <c r="I32" s="14"/>
      <c r="J32" s="14"/>
      <c r="K32" s="14"/>
      <c r="L32" s="21"/>
      <c r="M32" s="21"/>
      <c r="N32" s="22"/>
      <c r="O32" t="s">
        <v>286</v>
      </c>
      <c r="P32" t="s">
        <v>286</v>
      </c>
      <c r="Q32" s="23"/>
      <c r="R32" s="21"/>
      <c r="S32" s="21"/>
      <c r="T32" s="21"/>
      <c r="U32" s="21"/>
      <c r="V32" s="22"/>
      <c r="X32"/>
      <c r="Y32"/>
      <c r="Z32"/>
      <c r="AA32"/>
      <c r="AB32"/>
      <c r="AC32"/>
      <c r="AD32" s="94"/>
    </row>
    <row r="34" spans="2:26" x14ac:dyDescent="0.25">
      <c r="P34" s="94"/>
    </row>
    <row r="35" spans="2:26" x14ac:dyDescent="0.25">
      <c r="G35" t="s">
        <v>286</v>
      </c>
      <c r="L35" t="s">
        <v>470</v>
      </c>
      <c r="O35">
        <v>19</v>
      </c>
      <c r="P35" s="94">
        <v>25</v>
      </c>
      <c r="Z35" s="119"/>
    </row>
    <row r="36" spans="2:26" x14ac:dyDescent="0.25">
      <c r="H36">
        <v>3</v>
      </c>
      <c r="I36">
        <v>6.7</v>
      </c>
      <c r="J36" s="94">
        <f>I36*D$43</f>
        <v>39.062264150943413</v>
      </c>
      <c r="K36">
        <v>50</v>
      </c>
      <c r="L36">
        <v>53</v>
      </c>
      <c r="O36">
        <v>38</v>
      </c>
      <c r="P36">
        <v>51</v>
      </c>
      <c r="R36" t="s">
        <v>471</v>
      </c>
      <c r="W36"/>
    </row>
    <row r="37" spans="2:26" x14ac:dyDescent="0.25">
      <c r="H37">
        <v>4</v>
      </c>
      <c r="I37">
        <v>8.9</v>
      </c>
      <c r="J37" s="94">
        <f>I37*D$43</f>
        <v>51.888679245283043</v>
      </c>
      <c r="K37">
        <v>18</v>
      </c>
      <c r="L37" s="94">
        <v>22</v>
      </c>
      <c r="O37" s="120">
        <v>0.57999999999999996</v>
      </c>
      <c r="R37">
        <f>0.6*55</f>
        <v>33</v>
      </c>
      <c r="S37" t="s">
        <v>459</v>
      </c>
      <c r="W37"/>
      <c r="Y37" s="98"/>
    </row>
    <row r="38" spans="2:26" x14ac:dyDescent="0.25">
      <c r="H38">
        <v>5</v>
      </c>
      <c r="I38">
        <v>11.1</v>
      </c>
      <c r="J38">
        <f>I38*D$43</f>
        <v>64.715094339622667</v>
      </c>
      <c r="K38">
        <v>12</v>
      </c>
      <c r="L38">
        <v>17</v>
      </c>
      <c r="O38" t="s">
        <v>474</v>
      </c>
      <c r="P38" t="s">
        <v>424</v>
      </c>
      <c r="Q38" t="s">
        <v>286</v>
      </c>
      <c r="R38" t="s">
        <v>475</v>
      </c>
      <c r="T38">
        <f>66/4</f>
        <v>16.5</v>
      </c>
      <c r="W38"/>
      <c r="Y38" s="98"/>
    </row>
    <row r="39" spans="2:26" x14ac:dyDescent="0.25">
      <c r="B39" s="32" t="s">
        <v>298</v>
      </c>
      <c r="C39" s="31" t="s">
        <v>299</v>
      </c>
      <c r="D39" s="31" t="s">
        <v>300</v>
      </c>
      <c r="O39">
        <v>24</v>
      </c>
      <c r="P39">
        <v>22</v>
      </c>
      <c r="R39">
        <v>19</v>
      </c>
      <c r="S39" s="94">
        <v>18</v>
      </c>
      <c r="W39"/>
      <c r="Y39" s="98"/>
    </row>
    <row r="40" spans="2:26" x14ac:dyDescent="0.25">
      <c r="B40" t="s">
        <v>286</v>
      </c>
      <c r="C40" s="84">
        <v>100</v>
      </c>
      <c r="D40" s="85">
        <f>C40-VLOOKUP('Setup&amp;WS'!G13,Tracks!A6:AW63,44)*(((1+T18*Tables!R10/1000)*(D27-D30)/D26+(1+Tables!R10*'Tyre&amp;Fuel'!U18/1000)*D30/D26)*VLOOKUP('Setup&amp;WS'!G13,Tracks!A6:AW63,45)+(1+Tables!R10*'Tyre&amp;Fuel'!U18/1000)*C30/D26+(1+Tables!R10*'Tyre&amp;Fuel'!S18/1000)*(D26-D27-C30)/D26)*(1+Tables!R9*'Setup&amp;WS'!C12/1000)*(1+Tables!R8*'Setup&amp;WS'!C10/2500)*(1+Tables!R11*C32*D20/(D26*500))*(1+Tables!R3*'Setup&amp;WS'!C4/2500)*(1+Tables!R6*'Setup&amp;WS'!C7/2500)*(1+Tables!R2*'Setup&amp;WS'!C3/2500)*(1+Tables!R7*'Setup&amp;WS'!C8/2500)*(1+Tables!R4*'Setup&amp;WS'!C5/2500)</f>
        <v>99.176798367587082</v>
      </c>
      <c r="I40">
        <f>15/80</f>
        <v>0.1875</v>
      </c>
      <c r="O40" s="94">
        <v>48</v>
      </c>
      <c r="P40" s="94">
        <v>27</v>
      </c>
      <c r="R40">
        <v>18</v>
      </c>
      <c r="S40">
        <v>17</v>
      </c>
      <c r="U40" s="94"/>
      <c r="V40" s="94"/>
      <c r="W40"/>
    </row>
    <row r="41" spans="2:26" x14ac:dyDescent="0.25">
      <c r="O41" s="94" t="s">
        <v>472</v>
      </c>
      <c r="P41" s="94">
        <v>30</v>
      </c>
      <c r="R41" s="94">
        <v>17</v>
      </c>
      <c r="S41" s="94">
        <v>16</v>
      </c>
      <c r="U41" s="94"/>
    </row>
    <row r="42" spans="2:26" x14ac:dyDescent="0.25">
      <c r="D42" t="s">
        <v>430</v>
      </c>
      <c r="L42" s="94"/>
      <c r="M42" s="94"/>
      <c r="N42" s="94"/>
      <c r="O42" s="94" t="s">
        <v>473</v>
      </c>
      <c r="P42" s="94">
        <v>33</v>
      </c>
      <c r="R42" s="94">
        <v>12</v>
      </c>
      <c r="S42">
        <v>15</v>
      </c>
    </row>
    <row r="43" spans="2:26" x14ac:dyDescent="0.25">
      <c r="B43" t="s">
        <v>136</v>
      </c>
      <c r="C43" t="s">
        <v>429</v>
      </c>
      <c r="D43">
        <v>5.8301886792452855</v>
      </c>
      <c r="L43" s="94"/>
      <c r="M43" s="94"/>
      <c r="N43" s="94"/>
      <c r="R43" s="94" t="s">
        <v>477</v>
      </c>
      <c r="T43">
        <f>66/3</f>
        <v>22</v>
      </c>
    </row>
    <row r="44" spans="2:26" x14ac:dyDescent="0.25">
      <c r="O44">
        <v>32</v>
      </c>
      <c r="P44">
        <v>22</v>
      </c>
      <c r="R44">
        <v>25</v>
      </c>
      <c r="S44">
        <v>25</v>
      </c>
    </row>
    <row r="45" spans="2:26" x14ac:dyDescent="0.25">
      <c r="O45" t="s">
        <v>476</v>
      </c>
      <c r="P45">
        <v>27</v>
      </c>
      <c r="R45" s="94">
        <v>24</v>
      </c>
      <c r="S45">
        <v>23</v>
      </c>
    </row>
    <row r="46" spans="2:26" x14ac:dyDescent="0.25">
      <c r="J46" s="94"/>
      <c r="O46" t="s">
        <v>473</v>
      </c>
      <c r="P46">
        <v>32</v>
      </c>
      <c r="R46" s="94">
        <v>17</v>
      </c>
      <c r="S46">
        <v>18</v>
      </c>
    </row>
    <row r="47" spans="2:26" x14ac:dyDescent="0.25">
      <c r="J47" s="94"/>
      <c r="R47" s="94"/>
    </row>
    <row r="48" spans="2:26" x14ac:dyDescent="0.25">
      <c r="O48" s="108"/>
    </row>
    <row r="49" spans="7:15" x14ac:dyDescent="0.25">
      <c r="G49" s="98"/>
      <c r="I49" s="94"/>
      <c r="K49" s="94"/>
      <c r="L49" s="94"/>
    </row>
    <row r="50" spans="7:15" x14ac:dyDescent="0.25">
      <c r="I50" s="94"/>
      <c r="J50" s="94"/>
      <c r="K50" s="94"/>
      <c r="L50" s="94"/>
      <c r="M50" s="94"/>
      <c r="O50" s="94"/>
    </row>
    <row r="51" spans="7:15" x14ac:dyDescent="0.25">
      <c r="I51" s="94"/>
      <c r="K51" s="94"/>
      <c r="L51" s="94"/>
    </row>
    <row r="52" spans="7:15" x14ac:dyDescent="0.25">
      <c r="I52" s="94"/>
      <c r="K52" s="94"/>
      <c r="L52" s="94"/>
    </row>
    <row r="53" spans="7:15" x14ac:dyDescent="0.25">
      <c r="G53" s="98"/>
      <c r="I53" s="94"/>
    </row>
    <row r="54" spans="7:15" x14ac:dyDescent="0.25">
      <c r="J54" s="94"/>
      <c r="K54" s="94"/>
      <c r="M54" s="94"/>
    </row>
    <row r="55" spans="7:15" x14ac:dyDescent="0.25">
      <c r="M55" s="94"/>
    </row>
    <row r="56" spans="7:15" x14ac:dyDescent="0.25">
      <c r="J56" s="94"/>
      <c r="M56" s="94"/>
    </row>
    <row r="57" spans="7:15" x14ac:dyDescent="0.25">
      <c r="J57" s="94"/>
      <c r="M57" s="94"/>
    </row>
    <row r="58" spans="7:15" x14ac:dyDescent="0.25">
      <c r="J58" s="94"/>
      <c r="L58" s="94"/>
    </row>
    <row r="59" spans="7:15" x14ac:dyDescent="0.25">
      <c r="J59" s="94"/>
    </row>
  </sheetData>
  <mergeCells count="39">
    <mergeCell ref="P6:P7"/>
    <mergeCell ref="R8:R12"/>
    <mergeCell ref="V6:V7"/>
    <mergeCell ref="K5:P5"/>
    <mergeCell ref="S6:S7"/>
    <mergeCell ref="L6:L7"/>
    <mergeCell ref="N6:O7"/>
    <mergeCell ref="M6:M7"/>
    <mergeCell ref="R6:R7"/>
    <mergeCell ref="V1:W2"/>
    <mergeCell ref="W8:W12"/>
    <mergeCell ref="T6:T7"/>
    <mergeCell ref="U6:U7"/>
    <mergeCell ref="W5:W6"/>
    <mergeCell ref="B1:C1"/>
    <mergeCell ref="B2:C2"/>
    <mergeCell ref="G2:O2"/>
    <mergeCell ref="I4:M4"/>
    <mergeCell ref="B5:C5"/>
    <mergeCell ref="R16:U16"/>
    <mergeCell ref="N11:O11"/>
    <mergeCell ref="N12:O12"/>
    <mergeCell ref="N8:O8"/>
    <mergeCell ref="N9:O9"/>
    <mergeCell ref="N10:O10"/>
    <mergeCell ref="B17:C17"/>
    <mergeCell ref="B18:C18"/>
    <mergeCell ref="B19:C19"/>
    <mergeCell ref="K31:L31"/>
    <mergeCell ref="B29:B30"/>
    <mergeCell ref="B20:C20"/>
    <mergeCell ref="J18:K18"/>
    <mergeCell ref="B9:D9"/>
    <mergeCell ref="B16:D16"/>
    <mergeCell ref="G16:M16"/>
    <mergeCell ref="H6:H7"/>
    <mergeCell ref="I6:I7"/>
    <mergeCell ref="J6:J7"/>
    <mergeCell ref="K6:K7"/>
  </mergeCells>
  <conditionalFormatting sqref="AB21:AB31">
    <cfRule type="cellIs" dxfId="1" priority="1" operator="greaterThanOrEqual">
      <formula>100</formula>
    </cfRule>
    <cfRule type="cellIs" dxfId="0" priority="2" operator="between">
      <formula>89</formula>
      <formula>100</formula>
    </cfRule>
  </conditionalFormatting>
  <dataValidations count="4">
    <dataValidation type="list" operator="equal" allowBlank="1" sqref="C3" xr:uid="{00000000-0002-0000-0100-000000000000}">
      <formula1>"Dry,Wet"</formula1>
      <formula2>0</formula2>
    </dataValidation>
    <dataValidation type="list" operator="equal" allowBlank="1" sqref="C7" xr:uid="{00000000-0002-0000-0100-000001000000}">
      <formula1>"Extra Soft,Soft,Medium,Hard,Rain"</formula1>
      <formula2>0</formula2>
    </dataValidation>
    <dataValidation type="list" operator="equal" allowBlank="1" sqref="C6" xr:uid="{00000000-0002-0000-0100-000002000000}">
      <formula1>"Pipirelli,Avonn,Yokomama,Dunnolop,Contimental,Badyear,Hancock,Michelini,Bridgerock"</formula1>
    </dataValidation>
    <dataValidation type="list" allowBlank="1" showInputMessage="1" showErrorMessage="1" sqref="L18" xr:uid="{E15C7EED-D426-43D7-A3ED-BD2BE82BE601}">
      <formula1>"0,1,2,3,4,5,6,7,8,9"</formula1>
    </dataValidation>
  </dataValidation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Roman,Navadno"&amp;12&amp;A</oddHeader>
    <oddFooter>&amp;C&amp;"Times New Roman,Navadno"&amp;12Página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C00000"/>
  </sheetPr>
  <dimension ref="A1:BC130"/>
  <sheetViews>
    <sheetView topLeftCell="L1" zoomScale="60" zoomScaleNormal="60" workbookViewId="0">
      <pane ySplit="2" topLeftCell="A17" activePane="bottomLeft" state="frozen"/>
      <selection pane="bottomLeft" activeCell="W48" sqref="W48"/>
    </sheetView>
  </sheetViews>
  <sheetFormatPr baseColWidth="10" defaultColWidth="9.109375" defaultRowHeight="13.2" outlineLevelCol="1" x14ac:dyDescent="0.25"/>
  <cols>
    <col min="1" max="1" width="16.6640625" customWidth="1"/>
    <col min="2" max="17" width="16.6640625" customWidth="1" outlineLevel="1"/>
    <col min="18" max="18" width="6.33203125" bestFit="1" customWidth="1"/>
    <col min="19" max="23" width="10.109375"/>
    <col min="24" max="24" width="4.44140625" bestFit="1" customWidth="1"/>
    <col min="25" max="25" width="10.88671875" customWidth="1"/>
    <col min="26" max="26" width="2"/>
    <col min="27" max="28" width="9"/>
    <col min="29" max="29" width="2"/>
    <col min="30" max="30" width="9.88671875"/>
    <col min="31" max="31" width="2.109375"/>
    <col min="32" max="36" width="7.109375"/>
    <col min="37" max="37" width="8" bestFit="1" customWidth="1"/>
    <col min="38" max="42" width="7.109375"/>
    <col min="43" max="43" width="11.5546875"/>
    <col min="44" max="46" width="9.109375" style="94"/>
    <col min="47" max="48" width="8.109375" bestFit="1" customWidth="1"/>
    <col min="49" max="49" width="5" bestFit="1" customWidth="1"/>
    <col min="50" max="1028" width="11.5546875"/>
  </cols>
  <sheetData>
    <row r="1" spans="1:55" s="24" customFormat="1" x14ac:dyDescent="0.25">
      <c r="A1" s="123" t="s">
        <v>449</v>
      </c>
      <c r="B1" s="134" t="s">
        <v>451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 t="s">
        <v>447</v>
      </c>
      <c r="T1" s="134"/>
      <c r="U1" s="134"/>
      <c r="V1" s="134"/>
      <c r="W1" s="134"/>
      <c r="Y1" s="123" t="s">
        <v>102</v>
      </c>
      <c r="AA1" s="177" t="s">
        <v>444</v>
      </c>
      <c r="AB1" s="177"/>
      <c r="AD1" s="42" t="s">
        <v>445</v>
      </c>
      <c r="AF1" s="134" t="s">
        <v>446</v>
      </c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R1" s="180" t="s">
        <v>448</v>
      </c>
      <c r="AS1" s="181"/>
      <c r="AU1" s="178" t="s">
        <v>318</v>
      </c>
      <c r="AV1" s="179"/>
      <c r="AW1" s="157"/>
      <c r="AY1" s="65" t="s">
        <v>218</v>
      </c>
      <c r="AZ1" s="125"/>
      <c r="BA1" s="124"/>
      <c r="BB1" s="65" t="s">
        <v>341</v>
      </c>
      <c r="BC1" s="24">
        <v>4.5</v>
      </c>
    </row>
    <row r="2" spans="1:55" s="25" customFormat="1" ht="10.199999999999999" x14ac:dyDescent="0.2">
      <c r="A2" s="122" t="s">
        <v>450</v>
      </c>
      <c r="B2" s="122" t="s">
        <v>435</v>
      </c>
      <c r="C2" s="122" t="s">
        <v>436</v>
      </c>
      <c r="D2" s="122" t="s">
        <v>21</v>
      </c>
      <c r="E2" s="122" t="s">
        <v>437</v>
      </c>
      <c r="F2" s="122" t="s">
        <v>341</v>
      </c>
      <c r="G2" s="43" t="s">
        <v>438</v>
      </c>
      <c r="H2" s="122" t="s">
        <v>439</v>
      </c>
      <c r="I2" s="100" t="s">
        <v>104</v>
      </c>
      <c r="J2" s="122" t="s">
        <v>105</v>
      </c>
      <c r="K2" s="122" t="s">
        <v>440</v>
      </c>
      <c r="L2" s="122" t="s">
        <v>106</v>
      </c>
      <c r="M2" s="53" t="s">
        <v>452</v>
      </c>
      <c r="N2" s="122" t="s">
        <v>107</v>
      </c>
      <c r="O2" s="122" t="s">
        <v>453</v>
      </c>
      <c r="P2" s="100" t="s">
        <v>441</v>
      </c>
      <c r="Q2" s="122" t="s">
        <v>108</v>
      </c>
      <c r="S2" s="122" t="s">
        <v>442</v>
      </c>
      <c r="T2" s="122" t="s">
        <v>379</v>
      </c>
      <c r="U2" s="122" t="s">
        <v>385</v>
      </c>
      <c r="V2" s="122" t="s">
        <v>443</v>
      </c>
      <c r="W2" s="122" t="s">
        <v>21</v>
      </c>
      <c r="Y2" s="122" t="s">
        <v>110</v>
      </c>
      <c r="AA2" s="43" t="s">
        <v>111</v>
      </c>
      <c r="AB2" s="43" t="s">
        <v>112</v>
      </c>
      <c r="AD2" s="44" t="s">
        <v>113</v>
      </c>
      <c r="AF2" s="122" t="s">
        <v>454</v>
      </c>
      <c r="AG2" s="122" t="s">
        <v>379</v>
      </c>
      <c r="AH2" s="122" t="s">
        <v>418</v>
      </c>
      <c r="AI2" s="122" t="s">
        <v>455</v>
      </c>
      <c r="AJ2" s="122" t="s">
        <v>381</v>
      </c>
      <c r="AK2" s="122" t="s">
        <v>456</v>
      </c>
      <c r="AL2" s="122" t="s">
        <v>383</v>
      </c>
      <c r="AM2" s="122" t="s">
        <v>384</v>
      </c>
      <c r="AN2" s="122" t="s">
        <v>385</v>
      </c>
      <c r="AO2" s="122" t="s">
        <v>21</v>
      </c>
      <c r="AP2" s="122" t="s">
        <v>386</v>
      </c>
      <c r="AR2" s="122" t="s">
        <v>457</v>
      </c>
      <c r="AS2" s="122" t="s">
        <v>458</v>
      </c>
      <c r="AU2" s="122" t="s">
        <v>315</v>
      </c>
      <c r="AV2" s="100" t="s">
        <v>316</v>
      </c>
      <c r="AW2" s="100" t="s">
        <v>317</v>
      </c>
      <c r="AY2" s="122" t="s">
        <v>342</v>
      </c>
      <c r="BB2" s="25">
        <v>1</v>
      </c>
      <c r="BC2" s="25">
        <v>3</v>
      </c>
    </row>
    <row r="3" spans="1:55" ht="14.4" x14ac:dyDescent="0.3">
      <c r="A3" s="122" t="s">
        <v>117</v>
      </c>
      <c r="B3" s="126" t="s">
        <v>11</v>
      </c>
      <c r="C3" s="126" t="s">
        <v>118</v>
      </c>
      <c r="D3" s="126" t="s">
        <v>68</v>
      </c>
      <c r="E3" s="126" t="s">
        <v>12</v>
      </c>
      <c r="F3" s="126" t="s">
        <v>68</v>
      </c>
      <c r="G3" s="126">
        <v>4.3250000000000002</v>
      </c>
      <c r="H3" s="126">
        <v>71</v>
      </c>
      <c r="I3" s="126">
        <v>307.10000000000002</v>
      </c>
      <c r="J3" s="126">
        <v>13</v>
      </c>
      <c r="K3" s="126">
        <v>8</v>
      </c>
      <c r="L3" s="126">
        <v>9</v>
      </c>
      <c r="M3" s="126">
        <v>226.29</v>
      </c>
      <c r="N3" s="126"/>
      <c r="O3" s="126">
        <v>9</v>
      </c>
      <c r="P3" s="126">
        <v>21</v>
      </c>
      <c r="Q3" s="126" t="s">
        <v>11</v>
      </c>
      <c r="R3" s="94"/>
      <c r="S3" s="126">
        <v>249.22</v>
      </c>
      <c r="T3" s="126">
        <v>714.42</v>
      </c>
      <c r="U3" s="126">
        <v>676.29</v>
      </c>
      <c r="V3" s="126">
        <v>789.1</v>
      </c>
      <c r="W3" s="126">
        <v>511.89</v>
      </c>
      <c r="X3" s="86"/>
      <c r="Y3" s="126">
        <v>141.46</v>
      </c>
      <c r="Z3" s="86"/>
      <c r="AA3" s="87">
        <v>0.88770000000000004</v>
      </c>
      <c r="AB3" s="87">
        <v>0.78290000000000004</v>
      </c>
      <c r="AC3" s="86"/>
      <c r="AD3" s="88">
        <v>0.92784</v>
      </c>
      <c r="AE3" s="86"/>
      <c r="AF3" s="126">
        <v>28.120999999999999</v>
      </c>
      <c r="AG3" s="126">
        <v>51.284999999999997</v>
      </c>
      <c r="AH3" s="126">
        <v>19.515999999999998</v>
      </c>
      <c r="AI3" s="126">
        <v>20.606000000000002</v>
      </c>
      <c r="AJ3" s="126">
        <v>20.02</v>
      </c>
      <c r="AK3" s="126">
        <v>23.585000000000001</v>
      </c>
      <c r="AL3" s="126">
        <v>17.574999999999999</v>
      </c>
      <c r="AM3" s="126">
        <v>35.973999999999997</v>
      </c>
      <c r="AN3" s="126">
        <v>42.186999999999998</v>
      </c>
      <c r="AO3" s="126">
        <v>26.704000000000001</v>
      </c>
      <c r="AP3" s="126">
        <v>20.585999999999999</v>
      </c>
      <c r="AQ3" s="94"/>
      <c r="AR3" s="126">
        <v>0.12</v>
      </c>
      <c r="AS3" s="126">
        <v>0.12</v>
      </c>
      <c r="AU3" s="126">
        <v>6.2168920113260935</v>
      </c>
      <c r="AV3" s="126">
        <v>0.87804910172378481</v>
      </c>
      <c r="AW3" s="126">
        <v>-8.2853930000000006E-2</v>
      </c>
      <c r="AX3" s="94"/>
      <c r="AY3" s="69">
        <v>2.7139953000000001E-2</v>
      </c>
      <c r="AZ3" s="66" t="s">
        <v>343</v>
      </c>
      <c r="BA3" s="122" t="s">
        <v>117</v>
      </c>
      <c r="BB3" s="94">
        <f>AY3/G3</f>
        <v>6.2751336416184975E-3</v>
      </c>
    </row>
    <row r="4" spans="1:55" ht="14.4" x14ac:dyDescent="0.3">
      <c r="A4" s="122" t="s">
        <v>119</v>
      </c>
      <c r="B4" s="126" t="s">
        <v>68</v>
      </c>
      <c r="C4" s="126" t="s">
        <v>70</v>
      </c>
      <c r="D4" s="126" t="s">
        <v>68</v>
      </c>
      <c r="E4" s="126" t="s">
        <v>11</v>
      </c>
      <c r="F4" s="126" t="s">
        <v>68</v>
      </c>
      <c r="G4" s="126">
        <v>3.78</v>
      </c>
      <c r="H4" s="126">
        <v>79</v>
      </c>
      <c r="I4" s="126">
        <v>298.60000000000002</v>
      </c>
      <c r="J4" s="126">
        <v>8</v>
      </c>
      <c r="K4" s="126">
        <v>9</v>
      </c>
      <c r="L4" s="126">
        <v>10</v>
      </c>
      <c r="M4" s="126">
        <v>190.87</v>
      </c>
      <c r="N4" s="126"/>
      <c r="O4" s="126">
        <v>12</v>
      </c>
      <c r="P4" s="126">
        <v>19.5</v>
      </c>
      <c r="Q4" s="126" t="s">
        <v>11</v>
      </c>
      <c r="R4" s="94"/>
      <c r="S4" s="126">
        <v>631.9</v>
      </c>
      <c r="T4" s="126">
        <v>496.9</v>
      </c>
      <c r="U4" s="126">
        <v>358.33</v>
      </c>
      <c r="V4" s="126">
        <v>549.99</v>
      </c>
      <c r="W4" s="126">
        <v>652.04999999999995</v>
      </c>
      <c r="X4" s="86"/>
      <c r="Y4" s="126">
        <v>79.459999999999994</v>
      </c>
      <c r="Z4" s="86"/>
      <c r="AA4" s="87">
        <v>0.80698999999999999</v>
      </c>
      <c r="AB4" s="87">
        <v>0.67737999999999998</v>
      </c>
      <c r="AC4" s="86"/>
      <c r="AD4" s="88">
        <v>1.02234</v>
      </c>
      <c r="AE4" s="86"/>
      <c r="AF4" s="126">
        <v>38.31</v>
      </c>
      <c r="AG4" s="126">
        <v>20.050999999999998</v>
      </c>
      <c r="AH4" s="126">
        <v>40.415999999999997</v>
      </c>
      <c r="AI4" s="126">
        <v>47.482999999999997</v>
      </c>
      <c r="AJ4" s="126">
        <v>43.31</v>
      </c>
      <c r="AK4" s="126">
        <v>26.41</v>
      </c>
      <c r="AL4" s="126">
        <v>30.728000000000002</v>
      </c>
      <c r="AM4" s="126">
        <v>29.934999999999999</v>
      </c>
      <c r="AN4" s="126">
        <v>24.483000000000001</v>
      </c>
      <c r="AO4" s="126">
        <v>15.788</v>
      </c>
      <c r="AP4" s="126">
        <v>22.181000000000001</v>
      </c>
      <c r="AQ4" s="94"/>
      <c r="AR4" s="126">
        <v>0.12</v>
      </c>
      <c r="AS4" s="126">
        <v>0.12</v>
      </c>
      <c r="AU4" s="126">
        <v>5.1583797665011808</v>
      </c>
      <c r="AV4" s="126">
        <v>1</v>
      </c>
      <c r="AW4" s="126">
        <v>-0.22807195</v>
      </c>
      <c r="AX4" s="94"/>
      <c r="AY4" s="69">
        <v>3.1290406999999999E-2</v>
      </c>
      <c r="AZ4" s="66" t="s">
        <v>119</v>
      </c>
      <c r="BA4" s="122" t="s">
        <v>119</v>
      </c>
      <c r="BB4" s="94">
        <f t="shared" ref="BB4:BB63" si="0">AY4/G4</f>
        <v>8.2778854497354507E-3</v>
      </c>
    </row>
    <row r="5" spans="1:55" ht="14.4" x14ac:dyDescent="0.3">
      <c r="A5" s="122" t="s">
        <v>120</v>
      </c>
      <c r="B5" s="126" t="s">
        <v>12</v>
      </c>
      <c r="C5" s="126" t="s">
        <v>121</v>
      </c>
      <c r="D5" s="126" t="s">
        <v>63</v>
      </c>
      <c r="E5" s="126" t="s">
        <v>68</v>
      </c>
      <c r="F5" s="126" t="s">
        <v>12</v>
      </c>
      <c r="G5" s="126">
        <v>3.04</v>
      </c>
      <c r="H5" s="126">
        <v>80</v>
      </c>
      <c r="I5" s="126">
        <v>243.2</v>
      </c>
      <c r="J5" s="126">
        <v>5</v>
      </c>
      <c r="K5" s="126">
        <v>10</v>
      </c>
      <c r="L5" s="126">
        <v>7</v>
      </c>
      <c r="M5" s="126">
        <v>148.41999999999999</v>
      </c>
      <c r="N5" s="126"/>
      <c r="O5" s="126">
        <v>10</v>
      </c>
      <c r="P5" s="126">
        <v>11.5</v>
      </c>
      <c r="Q5" s="126" t="s">
        <v>121</v>
      </c>
      <c r="R5" s="94"/>
      <c r="S5" s="126">
        <v>993.04</v>
      </c>
      <c r="T5" s="126">
        <v>466.54</v>
      </c>
      <c r="U5" s="126">
        <v>699.74</v>
      </c>
      <c r="V5" s="126">
        <v>766.1</v>
      </c>
      <c r="W5" s="126">
        <v>240.15</v>
      </c>
      <c r="X5" s="86"/>
      <c r="Y5" s="126">
        <v>228.29049000000001</v>
      </c>
      <c r="Z5" s="86"/>
      <c r="AA5" s="87">
        <v>0.84548000000000001</v>
      </c>
      <c r="AB5" s="87">
        <v>0.79600000000000004</v>
      </c>
      <c r="AC5" s="86"/>
      <c r="AD5" s="88">
        <v>0.93359999999999999</v>
      </c>
      <c r="AE5" s="86"/>
      <c r="AF5" s="126">
        <v>19.073</v>
      </c>
      <c r="AG5" s="126">
        <v>25.831</v>
      </c>
      <c r="AH5" s="126">
        <v>26.172000000000001</v>
      </c>
      <c r="AI5" s="126">
        <v>25.46</v>
      </c>
      <c r="AJ5" s="126">
        <v>21.797999999999998</v>
      </c>
      <c r="AK5" s="126">
        <v>19.148</v>
      </c>
      <c r="AL5" s="126">
        <v>15.28</v>
      </c>
      <c r="AM5" s="126">
        <v>23.788</v>
      </c>
      <c r="AN5" s="126">
        <v>30.454999999999998</v>
      </c>
      <c r="AO5" s="126">
        <v>22.206</v>
      </c>
      <c r="AP5" s="126">
        <v>11.454000000000001</v>
      </c>
      <c r="AQ5" s="94"/>
      <c r="AR5" s="126">
        <v>0.12</v>
      </c>
      <c r="AS5" s="126">
        <v>0.12</v>
      </c>
      <c r="AU5" s="126">
        <v>6.9757777160891674</v>
      </c>
      <c r="AV5" s="126">
        <v>0.89556314821188354</v>
      </c>
      <c r="AW5" s="126">
        <v>1.33804605</v>
      </c>
      <c r="AX5" s="94"/>
      <c r="AY5" s="69">
        <v>3.2771863999999998E-2</v>
      </c>
      <c r="AZ5" s="67" t="s">
        <v>344</v>
      </c>
      <c r="BA5" s="122" t="s">
        <v>120</v>
      </c>
      <c r="BB5" s="94">
        <f t="shared" si="0"/>
        <v>1.0780218421052631E-2</v>
      </c>
    </row>
    <row r="6" spans="1:55" ht="14.4" x14ac:dyDescent="0.3">
      <c r="A6" s="122" t="s">
        <v>122</v>
      </c>
      <c r="B6" s="126" t="s">
        <v>11</v>
      </c>
      <c r="C6" s="126" t="s">
        <v>272</v>
      </c>
      <c r="D6" s="126" t="s">
        <v>63</v>
      </c>
      <c r="E6" s="126" t="s">
        <v>12</v>
      </c>
      <c r="F6" s="126" t="s">
        <v>68</v>
      </c>
      <c r="G6" s="126">
        <v>4.0259999999999998</v>
      </c>
      <c r="H6" s="126">
        <v>70</v>
      </c>
      <c r="I6" s="126">
        <v>281.8</v>
      </c>
      <c r="J6" s="126">
        <v>9</v>
      </c>
      <c r="K6" s="126">
        <v>11</v>
      </c>
      <c r="L6" s="126">
        <v>9</v>
      </c>
      <c r="M6" s="126">
        <v>203.49</v>
      </c>
      <c r="N6" s="126"/>
      <c r="O6" s="126">
        <v>10</v>
      </c>
      <c r="P6" s="126">
        <v>13.5</v>
      </c>
      <c r="Q6" s="126" t="s">
        <v>11</v>
      </c>
      <c r="R6" s="94"/>
      <c r="S6" s="126">
        <v>250.72</v>
      </c>
      <c r="T6" s="126">
        <v>699.88</v>
      </c>
      <c r="U6" s="126">
        <v>769.29</v>
      </c>
      <c r="V6" s="126">
        <v>611.17999999999995</v>
      </c>
      <c r="W6" s="126">
        <v>107.05</v>
      </c>
      <c r="X6" s="86"/>
      <c r="Y6" s="126">
        <v>75.319699999999997</v>
      </c>
      <c r="Z6" s="86"/>
      <c r="AA6" s="87">
        <v>0.90417999999999998</v>
      </c>
      <c r="AB6" s="87">
        <v>0.78500000000000003</v>
      </c>
      <c r="AC6" s="86"/>
      <c r="AD6" s="88">
        <v>0.97099999999999997</v>
      </c>
      <c r="AE6" s="86"/>
      <c r="AF6" s="126">
        <v>24.39</v>
      </c>
      <c r="AG6" s="126">
        <v>51.426000000000002</v>
      </c>
      <c r="AH6" s="126">
        <v>19.501999999999999</v>
      </c>
      <c r="AI6" s="126">
        <v>18.306000000000001</v>
      </c>
      <c r="AJ6" s="126">
        <v>41.683999999999997</v>
      </c>
      <c r="AK6" s="126">
        <v>27.13</v>
      </c>
      <c r="AL6" s="126">
        <v>15.321999999999999</v>
      </c>
      <c r="AM6" s="126">
        <v>40.256999999999998</v>
      </c>
      <c r="AN6" s="126">
        <v>51.488999999999997</v>
      </c>
      <c r="AO6" s="126">
        <v>21.306000000000001</v>
      </c>
      <c r="AP6" s="126">
        <v>12.99</v>
      </c>
      <c r="AQ6" s="94"/>
      <c r="AR6" s="126">
        <v>0.12</v>
      </c>
      <c r="AS6" s="126">
        <v>0.12</v>
      </c>
      <c r="AU6" s="126">
        <v>8.8423566652048589</v>
      </c>
      <c r="AV6" s="126">
        <v>0.57610120312543933</v>
      </c>
      <c r="AW6" s="126">
        <v>-0.35231314000000002</v>
      </c>
      <c r="AX6" s="94"/>
      <c r="AY6" s="69">
        <v>2.7698658000000001E-2</v>
      </c>
      <c r="AZ6" s="67" t="s">
        <v>345</v>
      </c>
      <c r="BA6" s="122" t="s">
        <v>122</v>
      </c>
      <c r="BB6" s="94">
        <f t="shared" si="0"/>
        <v>6.8799448584202687E-3</v>
      </c>
    </row>
    <row r="7" spans="1:55" ht="14.4" x14ac:dyDescent="0.3">
      <c r="A7" s="122" t="s">
        <v>123</v>
      </c>
      <c r="B7" s="126" t="s">
        <v>68</v>
      </c>
      <c r="C7" s="126" t="s">
        <v>118</v>
      </c>
      <c r="D7" s="126" t="s">
        <v>70</v>
      </c>
      <c r="E7" s="126" t="s">
        <v>68</v>
      </c>
      <c r="F7" s="126" t="s">
        <v>68</v>
      </c>
      <c r="G7" s="126">
        <v>5.516</v>
      </c>
      <c r="H7" s="126">
        <v>56</v>
      </c>
      <c r="I7" s="126">
        <v>308.89999999999998</v>
      </c>
      <c r="J7" s="126">
        <v>11</v>
      </c>
      <c r="K7" s="126">
        <v>18</v>
      </c>
      <c r="L7" s="126">
        <v>10</v>
      </c>
      <c r="M7" s="126">
        <v>190.53</v>
      </c>
      <c r="N7" s="126"/>
      <c r="O7" s="126">
        <v>20</v>
      </c>
      <c r="P7" s="126">
        <v>17.5</v>
      </c>
      <c r="Q7" s="126" t="s">
        <v>12</v>
      </c>
      <c r="R7" s="94"/>
      <c r="S7" s="126">
        <v>521.55999999999995</v>
      </c>
      <c r="T7" s="126">
        <v>605.59</v>
      </c>
      <c r="U7" s="126">
        <v>608.9</v>
      </c>
      <c r="V7" s="126">
        <v>640.62</v>
      </c>
      <c r="W7" s="126">
        <v>786.9</v>
      </c>
      <c r="X7" s="86"/>
      <c r="Y7" s="126">
        <v>173.6</v>
      </c>
      <c r="Z7" s="86"/>
      <c r="AA7" s="87">
        <v>0.86168999999999996</v>
      </c>
      <c r="AB7" s="87">
        <v>0.752</v>
      </c>
      <c r="AC7" s="86"/>
      <c r="AD7" s="88">
        <v>1.0037400000000001</v>
      </c>
      <c r="AE7" s="86"/>
      <c r="AF7" s="126">
        <v>17.800999999999998</v>
      </c>
      <c r="AG7" s="126">
        <v>38.165999999999997</v>
      </c>
      <c r="AH7" s="126">
        <v>28.62</v>
      </c>
      <c r="AI7" s="126">
        <v>28.661999999999999</v>
      </c>
      <c r="AJ7" s="126">
        <v>20.04</v>
      </c>
      <c r="AK7" s="126">
        <v>18.968</v>
      </c>
      <c r="AL7" s="126">
        <v>19.497</v>
      </c>
      <c r="AM7" s="126">
        <v>30.111999999999998</v>
      </c>
      <c r="AN7" s="126">
        <v>35.848999999999997</v>
      </c>
      <c r="AO7" s="126">
        <v>15.468</v>
      </c>
      <c r="AP7" s="126">
        <v>15.521000000000001</v>
      </c>
      <c r="AQ7" s="94"/>
      <c r="AR7" s="126">
        <v>0.12</v>
      </c>
      <c r="AS7" s="126">
        <v>0.12</v>
      </c>
      <c r="AU7" s="126">
        <v>6.0183397594574028</v>
      </c>
      <c r="AV7" s="126">
        <v>0.58590748862331832</v>
      </c>
      <c r="AW7" s="126">
        <v>9.3611010000000008E-2</v>
      </c>
      <c r="AX7" s="94"/>
      <c r="AY7" s="69">
        <v>3.2469228000000003E-2</v>
      </c>
      <c r="AZ7" s="67" t="s">
        <v>346</v>
      </c>
      <c r="BA7" s="122" t="s">
        <v>123</v>
      </c>
      <c r="BB7" s="94">
        <f t="shared" si="0"/>
        <v>5.8863720087019584E-3</v>
      </c>
    </row>
    <row r="8" spans="1:55" x14ac:dyDescent="0.25">
      <c r="A8" s="122" t="s">
        <v>268</v>
      </c>
      <c r="B8" s="126" t="s">
        <v>11</v>
      </c>
      <c r="C8" s="126" t="s">
        <v>118</v>
      </c>
      <c r="D8" s="126" t="s">
        <v>70</v>
      </c>
      <c r="E8" s="126" t="s">
        <v>273</v>
      </c>
      <c r="F8" s="126" t="s">
        <v>11</v>
      </c>
      <c r="G8" s="126">
        <v>4.88</v>
      </c>
      <c r="H8" s="126">
        <v>64</v>
      </c>
      <c r="I8" s="126">
        <v>312.3</v>
      </c>
      <c r="J8" s="126">
        <v>22</v>
      </c>
      <c r="K8" s="126">
        <v>3</v>
      </c>
      <c r="L8" s="126">
        <v>9</v>
      </c>
      <c r="M8" s="126">
        <v>285.89</v>
      </c>
      <c r="N8" s="126"/>
      <c r="O8" s="126">
        <v>4</v>
      </c>
      <c r="P8" s="126">
        <v>13</v>
      </c>
      <c r="Q8" s="126" t="s">
        <v>121</v>
      </c>
      <c r="R8" s="94"/>
      <c r="S8" s="126">
        <v>302.56479000000002</v>
      </c>
      <c r="T8" s="126">
        <v>636.26228000000003</v>
      </c>
      <c r="U8" s="126">
        <v>412.39800000000002</v>
      </c>
      <c r="V8" s="126">
        <v>387.41</v>
      </c>
      <c r="W8" s="126">
        <v>821.34</v>
      </c>
      <c r="X8" s="86"/>
      <c r="Y8" s="126">
        <v>103.24509999999999</v>
      </c>
      <c r="Z8" s="86"/>
      <c r="AA8" s="88">
        <v>0.90602000000000005</v>
      </c>
      <c r="AB8" s="89">
        <v>0.77</v>
      </c>
      <c r="AC8" s="86"/>
      <c r="AD8" s="88">
        <v>1.1835599999999999</v>
      </c>
      <c r="AE8" s="86"/>
      <c r="AF8" s="126">
        <v>29.776</v>
      </c>
      <c r="AG8" s="126">
        <v>85.668000000000006</v>
      </c>
      <c r="AH8" s="126">
        <v>16.91</v>
      </c>
      <c r="AI8" s="126">
        <v>18.579000000000001</v>
      </c>
      <c r="AJ8" s="126">
        <v>35.994</v>
      </c>
      <c r="AK8" s="126">
        <v>17.959</v>
      </c>
      <c r="AL8" s="126">
        <v>19.393000000000001</v>
      </c>
      <c r="AM8" s="126">
        <v>26.65</v>
      </c>
      <c r="AN8" s="126">
        <v>23.611999999999998</v>
      </c>
      <c r="AO8" s="126">
        <v>59.039000000000001</v>
      </c>
      <c r="AP8" s="126">
        <v>21.64</v>
      </c>
      <c r="AQ8" s="94"/>
      <c r="AR8" s="126">
        <v>0.12</v>
      </c>
      <c r="AS8" s="126">
        <v>0.12</v>
      </c>
      <c r="AU8" s="126">
        <v>4.5739958012593638</v>
      </c>
      <c r="AV8" s="126">
        <v>1</v>
      </c>
      <c r="AW8" s="126">
        <v>-1.5851565299999999</v>
      </c>
      <c r="AX8" s="94"/>
      <c r="AY8" s="70">
        <v>0.03</v>
      </c>
      <c r="AZ8" s="94"/>
      <c r="BA8" s="122" t="s">
        <v>268</v>
      </c>
      <c r="BB8" s="94">
        <f t="shared" si="0"/>
        <v>6.1475409836065573E-3</v>
      </c>
    </row>
    <row r="9" spans="1:55" x14ac:dyDescent="0.25">
      <c r="A9" s="122" t="s">
        <v>278</v>
      </c>
      <c r="B9" s="126" t="s">
        <v>68</v>
      </c>
      <c r="C9" s="126" t="s">
        <v>118</v>
      </c>
      <c r="D9" s="126" t="s">
        <v>70</v>
      </c>
      <c r="E9" s="126" t="s">
        <v>12</v>
      </c>
      <c r="F9" s="126" t="s">
        <v>273</v>
      </c>
      <c r="G9" s="126">
        <v>6.0060000000000002</v>
      </c>
      <c r="H9" s="126">
        <v>51</v>
      </c>
      <c r="I9" s="126">
        <v>306.3</v>
      </c>
      <c r="J9" s="126">
        <v>18</v>
      </c>
      <c r="K9" s="126">
        <v>8</v>
      </c>
      <c r="L9" s="126">
        <v>16</v>
      </c>
      <c r="M9" s="126">
        <v>211.45</v>
      </c>
      <c r="N9" s="126"/>
      <c r="O9" s="126">
        <v>20</v>
      </c>
      <c r="P9" s="126">
        <v>17</v>
      </c>
      <c r="Q9" s="126" t="s">
        <v>12</v>
      </c>
      <c r="R9" s="94"/>
      <c r="S9" s="126">
        <v>352.00178</v>
      </c>
      <c r="T9" s="126">
        <v>613.90350999999998</v>
      </c>
      <c r="U9" s="126">
        <v>609.33600000000001</v>
      </c>
      <c r="V9" s="126">
        <v>704</v>
      </c>
      <c r="W9" s="126">
        <v>800.96</v>
      </c>
      <c r="X9" s="86"/>
      <c r="Y9" s="126">
        <v>96.709900000000005</v>
      </c>
      <c r="Z9" s="86"/>
      <c r="AA9" s="88">
        <v>0.89405000000000001</v>
      </c>
      <c r="AB9" s="89">
        <v>0</v>
      </c>
      <c r="AC9" s="86"/>
      <c r="AD9" s="88">
        <v>1.0790999999999999</v>
      </c>
      <c r="AE9" s="86"/>
      <c r="AF9" s="126">
        <v>21.596</v>
      </c>
      <c r="AG9" s="126">
        <v>61.171999999999997</v>
      </c>
      <c r="AH9" s="126">
        <v>20.585000000000001</v>
      </c>
      <c r="AI9" s="126">
        <v>22.553000000000001</v>
      </c>
      <c r="AJ9" s="126">
        <v>19.315000000000001</v>
      </c>
      <c r="AK9" s="126">
        <v>24.716000000000001</v>
      </c>
      <c r="AL9" s="126">
        <v>18.367999999999999</v>
      </c>
      <c r="AM9" s="126">
        <v>28.114000000000001</v>
      </c>
      <c r="AN9" s="126">
        <v>47.58</v>
      </c>
      <c r="AO9" s="126">
        <v>19.856999999999999</v>
      </c>
      <c r="AP9" s="126">
        <v>15.068</v>
      </c>
      <c r="AQ9" s="94"/>
      <c r="AR9" s="126">
        <v>0.12</v>
      </c>
      <c r="AS9" s="126">
        <v>0.12</v>
      </c>
      <c r="AU9" s="126">
        <v>6.1969722518588979</v>
      </c>
      <c r="AV9" s="126">
        <v>0.93409264740282172</v>
      </c>
      <c r="AW9" s="126">
        <v>0.79370002000000006</v>
      </c>
      <c r="AX9" s="94"/>
      <c r="AY9" s="70">
        <v>0.04</v>
      </c>
      <c r="AZ9" s="94"/>
      <c r="BA9" s="122" t="s">
        <v>278</v>
      </c>
      <c r="BB9" s="94">
        <f t="shared" si="0"/>
        <v>6.66000666000666E-3</v>
      </c>
    </row>
    <row r="10" spans="1:55" ht="14.4" x14ac:dyDescent="0.3">
      <c r="A10" s="122" t="s">
        <v>124</v>
      </c>
      <c r="B10" s="126" t="s">
        <v>68</v>
      </c>
      <c r="C10" s="126" t="s">
        <v>70</v>
      </c>
      <c r="D10" s="126" t="s">
        <v>63</v>
      </c>
      <c r="E10" s="126" t="s">
        <v>12</v>
      </c>
      <c r="F10" s="126" t="s">
        <v>68</v>
      </c>
      <c r="G10" s="126">
        <v>4.7279999999999998</v>
      </c>
      <c r="H10" s="126">
        <v>65</v>
      </c>
      <c r="I10" s="126">
        <v>307.3</v>
      </c>
      <c r="J10" s="126">
        <v>11</v>
      </c>
      <c r="K10" s="126">
        <v>13</v>
      </c>
      <c r="L10" s="126">
        <v>8</v>
      </c>
      <c r="M10" s="126">
        <v>217.02</v>
      </c>
      <c r="N10" s="126"/>
      <c r="O10" s="126">
        <v>16</v>
      </c>
      <c r="P10" s="126">
        <v>21</v>
      </c>
      <c r="Q10" s="126" t="s">
        <v>11</v>
      </c>
      <c r="R10" s="94"/>
      <c r="S10" s="126">
        <v>457.87</v>
      </c>
      <c r="T10" s="126">
        <v>673.95</v>
      </c>
      <c r="U10" s="126">
        <v>503.46</v>
      </c>
      <c r="V10" s="126">
        <v>676.11</v>
      </c>
      <c r="W10" s="126">
        <v>315.93</v>
      </c>
      <c r="X10" s="86"/>
      <c r="Y10" s="126">
        <v>140.56392</v>
      </c>
      <c r="Z10" s="86"/>
      <c r="AA10" s="87">
        <v>0.86704000000000003</v>
      </c>
      <c r="AB10" s="89">
        <v>0</v>
      </c>
      <c r="AC10" s="86"/>
      <c r="AD10" s="88">
        <v>1.0932999999999999</v>
      </c>
      <c r="AE10" s="86"/>
      <c r="AF10" s="126">
        <v>26.925000000000001</v>
      </c>
      <c r="AG10" s="126">
        <v>63.021999999999998</v>
      </c>
      <c r="AH10" s="126">
        <v>44.738999999999997</v>
      </c>
      <c r="AI10" s="126">
        <v>52.795999999999999</v>
      </c>
      <c r="AJ10" s="126">
        <v>33.56</v>
      </c>
      <c r="AK10" s="126">
        <v>23.393000000000001</v>
      </c>
      <c r="AL10" s="126">
        <v>22.858000000000001</v>
      </c>
      <c r="AM10" s="126">
        <v>35.996000000000002</v>
      </c>
      <c r="AN10" s="126">
        <v>53.186999999999998</v>
      </c>
      <c r="AO10" s="126">
        <v>42.040999999999997</v>
      </c>
      <c r="AP10" s="126">
        <v>20.053000000000001</v>
      </c>
      <c r="AQ10" s="94"/>
      <c r="AR10" s="126">
        <v>0.12</v>
      </c>
      <c r="AS10" s="126">
        <v>0.12</v>
      </c>
      <c r="AU10" s="126">
        <v>5.7319581792793235</v>
      </c>
      <c r="AV10" s="126">
        <v>0.90276331159406387</v>
      </c>
      <c r="AW10" s="126">
        <v>-0.34190637000000001</v>
      </c>
      <c r="AX10" s="94"/>
      <c r="AY10" s="69">
        <v>2.8321814000000001E-2</v>
      </c>
      <c r="AZ10" s="66" t="s">
        <v>124</v>
      </c>
      <c r="BA10" s="122" t="s">
        <v>124</v>
      </c>
      <c r="BB10" s="94">
        <f t="shared" si="0"/>
        <v>5.9902313874788497E-3</v>
      </c>
    </row>
    <row r="11" spans="1:55" ht="14.4" x14ac:dyDescent="0.3">
      <c r="A11" s="122" t="s">
        <v>125</v>
      </c>
      <c r="B11" s="126" t="s">
        <v>68</v>
      </c>
      <c r="C11" s="126" t="s">
        <v>121</v>
      </c>
      <c r="D11" s="126" t="s">
        <v>68</v>
      </c>
      <c r="E11" s="126" t="s">
        <v>11</v>
      </c>
      <c r="F11" s="126" t="s">
        <v>11</v>
      </c>
      <c r="G11" s="126">
        <v>4.2069999999999999</v>
      </c>
      <c r="H11" s="126">
        <v>75</v>
      </c>
      <c r="I11" s="126">
        <v>315.5</v>
      </c>
      <c r="J11" s="126">
        <v>10</v>
      </c>
      <c r="K11" s="126">
        <v>12</v>
      </c>
      <c r="L11" s="126">
        <v>8</v>
      </c>
      <c r="M11" s="126">
        <v>211.02</v>
      </c>
      <c r="N11" s="126"/>
      <c r="O11" s="126">
        <v>12</v>
      </c>
      <c r="P11" s="126">
        <v>25.5</v>
      </c>
      <c r="Q11" s="126" t="s">
        <v>121</v>
      </c>
      <c r="R11" s="94"/>
      <c r="S11" s="126">
        <v>475.32</v>
      </c>
      <c r="T11" s="126">
        <v>647.54494999999997</v>
      </c>
      <c r="U11" s="126">
        <v>386.69197000000003</v>
      </c>
      <c r="V11" s="126">
        <v>709.39820999999995</v>
      </c>
      <c r="W11" s="126">
        <v>641.46833000000004</v>
      </c>
      <c r="X11" s="86"/>
      <c r="Y11" s="126">
        <v>121.09563</v>
      </c>
      <c r="Z11" s="86"/>
      <c r="AA11" s="87">
        <v>0.82672999999999996</v>
      </c>
      <c r="AB11" s="87">
        <v>0.63566</v>
      </c>
      <c r="AC11" s="86"/>
      <c r="AD11" s="88">
        <v>1.04203</v>
      </c>
      <c r="AE11" s="86"/>
      <c r="AF11" s="126">
        <v>11.776999999999999</v>
      </c>
      <c r="AG11" s="126">
        <v>32.563000000000002</v>
      </c>
      <c r="AH11" s="126">
        <v>20.314</v>
      </c>
      <c r="AI11" s="126">
        <v>25.081</v>
      </c>
      <c r="AJ11" s="126">
        <v>28.315999999999999</v>
      </c>
      <c r="AK11" s="126">
        <v>15.891999999999999</v>
      </c>
      <c r="AL11" s="126">
        <v>13.167</v>
      </c>
      <c r="AM11" s="126">
        <v>21.672999999999998</v>
      </c>
      <c r="AN11" s="126">
        <v>38.524999999999999</v>
      </c>
      <c r="AO11" s="126">
        <v>38.531999999999996</v>
      </c>
      <c r="AP11" s="126">
        <v>19.829999999999998</v>
      </c>
      <c r="AQ11" s="94"/>
      <c r="AR11" s="126">
        <v>0.12</v>
      </c>
      <c r="AS11" s="126">
        <v>0.12</v>
      </c>
      <c r="AU11" s="126">
        <v>5.6355736117380193</v>
      </c>
      <c r="AV11" s="126">
        <v>1</v>
      </c>
      <c r="AW11" s="126">
        <v>0.31460402999999998</v>
      </c>
      <c r="AX11" s="94"/>
      <c r="AY11" s="69">
        <v>2.9904747999999998E-2</v>
      </c>
      <c r="AZ11" s="66" t="s">
        <v>347</v>
      </c>
      <c r="BA11" s="122" t="s">
        <v>125</v>
      </c>
      <c r="BB11" s="94">
        <f t="shared" si="0"/>
        <v>7.1083308771095789E-3</v>
      </c>
    </row>
    <row r="12" spans="1:55" ht="14.4" x14ac:dyDescent="0.3">
      <c r="A12" s="122" t="s">
        <v>126</v>
      </c>
      <c r="B12" s="126" t="s">
        <v>68</v>
      </c>
      <c r="C12" s="126" t="s">
        <v>70</v>
      </c>
      <c r="D12" s="126" t="s">
        <v>70</v>
      </c>
      <c r="E12" s="126" t="s">
        <v>12</v>
      </c>
      <c r="F12" s="126" t="s">
        <v>68</v>
      </c>
      <c r="G12" s="126">
        <v>5.4749999999999996</v>
      </c>
      <c r="H12" s="126">
        <v>55</v>
      </c>
      <c r="I12" s="126">
        <v>301.10000000000002</v>
      </c>
      <c r="J12" s="126">
        <v>16</v>
      </c>
      <c r="K12" s="126">
        <v>15</v>
      </c>
      <c r="L12" s="126">
        <v>7</v>
      </c>
      <c r="M12" s="126">
        <v>206.08</v>
      </c>
      <c r="N12" s="126"/>
      <c r="O12" s="126">
        <v>12</v>
      </c>
      <c r="P12" s="126">
        <v>13.5</v>
      </c>
      <c r="Q12" s="126" t="s">
        <v>121</v>
      </c>
      <c r="R12" s="94"/>
      <c r="S12" s="126">
        <v>577.88028999999995</v>
      </c>
      <c r="T12" s="126">
        <v>409.23081000000002</v>
      </c>
      <c r="U12" s="126">
        <v>697.755</v>
      </c>
      <c r="V12" s="126">
        <v>849.60500000000002</v>
      </c>
      <c r="W12" s="126">
        <v>784.06</v>
      </c>
      <c r="X12" s="86"/>
      <c r="Y12" s="126">
        <v>46.68976</v>
      </c>
      <c r="Z12" s="86"/>
      <c r="AA12" s="87">
        <v>0.89066000000000001</v>
      </c>
      <c r="AB12" s="87">
        <v>0.62207000000000001</v>
      </c>
      <c r="AC12" s="86"/>
      <c r="AD12" s="88">
        <v>1.03298</v>
      </c>
      <c r="AE12" s="86"/>
      <c r="AF12" s="126">
        <v>19.638999999999999</v>
      </c>
      <c r="AG12" s="126">
        <v>40.265000000000001</v>
      </c>
      <c r="AH12" s="126">
        <v>25.262</v>
      </c>
      <c r="AI12" s="126">
        <v>30.725000000000001</v>
      </c>
      <c r="AJ12" s="126">
        <v>20.643000000000001</v>
      </c>
      <c r="AK12" s="126">
        <v>19.015999999999998</v>
      </c>
      <c r="AL12" s="126">
        <v>21.69</v>
      </c>
      <c r="AM12" s="126">
        <v>32.161000000000001</v>
      </c>
      <c r="AN12" s="126">
        <v>43.531999999999996</v>
      </c>
      <c r="AO12" s="126">
        <v>20.707999999999998</v>
      </c>
      <c r="AP12" s="126">
        <v>17.437999999999999</v>
      </c>
      <c r="AQ12" s="94"/>
      <c r="AR12" s="126">
        <v>0.12</v>
      </c>
      <c r="AS12" s="126">
        <v>0.12</v>
      </c>
      <c r="AU12" s="126">
        <v>7.1430731267031193</v>
      </c>
      <c r="AV12" s="126">
        <v>0.9460697269523386</v>
      </c>
      <c r="AW12" s="126">
        <v>1.2922969</v>
      </c>
      <c r="AX12" s="94"/>
      <c r="AY12" s="69">
        <v>2.9224087999999999E-2</v>
      </c>
      <c r="AZ12" s="67" t="s">
        <v>126</v>
      </c>
      <c r="BA12" s="122" t="s">
        <v>126</v>
      </c>
      <c r="BB12" s="94">
        <f t="shared" si="0"/>
        <v>5.3377329680365298E-3</v>
      </c>
    </row>
    <row r="13" spans="1:55" x14ac:dyDescent="0.25">
      <c r="A13" s="122" t="s">
        <v>269</v>
      </c>
      <c r="B13" s="126" t="s">
        <v>68</v>
      </c>
      <c r="C13" s="126" t="s">
        <v>121</v>
      </c>
      <c r="D13" s="126" t="s">
        <v>68</v>
      </c>
      <c r="E13" s="126" t="s">
        <v>68</v>
      </c>
      <c r="F13" s="126" t="s">
        <v>68</v>
      </c>
      <c r="G13" s="126">
        <v>7.2809999999999997</v>
      </c>
      <c r="H13" s="126">
        <v>42</v>
      </c>
      <c r="I13" s="126">
        <v>305.8</v>
      </c>
      <c r="J13" s="126">
        <v>8</v>
      </c>
      <c r="K13" s="126">
        <v>26</v>
      </c>
      <c r="L13" s="126">
        <v>17</v>
      </c>
      <c r="M13" s="126">
        <v>257.04000000000002</v>
      </c>
      <c r="N13" s="126"/>
      <c r="O13" s="126">
        <v>16</v>
      </c>
      <c r="P13" s="126">
        <v>17</v>
      </c>
      <c r="Q13" s="126" t="s">
        <v>11</v>
      </c>
      <c r="R13" s="94"/>
      <c r="S13" s="126">
        <v>713.7</v>
      </c>
      <c r="T13" s="126">
        <v>594.03</v>
      </c>
      <c r="U13" s="126">
        <v>589.41</v>
      </c>
      <c r="V13" s="126">
        <v>697.91</v>
      </c>
      <c r="W13" s="126">
        <v>539.29</v>
      </c>
      <c r="X13" s="86"/>
      <c r="Y13" s="126">
        <v>138.55358000000001</v>
      </c>
      <c r="Z13" s="86"/>
      <c r="AA13" s="87">
        <v>0.85899999999999999</v>
      </c>
      <c r="AB13" s="89">
        <v>0.75424999999999998</v>
      </c>
      <c r="AC13" s="86"/>
      <c r="AD13" s="88">
        <v>1.19414</v>
      </c>
      <c r="AE13" s="86"/>
      <c r="AF13" s="126">
        <v>38.197000000000003</v>
      </c>
      <c r="AG13" s="126">
        <v>23.829000000000001</v>
      </c>
      <c r="AH13" s="126">
        <v>19.707000000000001</v>
      </c>
      <c r="AI13" s="126">
        <v>18.824000000000002</v>
      </c>
      <c r="AJ13" s="126">
        <v>41.555999999999997</v>
      </c>
      <c r="AK13" s="126">
        <v>31.227</v>
      </c>
      <c r="AL13" s="126">
        <v>13.946</v>
      </c>
      <c r="AM13" s="126">
        <v>35.212000000000003</v>
      </c>
      <c r="AN13" s="126">
        <v>30.06</v>
      </c>
      <c r="AO13" s="126">
        <v>42.177</v>
      </c>
      <c r="AP13" s="126">
        <v>12.497</v>
      </c>
      <c r="AQ13" s="94"/>
      <c r="AR13" s="126">
        <v>0.12</v>
      </c>
      <c r="AS13" s="126">
        <v>0.12</v>
      </c>
      <c r="AU13" s="126">
        <v>6.0611470794218851</v>
      </c>
      <c r="AV13" s="126">
        <v>1</v>
      </c>
      <c r="AW13" s="126">
        <v>0.49451054999999999</v>
      </c>
      <c r="AX13" s="94"/>
      <c r="AY13" s="70">
        <v>0.05</v>
      </c>
      <c r="AZ13" s="94"/>
      <c r="BA13" s="122" t="s">
        <v>269</v>
      </c>
      <c r="BB13" s="94">
        <f t="shared" si="0"/>
        <v>6.8671885729982155E-3</v>
      </c>
    </row>
    <row r="14" spans="1:55" ht="14.4" x14ac:dyDescent="0.3">
      <c r="A14" s="122" t="s">
        <v>127</v>
      </c>
      <c r="B14" s="126" t="s">
        <v>68</v>
      </c>
      <c r="C14" s="126" t="s">
        <v>118</v>
      </c>
      <c r="D14" s="126" t="s">
        <v>68</v>
      </c>
      <c r="E14" s="126" t="s">
        <v>68</v>
      </c>
      <c r="F14" s="126" t="s">
        <v>12</v>
      </c>
      <c r="G14" s="126">
        <v>5.4039999999999999</v>
      </c>
      <c r="H14" s="126">
        <v>57</v>
      </c>
      <c r="I14" s="126">
        <v>308</v>
      </c>
      <c r="J14" s="126">
        <v>12</v>
      </c>
      <c r="K14" s="126">
        <v>12</v>
      </c>
      <c r="L14" s="126">
        <v>14</v>
      </c>
      <c r="M14" s="126">
        <v>207.14</v>
      </c>
      <c r="N14" s="126"/>
      <c r="O14" s="126">
        <v>15</v>
      </c>
      <c r="P14" s="126">
        <v>14</v>
      </c>
      <c r="Q14" s="126" t="s">
        <v>121</v>
      </c>
      <c r="R14" s="94"/>
      <c r="S14" s="126">
        <v>489.73</v>
      </c>
      <c r="T14" s="126">
        <v>515.49</v>
      </c>
      <c r="U14" s="126">
        <v>378.53</v>
      </c>
      <c r="V14" s="126">
        <v>555.53</v>
      </c>
      <c r="W14" s="126">
        <v>490.25</v>
      </c>
      <c r="X14" s="86"/>
      <c r="Y14" s="126">
        <v>37.246029999999998</v>
      </c>
      <c r="Z14" s="86"/>
      <c r="AA14" s="87">
        <v>0.83238000000000001</v>
      </c>
      <c r="AB14" s="87">
        <v>0.70154000000000005</v>
      </c>
      <c r="AC14" s="86"/>
      <c r="AD14" s="88">
        <v>0.98792999999999997</v>
      </c>
      <c r="AE14" s="86"/>
      <c r="AF14" s="126">
        <v>26.468</v>
      </c>
      <c r="AG14" s="126">
        <v>45.65</v>
      </c>
      <c r="AH14" s="126">
        <v>28.797000000000001</v>
      </c>
      <c r="AI14" s="126">
        <v>23.844000000000001</v>
      </c>
      <c r="AJ14" s="126">
        <v>28.620999999999999</v>
      </c>
      <c r="AK14" s="126">
        <v>27.15</v>
      </c>
      <c r="AL14" s="126">
        <v>25.587</v>
      </c>
      <c r="AM14" s="126">
        <v>31.379000000000001</v>
      </c>
      <c r="AN14" s="126">
        <v>35.610999999999997</v>
      </c>
      <c r="AO14" s="126">
        <v>28.43</v>
      </c>
      <c r="AP14" s="126">
        <v>20.489000000000001</v>
      </c>
      <c r="AQ14" s="94"/>
      <c r="AR14" s="126">
        <v>0.12</v>
      </c>
      <c r="AS14" s="126">
        <v>0.12</v>
      </c>
      <c r="AU14" s="126">
        <v>6.3424995666418074</v>
      </c>
      <c r="AV14" s="126">
        <v>1</v>
      </c>
      <c r="AW14" s="126">
        <v>0.71781008000000002</v>
      </c>
      <c r="AX14" s="94"/>
      <c r="AY14" s="69">
        <v>2.9823110999999999E-2</v>
      </c>
      <c r="AZ14" s="67" t="s">
        <v>127</v>
      </c>
      <c r="BA14" s="122" t="s">
        <v>127</v>
      </c>
      <c r="BB14" s="94">
        <f t="shared" si="0"/>
        <v>5.5187103997039232E-3</v>
      </c>
    </row>
    <row r="15" spans="1:55" ht="14.4" x14ac:dyDescent="0.3">
      <c r="A15" s="122" t="s">
        <v>128</v>
      </c>
      <c r="B15" s="126" t="s">
        <v>11</v>
      </c>
      <c r="C15" s="126" t="s">
        <v>118</v>
      </c>
      <c r="D15" s="126" t="s">
        <v>70</v>
      </c>
      <c r="E15" s="126" t="s">
        <v>273</v>
      </c>
      <c r="F15" s="126" t="s">
        <v>11</v>
      </c>
      <c r="G15" s="126">
        <v>3.0710000000000002</v>
      </c>
      <c r="H15" s="126">
        <v>80</v>
      </c>
      <c r="I15" s="126">
        <v>245.7</v>
      </c>
      <c r="J15" s="126">
        <v>8</v>
      </c>
      <c r="K15" s="126">
        <v>6</v>
      </c>
      <c r="L15" s="126">
        <v>8</v>
      </c>
      <c r="M15" s="126">
        <v>146.34</v>
      </c>
      <c r="N15" s="126"/>
      <c r="O15" s="126">
        <v>14</v>
      </c>
      <c r="P15" s="126">
        <v>24</v>
      </c>
      <c r="Q15" s="126" t="s">
        <v>121</v>
      </c>
      <c r="R15" s="94"/>
      <c r="S15" s="126">
        <v>269.73</v>
      </c>
      <c r="T15" s="126">
        <v>654.11</v>
      </c>
      <c r="U15" s="126">
        <v>711.39</v>
      </c>
      <c r="V15" s="126">
        <v>593.83000000000004</v>
      </c>
      <c r="W15" s="126">
        <v>744.57</v>
      </c>
      <c r="X15" s="86"/>
      <c r="Y15" s="126">
        <v>77.480959999999996</v>
      </c>
      <c r="Z15" s="86"/>
      <c r="AA15" s="87">
        <v>0.91208999999999996</v>
      </c>
      <c r="AB15" s="87">
        <v>0.77063000000000004</v>
      </c>
      <c r="AC15" s="86"/>
      <c r="AD15" s="88">
        <v>1.0155000000000001</v>
      </c>
      <c r="AE15" s="86"/>
      <c r="AF15" s="126">
        <v>29.542000000000002</v>
      </c>
      <c r="AG15" s="126">
        <v>67.611999999999995</v>
      </c>
      <c r="AH15" s="126">
        <v>29.521000000000001</v>
      </c>
      <c r="AI15" s="126">
        <v>31.902000000000001</v>
      </c>
      <c r="AJ15" s="126">
        <v>39.290999999999997</v>
      </c>
      <c r="AK15" s="126">
        <v>27.59</v>
      </c>
      <c r="AL15" s="126">
        <v>22.664999999999999</v>
      </c>
      <c r="AM15" s="126">
        <v>46.101999999999997</v>
      </c>
      <c r="AN15" s="126">
        <v>57.908000000000001</v>
      </c>
      <c r="AO15" s="126">
        <v>33.945</v>
      </c>
      <c r="AP15" s="126">
        <v>27.332000000000001</v>
      </c>
      <c r="AQ15" s="94"/>
      <c r="AR15" s="126">
        <v>0.12</v>
      </c>
      <c r="AS15" s="126">
        <v>0.12</v>
      </c>
      <c r="AU15" s="126">
        <v>5.0897018442282072</v>
      </c>
      <c r="AV15" s="126">
        <v>0.99999697982438662</v>
      </c>
      <c r="AW15" s="126">
        <v>-0.1000929</v>
      </c>
      <c r="AX15" s="94"/>
      <c r="AY15" s="69">
        <v>3.3576601999999997E-2</v>
      </c>
      <c r="AZ15" s="66" t="s">
        <v>128</v>
      </c>
      <c r="BA15" s="122" t="s">
        <v>128</v>
      </c>
      <c r="BB15" s="94">
        <f t="shared" si="0"/>
        <v>1.0933442526864212E-2</v>
      </c>
    </row>
    <row r="16" spans="1:55" ht="14.4" x14ac:dyDescent="0.3">
      <c r="A16" s="122" t="s">
        <v>130</v>
      </c>
      <c r="B16" s="126" t="s">
        <v>12</v>
      </c>
      <c r="C16" s="126" t="s">
        <v>272</v>
      </c>
      <c r="D16" s="126" t="s">
        <v>70</v>
      </c>
      <c r="E16" s="126" t="s">
        <v>274</v>
      </c>
      <c r="F16" s="126" t="s">
        <v>12</v>
      </c>
      <c r="G16" s="126">
        <v>4.258</v>
      </c>
      <c r="H16" s="126">
        <v>72</v>
      </c>
      <c r="I16" s="126">
        <v>306.60000000000002</v>
      </c>
      <c r="J16" s="126">
        <v>12</v>
      </c>
      <c r="K16" s="126">
        <v>11</v>
      </c>
      <c r="L16" s="126">
        <v>9</v>
      </c>
      <c r="M16" s="126">
        <v>185.31</v>
      </c>
      <c r="N16" s="126"/>
      <c r="O16" s="126">
        <v>16</v>
      </c>
      <c r="P16" s="126">
        <v>19.5</v>
      </c>
      <c r="Q16" s="126" t="s">
        <v>121</v>
      </c>
      <c r="R16" s="94"/>
      <c r="S16" s="126">
        <v>901.29277000000002</v>
      </c>
      <c r="T16" s="126">
        <v>516.57393000000002</v>
      </c>
      <c r="U16" s="126">
        <v>272.05175000000003</v>
      </c>
      <c r="V16" s="126">
        <v>654.41483000000005</v>
      </c>
      <c r="W16" s="126">
        <v>706.34041999999999</v>
      </c>
      <c r="X16" s="86"/>
      <c r="Y16" s="126">
        <v>190.07916</v>
      </c>
      <c r="Z16" s="86"/>
      <c r="AA16" s="87">
        <v>0.78529000000000004</v>
      </c>
      <c r="AB16" s="87">
        <v>0.59972999999999999</v>
      </c>
      <c r="AC16" s="86"/>
      <c r="AD16" s="88">
        <v>0.97950000000000004</v>
      </c>
      <c r="AE16" s="86"/>
      <c r="AF16" s="126">
        <v>30.545000000000002</v>
      </c>
      <c r="AG16" s="126">
        <v>56.491</v>
      </c>
      <c r="AH16" s="126">
        <v>23.562000000000001</v>
      </c>
      <c r="AI16" s="126">
        <v>29.911999999999999</v>
      </c>
      <c r="AJ16" s="126">
        <v>21.901</v>
      </c>
      <c r="AK16" s="126">
        <v>18.667999999999999</v>
      </c>
      <c r="AL16" s="126">
        <v>25.663</v>
      </c>
      <c r="AM16" s="126">
        <v>56.546999999999997</v>
      </c>
      <c r="AN16" s="126">
        <v>71.361999999999995</v>
      </c>
      <c r="AO16" s="126">
        <v>50.427999999999997</v>
      </c>
      <c r="AP16" s="126">
        <v>20.370999999999999</v>
      </c>
      <c r="AQ16" s="94"/>
      <c r="AR16" s="126">
        <v>0.12</v>
      </c>
      <c r="AS16" s="126">
        <v>0.12</v>
      </c>
      <c r="AU16" s="126">
        <v>6.2838743710161111</v>
      </c>
      <c r="AV16" s="126">
        <v>0.90016638143868233</v>
      </c>
      <c r="AW16" s="126">
        <v>0.10676999000000001</v>
      </c>
      <c r="AX16" s="94"/>
      <c r="AY16" s="69">
        <v>3.3087907E-2</v>
      </c>
      <c r="AZ16" s="68" t="s">
        <v>130</v>
      </c>
      <c r="BA16" s="122" t="s">
        <v>130</v>
      </c>
      <c r="BB16" s="94">
        <f t="shared" si="0"/>
        <v>7.7707625645843121E-3</v>
      </c>
    </row>
    <row r="17" spans="1:54" ht="14.4" x14ac:dyDescent="0.3">
      <c r="A17" s="122" t="s">
        <v>132</v>
      </c>
      <c r="B17" s="126" t="s">
        <v>68</v>
      </c>
      <c r="C17" s="126" t="s">
        <v>121</v>
      </c>
      <c r="D17" s="126" t="s">
        <v>68</v>
      </c>
      <c r="E17" s="126" t="s">
        <v>68</v>
      </c>
      <c r="F17" s="126" t="s">
        <v>68</v>
      </c>
      <c r="G17" s="126">
        <v>4.3600000000000003</v>
      </c>
      <c r="H17" s="126">
        <v>70</v>
      </c>
      <c r="I17" s="126">
        <v>305.2</v>
      </c>
      <c r="J17" s="126">
        <v>11</v>
      </c>
      <c r="K17" s="126">
        <v>8</v>
      </c>
      <c r="L17" s="126">
        <v>14</v>
      </c>
      <c r="M17" s="126">
        <v>221.29</v>
      </c>
      <c r="N17" s="126"/>
      <c r="O17" s="126">
        <v>13</v>
      </c>
      <c r="P17" s="126">
        <v>22.5</v>
      </c>
      <c r="Q17" s="126" t="s">
        <v>11</v>
      </c>
      <c r="R17" s="94"/>
      <c r="S17" s="126">
        <v>438.52</v>
      </c>
      <c r="T17" s="126">
        <v>652.28</v>
      </c>
      <c r="U17" s="126">
        <v>302.24</v>
      </c>
      <c r="V17" s="126">
        <v>705</v>
      </c>
      <c r="W17" s="126">
        <v>575.41999999999996</v>
      </c>
      <c r="X17" s="86"/>
      <c r="Y17" s="126">
        <v>79.459999999999994</v>
      </c>
      <c r="Z17" s="86"/>
      <c r="AA17" s="87">
        <v>0.83482000000000001</v>
      </c>
      <c r="AB17" s="87">
        <v>0.71482000000000001</v>
      </c>
      <c r="AC17" s="86"/>
      <c r="AD17" s="88">
        <v>1.0038899999999999</v>
      </c>
      <c r="AE17" s="86"/>
      <c r="AF17" s="126">
        <v>22.175999999999998</v>
      </c>
      <c r="AG17" s="126">
        <v>50.823999999999998</v>
      </c>
      <c r="AH17" s="126">
        <v>29.567</v>
      </c>
      <c r="AI17" s="126">
        <v>24.937999999999999</v>
      </c>
      <c r="AJ17" s="126">
        <v>28.032</v>
      </c>
      <c r="AK17" s="126">
        <v>19.577000000000002</v>
      </c>
      <c r="AL17" s="126">
        <v>14.875</v>
      </c>
      <c r="AM17" s="126">
        <v>37.582000000000001</v>
      </c>
      <c r="AN17" s="126">
        <v>43.713000000000001</v>
      </c>
      <c r="AO17" s="126">
        <v>33.954999999999998</v>
      </c>
      <c r="AP17" s="126">
        <v>13.843999999999999</v>
      </c>
      <c r="AQ17" s="94"/>
      <c r="AR17" s="126">
        <v>0.12</v>
      </c>
      <c r="AS17" s="126">
        <v>0.12</v>
      </c>
      <c r="AU17" s="126">
        <v>5.4080718626585478</v>
      </c>
      <c r="AV17" s="126">
        <v>0.89737403082087852</v>
      </c>
      <c r="AW17" s="126">
        <v>-0.43864284000000003</v>
      </c>
      <c r="AX17" s="94"/>
      <c r="AY17" s="69">
        <v>2.7583713999999999E-2</v>
      </c>
      <c r="AZ17" s="66" t="s">
        <v>132</v>
      </c>
      <c r="BA17" s="122" t="s">
        <v>132</v>
      </c>
      <c r="BB17" s="94">
        <f t="shared" si="0"/>
        <v>6.3265399082568802E-3</v>
      </c>
    </row>
    <row r="18" spans="1:54" ht="14.4" x14ac:dyDescent="0.3">
      <c r="A18" s="122" t="s">
        <v>133</v>
      </c>
      <c r="B18" s="126" t="s">
        <v>68</v>
      </c>
      <c r="C18" s="126" t="s">
        <v>121</v>
      </c>
      <c r="D18" s="126" t="s">
        <v>70</v>
      </c>
      <c r="E18" s="126" t="s">
        <v>273</v>
      </c>
      <c r="F18" s="126" t="s">
        <v>12</v>
      </c>
      <c r="G18" s="126">
        <v>3.02</v>
      </c>
      <c r="H18" s="126">
        <v>79</v>
      </c>
      <c r="I18" s="126">
        <v>238.6</v>
      </c>
      <c r="J18" s="126">
        <v>8</v>
      </c>
      <c r="K18" s="126">
        <v>6</v>
      </c>
      <c r="L18" s="126">
        <v>7</v>
      </c>
      <c r="M18" s="126">
        <v>183.62</v>
      </c>
      <c r="N18" s="126"/>
      <c r="O18" s="126">
        <v>14</v>
      </c>
      <c r="P18" s="126">
        <v>16.5</v>
      </c>
      <c r="Q18" s="126" t="s">
        <v>11</v>
      </c>
      <c r="R18" s="94"/>
      <c r="S18" s="126">
        <v>449.29</v>
      </c>
      <c r="T18" s="126">
        <v>619.66</v>
      </c>
      <c r="U18" s="126">
        <v>301.14999999999998</v>
      </c>
      <c r="V18" s="126">
        <v>374.52</v>
      </c>
      <c r="W18" s="126">
        <v>895.1</v>
      </c>
      <c r="X18" s="86"/>
      <c r="Y18" s="126">
        <v>99.311440000000005</v>
      </c>
      <c r="Z18" s="86"/>
      <c r="AA18" s="87">
        <v>0.93264999999999998</v>
      </c>
      <c r="AB18" s="87">
        <v>0.872</v>
      </c>
      <c r="AC18" s="86"/>
      <c r="AD18" s="88">
        <v>0.95633000000000001</v>
      </c>
      <c r="AE18" s="86"/>
      <c r="AF18" s="126">
        <v>28.042000000000002</v>
      </c>
      <c r="AG18" s="126">
        <v>44.723999999999997</v>
      </c>
      <c r="AH18" s="126">
        <v>28.027999999999999</v>
      </c>
      <c r="AI18" s="126">
        <v>31.004999999999999</v>
      </c>
      <c r="AJ18" s="126">
        <v>23.742000000000001</v>
      </c>
      <c r="AK18" s="126">
        <v>19.573</v>
      </c>
      <c r="AL18" s="126">
        <v>22.702999999999999</v>
      </c>
      <c r="AM18" s="126">
        <v>36.521000000000001</v>
      </c>
      <c r="AN18" s="126">
        <v>46.853000000000002</v>
      </c>
      <c r="AO18" s="126">
        <v>32.295000000000002</v>
      </c>
      <c r="AP18" s="126">
        <v>22.805</v>
      </c>
      <c r="AQ18" s="94"/>
      <c r="AR18" s="126">
        <v>0.12</v>
      </c>
      <c r="AS18" s="126">
        <v>0.12</v>
      </c>
      <c r="AU18" s="126">
        <v>5.902000720735626</v>
      </c>
      <c r="AV18" s="126">
        <v>0.8979474647899075</v>
      </c>
      <c r="AW18" s="126">
        <v>0.34434913</v>
      </c>
      <c r="AX18" s="94"/>
      <c r="AY18" s="69">
        <v>2.6023124000000002E-2</v>
      </c>
      <c r="AZ18" s="66" t="s">
        <v>133</v>
      </c>
      <c r="BA18" s="122" t="s">
        <v>133</v>
      </c>
      <c r="BB18" s="94">
        <f t="shared" si="0"/>
        <v>8.616928476821193E-3</v>
      </c>
    </row>
    <row r="19" spans="1:54" ht="14.4" x14ac:dyDescent="0.3">
      <c r="A19" s="122" t="s">
        <v>134</v>
      </c>
      <c r="B19" s="126" t="s">
        <v>11</v>
      </c>
      <c r="C19" s="126" t="s">
        <v>118</v>
      </c>
      <c r="D19" s="126" t="s">
        <v>68</v>
      </c>
      <c r="E19" s="126" t="s">
        <v>68</v>
      </c>
      <c r="F19" s="126" t="s">
        <v>68</v>
      </c>
      <c r="G19" s="126">
        <v>4.5579999999999998</v>
      </c>
      <c r="H19" s="126">
        <v>67</v>
      </c>
      <c r="I19" s="126">
        <v>305.39999999999998</v>
      </c>
      <c r="J19" s="126">
        <v>13</v>
      </c>
      <c r="K19" s="126">
        <v>11</v>
      </c>
      <c r="L19" s="126">
        <v>8</v>
      </c>
      <c r="M19" s="126">
        <v>191.99</v>
      </c>
      <c r="N19" s="126"/>
      <c r="O19" s="126">
        <v>16</v>
      </c>
      <c r="P19" s="126">
        <v>18.5</v>
      </c>
      <c r="Q19" s="126" t="s">
        <v>121</v>
      </c>
      <c r="R19" s="94"/>
      <c r="S19" s="126">
        <v>271.38</v>
      </c>
      <c r="T19" s="126">
        <v>590.54</v>
      </c>
      <c r="U19" s="126">
        <v>633.87</v>
      </c>
      <c r="V19" s="126">
        <v>689.16</v>
      </c>
      <c r="W19" s="126">
        <v>500.84</v>
      </c>
      <c r="X19" s="86"/>
      <c r="Y19" s="126">
        <v>117.71662000000001</v>
      </c>
      <c r="Z19" s="86"/>
      <c r="AA19" s="87">
        <v>0.84492</v>
      </c>
      <c r="AB19" s="87">
        <v>0.62275999999999998</v>
      </c>
      <c r="AC19" s="86"/>
      <c r="AD19" s="88">
        <v>0.97599999999999998</v>
      </c>
      <c r="AE19" s="86"/>
      <c r="AF19" s="126">
        <v>31.614999999999998</v>
      </c>
      <c r="AG19" s="126">
        <v>36.673999999999999</v>
      </c>
      <c r="AH19" s="126">
        <v>20.213000000000001</v>
      </c>
      <c r="AI19" s="126">
        <v>23.61</v>
      </c>
      <c r="AJ19" s="126">
        <v>23.731000000000002</v>
      </c>
      <c r="AK19" s="126">
        <v>22.876000000000001</v>
      </c>
      <c r="AL19" s="126">
        <v>31.198</v>
      </c>
      <c r="AM19" s="126">
        <v>27.716999999999999</v>
      </c>
      <c r="AN19" s="126">
        <v>52.084000000000003</v>
      </c>
      <c r="AO19" s="126">
        <v>21.954000000000001</v>
      </c>
      <c r="AP19" s="126">
        <v>20.201000000000001</v>
      </c>
      <c r="AQ19" s="94"/>
      <c r="AR19" s="126">
        <v>0.12</v>
      </c>
      <c r="AS19" s="126">
        <v>0.12</v>
      </c>
      <c r="AU19" s="126">
        <v>6.2599615921292511</v>
      </c>
      <c r="AV19" s="126">
        <v>0</v>
      </c>
      <c r="AW19" s="126">
        <v>-0.31474052000000002</v>
      </c>
      <c r="AX19" s="94"/>
      <c r="AY19" s="69">
        <v>3.1812699E-2</v>
      </c>
      <c r="AZ19" s="68" t="s">
        <v>348</v>
      </c>
      <c r="BA19" s="122" t="s">
        <v>134</v>
      </c>
      <c r="BB19" s="94">
        <f t="shared" si="0"/>
        <v>6.9795302764370341E-3</v>
      </c>
    </row>
    <row r="20" spans="1:54" x14ac:dyDescent="0.25">
      <c r="A20" s="122" t="s">
        <v>279</v>
      </c>
      <c r="B20" s="126" t="s">
        <v>68</v>
      </c>
      <c r="C20" s="126" t="s">
        <v>70</v>
      </c>
      <c r="D20" s="126" t="s">
        <v>68</v>
      </c>
      <c r="E20" s="126" t="s">
        <v>11</v>
      </c>
      <c r="F20" s="126" t="s">
        <v>68</v>
      </c>
      <c r="G20" s="126">
        <v>4.1680000000000001</v>
      </c>
      <c r="H20" s="126">
        <v>74</v>
      </c>
      <c r="I20" s="126">
        <v>308.39999999999998</v>
      </c>
      <c r="J20" s="126">
        <v>8</v>
      </c>
      <c r="K20" s="126">
        <v>15</v>
      </c>
      <c r="L20" s="126">
        <v>7</v>
      </c>
      <c r="M20" s="126">
        <v>0</v>
      </c>
      <c r="N20" s="126"/>
      <c r="O20" s="126">
        <v>15</v>
      </c>
      <c r="P20" s="126">
        <v>13</v>
      </c>
      <c r="Q20" s="126" t="s">
        <v>121</v>
      </c>
      <c r="R20" s="94"/>
      <c r="S20" s="126">
        <v>646.19316000000003</v>
      </c>
      <c r="T20" s="126">
        <v>384.36995999999999</v>
      </c>
      <c r="U20" s="126">
        <v>524.54999999999995</v>
      </c>
      <c r="V20" s="126">
        <v>768.66</v>
      </c>
      <c r="W20" s="126">
        <v>500.29</v>
      </c>
      <c r="X20" s="86"/>
      <c r="Y20" s="126">
        <v>128.81998999999999</v>
      </c>
      <c r="Z20" s="86"/>
      <c r="AA20" s="87">
        <v>0.82138999999999995</v>
      </c>
      <c r="AB20" s="87">
        <v>0</v>
      </c>
      <c r="AC20" s="86"/>
      <c r="AD20" s="88">
        <v>1.0379799999999999</v>
      </c>
      <c r="AE20" s="86"/>
      <c r="AF20" s="126">
        <v>30.623000000000001</v>
      </c>
      <c r="AG20" s="126">
        <v>32.49</v>
      </c>
      <c r="AH20" s="126">
        <v>21.911000000000001</v>
      </c>
      <c r="AI20" s="126">
        <v>20.539000000000001</v>
      </c>
      <c r="AJ20" s="126">
        <v>22.981999999999999</v>
      </c>
      <c r="AK20" s="126">
        <v>29.013000000000002</v>
      </c>
      <c r="AL20" s="126">
        <v>26.166</v>
      </c>
      <c r="AM20" s="126">
        <v>36.009</v>
      </c>
      <c r="AN20" s="126">
        <v>20.850999999999999</v>
      </c>
      <c r="AO20" s="126">
        <v>41.457999999999998</v>
      </c>
      <c r="AP20" s="126">
        <v>17.977</v>
      </c>
      <c r="AQ20" s="94"/>
      <c r="AR20" s="126">
        <v>0.12</v>
      </c>
      <c r="AS20" s="126">
        <v>0.12</v>
      </c>
      <c r="AU20" s="126">
        <v>6.5648895146720774</v>
      </c>
      <c r="AV20" s="126">
        <v>0.99999999999999989</v>
      </c>
      <c r="AW20" s="126">
        <v>1.5334607199999999</v>
      </c>
      <c r="AX20" s="94"/>
      <c r="AY20" s="70">
        <v>2.5000000000000001E-2</v>
      </c>
      <c r="AZ20" s="94"/>
      <c r="BA20" s="122" t="s">
        <v>279</v>
      </c>
      <c r="BB20" s="94">
        <f t="shared" si="0"/>
        <v>5.9980806142034548E-3</v>
      </c>
    </row>
    <row r="21" spans="1:54" ht="14.4" x14ac:dyDescent="0.3">
      <c r="A21" s="122" t="s">
        <v>135</v>
      </c>
      <c r="B21" s="126" t="s">
        <v>68</v>
      </c>
      <c r="C21" s="126" t="s">
        <v>121</v>
      </c>
      <c r="D21" s="126" t="s">
        <v>63</v>
      </c>
      <c r="E21" s="126" t="s">
        <v>12</v>
      </c>
      <c r="F21" s="126" t="s">
        <v>68</v>
      </c>
      <c r="G21" s="126">
        <v>4.5730000000000004</v>
      </c>
      <c r="H21" s="126">
        <v>67</v>
      </c>
      <c r="I21" s="126">
        <v>306.39999999999998</v>
      </c>
      <c r="J21" s="126">
        <v>12</v>
      </c>
      <c r="K21" s="126">
        <v>9</v>
      </c>
      <c r="L21" s="126">
        <v>11</v>
      </c>
      <c r="M21" s="126">
        <v>238.22</v>
      </c>
      <c r="N21" s="126"/>
      <c r="O21" s="126">
        <v>12</v>
      </c>
      <c r="P21" s="126">
        <v>16.5</v>
      </c>
      <c r="Q21" s="126" t="s">
        <v>12</v>
      </c>
      <c r="R21" s="94"/>
      <c r="S21" s="126">
        <v>444.92</v>
      </c>
      <c r="T21" s="126">
        <v>647.63</v>
      </c>
      <c r="U21" s="126">
        <v>329.61</v>
      </c>
      <c r="V21" s="126">
        <v>789.21</v>
      </c>
      <c r="W21" s="126">
        <v>291.95999999999998</v>
      </c>
      <c r="X21" s="86"/>
      <c r="Y21" s="126">
        <v>-98.195779999999999</v>
      </c>
      <c r="Z21" s="86"/>
      <c r="AA21" s="87">
        <v>0.86929999999999996</v>
      </c>
      <c r="AB21" s="87">
        <v>0.72775000000000001</v>
      </c>
      <c r="AC21" s="86"/>
      <c r="AD21" s="88">
        <v>0.89627999999999997</v>
      </c>
      <c r="AE21" s="86"/>
      <c r="AF21" s="126">
        <v>29.559000000000001</v>
      </c>
      <c r="AG21" s="126">
        <v>61.445999999999998</v>
      </c>
      <c r="AH21" s="126">
        <v>21.081</v>
      </c>
      <c r="AI21" s="126">
        <v>23.004000000000001</v>
      </c>
      <c r="AJ21" s="126">
        <v>23.905999999999999</v>
      </c>
      <c r="AK21" s="126">
        <v>19.978999999999999</v>
      </c>
      <c r="AL21" s="126">
        <v>20.596</v>
      </c>
      <c r="AM21" s="126">
        <v>36.725999999999999</v>
      </c>
      <c r="AN21" s="126">
        <v>50.179000000000002</v>
      </c>
      <c r="AO21" s="126">
        <v>26.146999999999998</v>
      </c>
      <c r="AP21" s="126">
        <v>17.552</v>
      </c>
      <c r="AQ21" s="94"/>
      <c r="AR21" s="126">
        <v>0.12</v>
      </c>
      <c r="AS21" s="126">
        <v>0.12</v>
      </c>
      <c r="AU21" s="126">
        <v>5.8098065082010244</v>
      </c>
      <c r="AV21" s="126">
        <v>0.90544897801264446</v>
      </c>
      <c r="AW21" s="126">
        <v>0.17658744000000001</v>
      </c>
      <c r="AX21" s="94"/>
      <c r="AY21" s="69">
        <v>2.5723365000000002E-2</v>
      </c>
      <c r="AZ21" s="68" t="s">
        <v>135</v>
      </c>
      <c r="BA21" s="122" t="s">
        <v>135</v>
      </c>
      <c r="BB21" s="94">
        <f t="shared" si="0"/>
        <v>5.6250524819593259E-3</v>
      </c>
    </row>
    <row r="22" spans="1:54" ht="14.4" x14ac:dyDescent="0.3">
      <c r="A22" s="122" t="s">
        <v>136</v>
      </c>
      <c r="B22" s="126" t="s">
        <v>12</v>
      </c>
      <c r="C22" s="126" t="s">
        <v>272</v>
      </c>
      <c r="D22" s="126" t="s">
        <v>68</v>
      </c>
      <c r="E22" s="126" t="s">
        <v>274</v>
      </c>
      <c r="F22" s="126" t="s">
        <v>274</v>
      </c>
      <c r="G22" s="126">
        <v>3.968</v>
      </c>
      <c r="H22" s="126">
        <v>77</v>
      </c>
      <c r="I22" s="126">
        <v>305.5</v>
      </c>
      <c r="J22" s="126">
        <v>7</v>
      </c>
      <c r="K22" s="126">
        <v>10</v>
      </c>
      <c r="L22" s="126">
        <v>13</v>
      </c>
      <c r="M22" s="126">
        <v>190.61</v>
      </c>
      <c r="N22" s="126"/>
      <c r="O22" s="126">
        <v>14</v>
      </c>
      <c r="P22" s="126">
        <v>16.5</v>
      </c>
      <c r="Q22" s="126" t="s">
        <v>273</v>
      </c>
      <c r="R22" s="94"/>
      <c r="S22" s="126">
        <v>853.49</v>
      </c>
      <c r="T22" s="126">
        <v>439.1</v>
      </c>
      <c r="U22" s="126">
        <v>571.55999999999995</v>
      </c>
      <c r="V22" s="126">
        <v>434.45</v>
      </c>
      <c r="W22" s="126">
        <v>416.73</v>
      </c>
      <c r="X22" s="86"/>
      <c r="Y22" s="126">
        <v>62.532499999999999</v>
      </c>
      <c r="Z22" s="86"/>
      <c r="AA22" s="87">
        <v>0.76568000000000003</v>
      </c>
      <c r="AB22" s="87">
        <v>0.64900000000000002</v>
      </c>
      <c r="AC22" s="86"/>
      <c r="AD22" s="88">
        <v>1.07298</v>
      </c>
      <c r="AE22" s="86"/>
      <c r="AF22" s="126">
        <v>25.364000000000001</v>
      </c>
      <c r="AG22" s="126">
        <v>35.664999999999999</v>
      </c>
      <c r="AH22" s="126">
        <v>76.042000000000002</v>
      </c>
      <c r="AI22" s="126">
        <v>69.27</v>
      </c>
      <c r="AJ22" s="126">
        <v>35.475999999999999</v>
      </c>
      <c r="AK22" s="126">
        <v>18.675000000000001</v>
      </c>
      <c r="AL22" s="126">
        <v>15.206</v>
      </c>
      <c r="AM22" s="126">
        <v>48.393999999999998</v>
      </c>
      <c r="AN22" s="126">
        <v>31.478000000000002</v>
      </c>
      <c r="AO22" s="126">
        <v>52.329000000000001</v>
      </c>
      <c r="AP22" s="126">
        <v>12.683</v>
      </c>
      <c r="AQ22" s="94"/>
      <c r="AR22" s="126">
        <v>0.12</v>
      </c>
      <c r="AS22" s="126">
        <v>0.12</v>
      </c>
      <c r="AU22" s="126">
        <v>6.2124529043693295</v>
      </c>
      <c r="AV22" s="126">
        <v>0</v>
      </c>
      <c r="AW22" s="126">
        <v>0.27306092999999998</v>
      </c>
      <c r="AX22" s="94"/>
      <c r="AY22" s="69">
        <v>3.2058758999999999E-2</v>
      </c>
      <c r="AZ22" s="68" t="s">
        <v>349</v>
      </c>
      <c r="BA22" s="122" t="s">
        <v>136</v>
      </c>
      <c r="BB22" s="94">
        <f t="shared" si="0"/>
        <v>8.0793243447580647E-3</v>
      </c>
    </row>
    <row r="23" spans="1:54" ht="14.4" x14ac:dyDescent="0.3">
      <c r="A23" s="122" t="s">
        <v>137</v>
      </c>
      <c r="B23" s="126" t="s">
        <v>68</v>
      </c>
      <c r="C23" s="126" t="s">
        <v>70</v>
      </c>
      <c r="D23" s="126" t="s">
        <v>68</v>
      </c>
      <c r="E23" s="126" t="s">
        <v>68</v>
      </c>
      <c r="F23" s="126" t="s">
        <v>68</v>
      </c>
      <c r="G23" s="126">
        <v>4.9290000000000003</v>
      </c>
      <c r="H23" s="126">
        <v>62</v>
      </c>
      <c r="I23" s="126">
        <v>305.60000000000002</v>
      </c>
      <c r="J23" s="126">
        <v>12</v>
      </c>
      <c r="K23" s="126">
        <v>13</v>
      </c>
      <c r="L23" s="126">
        <v>9</v>
      </c>
      <c r="M23" s="126">
        <v>215.41</v>
      </c>
      <c r="N23" s="126"/>
      <c r="O23" s="126">
        <v>16</v>
      </c>
      <c r="P23" s="126">
        <v>12</v>
      </c>
      <c r="Q23" s="126" t="s">
        <v>11</v>
      </c>
      <c r="R23" s="94"/>
      <c r="S23" s="126">
        <v>459.77</v>
      </c>
      <c r="T23" s="126">
        <v>599.72</v>
      </c>
      <c r="U23" s="126">
        <v>672.31</v>
      </c>
      <c r="V23" s="126">
        <v>615.44000000000005</v>
      </c>
      <c r="W23" s="126">
        <v>455.84</v>
      </c>
      <c r="X23" s="86"/>
      <c r="Y23" s="126">
        <v>19.18066</v>
      </c>
      <c r="Z23" s="86"/>
      <c r="AA23" s="87">
        <v>0.85660999999999998</v>
      </c>
      <c r="AB23" s="87">
        <v>0.60787999999999998</v>
      </c>
      <c r="AC23" s="86"/>
      <c r="AD23" s="88">
        <v>1.1299999999999999</v>
      </c>
      <c r="AE23" s="86"/>
      <c r="AF23" s="126">
        <v>23.242999999999999</v>
      </c>
      <c r="AG23" s="126">
        <v>40.444000000000003</v>
      </c>
      <c r="AH23" s="126">
        <v>39.130000000000003</v>
      </c>
      <c r="AI23" s="126">
        <v>42.268000000000001</v>
      </c>
      <c r="AJ23" s="126">
        <v>32.052999999999997</v>
      </c>
      <c r="AK23" s="126">
        <v>18.018000000000001</v>
      </c>
      <c r="AL23" s="126">
        <v>20.619</v>
      </c>
      <c r="AM23" s="126">
        <v>38.267000000000003</v>
      </c>
      <c r="AN23" s="126">
        <v>47.406999999999996</v>
      </c>
      <c r="AO23" s="126">
        <v>38.536000000000001</v>
      </c>
      <c r="AP23" s="126">
        <v>19.734999999999999</v>
      </c>
      <c r="AQ23" s="94"/>
      <c r="AR23" s="126">
        <v>0.12</v>
      </c>
      <c r="AS23" s="126">
        <v>0.12</v>
      </c>
      <c r="AU23" s="126">
        <v>8.1448499799987317</v>
      </c>
      <c r="AV23" s="126">
        <v>0.94019254844025235</v>
      </c>
      <c r="AW23" s="126">
        <v>0.54965147999999997</v>
      </c>
      <c r="AX23" s="94"/>
      <c r="AY23" s="69">
        <v>2.8373612999999999E-2</v>
      </c>
      <c r="AZ23" s="67" t="s">
        <v>137</v>
      </c>
      <c r="BA23" s="122" t="s">
        <v>137</v>
      </c>
      <c r="BB23" s="94">
        <f t="shared" si="0"/>
        <v>5.7564643944004864E-3</v>
      </c>
    </row>
    <row r="24" spans="1:54" ht="14.4" x14ac:dyDescent="0.3">
      <c r="A24" s="122" t="s">
        <v>138</v>
      </c>
      <c r="B24" s="126" t="s">
        <v>11</v>
      </c>
      <c r="C24" s="126" t="s">
        <v>118</v>
      </c>
      <c r="D24" s="126" t="s">
        <v>68</v>
      </c>
      <c r="E24" s="126" t="s">
        <v>12</v>
      </c>
      <c r="F24" s="126" t="s">
        <v>68</v>
      </c>
      <c r="G24" s="126">
        <v>4.2</v>
      </c>
      <c r="H24" s="126">
        <v>73</v>
      </c>
      <c r="I24" s="126">
        <v>306.60000000000002</v>
      </c>
      <c r="J24" s="126">
        <v>10</v>
      </c>
      <c r="K24" s="126">
        <v>9</v>
      </c>
      <c r="L24" s="126">
        <v>11</v>
      </c>
      <c r="M24" s="126">
        <v>208.47</v>
      </c>
      <c r="N24" s="126"/>
      <c r="O24" s="126">
        <v>13</v>
      </c>
      <c r="P24" s="126">
        <v>25.5</v>
      </c>
      <c r="Q24" s="126" t="s">
        <v>12</v>
      </c>
      <c r="R24" s="94"/>
      <c r="S24" s="126">
        <v>207.55</v>
      </c>
      <c r="T24" s="126">
        <v>706.52</v>
      </c>
      <c r="U24" s="126">
        <v>465.52</v>
      </c>
      <c r="V24" s="126">
        <v>648.5</v>
      </c>
      <c r="W24" s="126">
        <v>518.59</v>
      </c>
      <c r="X24" s="86"/>
      <c r="Y24" s="126">
        <v>-35</v>
      </c>
      <c r="Z24" s="86"/>
      <c r="AA24" s="87">
        <v>0.88646000000000003</v>
      </c>
      <c r="AB24" s="89">
        <v>0.71</v>
      </c>
      <c r="AC24" s="86"/>
      <c r="AD24" s="88">
        <v>1.01319</v>
      </c>
      <c r="AE24" s="86"/>
      <c r="AF24" s="126">
        <v>46.165999999999997</v>
      </c>
      <c r="AG24" s="126">
        <v>59.600999999999999</v>
      </c>
      <c r="AH24" s="126">
        <v>27.553999999999998</v>
      </c>
      <c r="AI24" s="126">
        <v>33.988</v>
      </c>
      <c r="AJ24" s="126">
        <v>40.731000000000002</v>
      </c>
      <c r="AK24" s="126">
        <v>37.433</v>
      </c>
      <c r="AL24" s="126">
        <v>18.05</v>
      </c>
      <c r="AM24" s="126">
        <v>46.731999999999999</v>
      </c>
      <c r="AN24" s="126">
        <v>53.591000000000001</v>
      </c>
      <c r="AO24" s="126">
        <v>52.024000000000001</v>
      </c>
      <c r="AP24" s="126">
        <v>15.316000000000001</v>
      </c>
      <c r="AQ24" s="94"/>
      <c r="AR24" s="126">
        <v>0.12</v>
      </c>
      <c r="AS24" s="126">
        <v>0.12</v>
      </c>
      <c r="AU24" s="126">
        <v>4.5837222623610305</v>
      </c>
      <c r="AV24" s="126">
        <v>1</v>
      </c>
      <c r="AW24" s="126">
        <v>-0.78559091000000003</v>
      </c>
      <c r="AX24" s="94"/>
      <c r="AY24" s="69">
        <v>2.9414303999999999E-2</v>
      </c>
      <c r="AZ24" s="66" t="s">
        <v>138</v>
      </c>
      <c r="BA24" s="122" t="s">
        <v>138</v>
      </c>
      <c r="BB24" s="94">
        <f t="shared" si="0"/>
        <v>7.0034057142857138E-3</v>
      </c>
    </row>
    <row r="25" spans="1:54" ht="14.4" x14ac:dyDescent="0.3">
      <c r="A25" s="122" t="s">
        <v>139</v>
      </c>
      <c r="B25" s="126" t="s">
        <v>11</v>
      </c>
      <c r="C25" s="126" t="s">
        <v>140</v>
      </c>
      <c r="D25" s="126" t="s">
        <v>63</v>
      </c>
      <c r="E25" s="126" t="s">
        <v>273</v>
      </c>
      <c r="F25" s="126" t="s">
        <v>11</v>
      </c>
      <c r="G25" s="126">
        <v>4.0220000000000002</v>
      </c>
      <c r="H25" s="126">
        <v>200</v>
      </c>
      <c r="I25" s="126">
        <v>804.4</v>
      </c>
      <c r="J25" s="126">
        <v>17</v>
      </c>
      <c r="K25" s="126">
        <v>9</v>
      </c>
      <c r="L25" s="126">
        <v>2</v>
      </c>
      <c r="M25" s="126">
        <v>408.42</v>
      </c>
      <c r="N25" s="126"/>
      <c r="O25" s="126">
        <v>4</v>
      </c>
      <c r="P25" s="126">
        <v>45</v>
      </c>
      <c r="Q25" s="126" t="s">
        <v>11</v>
      </c>
      <c r="R25" s="94"/>
      <c r="S25" s="126">
        <v>-58.62</v>
      </c>
      <c r="T25" s="126">
        <v>730.49</v>
      </c>
      <c r="U25" s="126">
        <v>21.69</v>
      </c>
      <c r="V25" s="126">
        <v>901.36</v>
      </c>
      <c r="W25" s="126">
        <v>304.75</v>
      </c>
      <c r="X25" s="86"/>
      <c r="Y25" s="126">
        <v>67.599999999999994</v>
      </c>
      <c r="Z25" s="86"/>
      <c r="AA25" s="87">
        <v>0.90415000000000001</v>
      </c>
      <c r="AB25" s="87">
        <v>0.749</v>
      </c>
      <c r="AC25" s="86"/>
      <c r="AD25" s="88">
        <v>0.99533000000000005</v>
      </c>
      <c r="AE25" s="86"/>
      <c r="AF25" s="126">
        <v>28.952999999999999</v>
      </c>
      <c r="AG25" s="126">
        <v>104.06</v>
      </c>
      <c r="AH25" s="126">
        <v>17.515999999999998</v>
      </c>
      <c r="AI25" s="126">
        <v>20.808</v>
      </c>
      <c r="AJ25" s="126">
        <v>34.491</v>
      </c>
      <c r="AK25" s="126">
        <v>22.376999999999999</v>
      </c>
      <c r="AL25" s="126">
        <v>26.346</v>
      </c>
      <c r="AM25" s="126">
        <v>16.670999999999999</v>
      </c>
      <c r="AN25" s="126">
        <v>11.849</v>
      </c>
      <c r="AO25" s="126">
        <v>31.393999999999998</v>
      </c>
      <c r="AP25" s="126">
        <v>18.808</v>
      </c>
      <c r="AQ25" s="94"/>
      <c r="AR25" s="126">
        <v>0.12</v>
      </c>
      <c r="AS25" s="126">
        <v>0.12</v>
      </c>
      <c r="AU25" s="126">
        <v>4.7907683849649931</v>
      </c>
      <c r="AV25" s="126">
        <v>0.9</v>
      </c>
      <c r="AW25" s="126">
        <v>-1.32743323</v>
      </c>
      <c r="AX25" s="94"/>
      <c r="AY25" s="69">
        <v>1.5756328999999999E-2</v>
      </c>
      <c r="AZ25" s="66" t="s">
        <v>139</v>
      </c>
      <c r="BA25" s="122" t="s">
        <v>139</v>
      </c>
      <c r="BB25" s="94">
        <f t="shared" si="0"/>
        <v>3.9175358030830425E-3</v>
      </c>
    </row>
    <row r="26" spans="1:54" ht="14.4" x14ac:dyDescent="0.3">
      <c r="A26" s="122" t="s">
        <v>141</v>
      </c>
      <c r="B26" s="126" t="s">
        <v>68</v>
      </c>
      <c r="C26" s="126" t="s">
        <v>121</v>
      </c>
      <c r="D26" s="126" t="s">
        <v>63</v>
      </c>
      <c r="E26" s="126" t="s">
        <v>68</v>
      </c>
      <c r="F26" s="126" t="s">
        <v>68</v>
      </c>
      <c r="G26" s="126">
        <v>4.3079999999999998</v>
      </c>
      <c r="H26" s="126">
        <v>71</v>
      </c>
      <c r="I26" s="126">
        <v>305.89999999999998</v>
      </c>
      <c r="J26" s="126">
        <v>12</v>
      </c>
      <c r="K26" s="126">
        <v>9</v>
      </c>
      <c r="L26" s="126">
        <v>10</v>
      </c>
      <c r="M26" s="126">
        <v>217.49</v>
      </c>
      <c r="N26" s="126"/>
      <c r="O26" s="126">
        <v>14</v>
      </c>
      <c r="P26" s="126">
        <v>18</v>
      </c>
      <c r="Q26" s="126" t="s">
        <v>12</v>
      </c>
      <c r="R26" s="94"/>
      <c r="S26" s="126">
        <v>460.91</v>
      </c>
      <c r="T26" s="126">
        <v>578.03</v>
      </c>
      <c r="U26" s="126">
        <v>555.34</v>
      </c>
      <c r="V26" s="126">
        <v>568.26</v>
      </c>
      <c r="W26" s="126">
        <v>318.88</v>
      </c>
      <c r="X26" s="86"/>
      <c r="Y26" s="126">
        <v>-26.26585</v>
      </c>
      <c r="Z26" s="86"/>
      <c r="AA26" s="87">
        <v>0.84192</v>
      </c>
      <c r="AB26" s="87">
        <v>0.68532999999999999</v>
      </c>
      <c r="AC26" s="86"/>
      <c r="AD26" s="88">
        <v>1.0236700000000001</v>
      </c>
      <c r="AE26" s="86"/>
      <c r="AF26" s="126">
        <v>39.753</v>
      </c>
      <c r="AG26" s="126">
        <v>54.075000000000003</v>
      </c>
      <c r="AH26" s="126">
        <v>31.631</v>
      </c>
      <c r="AI26" s="126">
        <v>23.777000000000001</v>
      </c>
      <c r="AJ26" s="126">
        <v>45.927999999999997</v>
      </c>
      <c r="AK26" s="126">
        <v>23.305</v>
      </c>
      <c r="AL26" s="126">
        <v>21.238</v>
      </c>
      <c r="AM26" s="126">
        <v>32.317</v>
      </c>
      <c r="AN26" s="126">
        <v>57.65</v>
      </c>
      <c r="AO26" s="126">
        <v>40.906999999999996</v>
      </c>
      <c r="AP26" s="126">
        <v>19.765000000000001</v>
      </c>
      <c r="AQ26" s="94"/>
      <c r="AR26" s="126">
        <v>0.12</v>
      </c>
      <c r="AS26" s="126">
        <v>0.12</v>
      </c>
      <c r="AU26" s="126">
        <v>5.3668947126956397</v>
      </c>
      <c r="AV26" s="126">
        <v>0.9</v>
      </c>
      <c r="AW26" s="126">
        <v>0.37425260999999999</v>
      </c>
      <c r="AX26" s="94"/>
      <c r="AY26" s="69">
        <v>2.8127085999999999E-2</v>
      </c>
      <c r="AZ26" s="68" t="s">
        <v>141</v>
      </c>
      <c r="BA26" s="122" t="s">
        <v>141</v>
      </c>
      <c r="BB26" s="94">
        <f t="shared" si="0"/>
        <v>6.5290357474466114E-3</v>
      </c>
    </row>
    <row r="27" spans="1:54" ht="14.4" x14ac:dyDescent="0.3">
      <c r="A27" s="122" t="s">
        <v>142</v>
      </c>
      <c r="B27" s="126" t="s">
        <v>68</v>
      </c>
      <c r="C27" s="126" t="s">
        <v>118</v>
      </c>
      <c r="D27" s="126" t="s">
        <v>68</v>
      </c>
      <c r="E27" s="126" t="s">
        <v>68</v>
      </c>
      <c r="F27" s="126" t="s">
        <v>12</v>
      </c>
      <c r="G27" s="126">
        <v>3.7160000000000002</v>
      </c>
      <c r="H27" s="126">
        <v>79</v>
      </c>
      <c r="I27" s="126">
        <v>293.60000000000002</v>
      </c>
      <c r="J27" s="126">
        <v>8</v>
      </c>
      <c r="K27" s="126">
        <v>12</v>
      </c>
      <c r="L27" s="126">
        <v>7</v>
      </c>
      <c r="M27" s="126">
        <v>168.61</v>
      </c>
      <c r="N27" s="126"/>
      <c r="O27" s="126">
        <v>12</v>
      </c>
      <c r="P27" s="126">
        <v>14</v>
      </c>
      <c r="Q27" s="126" t="s">
        <v>12</v>
      </c>
      <c r="R27" s="94"/>
      <c r="S27" s="126">
        <v>680.12</v>
      </c>
      <c r="T27" s="126">
        <v>470.29</v>
      </c>
      <c r="U27" s="126">
        <v>626.79</v>
      </c>
      <c r="V27" s="126">
        <v>620.22</v>
      </c>
      <c r="W27" s="126">
        <v>536.54999999999995</v>
      </c>
      <c r="X27" s="86"/>
      <c r="Y27" s="126">
        <v>15.462910000000001</v>
      </c>
      <c r="Z27" s="86"/>
      <c r="AA27" s="87">
        <v>0.84157999999999999</v>
      </c>
      <c r="AB27" s="89">
        <v>0</v>
      </c>
      <c r="AC27" s="86"/>
      <c r="AD27" s="88">
        <v>0.95948</v>
      </c>
      <c r="AE27" s="86"/>
      <c r="AF27" s="126">
        <v>27.620999999999999</v>
      </c>
      <c r="AG27" s="126">
        <v>49.493000000000002</v>
      </c>
      <c r="AH27" s="126">
        <v>43.475999999999999</v>
      </c>
      <c r="AI27" s="126">
        <v>41.082000000000001</v>
      </c>
      <c r="AJ27" s="126">
        <v>36.094999999999999</v>
      </c>
      <c r="AK27" s="126">
        <v>32.405000000000001</v>
      </c>
      <c r="AL27" s="126">
        <v>35.082999999999998</v>
      </c>
      <c r="AM27" s="126">
        <v>44.109000000000002</v>
      </c>
      <c r="AN27" s="126">
        <v>52.298999999999999</v>
      </c>
      <c r="AO27" s="126">
        <v>34.093000000000004</v>
      </c>
      <c r="AP27" s="126">
        <v>20.332000000000001</v>
      </c>
      <c r="AQ27" s="94"/>
      <c r="AR27" s="126">
        <v>0.12</v>
      </c>
      <c r="AS27" s="126">
        <v>0.12</v>
      </c>
      <c r="AU27" s="126">
        <v>6.0042046102107189</v>
      </c>
      <c r="AV27" s="126">
        <v>0.90022259341926325</v>
      </c>
      <c r="AW27" s="126">
        <v>6.5690600000000002E-2</v>
      </c>
      <c r="AX27" s="94"/>
      <c r="AY27" s="69">
        <v>3.4821658999999998E-2</v>
      </c>
      <c r="AZ27" s="67" t="s">
        <v>142</v>
      </c>
      <c r="BA27" s="122" t="s">
        <v>142</v>
      </c>
      <c r="BB27" s="94">
        <f t="shared" si="0"/>
        <v>9.370737082884821E-3</v>
      </c>
    </row>
    <row r="28" spans="1:54" ht="14.4" x14ac:dyDescent="0.3">
      <c r="A28" s="122" t="s">
        <v>143</v>
      </c>
      <c r="B28" s="126" t="s">
        <v>68</v>
      </c>
      <c r="C28" s="126" t="s">
        <v>121</v>
      </c>
      <c r="D28" s="126" t="s">
        <v>68</v>
      </c>
      <c r="E28" s="126" t="s">
        <v>68</v>
      </c>
      <c r="F28" s="126" t="s">
        <v>68</v>
      </c>
      <c r="G28" s="126">
        <v>5.3339999999999996</v>
      </c>
      <c r="H28" s="126">
        <v>58</v>
      </c>
      <c r="I28" s="126">
        <v>309.39999999999998</v>
      </c>
      <c r="J28" s="126">
        <v>13</v>
      </c>
      <c r="K28" s="126">
        <v>10</v>
      </c>
      <c r="L28" s="126">
        <v>14</v>
      </c>
      <c r="M28" s="126">
        <v>227.29</v>
      </c>
      <c r="N28" s="126"/>
      <c r="O28" s="126">
        <v>14</v>
      </c>
      <c r="P28" s="126">
        <v>16</v>
      </c>
      <c r="Q28" s="126" t="s">
        <v>12</v>
      </c>
      <c r="R28" s="94"/>
      <c r="S28" s="126">
        <v>387.85</v>
      </c>
      <c r="T28" s="126">
        <v>544.46</v>
      </c>
      <c r="U28" s="126">
        <v>700.97</v>
      </c>
      <c r="V28" s="126">
        <v>543.97</v>
      </c>
      <c r="W28" s="126">
        <v>636.53</v>
      </c>
      <c r="X28" s="86"/>
      <c r="Y28" s="126">
        <v>118.92</v>
      </c>
      <c r="Z28" s="86"/>
      <c r="AA28" s="87">
        <v>0.85599000000000003</v>
      </c>
      <c r="AB28" s="87">
        <v>0.69399999999999995</v>
      </c>
      <c r="AC28" s="86"/>
      <c r="AD28" s="88">
        <v>1.1164700000000001</v>
      </c>
      <c r="AE28" s="86"/>
      <c r="AF28" s="126">
        <v>27.297999999999998</v>
      </c>
      <c r="AG28" s="126">
        <v>29.742999999999999</v>
      </c>
      <c r="AH28" s="126">
        <v>17.294</v>
      </c>
      <c r="AI28" s="126">
        <v>19.402000000000001</v>
      </c>
      <c r="AJ28" s="126">
        <v>20.073</v>
      </c>
      <c r="AK28" s="126">
        <v>20.844000000000001</v>
      </c>
      <c r="AL28" s="126">
        <v>26.818999999999999</v>
      </c>
      <c r="AM28" s="126">
        <v>21.298999999999999</v>
      </c>
      <c r="AN28" s="126">
        <v>44.756</v>
      </c>
      <c r="AO28" s="126">
        <v>19.763999999999999</v>
      </c>
      <c r="AP28" s="126">
        <v>17.077999999999999</v>
      </c>
      <c r="AQ28" s="94"/>
      <c r="AR28" s="126">
        <v>0.12</v>
      </c>
      <c r="AS28" s="126">
        <v>0.12</v>
      </c>
      <c r="AU28" s="126">
        <v>5.1209240305442547</v>
      </c>
      <c r="AV28" s="126">
        <v>0.89999099116309633</v>
      </c>
      <c r="AW28" s="126">
        <v>-0.39516055</v>
      </c>
      <c r="AX28" s="94"/>
      <c r="AY28" s="69">
        <v>2.5000000000000001E-2</v>
      </c>
      <c r="AZ28" s="67" t="s">
        <v>286</v>
      </c>
      <c r="BA28" s="122" t="s">
        <v>143</v>
      </c>
      <c r="BB28" s="94">
        <f t="shared" si="0"/>
        <v>4.6869141357330337E-3</v>
      </c>
    </row>
    <row r="29" spans="1:54" s="94" customFormat="1" ht="14.4" x14ac:dyDescent="0.3">
      <c r="A29" s="122" t="s">
        <v>434</v>
      </c>
      <c r="B29" s="126" t="s">
        <v>11</v>
      </c>
      <c r="C29" s="126" t="s">
        <v>121</v>
      </c>
      <c r="D29" s="126" t="s">
        <v>68</v>
      </c>
      <c r="E29" s="126" t="s">
        <v>273</v>
      </c>
      <c r="F29" s="126" t="s">
        <v>12</v>
      </c>
      <c r="G29" s="126">
        <v>6.1740000000000004</v>
      </c>
      <c r="H29" s="126">
        <v>50</v>
      </c>
      <c r="I29" s="126">
        <v>308.7</v>
      </c>
      <c r="J29" s="126">
        <v>20</v>
      </c>
      <c r="K29" s="126">
        <v>12</v>
      </c>
      <c r="L29" s="126">
        <v>11</v>
      </c>
      <c r="M29" s="126"/>
      <c r="N29" s="126"/>
      <c r="O29" s="126">
        <v>27</v>
      </c>
      <c r="P29" s="126">
        <v>21</v>
      </c>
      <c r="Q29" s="126" t="s">
        <v>121</v>
      </c>
      <c r="S29" s="126">
        <v>222.32285388411597</v>
      </c>
      <c r="T29" s="126">
        <v>424.45599281256773</v>
      </c>
      <c r="U29" s="126">
        <v>616.53199999999993</v>
      </c>
      <c r="V29" s="126">
        <v>624</v>
      </c>
      <c r="W29" s="126">
        <v>387.01</v>
      </c>
      <c r="X29" s="86"/>
      <c r="Y29" s="126">
        <v>25</v>
      </c>
      <c r="Z29" s="86"/>
      <c r="AA29" s="87">
        <v>0.91069999999999995</v>
      </c>
      <c r="AB29" s="87">
        <v>0</v>
      </c>
      <c r="AC29" s="86"/>
      <c r="AD29" s="88">
        <v>1.01</v>
      </c>
      <c r="AE29" s="86"/>
      <c r="AF29" s="126">
        <v>25</v>
      </c>
      <c r="AG29" s="126">
        <v>45</v>
      </c>
      <c r="AH29" s="126">
        <v>21</v>
      </c>
      <c r="AI29" s="126">
        <v>20.5</v>
      </c>
      <c r="AJ29" s="126">
        <v>13</v>
      </c>
      <c r="AK29" s="126">
        <v>13</v>
      </c>
      <c r="AL29" s="126">
        <v>37</v>
      </c>
      <c r="AM29" s="126">
        <v>25</v>
      </c>
      <c r="AN29" s="126">
        <v>30.5</v>
      </c>
      <c r="AO29" s="126">
        <v>23</v>
      </c>
      <c r="AP29" s="126">
        <v>14.3</v>
      </c>
      <c r="AR29" s="126">
        <v>0.12</v>
      </c>
      <c r="AS29" s="126">
        <v>0.12</v>
      </c>
      <c r="AU29" s="126">
        <v>5</v>
      </c>
      <c r="AV29" s="126">
        <v>1</v>
      </c>
      <c r="AW29" s="126">
        <v>1</v>
      </c>
      <c r="AY29" s="69"/>
      <c r="AZ29" s="67"/>
      <c r="BA29" s="122"/>
    </row>
    <row r="30" spans="1:54" ht="14.4" x14ac:dyDescent="0.3">
      <c r="A30" s="122" t="s">
        <v>144</v>
      </c>
      <c r="B30" s="126" t="s">
        <v>68</v>
      </c>
      <c r="C30" s="126" t="s">
        <v>70</v>
      </c>
      <c r="D30" s="126" t="s">
        <v>63</v>
      </c>
      <c r="E30" s="126" t="s">
        <v>12</v>
      </c>
      <c r="F30" s="126" t="s">
        <v>273</v>
      </c>
      <c r="G30" s="126">
        <v>4.4409999999999998</v>
      </c>
      <c r="H30" s="126">
        <v>69</v>
      </c>
      <c r="I30" s="126">
        <v>306.39999999999998</v>
      </c>
      <c r="J30" s="126">
        <v>8</v>
      </c>
      <c r="K30" s="126">
        <v>16</v>
      </c>
      <c r="L30" s="126">
        <v>8</v>
      </c>
      <c r="M30" s="126">
        <v>199.89</v>
      </c>
      <c r="N30" s="126"/>
      <c r="O30" s="126">
        <v>14</v>
      </c>
      <c r="P30" s="126">
        <v>18</v>
      </c>
      <c r="Q30" s="126" t="s">
        <v>11</v>
      </c>
      <c r="R30" s="94"/>
      <c r="S30" s="126">
        <v>717.6</v>
      </c>
      <c r="T30" s="126">
        <v>608.07000000000005</v>
      </c>
      <c r="U30" s="126">
        <v>626.86</v>
      </c>
      <c r="V30" s="126">
        <v>701.3</v>
      </c>
      <c r="W30" s="126">
        <v>321.26</v>
      </c>
      <c r="X30" s="86"/>
      <c r="Y30" s="126">
        <v>143.32667000000001</v>
      </c>
      <c r="Z30" s="86"/>
      <c r="AA30" s="87">
        <v>0.87795000000000001</v>
      </c>
      <c r="AB30" s="87">
        <v>0.60233000000000003</v>
      </c>
      <c r="AC30" s="86"/>
      <c r="AD30" s="88">
        <v>1.0169999999999999</v>
      </c>
      <c r="AE30" s="86"/>
      <c r="AF30" s="126">
        <v>36.689</v>
      </c>
      <c r="AG30" s="126">
        <v>57.136000000000003</v>
      </c>
      <c r="AH30" s="126">
        <v>38.049999999999997</v>
      </c>
      <c r="AI30" s="126">
        <v>41.692999999999998</v>
      </c>
      <c r="AJ30" s="126">
        <v>34.457000000000001</v>
      </c>
      <c r="AK30" s="126">
        <v>29.923999999999999</v>
      </c>
      <c r="AL30" s="126">
        <v>20.888999999999999</v>
      </c>
      <c r="AM30" s="126">
        <v>32.790999999999997</v>
      </c>
      <c r="AN30" s="126">
        <v>50.798999999999999</v>
      </c>
      <c r="AO30" s="126">
        <v>47.78</v>
      </c>
      <c r="AP30" s="126">
        <v>23.664000000000001</v>
      </c>
      <c r="AQ30" s="94"/>
      <c r="AR30" s="126">
        <v>0.12</v>
      </c>
      <c r="AS30" s="126">
        <v>0.12</v>
      </c>
      <c r="AU30" s="126">
        <v>6.3741938984745925</v>
      </c>
      <c r="AV30" s="126">
        <v>0.9005520520306709</v>
      </c>
      <c r="AW30" s="126">
        <v>0.49832751000000003</v>
      </c>
      <c r="AX30" s="94"/>
      <c r="AY30" s="69">
        <v>3.0659763E-2</v>
      </c>
      <c r="AZ30" s="68" t="s">
        <v>144</v>
      </c>
      <c r="BA30" s="122" t="s">
        <v>144</v>
      </c>
      <c r="BB30" s="94">
        <f t="shared" si="0"/>
        <v>6.9037971177662687E-3</v>
      </c>
    </row>
    <row r="31" spans="1:54" x14ac:dyDescent="0.25">
      <c r="A31" s="122" t="s">
        <v>280</v>
      </c>
      <c r="B31" s="126" t="s">
        <v>12</v>
      </c>
      <c r="C31" s="126" t="s">
        <v>121</v>
      </c>
      <c r="D31" s="126" t="s">
        <v>68</v>
      </c>
      <c r="E31" s="126" t="s">
        <v>11</v>
      </c>
      <c r="F31" s="126" t="s">
        <v>12</v>
      </c>
      <c r="G31" s="126">
        <v>2.2999999999999998</v>
      </c>
      <c r="H31" s="126">
        <v>136</v>
      </c>
      <c r="I31" s="126">
        <v>312.8</v>
      </c>
      <c r="J31" s="126">
        <v>5</v>
      </c>
      <c r="K31" s="126">
        <v>9</v>
      </c>
      <c r="L31" s="126">
        <v>4</v>
      </c>
      <c r="M31" s="126">
        <v>0</v>
      </c>
      <c r="N31" s="126"/>
      <c r="O31" s="126">
        <v>20</v>
      </c>
      <c r="P31" s="126">
        <v>19.5</v>
      </c>
      <c r="Q31" s="126" t="s">
        <v>121</v>
      </c>
      <c r="R31" s="94"/>
      <c r="S31" s="126">
        <v>769.65535999999997</v>
      </c>
      <c r="T31" s="126">
        <v>414.12542000000002</v>
      </c>
      <c r="U31" s="126">
        <v>556.76</v>
      </c>
      <c r="V31" s="126">
        <v>743.56</v>
      </c>
      <c r="W31" s="126">
        <v>524.72</v>
      </c>
      <c r="X31" s="86"/>
      <c r="Y31" s="126">
        <v>106.92562</v>
      </c>
      <c r="Z31" s="86"/>
      <c r="AA31" s="87">
        <v>0.82601999999999998</v>
      </c>
      <c r="AB31" s="89">
        <v>0</v>
      </c>
      <c r="AC31" s="86"/>
      <c r="AD31" s="88">
        <v>0.98582000000000003</v>
      </c>
      <c r="AE31" s="86"/>
      <c r="AF31" s="126">
        <v>13.519</v>
      </c>
      <c r="AG31" s="126">
        <v>21.747</v>
      </c>
      <c r="AH31" s="126">
        <v>28.739000000000001</v>
      </c>
      <c r="AI31" s="126">
        <v>27.259</v>
      </c>
      <c r="AJ31" s="126">
        <v>12.183</v>
      </c>
      <c r="AK31" s="126">
        <v>10.82</v>
      </c>
      <c r="AL31" s="126">
        <v>9.3960000000000008</v>
      </c>
      <c r="AM31" s="126">
        <v>23.120999999999999</v>
      </c>
      <c r="AN31" s="126">
        <v>32.997999999999998</v>
      </c>
      <c r="AO31" s="126">
        <v>14.904999999999999</v>
      </c>
      <c r="AP31" s="126">
        <v>13.353999999999999</v>
      </c>
      <c r="AQ31" s="94"/>
      <c r="AR31" s="126">
        <v>0.12</v>
      </c>
      <c r="AS31" s="126">
        <v>0.12</v>
      </c>
      <c r="AU31" s="126">
        <v>4.1100121278689778</v>
      </c>
      <c r="AV31" s="126">
        <v>0.77691662630054137</v>
      </c>
      <c r="AW31" s="126">
        <v>0.78504622000000002</v>
      </c>
      <c r="AX31" s="94"/>
      <c r="AY31" s="70">
        <v>1.4999999999999999E-2</v>
      </c>
      <c r="AZ31" s="94"/>
      <c r="BA31" s="122" t="s">
        <v>280</v>
      </c>
      <c r="BB31" s="94">
        <f t="shared" si="0"/>
        <v>6.5217391304347831E-3</v>
      </c>
    </row>
    <row r="32" spans="1:54" ht="14.4" x14ac:dyDescent="0.3">
      <c r="A32" s="122" t="s">
        <v>145</v>
      </c>
      <c r="B32" s="126" t="s">
        <v>68</v>
      </c>
      <c r="C32" s="126" t="s">
        <v>121</v>
      </c>
      <c r="D32" s="126" t="s">
        <v>68</v>
      </c>
      <c r="E32" s="126" t="s">
        <v>68</v>
      </c>
      <c r="F32" s="126" t="s">
        <v>12</v>
      </c>
      <c r="G32" s="126">
        <v>3.3010000000000002</v>
      </c>
      <c r="H32" s="126">
        <v>80</v>
      </c>
      <c r="I32" s="126">
        <v>264.10000000000002</v>
      </c>
      <c r="J32" s="126">
        <v>9</v>
      </c>
      <c r="K32" s="126">
        <v>10</v>
      </c>
      <c r="L32" s="126">
        <v>5</v>
      </c>
      <c r="M32" s="126">
        <v>181.6</v>
      </c>
      <c r="N32" s="126"/>
      <c r="O32" s="126">
        <v>10</v>
      </c>
      <c r="P32" s="126">
        <v>11</v>
      </c>
      <c r="Q32" s="126" t="s">
        <v>11</v>
      </c>
      <c r="R32" s="94"/>
      <c r="S32" s="126">
        <v>387.37</v>
      </c>
      <c r="T32" s="126">
        <v>635.16999999999996</v>
      </c>
      <c r="U32" s="126">
        <v>515.41999999999996</v>
      </c>
      <c r="V32" s="126">
        <v>685</v>
      </c>
      <c r="W32" s="126">
        <v>362.96</v>
      </c>
      <c r="X32" s="86"/>
      <c r="Y32" s="126">
        <v>91.1</v>
      </c>
      <c r="Z32" s="86"/>
      <c r="AA32" s="87">
        <v>0.84609000000000001</v>
      </c>
      <c r="AB32" s="87">
        <v>0.76485000000000003</v>
      </c>
      <c r="AC32" s="86"/>
      <c r="AD32" s="88">
        <v>1.0395300000000001</v>
      </c>
      <c r="AE32" s="86"/>
      <c r="AF32" s="126">
        <v>24.484999999999999</v>
      </c>
      <c r="AG32" s="126">
        <v>41.33</v>
      </c>
      <c r="AH32" s="126">
        <v>29.170999999999999</v>
      </c>
      <c r="AI32" s="126">
        <v>25.863</v>
      </c>
      <c r="AJ32" s="126">
        <v>30.547999999999998</v>
      </c>
      <c r="AK32" s="126">
        <v>20.882999999999999</v>
      </c>
      <c r="AL32" s="126">
        <v>14.686999999999999</v>
      </c>
      <c r="AM32" s="126">
        <v>21.75</v>
      </c>
      <c r="AN32" s="126">
        <v>13.329000000000001</v>
      </c>
      <c r="AO32" s="126">
        <v>44.143000000000001</v>
      </c>
      <c r="AP32" s="126">
        <v>13.048999999999999</v>
      </c>
      <c r="AQ32" s="94"/>
      <c r="AR32" s="126">
        <v>0.12</v>
      </c>
      <c r="AS32" s="126">
        <v>0.12</v>
      </c>
      <c r="AU32" s="126">
        <v>7.0606539505295567</v>
      </c>
      <c r="AV32" s="126">
        <v>2.0082619124073886E-2</v>
      </c>
      <c r="AW32" s="126">
        <v>0.89440587000000005</v>
      </c>
      <c r="AX32" s="94"/>
      <c r="AY32" s="69">
        <v>3.3259445999999998E-2</v>
      </c>
      <c r="AZ32" s="67" t="s">
        <v>350</v>
      </c>
      <c r="BA32" s="122" t="s">
        <v>145</v>
      </c>
      <c r="BB32" s="94">
        <f t="shared" si="0"/>
        <v>1.0075566797940017E-2</v>
      </c>
    </row>
    <row r="33" spans="1:54" ht="14.4" x14ac:dyDescent="0.3">
      <c r="A33" s="122" t="s">
        <v>146</v>
      </c>
      <c r="B33" s="126" t="s">
        <v>12</v>
      </c>
      <c r="C33" s="126" t="s">
        <v>70</v>
      </c>
      <c r="D33" s="126" t="s">
        <v>70</v>
      </c>
      <c r="E33" s="126" t="s">
        <v>274</v>
      </c>
      <c r="F33" s="126" t="s">
        <v>68</v>
      </c>
      <c r="G33" s="126">
        <v>4.2610000000000001</v>
      </c>
      <c r="H33" s="126">
        <v>72</v>
      </c>
      <c r="I33" s="126">
        <v>306.8</v>
      </c>
      <c r="J33" s="126">
        <v>9</v>
      </c>
      <c r="K33" s="126">
        <v>12</v>
      </c>
      <c r="L33" s="126">
        <v>9</v>
      </c>
      <c r="M33" s="126">
        <v>231.38</v>
      </c>
      <c r="N33" s="126"/>
      <c r="O33" s="126">
        <v>14</v>
      </c>
      <c r="P33" s="126">
        <v>15</v>
      </c>
      <c r="Q33" s="126" t="s">
        <v>274</v>
      </c>
      <c r="R33" s="94"/>
      <c r="S33" s="126">
        <v>777.15</v>
      </c>
      <c r="T33" s="126">
        <v>534.29999999999995</v>
      </c>
      <c r="U33" s="126">
        <v>557.47</v>
      </c>
      <c r="V33" s="126">
        <v>528.95000000000005</v>
      </c>
      <c r="W33" s="126">
        <v>749.84</v>
      </c>
      <c r="X33" s="86"/>
      <c r="Y33" s="126">
        <v>206.85</v>
      </c>
      <c r="Z33" s="86"/>
      <c r="AA33" s="87">
        <v>0.79922000000000004</v>
      </c>
      <c r="AB33" s="89">
        <v>0.63478000000000001</v>
      </c>
      <c r="AC33" s="86"/>
      <c r="AD33" s="88">
        <v>1.02593</v>
      </c>
      <c r="AE33" s="86"/>
      <c r="AF33" s="126">
        <v>22.824999999999999</v>
      </c>
      <c r="AG33" s="126">
        <v>33.527999999999999</v>
      </c>
      <c r="AH33" s="126">
        <v>35.523000000000003</v>
      </c>
      <c r="AI33" s="126">
        <v>39.598999999999997</v>
      </c>
      <c r="AJ33" s="126">
        <v>20.484000000000002</v>
      </c>
      <c r="AK33" s="126">
        <v>18.295999999999999</v>
      </c>
      <c r="AL33" s="126">
        <v>32.447000000000003</v>
      </c>
      <c r="AM33" s="126">
        <v>45.93</v>
      </c>
      <c r="AN33" s="126">
        <v>27.995999999999999</v>
      </c>
      <c r="AO33" s="126">
        <v>24.088999999999999</v>
      </c>
      <c r="AP33" s="126">
        <v>21.452000000000002</v>
      </c>
      <c r="AQ33" s="94"/>
      <c r="AR33" s="126">
        <v>0.12</v>
      </c>
      <c r="AS33" s="126">
        <v>0.12</v>
      </c>
      <c r="AU33" s="126">
        <v>6.4746969208002465</v>
      </c>
      <c r="AV33" s="126">
        <v>0.90005194760997087</v>
      </c>
      <c r="AW33" s="126">
        <v>0.40508811</v>
      </c>
      <c r="AX33" s="94"/>
      <c r="AY33" s="69">
        <v>2.6646284999999999E-2</v>
      </c>
      <c r="AZ33" s="68" t="s">
        <v>146</v>
      </c>
      <c r="BA33" s="122" t="s">
        <v>146</v>
      </c>
      <c r="BB33" s="94">
        <f t="shared" si="0"/>
        <v>6.2535285144332308E-3</v>
      </c>
    </row>
    <row r="34" spans="1:54" ht="14.4" x14ac:dyDescent="0.3">
      <c r="A34" s="122" t="s">
        <v>147</v>
      </c>
      <c r="B34" s="126" t="s">
        <v>68</v>
      </c>
      <c r="C34" s="126" t="s">
        <v>118</v>
      </c>
      <c r="D34" s="126" t="s">
        <v>63</v>
      </c>
      <c r="E34" s="126" t="s">
        <v>273</v>
      </c>
      <c r="F34" s="126" t="s">
        <v>12</v>
      </c>
      <c r="G34" s="126">
        <v>3.601</v>
      </c>
      <c r="H34" s="126">
        <v>79</v>
      </c>
      <c r="I34" s="126">
        <v>284.5</v>
      </c>
      <c r="J34" s="126">
        <v>11</v>
      </c>
      <c r="K34" s="126">
        <v>8</v>
      </c>
      <c r="L34" s="126">
        <v>7</v>
      </c>
      <c r="M34" s="126">
        <v>180.7</v>
      </c>
      <c r="N34" s="126"/>
      <c r="O34" s="126">
        <v>11</v>
      </c>
      <c r="P34" s="126">
        <v>16.7</v>
      </c>
      <c r="Q34" s="126" t="s">
        <v>274</v>
      </c>
      <c r="R34" s="94"/>
      <c r="S34" s="126">
        <v>481.06</v>
      </c>
      <c r="T34" s="126">
        <v>401.03</v>
      </c>
      <c r="U34" s="126">
        <v>585.51</v>
      </c>
      <c r="V34" s="126">
        <v>619.45000000000005</v>
      </c>
      <c r="W34" s="126">
        <v>50.81</v>
      </c>
      <c r="X34" s="86"/>
      <c r="Y34" s="126">
        <v>-87.515339999999995</v>
      </c>
      <c r="Z34" s="86"/>
      <c r="AA34" s="87">
        <v>0.89805000000000001</v>
      </c>
      <c r="AB34" s="87">
        <v>0.751</v>
      </c>
      <c r="AC34" s="86"/>
      <c r="AD34" s="88">
        <v>1.02258</v>
      </c>
      <c r="AE34" s="86"/>
      <c r="AF34" s="126">
        <v>30.149000000000001</v>
      </c>
      <c r="AG34" s="126">
        <v>37.567</v>
      </c>
      <c r="AH34" s="126">
        <v>26.36</v>
      </c>
      <c r="AI34" s="126">
        <v>17.552</v>
      </c>
      <c r="AJ34" s="126">
        <v>17.187999999999999</v>
      </c>
      <c r="AK34" s="126">
        <v>15.804</v>
      </c>
      <c r="AL34" s="126">
        <v>24.428999999999998</v>
      </c>
      <c r="AM34" s="126">
        <v>39.460999999999999</v>
      </c>
      <c r="AN34" s="126">
        <v>43.061999999999998</v>
      </c>
      <c r="AO34" s="126">
        <v>34.92</v>
      </c>
      <c r="AP34" s="126">
        <v>9.33</v>
      </c>
      <c r="AQ34" s="94"/>
      <c r="AR34" s="126">
        <v>0.12</v>
      </c>
      <c r="AS34" s="126">
        <v>0.12</v>
      </c>
      <c r="AU34" s="126">
        <v>5.574493516556287</v>
      </c>
      <c r="AV34" s="126">
        <v>0.90004008093871324</v>
      </c>
      <c r="AW34" s="126">
        <v>-0.24924618000000001</v>
      </c>
      <c r="AX34" s="94"/>
      <c r="AY34" s="69">
        <v>3.1486330999999999E-2</v>
      </c>
      <c r="AZ34" s="68" t="s">
        <v>351</v>
      </c>
      <c r="BA34" s="122" t="s">
        <v>147</v>
      </c>
      <c r="BB34" s="94">
        <f t="shared" si="0"/>
        <v>8.7437742293807273E-3</v>
      </c>
    </row>
    <row r="35" spans="1:54" ht="14.4" x14ac:dyDescent="0.3">
      <c r="A35" s="122" t="s">
        <v>148</v>
      </c>
      <c r="B35" s="126" t="s">
        <v>68</v>
      </c>
      <c r="C35" s="126" t="s">
        <v>70</v>
      </c>
      <c r="D35" s="126" t="s">
        <v>68</v>
      </c>
      <c r="E35" s="126" t="s">
        <v>68</v>
      </c>
      <c r="F35" s="126" t="s">
        <v>68</v>
      </c>
      <c r="G35" s="126">
        <v>4.2469999999999999</v>
      </c>
      <c r="H35" s="126">
        <v>72</v>
      </c>
      <c r="I35" s="126">
        <v>305.8</v>
      </c>
      <c r="J35" s="126">
        <v>12</v>
      </c>
      <c r="K35" s="126">
        <v>8</v>
      </c>
      <c r="L35" s="126">
        <v>11</v>
      </c>
      <c r="M35" s="126">
        <v>208.84</v>
      </c>
      <c r="N35" s="126"/>
      <c r="O35" s="126">
        <v>14</v>
      </c>
      <c r="P35" s="126">
        <v>18</v>
      </c>
      <c r="Q35" s="126" t="s">
        <v>12</v>
      </c>
      <c r="R35" s="94"/>
      <c r="S35" s="126">
        <v>453.62</v>
      </c>
      <c r="T35" s="126">
        <v>564.80999999999995</v>
      </c>
      <c r="U35" s="126">
        <v>294.88</v>
      </c>
      <c r="V35" s="126">
        <v>588.24</v>
      </c>
      <c r="W35" s="126">
        <v>560.42999999999995</v>
      </c>
      <c r="X35" s="86"/>
      <c r="Y35" s="126">
        <v>147.77000000000001</v>
      </c>
      <c r="Z35" s="86"/>
      <c r="AA35" s="87">
        <v>0.85833000000000004</v>
      </c>
      <c r="AB35" s="89">
        <v>0.72</v>
      </c>
      <c r="AC35" s="86"/>
      <c r="AD35" s="88">
        <v>0.95713000000000004</v>
      </c>
      <c r="AE35" s="86"/>
      <c r="AF35" s="126">
        <v>23.462</v>
      </c>
      <c r="AG35" s="126">
        <v>42.802999999999997</v>
      </c>
      <c r="AH35" s="126">
        <v>29.122</v>
      </c>
      <c r="AI35" s="126">
        <v>25.744</v>
      </c>
      <c r="AJ35" s="126">
        <v>27.428000000000001</v>
      </c>
      <c r="AK35" s="126">
        <v>20.763999999999999</v>
      </c>
      <c r="AL35" s="126">
        <v>21.248000000000001</v>
      </c>
      <c r="AM35" s="126">
        <v>34.838000000000001</v>
      </c>
      <c r="AN35" s="126">
        <v>48.363</v>
      </c>
      <c r="AO35" s="126">
        <v>37.866999999999997</v>
      </c>
      <c r="AP35" s="126">
        <v>13.492000000000001</v>
      </c>
      <c r="AQ35" s="94"/>
      <c r="AR35" s="126">
        <v>0.12</v>
      </c>
      <c r="AS35" s="126">
        <v>0.12</v>
      </c>
      <c r="AU35" s="126">
        <v>5.849871555583718</v>
      </c>
      <c r="AV35" s="126">
        <v>0.90137784214201555</v>
      </c>
      <c r="AW35" s="126">
        <v>-0.10884759999999999</v>
      </c>
      <c r="AX35" s="94"/>
      <c r="AY35" s="69">
        <v>2.9284045000000002E-2</v>
      </c>
      <c r="AZ35" s="68" t="s">
        <v>352</v>
      </c>
      <c r="BA35" s="122" t="s">
        <v>148</v>
      </c>
      <c r="BB35" s="94">
        <f t="shared" si="0"/>
        <v>6.895230751118437E-3</v>
      </c>
    </row>
    <row r="36" spans="1:54" ht="14.4" x14ac:dyDescent="0.3">
      <c r="A36" s="122" t="s">
        <v>149</v>
      </c>
      <c r="B36" s="126" t="s">
        <v>68</v>
      </c>
      <c r="C36" s="126" t="s">
        <v>70</v>
      </c>
      <c r="D36" s="126" t="s">
        <v>63</v>
      </c>
      <c r="E36" s="126" t="s">
        <v>68</v>
      </c>
      <c r="F36" s="126" t="s">
        <v>68</v>
      </c>
      <c r="G36" s="126">
        <v>5.3029999999999999</v>
      </c>
      <c r="H36" s="126">
        <v>58</v>
      </c>
      <c r="I36" s="126">
        <v>307.60000000000002</v>
      </c>
      <c r="J36" s="126">
        <v>12</v>
      </c>
      <c r="K36" s="126">
        <v>15</v>
      </c>
      <c r="L36" s="126">
        <v>10</v>
      </c>
      <c r="M36" s="126">
        <v>220.25</v>
      </c>
      <c r="N36" s="126"/>
      <c r="O36" s="126">
        <v>17</v>
      </c>
      <c r="P36" s="126">
        <v>16.5</v>
      </c>
      <c r="Q36" s="126" t="s">
        <v>11</v>
      </c>
      <c r="R36" s="94"/>
      <c r="S36" s="126">
        <v>403.36</v>
      </c>
      <c r="T36" s="126">
        <v>619</v>
      </c>
      <c r="U36" s="126">
        <v>614.44000000000005</v>
      </c>
      <c r="V36" s="126">
        <v>757.14332999999999</v>
      </c>
      <c r="W36" s="126">
        <v>294.52332999999999</v>
      </c>
      <c r="X36" s="86"/>
      <c r="Y36" s="126">
        <v>8.0433299999999992</v>
      </c>
      <c r="Z36" s="86"/>
      <c r="AA36" s="87">
        <v>0.85529999999999995</v>
      </c>
      <c r="AB36" s="89">
        <v>0</v>
      </c>
      <c r="AC36" s="86"/>
      <c r="AD36" s="88">
        <v>0.97951999999999995</v>
      </c>
      <c r="AE36" s="86"/>
      <c r="AF36" s="126">
        <v>23.024000000000001</v>
      </c>
      <c r="AG36" s="126">
        <v>47.597000000000001</v>
      </c>
      <c r="AH36" s="126">
        <v>27.277999999999999</v>
      </c>
      <c r="AI36" s="126">
        <v>29.867999999999999</v>
      </c>
      <c r="AJ36" s="126">
        <v>22.382999999999999</v>
      </c>
      <c r="AK36" s="126">
        <v>21.97</v>
      </c>
      <c r="AL36" s="126">
        <v>20.655000000000001</v>
      </c>
      <c r="AM36" s="126">
        <v>32.353000000000002</v>
      </c>
      <c r="AN36" s="126">
        <v>39.018000000000001</v>
      </c>
      <c r="AO36" s="126">
        <v>22.364000000000001</v>
      </c>
      <c r="AP36" s="126">
        <v>18.012</v>
      </c>
      <c r="AQ36" s="94"/>
      <c r="AR36" s="126">
        <v>0.12</v>
      </c>
      <c r="AS36" s="126">
        <v>0.12</v>
      </c>
      <c r="AU36" s="126">
        <v>3.7205205474320677</v>
      </c>
      <c r="AV36" s="126">
        <v>0.90931276906920511</v>
      </c>
      <c r="AW36" s="126">
        <v>0.45248499999999997</v>
      </c>
      <c r="AX36" s="94"/>
      <c r="AY36" s="69">
        <v>2.7929534999999998E-2</v>
      </c>
      <c r="AZ36" s="67" t="s">
        <v>353</v>
      </c>
      <c r="BA36" s="122" t="s">
        <v>149</v>
      </c>
      <c r="BB36" s="94">
        <f t="shared" si="0"/>
        <v>5.2667424099566281E-3</v>
      </c>
    </row>
    <row r="37" spans="1:54" ht="14.4" x14ac:dyDescent="0.3">
      <c r="A37" s="122" t="s">
        <v>150</v>
      </c>
      <c r="B37" s="126" t="s">
        <v>68</v>
      </c>
      <c r="C37" s="126" t="s">
        <v>70</v>
      </c>
      <c r="D37" s="126" t="s">
        <v>63</v>
      </c>
      <c r="E37" s="126" t="s">
        <v>11</v>
      </c>
      <c r="F37" s="126" t="s">
        <v>68</v>
      </c>
      <c r="G37" s="126">
        <v>4.42</v>
      </c>
      <c r="H37" s="126">
        <v>69</v>
      </c>
      <c r="I37" s="126">
        <v>305</v>
      </c>
      <c r="J37" s="126">
        <v>13</v>
      </c>
      <c r="K37" s="126">
        <v>12</v>
      </c>
      <c r="L37" s="126">
        <v>7</v>
      </c>
      <c r="M37" s="126">
        <v>224.8</v>
      </c>
      <c r="N37" s="126"/>
      <c r="O37" s="126">
        <v>9</v>
      </c>
      <c r="P37" s="126">
        <v>24</v>
      </c>
      <c r="Q37" s="126" t="s">
        <v>121</v>
      </c>
      <c r="R37" s="94"/>
      <c r="S37" s="126">
        <v>632.08000000000004</v>
      </c>
      <c r="T37" s="126">
        <v>700.96</v>
      </c>
      <c r="U37" s="126">
        <v>470.54</v>
      </c>
      <c r="V37" s="126">
        <v>671.13</v>
      </c>
      <c r="W37" s="126">
        <v>323.13</v>
      </c>
      <c r="X37" s="86"/>
      <c r="Y37" s="126">
        <v>48.619140000000002</v>
      </c>
      <c r="Z37" s="86"/>
      <c r="AA37" s="87">
        <v>0.83531999999999995</v>
      </c>
      <c r="AB37" s="87">
        <v>0.68018999999999996</v>
      </c>
      <c r="AC37" s="86"/>
      <c r="AD37" s="88">
        <v>0.99073999999999995</v>
      </c>
      <c r="AE37" s="86"/>
      <c r="AF37" s="126">
        <v>12.708</v>
      </c>
      <c r="AG37" s="126">
        <v>24.4</v>
      </c>
      <c r="AH37" s="126">
        <v>16.454999999999998</v>
      </c>
      <c r="AI37" s="126">
        <v>14.552</v>
      </c>
      <c r="AJ37" s="126">
        <v>20.387</v>
      </c>
      <c r="AK37" s="126">
        <v>14.083</v>
      </c>
      <c r="AL37" s="126">
        <v>19.797000000000001</v>
      </c>
      <c r="AM37" s="126">
        <v>31.901</v>
      </c>
      <c r="AN37" s="126">
        <v>13.536</v>
      </c>
      <c r="AO37" s="126">
        <v>38.081000000000003</v>
      </c>
      <c r="AP37" s="126">
        <v>17.138999999999999</v>
      </c>
      <c r="AQ37" s="94"/>
      <c r="AR37" s="126">
        <v>0.12</v>
      </c>
      <c r="AS37" s="126">
        <v>0.12</v>
      </c>
      <c r="AU37" s="126">
        <v>5.2930256051349884</v>
      </c>
      <c r="AV37" s="126">
        <v>1</v>
      </c>
      <c r="AW37" s="126">
        <v>-0.34614746000000002</v>
      </c>
      <c r="AX37" s="94"/>
      <c r="AY37" s="69">
        <v>2.7133451999999999E-2</v>
      </c>
      <c r="AZ37" s="66" t="s">
        <v>354</v>
      </c>
      <c r="BA37" s="122" t="s">
        <v>150</v>
      </c>
      <c r="BB37" s="94">
        <f t="shared" si="0"/>
        <v>6.1387900452488688E-3</v>
      </c>
    </row>
    <row r="38" spans="1:54" ht="14.4" x14ac:dyDescent="0.3">
      <c r="A38" s="122" t="s">
        <v>151</v>
      </c>
      <c r="B38" s="126" t="s">
        <v>12</v>
      </c>
      <c r="C38" s="126" t="s">
        <v>272</v>
      </c>
      <c r="D38" s="126" t="s">
        <v>68</v>
      </c>
      <c r="E38" s="126" t="s">
        <v>11</v>
      </c>
      <c r="F38" s="126" t="s">
        <v>68</v>
      </c>
      <c r="G38" s="126">
        <v>3.3690000000000002</v>
      </c>
      <c r="H38" s="126">
        <v>78</v>
      </c>
      <c r="I38" s="126">
        <v>262.8</v>
      </c>
      <c r="J38" s="126">
        <v>7</v>
      </c>
      <c r="K38" s="126">
        <v>7</v>
      </c>
      <c r="L38" s="126">
        <v>12</v>
      </c>
      <c r="M38" s="126">
        <v>154.54</v>
      </c>
      <c r="N38" s="126"/>
      <c r="O38" s="126">
        <v>19</v>
      </c>
      <c r="P38" s="126">
        <v>18</v>
      </c>
      <c r="Q38" s="126" t="s">
        <v>121</v>
      </c>
      <c r="R38" s="94"/>
      <c r="S38" s="126">
        <v>1024.73</v>
      </c>
      <c r="T38" s="126">
        <v>373.43</v>
      </c>
      <c r="U38" s="126">
        <v>471.04</v>
      </c>
      <c r="V38" s="126">
        <v>374.23</v>
      </c>
      <c r="W38" s="126">
        <v>494.38</v>
      </c>
      <c r="X38" s="86"/>
      <c r="Y38" s="126">
        <v>100.89447</v>
      </c>
      <c r="Z38" s="86"/>
      <c r="AA38" s="87">
        <v>0.81411</v>
      </c>
      <c r="AB38" s="87">
        <v>0.621</v>
      </c>
      <c r="AC38" s="86"/>
      <c r="AD38" s="88">
        <v>1.05986</v>
      </c>
      <c r="AE38" s="86"/>
      <c r="AF38" s="126">
        <v>15.535</v>
      </c>
      <c r="AG38" s="126">
        <v>18.385999999999999</v>
      </c>
      <c r="AH38" s="126">
        <v>56.168999999999997</v>
      </c>
      <c r="AI38" s="126">
        <v>56.534999999999997</v>
      </c>
      <c r="AJ38" s="126">
        <v>29.146000000000001</v>
      </c>
      <c r="AK38" s="126">
        <v>10.91</v>
      </c>
      <c r="AL38" s="126">
        <v>15.672000000000001</v>
      </c>
      <c r="AM38" s="126">
        <v>30.236999999999998</v>
      </c>
      <c r="AN38" s="126">
        <v>49.777999999999999</v>
      </c>
      <c r="AO38" s="126">
        <v>39.445</v>
      </c>
      <c r="AP38" s="126">
        <v>13.509</v>
      </c>
      <c r="AQ38" s="94"/>
      <c r="AR38" s="126">
        <v>0.12</v>
      </c>
      <c r="AS38" s="126">
        <v>0.12</v>
      </c>
      <c r="AU38" s="126">
        <v>7.6861112619324254</v>
      </c>
      <c r="AV38" s="126">
        <v>0.9000112234302462</v>
      </c>
      <c r="AW38" s="126">
        <v>1.61354759</v>
      </c>
      <c r="AX38" s="94"/>
      <c r="AY38" s="69">
        <v>3.4017087000000001E-2</v>
      </c>
      <c r="AZ38" s="68" t="s">
        <v>151</v>
      </c>
      <c r="BA38" s="122" t="s">
        <v>151</v>
      </c>
      <c r="BB38" s="94">
        <f t="shared" si="0"/>
        <v>1.0097087266251113E-2</v>
      </c>
    </row>
    <row r="39" spans="1:54" ht="14.4" x14ac:dyDescent="0.3">
      <c r="A39" s="122" t="s">
        <v>152</v>
      </c>
      <c r="B39" s="126" t="s">
        <v>68</v>
      </c>
      <c r="C39" s="126" t="s">
        <v>121</v>
      </c>
      <c r="D39" s="126" t="s">
        <v>63</v>
      </c>
      <c r="E39" s="126" t="s">
        <v>68</v>
      </c>
      <c r="F39" s="126" t="s">
        <v>68</v>
      </c>
      <c r="G39" s="126">
        <v>4.42</v>
      </c>
      <c r="H39" s="126">
        <v>69</v>
      </c>
      <c r="I39" s="126">
        <v>305</v>
      </c>
      <c r="J39" s="126">
        <v>12</v>
      </c>
      <c r="K39" s="126">
        <v>7</v>
      </c>
      <c r="L39" s="126">
        <v>13</v>
      </c>
      <c r="M39" s="126">
        <v>209.95</v>
      </c>
      <c r="N39" s="126"/>
      <c r="O39" s="126">
        <v>12</v>
      </c>
      <c r="P39" s="126">
        <v>16.5</v>
      </c>
      <c r="Q39" s="126" t="s">
        <v>274</v>
      </c>
      <c r="R39" s="94"/>
      <c r="S39" s="126">
        <v>335.19099</v>
      </c>
      <c r="T39" s="126">
        <v>677.81879000000004</v>
      </c>
      <c r="U39" s="126">
        <v>566.84333000000004</v>
      </c>
      <c r="V39" s="126">
        <v>718.10333000000003</v>
      </c>
      <c r="W39" s="126">
        <v>237.85</v>
      </c>
      <c r="X39" s="86"/>
      <c r="Y39" s="126">
        <v>-98.125259999999997</v>
      </c>
      <c r="Z39" s="86"/>
      <c r="AA39" s="87">
        <v>0.85528000000000004</v>
      </c>
      <c r="AB39" s="87">
        <v>0.7349</v>
      </c>
      <c r="AC39" s="86"/>
      <c r="AD39" s="88">
        <v>1.08311</v>
      </c>
      <c r="AE39" s="86"/>
      <c r="AF39" s="126">
        <v>27.567</v>
      </c>
      <c r="AG39" s="126">
        <v>48.183999999999997</v>
      </c>
      <c r="AH39" s="126">
        <v>28.370999999999999</v>
      </c>
      <c r="AI39" s="126">
        <v>18.38</v>
      </c>
      <c r="AJ39" s="126">
        <v>26.637</v>
      </c>
      <c r="AK39" s="126">
        <v>19.905000000000001</v>
      </c>
      <c r="AL39" s="126">
        <v>14.689</v>
      </c>
      <c r="AM39" s="126">
        <v>38.854999999999997</v>
      </c>
      <c r="AN39" s="126">
        <v>51.207000000000001</v>
      </c>
      <c r="AO39" s="126">
        <v>45.235999999999997</v>
      </c>
      <c r="AP39" s="126">
        <v>14.348000000000001</v>
      </c>
      <c r="AQ39" s="94"/>
      <c r="AR39" s="126">
        <v>0.12</v>
      </c>
      <c r="AS39" s="126">
        <v>0.12</v>
      </c>
      <c r="AU39" s="126">
        <v>5.0338306368237333</v>
      </c>
      <c r="AV39" s="126">
        <v>0.90170957652045147</v>
      </c>
      <c r="AW39" s="126">
        <v>-0.55357789999999996</v>
      </c>
      <c r="AX39" s="94"/>
      <c r="AY39" s="69">
        <v>2.9247662000000001E-2</v>
      </c>
      <c r="AZ39" s="68" t="s">
        <v>152</v>
      </c>
      <c r="BA39" s="122" t="s">
        <v>152</v>
      </c>
      <c r="BB39" s="94">
        <f t="shared" si="0"/>
        <v>6.6171180995475117E-3</v>
      </c>
    </row>
    <row r="40" spans="1:54" ht="14.4" x14ac:dyDescent="0.3">
      <c r="A40" s="122" t="s">
        <v>153</v>
      </c>
      <c r="B40" s="126" t="s">
        <v>11</v>
      </c>
      <c r="C40" s="126" t="s">
        <v>118</v>
      </c>
      <c r="D40" s="126" t="s">
        <v>68</v>
      </c>
      <c r="E40" s="126" t="s">
        <v>273</v>
      </c>
      <c r="F40" s="126" t="s">
        <v>68</v>
      </c>
      <c r="G40" s="126">
        <v>5.7869999999999999</v>
      </c>
      <c r="H40" s="126">
        <v>53</v>
      </c>
      <c r="I40" s="126">
        <v>306.7</v>
      </c>
      <c r="J40" s="126">
        <v>17</v>
      </c>
      <c r="K40" s="126">
        <v>12</v>
      </c>
      <c r="L40" s="126">
        <v>9</v>
      </c>
      <c r="M40" s="126">
        <v>258.83</v>
      </c>
      <c r="N40" s="126"/>
      <c r="O40" s="126">
        <v>13</v>
      </c>
      <c r="P40" s="126">
        <v>25.5</v>
      </c>
      <c r="Q40" s="126" t="s">
        <v>274</v>
      </c>
      <c r="R40" s="94"/>
      <c r="S40" s="126">
        <v>124.19</v>
      </c>
      <c r="T40" s="126">
        <v>735.83</v>
      </c>
      <c r="U40" s="126">
        <v>495.99700000000001</v>
      </c>
      <c r="V40" s="126">
        <v>868.17</v>
      </c>
      <c r="W40" s="126">
        <v>610.97</v>
      </c>
      <c r="X40" s="94"/>
      <c r="Y40" s="126">
        <v>24.635809999999999</v>
      </c>
      <c r="Z40" s="86"/>
      <c r="AA40" s="87">
        <v>0.90627000000000002</v>
      </c>
      <c r="AB40" s="89">
        <v>0.71460999999999997</v>
      </c>
      <c r="AC40" s="86"/>
      <c r="AD40" s="88">
        <v>1.0669599999999999</v>
      </c>
      <c r="AE40" s="86"/>
      <c r="AF40" s="126">
        <v>28.948</v>
      </c>
      <c r="AG40" s="126">
        <v>55.713999999999999</v>
      </c>
      <c r="AH40" s="126">
        <v>19.443000000000001</v>
      </c>
      <c r="AI40" s="126">
        <v>14.827</v>
      </c>
      <c r="AJ40" s="126">
        <v>26.672000000000001</v>
      </c>
      <c r="AK40" s="126">
        <v>23.466999999999999</v>
      </c>
      <c r="AL40" s="126">
        <v>18.018999999999998</v>
      </c>
      <c r="AM40" s="126">
        <v>42.241</v>
      </c>
      <c r="AN40" s="126">
        <v>51.805</v>
      </c>
      <c r="AO40" s="126">
        <v>28.46</v>
      </c>
      <c r="AP40" s="126">
        <v>19.818000000000001</v>
      </c>
      <c r="AQ40" s="94"/>
      <c r="AR40" s="126">
        <v>0.12</v>
      </c>
      <c r="AS40" s="126">
        <v>0.12</v>
      </c>
      <c r="AU40" s="126">
        <v>4.9212220861379281</v>
      </c>
      <c r="AV40" s="126">
        <v>0.8919585573073413</v>
      </c>
      <c r="AW40" s="126">
        <v>-0.47170487999999999</v>
      </c>
      <c r="AX40" s="94"/>
      <c r="AY40" s="69">
        <v>2.3699802999999998E-2</v>
      </c>
      <c r="AZ40" s="66" t="s">
        <v>153</v>
      </c>
      <c r="BA40" s="122" t="s">
        <v>153</v>
      </c>
      <c r="BB40" s="94">
        <f t="shared" si="0"/>
        <v>4.0953521686538791E-3</v>
      </c>
    </row>
    <row r="41" spans="1:54" ht="14.4" x14ac:dyDescent="0.3">
      <c r="A41" s="122" t="s">
        <v>26</v>
      </c>
      <c r="B41" s="126" t="s">
        <v>68</v>
      </c>
      <c r="C41" s="126" t="s">
        <v>70</v>
      </c>
      <c r="D41" s="126" t="s">
        <v>68</v>
      </c>
      <c r="E41" s="126" t="s">
        <v>68</v>
      </c>
      <c r="F41" s="126" t="s">
        <v>68</v>
      </c>
      <c r="G41" s="126">
        <v>5.2469999999999999</v>
      </c>
      <c r="H41" s="126">
        <v>58</v>
      </c>
      <c r="I41" s="126">
        <v>304.3</v>
      </c>
      <c r="J41" s="126">
        <v>11</v>
      </c>
      <c r="K41" s="126">
        <v>13</v>
      </c>
      <c r="L41" s="126">
        <v>12</v>
      </c>
      <c r="M41" s="126">
        <v>246.56</v>
      </c>
      <c r="N41" s="126"/>
      <c r="O41" s="126">
        <v>14</v>
      </c>
      <c r="P41" s="126">
        <v>13.5</v>
      </c>
      <c r="Q41" s="126" t="s">
        <v>12</v>
      </c>
      <c r="R41" s="94"/>
      <c r="S41" s="126">
        <v>517.88406999999995</v>
      </c>
      <c r="T41" s="126">
        <v>805.54405999999994</v>
      </c>
      <c r="U41" s="126">
        <v>897.58199999999999</v>
      </c>
      <c r="V41" s="126">
        <v>901.34163999999998</v>
      </c>
      <c r="W41" s="126">
        <v>590.54</v>
      </c>
      <c r="X41" s="86"/>
      <c r="Y41" s="126">
        <v>-69.400000000000006</v>
      </c>
      <c r="Z41" s="86"/>
      <c r="AA41" s="87">
        <v>0.84735000000000005</v>
      </c>
      <c r="AB41" s="87">
        <v>0.69579000000000002</v>
      </c>
      <c r="AC41" s="86"/>
      <c r="AD41" s="88">
        <v>1.0235000000000001</v>
      </c>
      <c r="AE41" s="86"/>
      <c r="AF41" s="126">
        <v>22.47</v>
      </c>
      <c r="AG41" s="126">
        <v>21.701000000000001</v>
      </c>
      <c r="AH41" s="126">
        <v>26.497</v>
      </c>
      <c r="AI41" s="126">
        <v>19.143999999999998</v>
      </c>
      <c r="AJ41" s="126">
        <v>27.382000000000001</v>
      </c>
      <c r="AK41" s="126">
        <v>30.361000000000001</v>
      </c>
      <c r="AL41" s="126">
        <v>32.436999999999998</v>
      </c>
      <c r="AM41" s="126">
        <v>36.707000000000001</v>
      </c>
      <c r="AN41" s="126">
        <v>33.222000000000001</v>
      </c>
      <c r="AO41" s="126">
        <v>28.027999999999999</v>
      </c>
      <c r="AP41" s="126">
        <v>17.895</v>
      </c>
      <c r="AQ41" s="94"/>
      <c r="AR41" s="126">
        <v>0.12</v>
      </c>
      <c r="AS41" s="126">
        <v>0.12</v>
      </c>
      <c r="AU41" s="126">
        <v>6.4328432771408872</v>
      </c>
      <c r="AV41" s="126">
        <v>0.93163484005023167</v>
      </c>
      <c r="AW41" s="126">
        <v>0.71623363000000007</v>
      </c>
      <c r="AX41" s="94"/>
      <c r="AY41" s="69">
        <v>2.4685756E-2</v>
      </c>
      <c r="AZ41" s="67" t="s">
        <v>26</v>
      </c>
      <c r="BA41" s="122" t="s">
        <v>26</v>
      </c>
      <c r="BB41" s="94">
        <f t="shared" si="0"/>
        <v>4.7047371831522777E-3</v>
      </c>
    </row>
    <row r="42" spans="1:54" ht="14.4" x14ac:dyDescent="0.3">
      <c r="A42" s="122" t="s">
        <v>154</v>
      </c>
      <c r="B42" s="126" t="s">
        <v>68</v>
      </c>
      <c r="C42" s="126" t="s">
        <v>121</v>
      </c>
      <c r="D42" s="126" t="s">
        <v>63</v>
      </c>
      <c r="E42" s="126" t="s">
        <v>68</v>
      </c>
      <c r="F42" s="126" t="s">
        <v>273</v>
      </c>
      <c r="G42" s="126">
        <v>5.1369999999999996</v>
      </c>
      <c r="H42" s="126">
        <v>60</v>
      </c>
      <c r="I42" s="126">
        <v>308.2</v>
      </c>
      <c r="J42" s="126">
        <v>11</v>
      </c>
      <c r="K42" s="126">
        <v>15</v>
      </c>
      <c r="L42" s="126">
        <v>10</v>
      </c>
      <c r="M42" s="126">
        <v>227.27</v>
      </c>
      <c r="N42" s="126"/>
      <c r="O42" s="126">
        <v>16</v>
      </c>
      <c r="P42" s="126">
        <v>19</v>
      </c>
      <c r="Q42" s="126" t="s">
        <v>274</v>
      </c>
      <c r="R42" s="94"/>
      <c r="S42" s="126">
        <v>649.99</v>
      </c>
      <c r="T42" s="126">
        <v>556.91999999999996</v>
      </c>
      <c r="U42" s="126">
        <v>556.38</v>
      </c>
      <c r="V42" s="126">
        <v>720.3</v>
      </c>
      <c r="W42" s="126">
        <v>150.9</v>
      </c>
      <c r="X42" s="86"/>
      <c r="Y42" s="126">
        <v>-97.642470000000003</v>
      </c>
      <c r="Z42" s="86"/>
      <c r="AA42" s="87">
        <v>0.83631999999999995</v>
      </c>
      <c r="AB42" s="87">
        <v>0.76800000000000002</v>
      </c>
      <c r="AC42" s="86"/>
      <c r="AD42" s="88">
        <v>1.04172</v>
      </c>
      <c r="AE42" s="86"/>
      <c r="AF42" s="126">
        <v>26.943000000000001</v>
      </c>
      <c r="AG42" s="126">
        <v>45.639000000000003</v>
      </c>
      <c r="AH42" s="126">
        <v>37.832999999999998</v>
      </c>
      <c r="AI42" s="126">
        <v>32.683</v>
      </c>
      <c r="AJ42" s="126">
        <v>24.350999999999999</v>
      </c>
      <c r="AK42" s="126">
        <v>16.206</v>
      </c>
      <c r="AL42" s="126">
        <v>20.757999999999999</v>
      </c>
      <c r="AM42" s="126">
        <v>33.692999999999998</v>
      </c>
      <c r="AN42" s="126">
        <v>45.595999999999997</v>
      </c>
      <c r="AO42" s="126">
        <v>41.58</v>
      </c>
      <c r="AP42" s="126">
        <v>13.045999999999999</v>
      </c>
      <c r="AQ42" s="94"/>
      <c r="AR42" s="126">
        <v>0.12</v>
      </c>
      <c r="AS42" s="126">
        <v>0.12</v>
      </c>
      <c r="AU42" s="126">
        <v>4.0833479053208146</v>
      </c>
      <c r="AV42" s="126">
        <v>0.90039469955322238</v>
      </c>
      <c r="AW42" s="126">
        <v>-0.65424658999999996</v>
      </c>
      <c r="AX42" s="94"/>
      <c r="AY42" s="69">
        <v>2.7123685000000002E-2</v>
      </c>
      <c r="AZ42" s="68" t="s">
        <v>355</v>
      </c>
      <c r="BA42" s="122" t="s">
        <v>154</v>
      </c>
      <c r="BB42" s="94">
        <f t="shared" si="0"/>
        <v>5.2800632664979572E-3</v>
      </c>
    </row>
    <row r="43" spans="1:54" ht="14.4" x14ac:dyDescent="0.3">
      <c r="A43" s="122" t="s">
        <v>155</v>
      </c>
      <c r="B43" s="126" t="s">
        <v>68</v>
      </c>
      <c r="C43" s="126" t="s">
        <v>121</v>
      </c>
      <c r="D43" s="126" t="s">
        <v>63</v>
      </c>
      <c r="E43" s="126" t="s">
        <v>274</v>
      </c>
      <c r="F43" s="126" t="s">
        <v>11</v>
      </c>
      <c r="G43" s="126">
        <v>5.1449999999999996</v>
      </c>
      <c r="H43" s="126">
        <v>60</v>
      </c>
      <c r="I43" s="126">
        <v>308.7</v>
      </c>
      <c r="J43" s="126">
        <v>12</v>
      </c>
      <c r="K43" s="126">
        <v>12</v>
      </c>
      <c r="L43" s="126">
        <v>13</v>
      </c>
      <c r="M43" s="126">
        <v>224.22</v>
      </c>
      <c r="N43" s="126"/>
      <c r="O43" s="126">
        <v>16</v>
      </c>
      <c r="P43" s="126">
        <v>15</v>
      </c>
      <c r="Q43" s="126" t="s">
        <v>121</v>
      </c>
      <c r="R43" s="94"/>
      <c r="S43" s="126">
        <v>650.80999999999995</v>
      </c>
      <c r="T43" s="126">
        <v>451.94</v>
      </c>
      <c r="U43" s="126">
        <v>626.71</v>
      </c>
      <c r="V43" s="126">
        <v>598</v>
      </c>
      <c r="W43" s="126">
        <v>149.86000000000001</v>
      </c>
      <c r="X43" s="86"/>
      <c r="Y43" s="126">
        <v>194.83288999999999</v>
      </c>
      <c r="Z43" s="86"/>
      <c r="AA43" s="87">
        <v>0.78691999999999995</v>
      </c>
      <c r="AB43" s="89">
        <v>0.64</v>
      </c>
      <c r="AC43" s="86"/>
      <c r="AD43" s="88">
        <v>1.0580499999999999</v>
      </c>
      <c r="AE43" s="86"/>
      <c r="AF43" s="126">
        <v>31.199000000000002</v>
      </c>
      <c r="AG43" s="126">
        <v>46.887999999999998</v>
      </c>
      <c r="AH43" s="126">
        <v>26.366</v>
      </c>
      <c r="AI43" s="126">
        <v>34.613</v>
      </c>
      <c r="AJ43" s="126">
        <v>29.26</v>
      </c>
      <c r="AK43" s="126">
        <v>16.349</v>
      </c>
      <c r="AL43" s="126">
        <v>16.626999999999999</v>
      </c>
      <c r="AM43" s="126">
        <v>31.119</v>
      </c>
      <c r="AN43" s="126">
        <v>50.161000000000001</v>
      </c>
      <c r="AO43" s="126">
        <v>46.497</v>
      </c>
      <c r="AP43" s="126">
        <v>11.736000000000001</v>
      </c>
      <c r="AQ43" s="94"/>
      <c r="AR43" s="126">
        <v>0.12</v>
      </c>
      <c r="AS43" s="126">
        <v>0.12</v>
      </c>
      <c r="AU43" s="126">
        <v>4.8036130527682168</v>
      </c>
      <c r="AV43" s="126">
        <v>0.90638838872647154</v>
      </c>
      <c r="AW43" s="126">
        <v>0.60850470000000001</v>
      </c>
      <c r="AX43" s="94"/>
      <c r="AY43" s="69">
        <v>2.7535456E-2</v>
      </c>
      <c r="AZ43" s="67" t="s">
        <v>155</v>
      </c>
      <c r="BA43" s="122" t="s">
        <v>155</v>
      </c>
      <c r="BB43" s="94">
        <f t="shared" si="0"/>
        <v>5.3518864917395537E-3</v>
      </c>
    </row>
    <row r="44" spans="1:54" ht="14.4" x14ac:dyDescent="0.3">
      <c r="A44" s="122" t="s">
        <v>156</v>
      </c>
      <c r="B44" s="126" t="s">
        <v>68</v>
      </c>
      <c r="C44" s="126" t="s">
        <v>118</v>
      </c>
      <c r="D44" s="126" t="s">
        <v>68</v>
      </c>
      <c r="E44" s="126" t="s">
        <v>12</v>
      </c>
      <c r="F44" s="126" t="s">
        <v>68</v>
      </c>
      <c r="G44" s="126">
        <v>5.94</v>
      </c>
      <c r="H44" s="126">
        <v>52</v>
      </c>
      <c r="I44" s="126">
        <v>308.89999999999998</v>
      </c>
      <c r="J44" s="126">
        <v>19</v>
      </c>
      <c r="K44" s="126">
        <v>14</v>
      </c>
      <c r="L44" s="126">
        <v>9</v>
      </c>
      <c r="M44" s="126">
        <v>269.24</v>
      </c>
      <c r="N44" s="126"/>
      <c r="O44" s="126">
        <v>11</v>
      </c>
      <c r="P44" s="126">
        <v>21</v>
      </c>
      <c r="Q44" s="126" t="s">
        <v>11</v>
      </c>
      <c r="R44" s="94"/>
      <c r="S44" s="126">
        <v>442.09</v>
      </c>
      <c r="T44" s="126">
        <v>675.58</v>
      </c>
      <c r="U44" s="126">
        <v>496.59</v>
      </c>
      <c r="V44" s="126">
        <v>729.98</v>
      </c>
      <c r="W44" s="126">
        <v>508.34</v>
      </c>
      <c r="X44" s="86"/>
      <c r="Y44" s="126">
        <v>85.42</v>
      </c>
      <c r="Z44" s="86"/>
      <c r="AA44" s="87">
        <v>0.86855000000000004</v>
      </c>
      <c r="AB44" s="87">
        <v>0.65293000000000001</v>
      </c>
      <c r="AC44" s="86"/>
      <c r="AD44" s="88">
        <v>1.06358</v>
      </c>
      <c r="AE44" s="86"/>
      <c r="AF44" s="126">
        <v>22.07</v>
      </c>
      <c r="AG44" s="126">
        <v>49.045000000000002</v>
      </c>
      <c r="AH44" s="126">
        <v>28.263999999999999</v>
      </c>
      <c r="AI44" s="126">
        <v>32.384</v>
      </c>
      <c r="AJ44" s="126">
        <v>23.710999999999999</v>
      </c>
      <c r="AK44" s="126">
        <v>20.454999999999998</v>
      </c>
      <c r="AL44" s="126">
        <v>23.161000000000001</v>
      </c>
      <c r="AM44" s="126">
        <v>27.148</v>
      </c>
      <c r="AN44" s="126">
        <v>39.234999999999999</v>
      </c>
      <c r="AO44" s="126">
        <v>22.562000000000001</v>
      </c>
      <c r="AP44" s="126">
        <v>13.545</v>
      </c>
      <c r="AQ44" s="94"/>
      <c r="AR44" s="126">
        <v>0.12</v>
      </c>
      <c r="AS44" s="126">
        <v>0.12</v>
      </c>
      <c r="AU44" s="126">
        <v>5.2012499652977802</v>
      </c>
      <c r="AV44" s="126">
        <v>1</v>
      </c>
      <c r="AW44" s="126">
        <v>-0.59471065000000001</v>
      </c>
      <c r="AX44" s="94"/>
      <c r="AY44" s="69">
        <v>2.2944585E-2</v>
      </c>
      <c r="AZ44" s="68" t="s">
        <v>156</v>
      </c>
      <c r="BA44" s="122" t="s">
        <v>156</v>
      </c>
      <c r="BB44" s="94">
        <f t="shared" si="0"/>
        <v>3.8627247474747471E-3</v>
      </c>
    </row>
    <row r="45" spans="1:54" ht="14.4" x14ac:dyDescent="0.3">
      <c r="A45" s="122" t="s">
        <v>157</v>
      </c>
      <c r="B45" s="126" t="s">
        <v>68</v>
      </c>
      <c r="C45" s="126" t="s">
        <v>118</v>
      </c>
      <c r="D45" s="126" t="s">
        <v>68</v>
      </c>
      <c r="E45" s="126" t="s">
        <v>12</v>
      </c>
      <c r="F45" s="126" t="s">
        <v>273</v>
      </c>
      <c r="G45" s="126">
        <v>3.8610000000000002</v>
      </c>
      <c r="H45" s="126">
        <v>79</v>
      </c>
      <c r="I45" s="126">
        <v>305</v>
      </c>
      <c r="J45" s="126">
        <v>9</v>
      </c>
      <c r="K45" s="126">
        <v>11</v>
      </c>
      <c r="L45" s="126">
        <v>8</v>
      </c>
      <c r="M45" s="126">
        <v>225.75</v>
      </c>
      <c r="N45" s="126"/>
      <c r="O45" s="126">
        <v>11</v>
      </c>
      <c r="P45" s="126">
        <v>19.5</v>
      </c>
      <c r="Q45" s="126" t="s">
        <v>273</v>
      </c>
      <c r="R45" s="94"/>
      <c r="S45" s="126">
        <v>362.79</v>
      </c>
      <c r="T45" s="126">
        <v>732.67</v>
      </c>
      <c r="U45" s="126">
        <v>301.68</v>
      </c>
      <c r="V45" s="126">
        <v>784.37</v>
      </c>
      <c r="W45" s="126">
        <v>575.27</v>
      </c>
      <c r="X45" s="86"/>
      <c r="Y45" s="126">
        <v>182.33332999999999</v>
      </c>
      <c r="Z45" s="86"/>
      <c r="AA45" s="87">
        <v>0.89651000000000003</v>
      </c>
      <c r="AB45" s="87">
        <v>0.72623000000000004</v>
      </c>
      <c r="AC45" s="86"/>
      <c r="AD45" s="88">
        <v>1.0715600000000001</v>
      </c>
      <c r="AE45" s="86"/>
      <c r="AF45" s="126">
        <v>29.268000000000001</v>
      </c>
      <c r="AG45" s="126">
        <v>59.915999999999997</v>
      </c>
      <c r="AH45" s="126">
        <v>28.35</v>
      </c>
      <c r="AI45" s="126">
        <v>36.552999999999997</v>
      </c>
      <c r="AJ45" s="126">
        <v>32.316000000000003</v>
      </c>
      <c r="AK45" s="126">
        <v>16.347000000000001</v>
      </c>
      <c r="AL45" s="126">
        <v>19.744</v>
      </c>
      <c r="AM45" s="126">
        <v>30.907</v>
      </c>
      <c r="AN45" s="126">
        <v>50.353000000000002</v>
      </c>
      <c r="AO45" s="126">
        <v>25.541</v>
      </c>
      <c r="AP45" s="126">
        <v>12.8</v>
      </c>
      <c r="AQ45" s="94"/>
      <c r="AR45" s="126">
        <v>0.12</v>
      </c>
      <c r="AS45" s="126">
        <v>0.12</v>
      </c>
      <c r="AU45" s="126">
        <v>7.5694015073183643</v>
      </c>
      <c r="AV45" s="126">
        <v>0.89967704063175336</v>
      </c>
      <c r="AW45" s="126">
        <v>-0.73262561999999998</v>
      </c>
      <c r="AX45" s="94"/>
      <c r="AY45" s="69">
        <v>2.7022724000000001E-2</v>
      </c>
      <c r="AZ45" s="66" t="s">
        <v>157</v>
      </c>
      <c r="BA45" s="122" t="s">
        <v>157</v>
      </c>
      <c r="BB45" s="94">
        <f t="shared" si="0"/>
        <v>6.9988925148925145E-3</v>
      </c>
    </row>
    <row r="46" spans="1:54" ht="14.4" x14ac:dyDescent="0.3">
      <c r="A46" s="122" t="s">
        <v>158</v>
      </c>
      <c r="B46" s="126" t="s">
        <v>12</v>
      </c>
      <c r="C46" s="126" t="s">
        <v>118</v>
      </c>
      <c r="D46" s="126" t="s">
        <v>63</v>
      </c>
      <c r="E46" s="126" t="s">
        <v>68</v>
      </c>
      <c r="F46" s="126" t="s">
        <v>12</v>
      </c>
      <c r="G46" s="126">
        <v>4.6920000000000002</v>
      </c>
      <c r="H46" s="126">
        <v>66</v>
      </c>
      <c r="I46" s="126">
        <v>309.7</v>
      </c>
      <c r="J46" s="126">
        <v>9</v>
      </c>
      <c r="K46" s="126">
        <v>14</v>
      </c>
      <c r="L46" s="126">
        <v>11</v>
      </c>
      <c r="M46" s="126">
        <v>198.24</v>
      </c>
      <c r="N46" s="126"/>
      <c r="O46" s="126">
        <v>18</v>
      </c>
      <c r="P46" s="126">
        <v>15.5</v>
      </c>
      <c r="Q46" s="126" t="s">
        <v>11</v>
      </c>
      <c r="R46" s="94"/>
      <c r="S46" s="126">
        <v>811.48942438710628</v>
      </c>
      <c r="T46" s="126">
        <v>392.27</v>
      </c>
      <c r="U46" s="126">
        <v>486.5</v>
      </c>
      <c r="V46" s="126">
        <v>490</v>
      </c>
      <c r="W46" s="126">
        <v>295.42</v>
      </c>
      <c r="X46" s="86"/>
      <c r="Y46" s="126">
        <v>180.52475000000001</v>
      </c>
      <c r="Z46" s="86"/>
      <c r="AA46" s="87">
        <v>0.84157999999999999</v>
      </c>
      <c r="AB46" s="87">
        <v>0.70877000000000001</v>
      </c>
      <c r="AC46" s="86"/>
      <c r="AD46" s="88">
        <v>1.0578399999999999</v>
      </c>
      <c r="AE46" s="86"/>
      <c r="AF46" s="126">
        <v>24.204999999999998</v>
      </c>
      <c r="AG46" s="126">
        <v>21.994</v>
      </c>
      <c r="AH46" s="126">
        <v>24.173999999999999</v>
      </c>
      <c r="AI46" s="126">
        <v>26.233000000000001</v>
      </c>
      <c r="AJ46" s="126">
        <v>45.302999999999997</v>
      </c>
      <c r="AK46" s="126">
        <v>22.012</v>
      </c>
      <c r="AL46" s="126">
        <v>21.427</v>
      </c>
      <c r="AM46" s="126">
        <v>23.003</v>
      </c>
      <c r="AN46" s="126">
        <v>33.1</v>
      </c>
      <c r="AO46" s="126">
        <v>48.734000000000002</v>
      </c>
      <c r="AP46" s="126">
        <v>18.417000000000002</v>
      </c>
      <c r="AQ46" s="94"/>
      <c r="AR46" s="126">
        <v>0.12</v>
      </c>
      <c r="AS46" s="126">
        <v>0.12</v>
      </c>
      <c r="AU46" s="126">
        <v>1.8653489017689671</v>
      </c>
      <c r="AV46" s="126">
        <v>0.92146863595801554</v>
      </c>
      <c r="AW46" s="126">
        <v>0.13291797</v>
      </c>
      <c r="AX46" s="94"/>
      <c r="AY46" s="69">
        <v>3.1242130999999999E-2</v>
      </c>
      <c r="AZ46" s="67" t="s">
        <v>356</v>
      </c>
      <c r="BA46" s="122" t="s">
        <v>158</v>
      </c>
      <c r="BB46" s="94">
        <f t="shared" si="0"/>
        <v>6.6585956947996586E-3</v>
      </c>
    </row>
    <row r="47" spans="1:54" ht="14.4" x14ac:dyDescent="0.3">
      <c r="A47" s="122" t="s">
        <v>159</v>
      </c>
      <c r="B47" s="126" t="s">
        <v>68</v>
      </c>
      <c r="C47" s="126" t="s">
        <v>70</v>
      </c>
      <c r="D47" s="126" t="s">
        <v>68</v>
      </c>
      <c r="E47" s="126" t="s">
        <v>11</v>
      </c>
      <c r="F47" s="126" t="s">
        <v>68</v>
      </c>
      <c r="G47" s="126">
        <v>4.0830000000000002</v>
      </c>
      <c r="H47" s="126">
        <v>75</v>
      </c>
      <c r="I47" s="126">
        <v>306.2</v>
      </c>
      <c r="J47" s="126">
        <v>7</v>
      </c>
      <c r="K47" s="126">
        <v>14</v>
      </c>
      <c r="L47" s="126">
        <v>8</v>
      </c>
      <c r="M47" s="126">
        <v>214.42</v>
      </c>
      <c r="N47" s="126"/>
      <c r="O47" s="126">
        <v>14</v>
      </c>
      <c r="P47" s="126">
        <v>14</v>
      </c>
      <c r="Q47" s="126" t="s">
        <v>121</v>
      </c>
      <c r="R47" s="94"/>
      <c r="S47" s="126">
        <v>742</v>
      </c>
      <c r="T47" s="126">
        <v>546.01666999999998</v>
      </c>
      <c r="U47" s="126">
        <v>379.02332999999999</v>
      </c>
      <c r="V47" s="126">
        <v>718.46</v>
      </c>
      <c r="W47" s="126">
        <v>529.96333000000004</v>
      </c>
      <c r="X47" s="86"/>
      <c r="Y47" s="126">
        <v>182.04044999999999</v>
      </c>
      <c r="Z47" s="86"/>
      <c r="AA47" s="87">
        <v>0.81384000000000001</v>
      </c>
      <c r="AB47" s="89">
        <v>0</v>
      </c>
      <c r="AC47" s="86"/>
      <c r="AD47" s="88">
        <v>1.0863400000000001</v>
      </c>
      <c r="AE47" s="86"/>
      <c r="AF47" s="126">
        <v>29.635000000000002</v>
      </c>
      <c r="AG47" s="126">
        <v>41.164999999999999</v>
      </c>
      <c r="AH47" s="126">
        <v>34.024000000000001</v>
      </c>
      <c r="AI47" s="126">
        <v>40.393999999999998</v>
      </c>
      <c r="AJ47" s="126">
        <v>36.137999999999998</v>
      </c>
      <c r="AK47" s="126">
        <v>29.957000000000001</v>
      </c>
      <c r="AL47" s="126">
        <v>25.524000000000001</v>
      </c>
      <c r="AM47" s="126">
        <v>31.239000000000001</v>
      </c>
      <c r="AN47" s="126">
        <v>33.659999999999997</v>
      </c>
      <c r="AO47" s="126">
        <v>26.074999999999999</v>
      </c>
      <c r="AP47" s="126">
        <v>21.884</v>
      </c>
      <c r="AQ47" s="94"/>
      <c r="AR47" s="126">
        <v>0.12</v>
      </c>
      <c r="AS47" s="126">
        <v>0.12</v>
      </c>
      <c r="AU47" s="126">
        <v>6.0218233266550625</v>
      </c>
      <c r="AV47" s="126">
        <v>1</v>
      </c>
      <c r="AW47" s="126">
        <v>0.43670379000000004</v>
      </c>
      <c r="AX47" s="94"/>
      <c r="AY47" s="69">
        <v>2.8563100000000001E-2</v>
      </c>
      <c r="AZ47" s="68" t="s">
        <v>159</v>
      </c>
      <c r="BA47" s="122" t="s">
        <v>159</v>
      </c>
      <c r="BB47" s="94">
        <f t="shared" si="0"/>
        <v>6.995615968650502E-3</v>
      </c>
    </row>
    <row r="48" spans="1:54" ht="14.4" x14ac:dyDescent="0.3">
      <c r="A48" s="122" t="s">
        <v>270</v>
      </c>
      <c r="B48" s="126" t="s">
        <v>11</v>
      </c>
      <c r="C48" s="126" t="s">
        <v>140</v>
      </c>
      <c r="D48" s="126" t="s">
        <v>68</v>
      </c>
      <c r="E48" s="126" t="s">
        <v>273</v>
      </c>
      <c r="F48" s="126" t="s">
        <v>12</v>
      </c>
      <c r="G48" s="126">
        <v>4.7359999999999998</v>
      </c>
      <c r="H48" s="126">
        <v>67</v>
      </c>
      <c r="I48" s="126">
        <v>317.3</v>
      </c>
      <c r="J48" s="126">
        <v>18</v>
      </c>
      <c r="K48" s="126">
        <v>10</v>
      </c>
      <c r="L48" s="126">
        <v>6</v>
      </c>
      <c r="M48" s="126">
        <v>299.89</v>
      </c>
      <c r="N48" s="126"/>
      <c r="O48" s="126">
        <v>8</v>
      </c>
      <c r="P48" s="126">
        <v>10</v>
      </c>
      <c r="Q48" s="126" t="s">
        <v>121</v>
      </c>
      <c r="R48" s="94"/>
      <c r="S48" s="186">
        <v>126.39259177994373</v>
      </c>
      <c r="T48" s="186">
        <v>575.4540379770275</v>
      </c>
      <c r="U48" s="186">
        <v>206.26199999999997</v>
      </c>
      <c r="V48" s="186">
        <v>722.41</v>
      </c>
      <c r="W48" s="186">
        <v>293.48</v>
      </c>
      <c r="X48" s="86"/>
      <c r="Y48" s="126">
        <v>78.541120000000006</v>
      </c>
      <c r="Z48" s="86"/>
      <c r="AA48" s="87">
        <v>0.90583999999999998</v>
      </c>
      <c r="AB48" s="87">
        <v>0.76944999999999997</v>
      </c>
      <c r="AC48" s="86"/>
      <c r="AD48" s="88">
        <v>1.0558700000000001</v>
      </c>
      <c r="AE48" s="86"/>
      <c r="AF48" s="126">
        <v>25.207999999999998</v>
      </c>
      <c r="AG48" s="126">
        <v>93.747</v>
      </c>
      <c r="AH48" s="126">
        <v>14.773</v>
      </c>
      <c r="AI48" s="126">
        <v>17.352</v>
      </c>
      <c r="AJ48" s="126">
        <v>30.498000000000001</v>
      </c>
      <c r="AK48" s="126">
        <v>17.97</v>
      </c>
      <c r="AL48" s="126">
        <v>23.459</v>
      </c>
      <c r="AM48" s="126">
        <v>27.117000000000001</v>
      </c>
      <c r="AN48" s="126">
        <v>25.81</v>
      </c>
      <c r="AO48" s="126">
        <v>36.405000000000001</v>
      </c>
      <c r="AP48" s="126">
        <v>17.327000000000002</v>
      </c>
      <c r="AQ48" s="94"/>
      <c r="AR48" s="126">
        <v>0.12</v>
      </c>
      <c r="AS48" s="126">
        <v>0.12</v>
      </c>
      <c r="AU48" s="126">
        <v>3.4456491476506286</v>
      </c>
      <c r="AV48" s="126">
        <v>1</v>
      </c>
      <c r="AW48" s="126">
        <v>-1.44374767</v>
      </c>
      <c r="AX48" s="94"/>
      <c r="AY48" s="69">
        <v>1.6833528E-2</v>
      </c>
      <c r="AZ48" s="67" t="s">
        <v>270</v>
      </c>
      <c r="BA48" s="122" t="s">
        <v>270</v>
      </c>
      <c r="BB48" s="94">
        <f t="shared" si="0"/>
        <v>3.5543766891891894E-3</v>
      </c>
    </row>
    <row r="49" spans="1:55" ht="14.4" x14ac:dyDescent="0.3">
      <c r="A49" s="122" t="s">
        <v>160</v>
      </c>
      <c r="B49" s="126" t="s">
        <v>11</v>
      </c>
      <c r="C49" s="126" t="s">
        <v>121</v>
      </c>
      <c r="D49" s="126" t="s">
        <v>63</v>
      </c>
      <c r="E49" s="126" t="s">
        <v>273</v>
      </c>
      <c r="F49" s="126" t="s">
        <v>68</v>
      </c>
      <c r="G49" s="126">
        <v>5.4119999999999999</v>
      </c>
      <c r="H49" s="126">
        <v>57</v>
      </c>
      <c r="I49" s="126">
        <v>308.5</v>
      </c>
      <c r="J49" s="126">
        <v>16</v>
      </c>
      <c r="K49" s="126">
        <v>11</v>
      </c>
      <c r="L49" s="126">
        <v>9</v>
      </c>
      <c r="M49" s="126">
        <v>237.09</v>
      </c>
      <c r="N49" s="126"/>
      <c r="O49" s="126">
        <v>14</v>
      </c>
      <c r="P49" s="126">
        <v>25.5</v>
      </c>
      <c r="Q49" s="126" t="s">
        <v>273</v>
      </c>
      <c r="R49" s="94"/>
      <c r="S49" s="126">
        <v>126.91</v>
      </c>
      <c r="T49" s="126">
        <v>406.55</v>
      </c>
      <c r="U49" s="126">
        <v>716.34</v>
      </c>
      <c r="V49" s="126">
        <v>609.55999999999995</v>
      </c>
      <c r="W49" s="126">
        <v>240.96</v>
      </c>
      <c r="X49" s="86"/>
      <c r="Y49" s="126">
        <v>-21.44472</v>
      </c>
      <c r="Z49" s="86"/>
      <c r="AA49" s="87">
        <v>0.91957</v>
      </c>
      <c r="AB49" s="87">
        <v>0.71238999999999997</v>
      </c>
      <c r="AC49" s="86"/>
      <c r="AD49" s="88">
        <v>1.1036300000000001</v>
      </c>
      <c r="AE49" s="86"/>
      <c r="AF49" s="126">
        <v>27.167999999999999</v>
      </c>
      <c r="AG49" s="126">
        <v>59.892000000000003</v>
      </c>
      <c r="AH49" s="126">
        <v>33.036999999999999</v>
      </c>
      <c r="AI49" s="126">
        <v>25.882000000000001</v>
      </c>
      <c r="AJ49" s="126">
        <v>26.282</v>
      </c>
      <c r="AK49" s="126">
        <v>30.852</v>
      </c>
      <c r="AL49" s="126">
        <v>36.212000000000003</v>
      </c>
      <c r="AM49" s="126">
        <v>30.797999999999998</v>
      </c>
      <c r="AN49" s="126">
        <v>36.118000000000002</v>
      </c>
      <c r="AO49" s="126">
        <v>35.283000000000001</v>
      </c>
      <c r="AP49" s="126">
        <v>17.693000000000001</v>
      </c>
      <c r="AQ49" s="94"/>
      <c r="AR49" s="126">
        <v>0.12</v>
      </c>
      <c r="AS49" s="126">
        <v>0.12</v>
      </c>
      <c r="AU49" s="126">
        <v>6.1667200752231262</v>
      </c>
      <c r="AV49" s="126">
        <v>0.87208226743140638</v>
      </c>
      <c r="AW49" s="126">
        <v>-5.3106279999999999E-2</v>
      </c>
      <c r="AX49" s="94"/>
      <c r="AY49" s="69">
        <v>2.6022522999999999E-2</v>
      </c>
      <c r="AZ49" s="66" t="s">
        <v>160</v>
      </c>
      <c r="BA49" s="122" t="s">
        <v>160</v>
      </c>
      <c r="BB49" s="94">
        <f t="shared" si="0"/>
        <v>4.8083006282335552E-3</v>
      </c>
    </row>
    <row r="50" spans="1:55" ht="14.4" x14ac:dyDescent="0.3">
      <c r="A50" s="122" t="s">
        <v>161</v>
      </c>
      <c r="B50" s="126" t="s">
        <v>68</v>
      </c>
      <c r="C50" s="126" t="s">
        <v>121</v>
      </c>
      <c r="D50" s="126" t="s">
        <v>68</v>
      </c>
      <c r="E50" s="126" t="s">
        <v>68</v>
      </c>
      <c r="F50" s="126" t="s">
        <v>68</v>
      </c>
      <c r="G50" s="126">
        <v>5.6440000000000001</v>
      </c>
      <c r="H50" s="126">
        <v>55</v>
      </c>
      <c r="I50" s="126">
        <v>310.39999999999998</v>
      </c>
      <c r="J50" s="126">
        <v>14</v>
      </c>
      <c r="K50" s="126">
        <v>11</v>
      </c>
      <c r="L50" s="126">
        <v>14</v>
      </c>
      <c r="M50" s="126">
        <v>217.17</v>
      </c>
      <c r="N50" s="126"/>
      <c r="O50" s="126">
        <v>17</v>
      </c>
      <c r="P50" s="126">
        <v>24</v>
      </c>
      <c r="Q50" s="126" t="s">
        <v>273</v>
      </c>
      <c r="R50" s="94"/>
      <c r="S50" s="126">
        <v>554</v>
      </c>
      <c r="T50" s="126">
        <v>590.12333000000001</v>
      </c>
      <c r="U50" s="126">
        <v>653.68700000000001</v>
      </c>
      <c r="V50" s="126">
        <v>746.34333000000004</v>
      </c>
      <c r="W50" s="126">
        <v>466.41</v>
      </c>
      <c r="X50" s="86"/>
      <c r="Y50" s="126">
        <v>24.6</v>
      </c>
      <c r="Z50" s="86"/>
      <c r="AA50" s="87">
        <v>0.84219999999999995</v>
      </c>
      <c r="AB50" s="87">
        <v>0.61612999999999996</v>
      </c>
      <c r="AC50" s="86"/>
      <c r="AD50" s="88">
        <v>1.0392300000000001</v>
      </c>
      <c r="AE50" s="86"/>
      <c r="AF50" s="126">
        <v>25.274999999999999</v>
      </c>
      <c r="AG50" s="126">
        <v>44.984999999999999</v>
      </c>
      <c r="AH50" s="126">
        <v>32.811</v>
      </c>
      <c r="AI50" s="126">
        <v>26.302</v>
      </c>
      <c r="AJ50" s="126">
        <v>32.939</v>
      </c>
      <c r="AK50" s="126">
        <v>18.283000000000001</v>
      </c>
      <c r="AL50" s="126">
        <v>31.829000000000001</v>
      </c>
      <c r="AM50" s="126">
        <v>36.601999999999997</v>
      </c>
      <c r="AN50" s="126">
        <v>43.17</v>
      </c>
      <c r="AO50" s="126">
        <v>26.006</v>
      </c>
      <c r="AP50" s="126">
        <v>18.791</v>
      </c>
      <c r="AQ50" s="94"/>
      <c r="AR50" s="126">
        <v>0.12</v>
      </c>
      <c r="AS50" s="126">
        <v>0.12</v>
      </c>
      <c r="AU50" s="126">
        <v>5.7683667452876666</v>
      </c>
      <c r="AV50" s="126">
        <v>0.87695333227207395</v>
      </c>
      <c r="AW50" s="126">
        <v>0.11323555</v>
      </c>
      <c r="AX50" s="94"/>
      <c r="AY50" s="69">
        <v>2.8587741999999999E-2</v>
      </c>
      <c r="AZ50" s="68" t="s">
        <v>161</v>
      </c>
      <c r="BA50" s="122" t="s">
        <v>161</v>
      </c>
      <c r="BB50" s="94">
        <f t="shared" si="0"/>
        <v>5.0651562721474126E-3</v>
      </c>
    </row>
    <row r="51" spans="1:55" ht="14.4" x14ac:dyDescent="0.3">
      <c r="A51" s="122" t="s">
        <v>173</v>
      </c>
      <c r="B51" s="126" t="s">
        <v>12</v>
      </c>
      <c r="C51" s="126" t="s">
        <v>70</v>
      </c>
      <c r="D51" s="126" t="s">
        <v>68</v>
      </c>
      <c r="E51" s="126" t="s">
        <v>68</v>
      </c>
      <c r="F51" s="126" t="s">
        <v>68</v>
      </c>
      <c r="G51" s="126">
        <v>3.1859999999999999</v>
      </c>
      <c r="H51" s="126">
        <v>80</v>
      </c>
      <c r="I51" s="126">
        <v>254.9</v>
      </c>
      <c r="J51" s="126">
        <v>5</v>
      </c>
      <c r="K51" s="126">
        <v>10</v>
      </c>
      <c r="L51" s="126">
        <v>9</v>
      </c>
      <c r="M51" s="126">
        <v>197.95</v>
      </c>
      <c r="N51" s="126"/>
      <c r="O51" s="126">
        <v>16</v>
      </c>
      <c r="P51" s="126">
        <v>12</v>
      </c>
      <c r="Q51" s="126" t="s">
        <v>121</v>
      </c>
      <c r="R51" s="94"/>
      <c r="S51" s="126">
        <v>927.25</v>
      </c>
      <c r="T51" s="126">
        <v>414.83</v>
      </c>
      <c r="U51" s="126">
        <v>503.01</v>
      </c>
      <c r="V51" s="126">
        <v>477.94</v>
      </c>
      <c r="W51" s="126">
        <v>522.69000000000005</v>
      </c>
      <c r="X51" s="86"/>
      <c r="Y51" s="126">
        <v>177</v>
      </c>
      <c r="Z51" s="86"/>
      <c r="AA51" s="87">
        <v>0.86141000000000001</v>
      </c>
      <c r="AB51" s="89">
        <v>0</v>
      </c>
      <c r="AC51" s="86"/>
      <c r="AD51" s="88">
        <v>0.92879</v>
      </c>
      <c r="AE51" s="86"/>
      <c r="AF51" s="126">
        <v>24.934000000000001</v>
      </c>
      <c r="AG51" s="126">
        <v>30.625</v>
      </c>
      <c r="AH51" s="126">
        <v>25.175000000000001</v>
      </c>
      <c r="AI51" s="126">
        <v>27.54</v>
      </c>
      <c r="AJ51" s="126">
        <v>24.224</v>
      </c>
      <c r="AK51" s="126">
        <v>20.047000000000001</v>
      </c>
      <c r="AL51" s="126">
        <v>23.065000000000001</v>
      </c>
      <c r="AM51" s="126">
        <v>34.234000000000002</v>
      </c>
      <c r="AN51" s="126">
        <v>28.933</v>
      </c>
      <c r="AO51" s="126">
        <v>29.658000000000001</v>
      </c>
      <c r="AP51" s="126">
        <v>20.6</v>
      </c>
      <c r="AQ51" s="94"/>
      <c r="AR51" s="126">
        <v>0.12</v>
      </c>
      <c r="AS51" s="126">
        <v>0.12</v>
      </c>
      <c r="AU51" s="126">
        <v>6.028875615945144</v>
      </c>
      <c r="AV51" s="126">
        <v>1</v>
      </c>
      <c r="AW51" s="126">
        <v>0.42639139999999998</v>
      </c>
      <c r="AX51" s="94"/>
      <c r="AY51" s="69">
        <v>2.5590360999999999E-2</v>
      </c>
      <c r="AZ51" s="68" t="s">
        <v>173</v>
      </c>
      <c r="BA51" s="122" t="s">
        <v>173</v>
      </c>
      <c r="BB51" s="94">
        <f t="shared" si="0"/>
        <v>8.0321283741368477E-3</v>
      </c>
    </row>
    <row r="52" spans="1:55" ht="14.4" x14ac:dyDescent="0.3">
      <c r="A52" s="122" t="s">
        <v>162</v>
      </c>
      <c r="B52" s="126" t="s">
        <v>68</v>
      </c>
      <c r="C52" s="126" t="s">
        <v>121</v>
      </c>
      <c r="D52" s="126" t="s">
        <v>63</v>
      </c>
      <c r="E52" s="126" t="s">
        <v>273</v>
      </c>
      <c r="F52" s="126" t="s">
        <v>68</v>
      </c>
      <c r="G52" s="126">
        <v>5.45</v>
      </c>
      <c r="H52" s="126">
        <v>56</v>
      </c>
      <c r="I52" s="126">
        <v>305.2</v>
      </c>
      <c r="J52" s="126">
        <v>9</v>
      </c>
      <c r="K52" s="126">
        <v>16</v>
      </c>
      <c r="L52" s="126">
        <v>15</v>
      </c>
      <c r="M52" s="126">
        <v>217.18</v>
      </c>
      <c r="N52" s="126"/>
      <c r="O52" s="126">
        <v>10</v>
      </c>
      <c r="P52" s="126">
        <v>24</v>
      </c>
      <c r="Q52" s="126" t="s">
        <v>12</v>
      </c>
      <c r="R52" s="94"/>
      <c r="S52" s="126">
        <v>416.43</v>
      </c>
      <c r="T52" s="126">
        <v>529.77</v>
      </c>
      <c r="U52" s="126">
        <v>641.35</v>
      </c>
      <c r="V52" s="126">
        <v>354.61</v>
      </c>
      <c r="W52" s="126">
        <v>114.21</v>
      </c>
      <c r="X52" s="86"/>
      <c r="Y52" s="126">
        <v>114.90394000000001</v>
      </c>
      <c r="Z52" s="86"/>
      <c r="AA52" s="87">
        <v>0.91466999999999998</v>
      </c>
      <c r="AB52" s="87">
        <v>0.67435</v>
      </c>
      <c r="AC52" s="86"/>
      <c r="AD52" s="88">
        <v>1.0292699999999999</v>
      </c>
      <c r="AE52" s="86"/>
      <c r="AF52" s="126">
        <v>20.675000000000001</v>
      </c>
      <c r="AG52" s="126">
        <v>57.895000000000003</v>
      </c>
      <c r="AH52" s="126">
        <v>34.115000000000002</v>
      </c>
      <c r="AI52" s="126">
        <v>39.604999999999997</v>
      </c>
      <c r="AJ52" s="126">
        <v>35.046999999999997</v>
      </c>
      <c r="AK52" s="126">
        <v>28.213000000000001</v>
      </c>
      <c r="AL52" s="126">
        <v>26.74</v>
      </c>
      <c r="AM52" s="126">
        <v>38.844000000000001</v>
      </c>
      <c r="AN52" s="126">
        <v>43.939</v>
      </c>
      <c r="AO52" s="126">
        <v>48.878</v>
      </c>
      <c r="AP52" s="126">
        <v>18.481999999999999</v>
      </c>
      <c r="AQ52" s="94"/>
      <c r="AR52" s="126">
        <v>0.12</v>
      </c>
      <c r="AS52" s="126">
        <v>0.12</v>
      </c>
      <c r="AU52" s="126">
        <v>5.130225556829469</v>
      </c>
      <c r="AV52" s="126">
        <v>0</v>
      </c>
      <c r="AW52" s="126">
        <v>-0.43156364000000003</v>
      </c>
      <c r="AX52" s="94"/>
      <c r="AY52" s="69">
        <v>2.8105719000000001E-2</v>
      </c>
      <c r="AZ52" s="66" t="s">
        <v>162</v>
      </c>
      <c r="BA52" s="122" t="s">
        <v>162</v>
      </c>
      <c r="BB52" s="94">
        <f t="shared" si="0"/>
        <v>5.1570126605504588E-3</v>
      </c>
    </row>
    <row r="53" spans="1:55" ht="14.4" x14ac:dyDescent="0.3">
      <c r="A53" s="122" t="s">
        <v>163</v>
      </c>
      <c r="B53" s="126" t="s">
        <v>11</v>
      </c>
      <c r="C53" s="126" t="s">
        <v>121</v>
      </c>
      <c r="D53" s="126" t="s">
        <v>68</v>
      </c>
      <c r="E53" s="126" t="s">
        <v>12</v>
      </c>
      <c r="F53" s="126" t="s">
        <v>11</v>
      </c>
      <c r="G53" s="126">
        <v>5.1379999999999999</v>
      </c>
      <c r="H53" s="126">
        <v>60</v>
      </c>
      <c r="I53" s="126">
        <v>308.3</v>
      </c>
      <c r="J53" s="126">
        <v>11</v>
      </c>
      <c r="K53" s="126">
        <v>11</v>
      </c>
      <c r="L53" s="126">
        <v>16</v>
      </c>
      <c r="M53" s="126">
        <v>225.46</v>
      </c>
      <c r="N53" s="126"/>
      <c r="O53" s="126">
        <v>14</v>
      </c>
      <c r="P53" s="126">
        <v>22.5</v>
      </c>
      <c r="Q53" s="126" t="s">
        <v>121</v>
      </c>
      <c r="R53" s="94"/>
      <c r="S53" s="126">
        <v>283.41000000000003</v>
      </c>
      <c r="T53" s="126">
        <v>699.48</v>
      </c>
      <c r="U53" s="126">
        <v>590.85</v>
      </c>
      <c r="V53" s="126">
        <v>823.25</v>
      </c>
      <c r="W53" s="126">
        <v>415.1</v>
      </c>
      <c r="X53" s="86"/>
      <c r="Y53" s="126">
        <v>18.873349999999999</v>
      </c>
      <c r="Z53" s="86"/>
      <c r="AA53" s="87">
        <v>0.86931999999999998</v>
      </c>
      <c r="AB53" s="87">
        <v>0.68100000000000005</v>
      </c>
      <c r="AC53" s="86"/>
      <c r="AD53" s="88">
        <v>1.1123000000000001</v>
      </c>
      <c r="AE53" s="86"/>
      <c r="AF53" s="126">
        <v>25.015999999999998</v>
      </c>
      <c r="AG53" s="126">
        <v>53.238999999999997</v>
      </c>
      <c r="AH53" s="126">
        <v>22.378</v>
      </c>
      <c r="AI53" s="126">
        <v>26.878</v>
      </c>
      <c r="AJ53" s="126">
        <v>28.286000000000001</v>
      </c>
      <c r="AK53" s="126">
        <v>17.123999999999999</v>
      </c>
      <c r="AL53" s="126">
        <v>16.405000000000001</v>
      </c>
      <c r="AM53" s="126">
        <v>37.582999999999998</v>
      </c>
      <c r="AN53" s="126">
        <v>27.510999999999999</v>
      </c>
      <c r="AO53" s="126">
        <v>22.260999999999999</v>
      </c>
      <c r="AP53" s="126">
        <v>12.316000000000001</v>
      </c>
      <c r="AQ53" s="94"/>
      <c r="AR53" s="126">
        <v>0.12</v>
      </c>
      <c r="AS53" s="126">
        <v>0.12</v>
      </c>
      <c r="AU53" s="126">
        <v>5.356901996417391</v>
      </c>
      <c r="AV53" s="126">
        <v>0.76399509331885473</v>
      </c>
      <c r="AW53" s="126">
        <v>9.7682470000000007E-2</v>
      </c>
      <c r="AX53" s="94"/>
      <c r="AY53" s="69">
        <v>2.7346757999999999E-2</v>
      </c>
      <c r="AZ53" s="66" t="s">
        <v>163</v>
      </c>
      <c r="BA53" s="122" t="s">
        <v>163</v>
      </c>
      <c r="BB53" s="94">
        <f t="shared" si="0"/>
        <v>5.3224519268197743E-3</v>
      </c>
    </row>
    <row r="54" spans="1:55" ht="14.4" x14ac:dyDescent="0.3">
      <c r="A54" s="122" t="s">
        <v>164</v>
      </c>
      <c r="B54" s="126" t="s">
        <v>12</v>
      </c>
      <c r="C54" s="126" t="s">
        <v>70</v>
      </c>
      <c r="D54" s="126" t="s">
        <v>70</v>
      </c>
      <c r="E54" s="126" t="s">
        <v>68</v>
      </c>
      <c r="F54" s="126" t="s">
        <v>12</v>
      </c>
      <c r="G54" s="126">
        <v>5.0670000000000002</v>
      </c>
      <c r="H54" s="126">
        <v>61</v>
      </c>
      <c r="I54" s="126">
        <v>309.10000000000002</v>
      </c>
      <c r="J54" s="126">
        <v>7</v>
      </c>
      <c r="K54" s="126">
        <v>11</v>
      </c>
      <c r="L54" s="126">
        <v>17</v>
      </c>
      <c r="M54" s="126">
        <v>214.84</v>
      </c>
      <c r="N54" s="126"/>
      <c r="O54" s="126">
        <v>23</v>
      </c>
      <c r="P54" s="126">
        <v>17</v>
      </c>
      <c r="Q54" s="126" t="s">
        <v>11</v>
      </c>
      <c r="R54" s="94"/>
      <c r="S54" s="126">
        <v>844.98720000000003</v>
      </c>
      <c r="T54" s="126">
        <v>439.86824999999999</v>
      </c>
      <c r="U54" s="126">
        <v>579.02</v>
      </c>
      <c r="V54" s="126">
        <v>600</v>
      </c>
      <c r="W54" s="126">
        <v>802.97</v>
      </c>
      <c r="X54" s="86"/>
      <c r="Y54" s="126">
        <v>202.04229000000001</v>
      </c>
      <c r="Z54" s="86"/>
      <c r="AA54" s="87">
        <v>0.84574000000000005</v>
      </c>
      <c r="AB54" s="87">
        <v>0.54713999999999996</v>
      </c>
      <c r="AC54" s="86"/>
      <c r="AD54" s="88">
        <v>1.04688</v>
      </c>
      <c r="AE54" s="86"/>
      <c r="AF54" s="126">
        <v>29.443999999999999</v>
      </c>
      <c r="AG54" s="126">
        <v>22.242999999999999</v>
      </c>
      <c r="AH54" s="126">
        <v>34.673999999999999</v>
      </c>
      <c r="AI54" s="126">
        <v>30.373999999999999</v>
      </c>
      <c r="AJ54" s="126">
        <v>34.034999999999997</v>
      </c>
      <c r="AK54" s="126">
        <v>23.699000000000002</v>
      </c>
      <c r="AL54" s="126">
        <v>29.268000000000001</v>
      </c>
      <c r="AM54" s="126">
        <v>29.454999999999998</v>
      </c>
      <c r="AN54" s="126">
        <v>45.579000000000001</v>
      </c>
      <c r="AO54" s="126">
        <v>26.95</v>
      </c>
      <c r="AP54" s="126">
        <v>25.68</v>
      </c>
      <c r="AQ54" s="94"/>
      <c r="AR54" s="126">
        <v>0.12</v>
      </c>
      <c r="AS54" s="126">
        <v>0.12</v>
      </c>
      <c r="AU54" s="126">
        <v>8.5532284127284672</v>
      </c>
      <c r="AV54" s="126">
        <v>0.8068737821041797</v>
      </c>
      <c r="AW54" s="126">
        <v>1.26081216</v>
      </c>
      <c r="AX54" s="94"/>
      <c r="AY54" s="69">
        <v>2.8879887999999999E-2</v>
      </c>
      <c r="AZ54" s="67" t="s">
        <v>357</v>
      </c>
      <c r="BA54" s="122" t="s">
        <v>164</v>
      </c>
      <c r="BB54" s="94">
        <f t="shared" si="0"/>
        <v>5.6996029208604693E-3</v>
      </c>
    </row>
    <row r="55" spans="1:55" ht="14.4" x14ac:dyDescent="0.3">
      <c r="A55" s="122" t="s">
        <v>165</v>
      </c>
      <c r="B55" s="126" t="s">
        <v>68</v>
      </c>
      <c r="C55" s="126" t="s">
        <v>70</v>
      </c>
      <c r="D55" s="126" t="s">
        <v>68</v>
      </c>
      <c r="E55" s="126" t="s">
        <v>12</v>
      </c>
      <c r="F55" s="126" t="s">
        <v>12</v>
      </c>
      <c r="G55" s="126">
        <v>5.923</v>
      </c>
      <c r="H55" s="126">
        <v>53</v>
      </c>
      <c r="I55" s="126">
        <v>313.89999999999998</v>
      </c>
      <c r="J55" s="126">
        <v>17</v>
      </c>
      <c r="K55" s="126">
        <v>10</v>
      </c>
      <c r="L55" s="126">
        <v>15</v>
      </c>
      <c r="M55" s="126">
        <v>219.95</v>
      </c>
      <c r="N55" s="126"/>
      <c r="O55" s="126">
        <v>14</v>
      </c>
      <c r="P55" s="126">
        <v>19.5</v>
      </c>
      <c r="Q55" s="126" t="s">
        <v>12</v>
      </c>
      <c r="R55" s="94"/>
      <c r="S55" s="126">
        <v>735.82</v>
      </c>
      <c r="T55" s="126">
        <v>439.66</v>
      </c>
      <c r="U55" s="126">
        <v>609.73</v>
      </c>
      <c r="V55" s="126">
        <v>491.45</v>
      </c>
      <c r="W55" s="126">
        <v>431.92</v>
      </c>
      <c r="X55" s="86"/>
      <c r="Y55" s="126">
        <v>184.08430999999999</v>
      </c>
      <c r="Z55" s="86"/>
      <c r="AA55" s="87">
        <v>0.89481999999999995</v>
      </c>
      <c r="AB55" s="87">
        <v>0.79</v>
      </c>
      <c r="AC55" s="86"/>
      <c r="AD55" s="88">
        <v>1.0652200000000001</v>
      </c>
      <c r="AE55" s="86"/>
      <c r="AF55" s="126">
        <v>21.45</v>
      </c>
      <c r="AG55" s="126">
        <v>46.631999999999998</v>
      </c>
      <c r="AH55" s="126">
        <v>25.382000000000001</v>
      </c>
      <c r="AI55" s="126">
        <v>28.821999999999999</v>
      </c>
      <c r="AJ55" s="126">
        <v>37.887</v>
      </c>
      <c r="AK55" s="126">
        <v>18.696000000000002</v>
      </c>
      <c r="AL55" s="126">
        <v>16.206</v>
      </c>
      <c r="AM55" s="126">
        <v>45.566000000000003</v>
      </c>
      <c r="AN55" s="126">
        <v>31.475000000000001</v>
      </c>
      <c r="AO55" s="126">
        <v>39.401000000000003</v>
      </c>
      <c r="AP55" s="126">
        <v>15.185</v>
      </c>
      <c r="AQ55" s="94"/>
      <c r="AR55" s="126">
        <v>0.12</v>
      </c>
      <c r="AS55" s="126">
        <v>0.12</v>
      </c>
      <c r="AU55" s="126">
        <v>6.5315616506978964</v>
      </c>
      <c r="AV55" s="126">
        <v>0.8709403681346477</v>
      </c>
      <c r="AW55" s="126">
        <v>0.29342516000000002</v>
      </c>
      <c r="AX55" s="94"/>
      <c r="AY55" s="69">
        <v>2.8544578000000001E-2</v>
      </c>
      <c r="AZ55" s="68" t="s">
        <v>358</v>
      </c>
      <c r="BA55" s="122" t="s">
        <v>165</v>
      </c>
      <c r="BB55" s="94">
        <f t="shared" si="0"/>
        <v>4.8192770555461764E-3</v>
      </c>
    </row>
    <row r="56" spans="1:55" ht="14.4" x14ac:dyDescent="0.3">
      <c r="A56" s="122" t="s">
        <v>271</v>
      </c>
      <c r="B56" s="126" t="s">
        <v>68</v>
      </c>
      <c r="C56" s="126" t="s">
        <v>70</v>
      </c>
      <c r="D56" s="126" t="s">
        <v>68</v>
      </c>
      <c r="E56" s="126" t="s">
        <v>11</v>
      </c>
      <c r="F56" s="126" t="s">
        <v>12</v>
      </c>
      <c r="G56" s="126">
        <v>5.851</v>
      </c>
      <c r="H56" s="126">
        <v>53</v>
      </c>
      <c r="I56" s="126">
        <v>310.10000000000002</v>
      </c>
      <c r="J56" s="126">
        <v>8</v>
      </c>
      <c r="K56" s="126">
        <v>15</v>
      </c>
      <c r="L56" s="126">
        <v>18</v>
      </c>
      <c r="M56" s="126">
        <v>203.07</v>
      </c>
      <c r="N56" s="126"/>
      <c r="O56" s="126">
        <v>19</v>
      </c>
      <c r="P56" s="126">
        <v>23</v>
      </c>
      <c r="Q56" s="126" t="s">
        <v>121</v>
      </c>
      <c r="R56" s="94"/>
      <c r="S56" s="126">
        <v>675.39</v>
      </c>
      <c r="T56" s="126">
        <v>588.26</v>
      </c>
      <c r="U56" s="126">
        <v>587.66</v>
      </c>
      <c r="V56" s="126">
        <v>696.24</v>
      </c>
      <c r="W56" s="126">
        <v>456.11</v>
      </c>
      <c r="X56" s="86"/>
      <c r="Y56" s="126">
        <v>137.97</v>
      </c>
      <c r="Z56" s="86"/>
      <c r="AA56" s="87">
        <v>0.84040000000000004</v>
      </c>
      <c r="AB56" s="89">
        <v>0.7</v>
      </c>
      <c r="AC56" s="86"/>
      <c r="AD56" s="88">
        <v>1.04166</v>
      </c>
      <c r="AE56" s="86"/>
      <c r="AF56" s="126">
        <v>20.780999999999999</v>
      </c>
      <c r="AG56" s="126">
        <v>44.414999999999999</v>
      </c>
      <c r="AH56" s="126">
        <v>26.856000000000002</v>
      </c>
      <c r="AI56" s="126">
        <v>25.933</v>
      </c>
      <c r="AJ56" s="126">
        <v>24.361999999999998</v>
      </c>
      <c r="AK56" s="126">
        <v>15.798999999999999</v>
      </c>
      <c r="AL56" s="126">
        <v>19.082999999999998</v>
      </c>
      <c r="AM56" s="126">
        <v>30.559000000000001</v>
      </c>
      <c r="AN56" s="126">
        <v>41.040999999999997</v>
      </c>
      <c r="AO56" s="126">
        <v>21.771000000000001</v>
      </c>
      <c r="AP56" s="126">
        <v>16.77</v>
      </c>
      <c r="AQ56" s="94"/>
      <c r="AR56" s="126">
        <v>0.12</v>
      </c>
      <c r="AS56" s="126">
        <v>0.12</v>
      </c>
      <c r="AU56" s="126">
        <v>5.3997871490277083</v>
      </c>
      <c r="AV56" s="126">
        <v>0.90003674089772567</v>
      </c>
      <c r="AW56" s="126">
        <v>0.60888109000000001</v>
      </c>
      <c r="AX56" s="94"/>
      <c r="AY56" s="69">
        <v>2.8191181999999999E-2</v>
      </c>
      <c r="AZ56" s="68" t="s">
        <v>359</v>
      </c>
      <c r="BA56" s="122" t="s">
        <v>271</v>
      </c>
      <c r="BB56" s="94">
        <f t="shared" si="0"/>
        <v>4.818181849256537E-3</v>
      </c>
    </row>
    <row r="57" spans="1:55" ht="14.4" x14ac:dyDescent="0.3">
      <c r="A57" s="122" t="s">
        <v>166</v>
      </c>
      <c r="B57" s="126" t="s">
        <v>68</v>
      </c>
      <c r="C57" s="126" t="s">
        <v>121</v>
      </c>
      <c r="D57" s="126" t="s">
        <v>68</v>
      </c>
      <c r="E57" s="126" t="s">
        <v>12</v>
      </c>
      <c r="F57" s="126" t="s">
        <v>68</v>
      </c>
      <c r="G57" s="126">
        <v>6.968</v>
      </c>
      <c r="H57" s="126">
        <v>44</v>
      </c>
      <c r="I57" s="126">
        <v>306.60000000000002</v>
      </c>
      <c r="J57" s="126">
        <v>18</v>
      </c>
      <c r="K57" s="126">
        <v>16</v>
      </c>
      <c r="L57" s="126">
        <v>13</v>
      </c>
      <c r="M57" s="126">
        <v>239</v>
      </c>
      <c r="N57" s="126"/>
      <c r="O57" s="126">
        <v>22</v>
      </c>
      <c r="P57" s="126">
        <v>13.5</v>
      </c>
      <c r="Q57" s="126" t="s">
        <v>121</v>
      </c>
      <c r="R57" s="94"/>
      <c r="S57" s="126">
        <v>585.63901999999996</v>
      </c>
      <c r="T57" s="126">
        <v>716.49414000000002</v>
      </c>
      <c r="U57" s="126">
        <v>446.82400000000001</v>
      </c>
      <c r="V57" s="126">
        <v>609.47063000000003</v>
      </c>
      <c r="W57" s="126">
        <v>372.54417000000001</v>
      </c>
      <c r="X57" s="86"/>
      <c r="Y57" s="126">
        <v>50.397829999999999</v>
      </c>
      <c r="Z57" s="86"/>
      <c r="AA57" s="87">
        <v>0.87627999999999995</v>
      </c>
      <c r="AB57" s="87">
        <v>0.45190999999999998</v>
      </c>
      <c r="AC57" s="86"/>
      <c r="AD57" s="88">
        <v>1.04803</v>
      </c>
      <c r="AE57" s="86"/>
      <c r="AF57" s="126">
        <v>28.515999999999998</v>
      </c>
      <c r="AG57" s="126">
        <v>48.908999999999999</v>
      </c>
      <c r="AH57" s="126">
        <v>28.048999999999999</v>
      </c>
      <c r="AI57" s="126">
        <v>32.094000000000001</v>
      </c>
      <c r="AJ57" s="126">
        <v>31.559000000000001</v>
      </c>
      <c r="AK57" s="126">
        <v>21.309000000000001</v>
      </c>
      <c r="AL57" s="126">
        <v>18.466999999999999</v>
      </c>
      <c r="AM57" s="126">
        <v>38.360999999999997</v>
      </c>
      <c r="AN57" s="126">
        <v>43.341999999999999</v>
      </c>
      <c r="AO57" s="126">
        <v>46.582999999999998</v>
      </c>
      <c r="AP57" s="126">
        <v>17.765999999999998</v>
      </c>
      <c r="AQ57" s="94"/>
      <c r="AR57" s="126">
        <v>0.12</v>
      </c>
      <c r="AS57" s="126">
        <v>0.12</v>
      </c>
      <c r="AU57" s="126">
        <v>6.245591974544471</v>
      </c>
      <c r="AV57" s="126">
        <v>0.90033719561863368</v>
      </c>
      <c r="AW57" s="126">
        <v>0.44981546</v>
      </c>
      <c r="AX57" s="94"/>
      <c r="AY57" s="69">
        <v>2.5656234E-2</v>
      </c>
      <c r="AZ57" s="67" t="s">
        <v>360</v>
      </c>
      <c r="BA57" s="122" t="s">
        <v>166</v>
      </c>
      <c r="BB57" s="94">
        <f t="shared" si="0"/>
        <v>3.6820083237657864E-3</v>
      </c>
    </row>
    <row r="58" spans="1:55" ht="14.4" x14ac:dyDescent="0.3">
      <c r="A58" s="122" t="s">
        <v>167</v>
      </c>
      <c r="B58" s="126" t="s">
        <v>68</v>
      </c>
      <c r="C58" s="126" t="s">
        <v>70</v>
      </c>
      <c r="D58" s="126" t="s">
        <v>68</v>
      </c>
      <c r="E58" s="126" t="s">
        <v>68</v>
      </c>
      <c r="F58" s="126" t="s">
        <v>68</v>
      </c>
      <c r="G58" s="126">
        <v>5.86</v>
      </c>
      <c r="H58" s="126">
        <v>53</v>
      </c>
      <c r="I58" s="126">
        <v>310.60000000000002</v>
      </c>
      <c r="J58" s="126">
        <v>11</v>
      </c>
      <c r="K58" s="126">
        <v>18</v>
      </c>
      <c r="L58" s="126">
        <v>13</v>
      </c>
      <c r="M58" s="126">
        <v>233.28</v>
      </c>
      <c r="N58" s="126"/>
      <c r="O58" s="126">
        <v>14</v>
      </c>
      <c r="P58" s="126">
        <v>15</v>
      </c>
      <c r="Q58" s="126" t="s">
        <v>273</v>
      </c>
      <c r="R58" s="94"/>
      <c r="S58" s="126">
        <v>413.56</v>
      </c>
      <c r="T58" s="126">
        <v>639.98</v>
      </c>
      <c r="U58" s="126">
        <v>515.88</v>
      </c>
      <c r="V58" s="126">
        <v>550.25</v>
      </c>
      <c r="W58" s="126">
        <v>531.13</v>
      </c>
      <c r="X58" s="86"/>
      <c r="Y58" s="126">
        <v>47.119889999999998</v>
      </c>
      <c r="Z58" s="86"/>
      <c r="AA58" s="87">
        <v>0.85438000000000003</v>
      </c>
      <c r="AB58" s="87">
        <v>0.55084</v>
      </c>
      <c r="AC58" s="86"/>
      <c r="AD58" s="88">
        <v>1.0921000000000001</v>
      </c>
      <c r="AE58" s="86"/>
      <c r="AF58" s="126">
        <v>17.353000000000002</v>
      </c>
      <c r="AG58" s="126">
        <v>33.579000000000001</v>
      </c>
      <c r="AH58" s="126">
        <v>22.036999999999999</v>
      </c>
      <c r="AI58" s="126">
        <v>28.97</v>
      </c>
      <c r="AJ58" s="126">
        <v>23.434999999999999</v>
      </c>
      <c r="AK58" s="126">
        <v>15.56</v>
      </c>
      <c r="AL58" s="126">
        <v>14.46</v>
      </c>
      <c r="AM58" s="126">
        <v>37.835000000000001</v>
      </c>
      <c r="AN58" s="126">
        <v>29.292999999999999</v>
      </c>
      <c r="AO58" s="126">
        <v>31.751000000000001</v>
      </c>
      <c r="AP58" s="126">
        <v>15.141</v>
      </c>
      <c r="AQ58" s="94"/>
      <c r="AR58" s="126">
        <v>0.12</v>
      </c>
      <c r="AS58" s="126">
        <v>0.12</v>
      </c>
      <c r="AU58" s="126">
        <v>6.0546570488264635</v>
      </c>
      <c r="AV58" s="126">
        <v>0.89950099519510562</v>
      </c>
      <c r="AW58" s="126">
        <v>0.90578347000000003</v>
      </c>
      <c r="AX58" s="94"/>
      <c r="AY58" s="69">
        <v>2.6627228999999999E-2</v>
      </c>
      <c r="AZ58" s="67" t="s">
        <v>167</v>
      </c>
      <c r="BA58" s="122" t="s">
        <v>167</v>
      </c>
      <c r="BB58" s="94">
        <f t="shared" si="0"/>
        <v>4.5438957337883955E-3</v>
      </c>
      <c r="BC58" t="s">
        <v>286</v>
      </c>
    </row>
    <row r="59" spans="1:55" ht="14.4" x14ac:dyDescent="0.3">
      <c r="A59" s="122" t="s">
        <v>168</v>
      </c>
      <c r="B59" s="126" t="s">
        <v>12</v>
      </c>
      <c r="C59" s="126" t="s">
        <v>70</v>
      </c>
      <c r="D59" s="126" t="s">
        <v>68</v>
      </c>
      <c r="E59" s="126" t="s">
        <v>68</v>
      </c>
      <c r="F59" s="126" t="s">
        <v>68</v>
      </c>
      <c r="G59" s="126">
        <v>5.44</v>
      </c>
      <c r="H59" s="126">
        <v>57</v>
      </c>
      <c r="I59" s="126">
        <v>310.10000000000002</v>
      </c>
      <c r="J59" s="126">
        <v>11</v>
      </c>
      <c r="K59" s="126">
        <v>12</v>
      </c>
      <c r="L59" s="126">
        <v>16</v>
      </c>
      <c r="M59" s="126">
        <v>214.86</v>
      </c>
      <c r="N59" s="126"/>
      <c r="O59" s="126">
        <v>25</v>
      </c>
      <c r="P59" s="126">
        <v>14.5</v>
      </c>
      <c r="Q59" s="126" t="s">
        <v>11</v>
      </c>
      <c r="R59" s="94"/>
      <c r="S59" s="126">
        <v>837.83</v>
      </c>
      <c r="T59" s="126">
        <v>445.95</v>
      </c>
      <c r="U59" s="126">
        <v>657.26</v>
      </c>
      <c r="V59" s="126">
        <v>652.58000000000004</v>
      </c>
      <c r="W59" s="126">
        <v>335.82</v>
      </c>
      <c r="X59" s="86"/>
      <c r="Y59" s="126">
        <v>209.76</v>
      </c>
      <c r="Z59" s="86"/>
      <c r="AA59" s="87">
        <v>0.83479000000000003</v>
      </c>
      <c r="AB59" s="87">
        <v>0.52647999999999995</v>
      </c>
      <c r="AC59" s="86"/>
      <c r="AD59" s="88">
        <v>0.95647000000000004</v>
      </c>
      <c r="AE59" s="86"/>
      <c r="AF59" s="126">
        <v>26.294</v>
      </c>
      <c r="AG59" s="126">
        <v>26.260999999999999</v>
      </c>
      <c r="AH59" s="126">
        <v>45.893000000000001</v>
      </c>
      <c r="AI59" s="126">
        <v>45.887999999999998</v>
      </c>
      <c r="AJ59" s="126">
        <v>21.529</v>
      </c>
      <c r="AK59" s="126">
        <v>31.125</v>
      </c>
      <c r="AL59" s="126">
        <v>16.202999999999999</v>
      </c>
      <c r="AM59" s="126">
        <v>26.08</v>
      </c>
      <c r="AN59" s="126">
        <v>31.920999999999999</v>
      </c>
      <c r="AO59" s="126">
        <v>36.840000000000003</v>
      </c>
      <c r="AP59" s="126">
        <v>21.256</v>
      </c>
      <c r="AQ59" s="94"/>
      <c r="AR59" s="126">
        <v>0.12</v>
      </c>
      <c r="AS59" s="126">
        <v>0.12</v>
      </c>
      <c r="AU59" s="126">
        <v>6.6705980696427396</v>
      </c>
      <c r="AV59" s="126">
        <v>0.84770875746478813</v>
      </c>
      <c r="AW59" s="126">
        <v>0.58524414000000002</v>
      </c>
      <c r="AX59" s="94"/>
      <c r="AY59" s="69">
        <v>2.8924024E-2</v>
      </c>
      <c r="AZ59" s="67" t="s">
        <v>361</v>
      </c>
      <c r="BA59" s="122" t="s">
        <v>168</v>
      </c>
      <c r="BB59" s="94">
        <f t="shared" si="0"/>
        <v>5.3169161764705878E-3</v>
      </c>
    </row>
    <row r="60" spans="1:55" ht="14.4" x14ac:dyDescent="0.3">
      <c r="A60" s="122" t="s">
        <v>169</v>
      </c>
      <c r="B60" s="126" t="s">
        <v>68</v>
      </c>
      <c r="C60" s="126" t="s">
        <v>70</v>
      </c>
      <c r="D60" s="126" t="s">
        <v>68</v>
      </c>
      <c r="E60" s="126" t="s">
        <v>11</v>
      </c>
      <c r="F60" s="126" t="s">
        <v>68</v>
      </c>
      <c r="G60" s="126">
        <v>5.5549999999999997</v>
      </c>
      <c r="H60" s="126">
        <v>55</v>
      </c>
      <c r="I60" s="126">
        <v>305.5</v>
      </c>
      <c r="J60" s="126">
        <v>12</v>
      </c>
      <c r="K60" s="126">
        <v>10</v>
      </c>
      <c r="L60" s="126">
        <v>17</v>
      </c>
      <c r="M60" s="126">
        <v>214.71</v>
      </c>
      <c r="N60" s="126"/>
      <c r="O60" s="126">
        <v>21</v>
      </c>
      <c r="P60" s="126">
        <v>18.5</v>
      </c>
      <c r="Q60" s="126" t="s">
        <v>12</v>
      </c>
      <c r="R60" s="59" t="s">
        <v>286</v>
      </c>
      <c r="S60" s="126">
        <v>730.05</v>
      </c>
      <c r="T60" s="126">
        <v>459.7</v>
      </c>
      <c r="U60" s="126">
        <v>557.69000000000005</v>
      </c>
      <c r="V60" s="126">
        <v>476.1</v>
      </c>
      <c r="W60" s="126">
        <v>419.98</v>
      </c>
      <c r="X60" s="86"/>
      <c r="Y60" s="126">
        <v>175.25104999999999</v>
      </c>
      <c r="Z60" s="86"/>
      <c r="AA60" s="87">
        <v>0.81167</v>
      </c>
      <c r="AB60" s="87">
        <v>0.70142000000000004</v>
      </c>
      <c r="AC60" s="86"/>
      <c r="AD60" s="88">
        <v>0.99485999999999997</v>
      </c>
      <c r="AE60" s="86"/>
      <c r="AF60" s="126">
        <v>22.651</v>
      </c>
      <c r="AG60" s="126">
        <v>15.013</v>
      </c>
      <c r="AH60" s="126">
        <v>34.762999999999998</v>
      </c>
      <c r="AI60" s="126">
        <v>39.488999999999997</v>
      </c>
      <c r="AJ60" s="126">
        <v>28.349</v>
      </c>
      <c r="AK60" s="126">
        <v>21.120999999999999</v>
      </c>
      <c r="AL60" s="126">
        <v>28.907</v>
      </c>
      <c r="AM60" s="126">
        <v>35.283999999999999</v>
      </c>
      <c r="AN60" s="126">
        <v>41.026000000000003</v>
      </c>
      <c r="AO60" s="126">
        <v>30.026</v>
      </c>
      <c r="AP60" s="126">
        <v>20.786999999999999</v>
      </c>
      <c r="AQ60" s="94"/>
      <c r="AR60" s="126">
        <v>0.09</v>
      </c>
      <c r="AS60" s="126">
        <v>0.09</v>
      </c>
      <c r="AU60" s="126">
        <v>5.9963018293229799</v>
      </c>
      <c r="AV60" s="126">
        <v>0.77510473695501436</v>
      </c>
      <c r="AW60" s="126">
        <v>0.34467100000000001</v>
      </c>
      <c r="AX60" s="94"/>
      <c r="AY60" s="69">
        <v>2.8459317000000001E-2</v>
      </c>
      <c r="AZ60" s="67" t="s">
        <v>362</v>
      </c>
      <c r="BA60" s="122" t="s">
        <v>169</v>
      </c>
      <c r="BB60" s="94">
        <f t="shared" si="0"/>
        <v>5.1231893789378943E-3</v>
      </c>
    </row>
    <row r="61" spans="1:55" ht="14.4" x14ac:dyDescent="0.3">
      <c r="A61" s="122" t="s">
        <v>170</v>
      </c>
      <c r="B61" s="126" t="s">
        <v>12</v>
      </c>
      <c r="C61" s="126" t="s">
        <v>121</v>
      </c>
      <c r="D61" s="126" t="s">
        <v>68</v>
      </c>
      <c r="E61" s="126" t="s">
        <v>68</v>
      </c>
      <c r="F61" s="126" t="s">
        <v>12</v>
      </c>
      <c r="G61" s="126">
        <v>5.6219999999999999</v>
      </c>
      <c r="H61" s="126">
        <v>55</v>
      </c>
      <c r="I61" s="126">
        <v>309.2</v>
      </c>
      <c r="J61" s="126">
        <v>11</v>
      </c>
      <c r="K61" s="126">
        <v>15</v>
      </c>
      <c r="L61" s="126">
        <v>13</v>
      </c>
      <c r="M61" s="126">
        <v>213.67</v>
      </c>
      <c r="N61" s="126"/>
      <c r="O61" s="126">
        <v>18</v>
      </c>
      <c r="P61" s="126">
        <v>23.5</v>
      </c>
      <c r="Q61" s="126" t="s">
        <v>121</v>
      </c>
      <c r="R61" s="94"/>
      <c r="S61" s="126">
        <v>781.67</v>
      </c>
      <c r="T61" s="126">
        <v>480.86</v>
      </c>
      <c r="U61" s="126">
        <v>719.53</v>
      </c>
      <c r="V61" s="126">
        <v>689.5</v>
      </c>
      <c r="W61" s="126">
        <v>420.63</v>
      </c>
      <c r="X61" s="86"/>
      <c r="Y61" s="126">
        <v>158.05180999999999</v>
      </c>
      <c r="Z61" s="86"/>
      <c r="AA61" s="87">
        <v>0.83499999999999996</v>
      </c>
      <c r="AB61" s="87">
        <v>0.74390999999999996</v>
      </c>
      <c r="AC61" s="86"/>
      <c r="AD61" s="88">
        <v>1.05402</v>
      </c>
      <c r="AE61" s="86"/>
      <c r="AF61" s="126">
        <v>28.45</v>
      </c>
      <c r="AG61" s="126">
        <v>43.179000000000002</v>
      </c>
      <c r="AH61" s="126">
        <v>30.23</v>
      </c>
      <c r="AI61" s="126">
        <v>33.695999999999998</v>
      </c>
      <c r="AJ61" s="126">
        <v>20.648</v>
      </c>
      <c r="AK61" s="126">
        <v>22.434999999999999</v>
      </c>
      <c r="AL61" s="126">
        <v>23.28</v>
      </c>
      <c r="AM61" s="126">
        <v>25.361999999999998</v>
      </c>
      <c r="AN61" s="126">
        <v>33.090000000000003</v>
      </c>
      <c r="AO61" s="126">
        <v>27.452000000000002</v>
      </c>
      <c r="AP61" s="126">
        <v>19.007000000000001</v>
      </c>
      <c r="AQ61" s="94"/>
      <c r="AR61" s="126">
        <v>0.12</v>
      </c>
      <c r="AS61" s="126">
        <v>0.12</v>
      </c>
      <c r="AU61" s="126">
        <v>6.0603586608604134</v>
      </c>
      <c r="AV61" s="126">
        <v>1</v>
      </c>
      <c r="AW61" s="126">
        <v>1.0532007400000001</v>
      </c>
      <c r="AX61" s="94"/>
      <c r="AY61" s="69">
        <v>2.8942762E-2</v>
      </c>
      <c r="AZ61" s="68" t="s">
        <v>363</v>
      </c>
      <c r="BA61" s="122" t="s">
        <v>170</v>
      </c>
      <c r="BB61" s="94">
        <f t="shared" si="0"/>
        <v>5.1481255780860902E-3</v>
      </c>
    </row>
    <row r="62" spans="1:55" ht="14.4" x14ac:dyDescent="0.3">
      <c r="A62" s="122" t="s">
        <v>171</v>
      </c>
      <c r="B62" s="126" t="s">
        <v>68</v>
      </c>
      <c r="C62" s="126" t="s">
        <v>121</v>
      </c>
      <c r="D62" s="126" t="s">
        <v>70</v>
      </c>
      <c r="E62" s="126" t="s">
        <v>11</v>
      </c>
      <c r="F62" s="126" t="s">
        <v>68</v>
      </c>
      <c r="G62" s="126">
        <v>4.2510000000000003</v>
      </c>
      <c r="H62" s="126">
        <v>71</v>
      </c>
      <c r="I62" s="126">
        <v>301.8</v>
      </c>
      <c r="J62" s="126">
        <v>9</v>
      </c>
      <c r="K62" s="126">
        <v>13</v>
      </c>
      <c r="L62" s="126">
        <v>9</v>
      </c>
      <c r="M62" s="126">
        <v>230.5</v>
      </c>
      <c r="N62" s="126"/>
      <c r="O62" s="126">
        <v>14</v>
      </c>
      <c r="P62" s="126">
        <v>22.5</v>
      </c>
      <c r="Q62" s="126" t="s">
        <v>12</v>
      </c>
      <c r="R62" s="94"/>
      <c r="S62" s="126">
        <v>551.15</v>
      </c>
      <c r="T62" s="126">
        <v>653.24</v>
      </c>
      <c r="U62" s="126">
        <v>415.91</v>
      </c>
      <c r="V62" s="126">
        <v>779.13</v>
      </c>
      <c r="W62" s="126">
        <v>709.95</v>
      </c>
      <c r="X62" s="86"/>
      <c r="Y62" s="126">
        <v>5.5654199999999996</v>
      </c>
      <c r="Z62" s="86"/>
      <c r="AA62" s="87">
        <v>0.82325999999999999</v>
      </c>
      <c r="AB62" s="87">
        <v>0.58299999999999996</v>
      </c>
      <c r="AC62" s="86"/>
      <c r="AD62" s="88">
        <v>1.0480700000000001</v>
      </c>
      <c r="AE62" s="86"/>
      <c r="AF62" s="126">
        <v>39.466000000000001</v>
      </c>
      <c r="AG62" s="126">
        <v>63.408999999999999</v>
      </c>
      <c r="AH62" s="126">
        <v>48.258000000000003</v>
      </c>
      <c r="AI62" s="126">
        <v>38.215000000000003</v>
      </c>
      <c r="AJ62" s="126">
        <v>33.243000000000002</v>
      </c>
      <c r="AK62" s="126">
        <v>28.262</v>
      </c>
      <c r="AL62" s="126">
        <v>26.167999999999999</v>
      </c>
      <c r="AM62" s="126">
        <v>36.99</v>
      </c>
      <c r="AN62" s="126">
        <v>69.522000000000006</v>
      </c>
      <c r="AO62" s="126">
        <v>54.036000000000001</v>
      </c>
      <c r="AP62" s="126">
        <v>22.416</v>
      </c>
      <c r="AQ62" s="94"/>
      <c r="AR62" s="126">
        <v>0.12</v>
      </c>
      <c r="AS62" s="126">
        <v>0.12</v>
      </c>
      <c r="AU62" s="126">
        <v>6.1828761205491549</v>
      </c>
      <c r="AV62" s="126">
        <v>0.8965387746485638</v>
      </c>
      <c r="AW62" s="126">
        <v>0.91779593000000004</v>
      </c>
      <c r="AX62" s="94"/>
      <c r="AY62" s="69">
        <v>2.6188373000000001E-2</v>
      </c>
      <c r="AZ62" s="66" t="s">
        <v>171</v>
      </c>
      <c r="BA62" s="122" t="s">
        <v>171</v>
      </c>
      <c r="BB62" s="94">
        <f t="shared" si="0"/>
        <v>6.1605205833921428E-3</v>
      </c>
    </row>
    <row r="63" spans="1:55" ht="14.4" x14ac:dyDescent="0.3">
      <c r="A63" s="122" t="s">
        <v>172</v>
      </c>
      <c r="B63" s="126" t="s">
        <v>68</v>
      </c>
      <c r="C63" s="126" t="s">
        <v>70</v>
      </c>
      <c r="D63" s="126" t="s">
        <v>68</v>
      </c>
      <c r="E63" s="126" t="s">
        <v>11</v>
      </c>
      <c r="F63" s="126" t="s">
        <v>68</v>
      </c>
      <c r="G63" s="126">
        <v>4.2610000000000001</v>
      </c>
      <c r="H63" s="126">
        <v>70</v>
      </c>
      <c r="I63" s="126">
        <v>298.3</v>
      </c>
      <c r="J63" s="126">
        <v>11</v>
      </c>
      <c r="K63" s="126">
        <v>9</v>
      </c>
      <c r="L63" s="126">
        <v>10</v>
      </c>
      <c r="M63" s="126">
        <v>223.26</v>
      </c>
      <c r="N63" s="126"/>
      <c r="O63" s="126">
        <v>17</v>
      </c>
      <c r="P63" s="126">
        <v>19.5</v>
      </c>
      <c r="Q63" s="126" t="s">
        <v>11</v>
      </c>
      <c r="R63" s="94"/>
      <c r="S63" s="126">
        <v>669.24</v>
      </c>
      <c r="T63" s="126">
        <v>616.83000000000004</v>
      </c>
      <c r="U63" s="126">
        <v>466.06</v>
      </c>
      <c r="V63" s="126">
        <v>628.62</v>
      </c>
      <c r="W63" s="126">
        <v>539.48</v>
      </c>
      <c r="X63" s="86"/>
      <c r="Y63" s="126">
        <v>156.17708999999999</v>
      </c>
      <c r="Z63" s="86"/>
      <c r="AA63" s="87">
        <v>0.82860999999999996</v>
      </c>
      <c r="AB63" s="87">
        <v>0.63653000000000004</v>
      </c>
      <c r="AC63" s="86"/>
      <c r="AD63" s="88">
        <v>0.99094000000000004</v>
      </c>
      <c r="AE63" s="86"/>
      <c r="AF63" s="126">
        <v>17.442</v>
      </c>
      <c r="AG63" s="126">
        <v>19.855</v>
      </c>
      <c r="AH63" s="126">
        <v>25.241</v>
      </c>
      <c r="AI63" s="126">
        <v>22.78</v>
      </c>
      <c r="AJ63" s="126">
        <v>20.504999999999999</v>
      </c>
      <c r="AK63" s="126">
        <v>22.809000000000001</v>
      </c>
      <c r="AL63" s="126">
        <v>21.448</v>
      </c>
      <c r="AM63" s="126">
        <v>40.969000000000001</v>
      </c>
      <c r="AN63" s="126">
        <v>29.021000000000001</v>
      </c>
      <c r="AO63" s="126">
        <v>31.952999999999999</v>
      </c>
      <c r="AP63" s="126">
        <v>18.457000000000001</v>
      </c>
      <c r="AQ63" s="94"/>
      <c r="AR63" s="126">
        <v>0.12</v>
      </c>
      <c r="AS63" s="126">
        <v>0.12</v>
      </c>
      <c r="AU63" s="126">
        <v>6.6487090863372424</v>
      </c>
      <c r="AV63" s="126">
        <v>0.85970614105036236</v>
      </c>
      <c r="AW63" s="126">
        <v>0.36760903</v>
      </c>
      <c r="AX63" s="94"/>
      <c r="AY63" s="69">
        <v>2.671952E-2</v>
      </c>
      <c r="AZ63" s="66" t="s">
        <v>172</v>
      </c>
      <c r="BA63" s="122" t="s">
        <v>172</v>
      </c>
      <c r="BB63" s="94">
        <f t="shared" si="0"/>
        <v>6.2707157944144566E-3</v>
      </c>
    </row>
    <row r="64" spans="1:55" x14ac:dyDescent="0.25">
      <c r="S64" t="s">
        <v>286</v>
      </c>
      <c r="T64" t="s">
        <v>286</v>
      </c>
      <c r="U64" t="s">
        <v>286</v>
      </c>
      <c r="V64" t="s">
        <v>286</v>
      </c>
      <c r="W64" t="s">
        <v>286</v>
      </c>
      <c r="X64" t="s">
        <v>286</v>
      </c>
      <c r="Y64" t="s">
        <v>286</v>
      </c>
    </row>
    <row r="65" spans="19:25" x14ac:dyDescent="0.25">
      <c r="S65" t="s">
        <v>286</v>
      </c>
      <c r="T65" t="s">
        <v>286</v>
      </c>
      <c r="U65" t="s">
        <v>286</v>
      </c>
      <c r="V65" t="s">
        <v>286</v>
      </c>
      <c r="W65" t="s">
        <v>286</v>
      </c>
      <c r="X65" t="s">
        <v>286</v>
      </c>
      <c r="Y65" t="s">
        <v>286</v>
      </c>
    </row>
    <row r="130" spans="1:1" x14ac:dyDescent="0.25">
      <c r="A130" s="55"/>
    </row>
  </sheetData>
  <mergeCells count="6">
    <mergeCell ref="B1:Q1"/>
    <mergeCell ref="S1:W1"/>
    <mergeCell ref="AA1:AB1"/>
    <mergeCell ref="AF1:AP1"/>
    <mergeCell ref="AU1:AW1"/>
    <mergeCell ref="AR1:AS1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Roman,Navadno"&amp;12&amp;A</oddHeader>
    <oddFooter>&amp;C&amp;"Times New Roman,Navadno"&amp;12Página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1A6A9-453C-4117-9944-B2823BCB6442}">
  <sheetPr>
    <tabColor rgb="FFC00000"/>
  </sheetPr>
  <dimension ref="A1:BI106"/>
  <sheetViews>
    <sheetView topLeftCell="Q1" zoomScale="68" zoomScaleNormal="68" workbookViewId="0">
      <pane ySplit="2" topLeftCell="A14" activePane="bottomLeft" state="frozen"/>
      <selection pane="bottomLeft" activeCell="S48" sqref="S48"/>
    </sheetView>
  </sheetViews>
  <sheetFormatPr baseColWidth="10" defaultRowHeight="13.2" x14ac:dyDescent="0.25"/>
  <cols>
    <col min="44" max="46" width="11.5546875" style="94"/>
  </cols>
  <sheetData>
    <row r="1" spans="1:61" x14ac:dyDescent="0.25">
      <c r="A1" s="101" t="s">
        <v>449</v>
      </c>
      <c r="B1" s="134" t="s">
        <v>451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24"/>
      <c r="S1" s="134" t="s">
        <v>447</v>
      </c>
      <c r="T1" s="134"/>
      <c r="U1" s="134"/>
      <c r="V1" s="134"/>
      <c r="W1" s="134"/>
      <c r="X1" s="24"/>
      <c r="Y1" s="101" t="s">
        <v>102</v>
      </c>
      <c r="Z1" s="24"/>
      <c r="AA1" s="177" t="s">
        <v>444</v>
      </c>
      <c r="AB1" s="177"/>
      <c r="AC1" s="24"/>
      <c r="AD1" s="42" t="s">
        <v>445</v>
      </c>
      <c r="AE1" s="24"/>
      <c r="AF1" s="134" t="s">
        <v>446</v>
      </c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24"/>
      <c r="AR1" s="180" t="s">
        <v>448</v>
      </c>
      <c r="AS1" s="181"/>
      <c r="AT1" s="24"/>
      <c r="AU1" s="178" t="s">
        <v>318</v>
      </c>
      <c r="AV1" s="179"/>
      <c r="AW1" s="157"/>
      <c r="AX1" s="24"/>
      <c r="AY1" s="65" t="s">
        <v>218</v>
      </c>
      <c r="AZ1" s="104"/>
      <c r="BA1" s="103"/>
      <c r="BB1" s="65" t="s">
        <v>341</v>
      </c>
      <c r="BC1" s="24">
        <v>4.5</v>
      </c>
      <c r="BD1" s="24"/>
      <c r="BE1" s="24"/>
      <c r="BF1" s="24"/>
      <c r="BG1" s="24"/>
      <c r="BH1" s="24"/>
      <c r="BI1" s="24"/>
    </row>
    <row r="2" spans="1:61" x14ac:dyDescent="0.25">
      <c r="A2" s="102" t="s">
        <v>450</v>
      </c>
      <c r="B2" s="102" t="s">
        <v>435</v>
      </c>
      <c r="C2" s="102" t="s">
        <v>436</v>
      </c>
      <c r="D2" s="102" t="s">
        <v>21</v>
      </c>
      <c r="E2" s="102" t="s">
        <v>437</v>
      </c>
      <c r="F2" s="102" t="s">
        <v>341</v>
      </c>
      <c r="G2" s="43" t="s">
        <v>438</v>
      </c>
      <c r="H2" s="102" t="s">
        <v>439</v>
      </c>
      <c r="I2" s="100" t="s">
        <v>104</v>
      </c>
      <c r="J2" s="102" t="s">
        <v>105</v>
      </c>
      <c r="K2" s="102" t="s">
        <v>440</v>
      </c>
      <c r="L2" s="102" t="s">
        <v>106</v>
      </c>
      <c r="M2" s="53" t="s">
        <v>452</v>
      </c>
      <c r="N2" s="102" t="s">
        <v>107</v>
      </c>
      <c r="O2" s="102" t="s">
        <v>453</v>
      </c>
      <c r="P2" s="100" t="s">
        <v>441</v>
      </c>
      <c r="Q2" s="102" t="s">
        <v>108</v>
      </c>
      <c r="R2" s="25"/>
      <c r="S2" s="102" t="s">
        <v>442</v>
      </c>
      <c r="T2" s="102" t="s">
        <v>379</v>
      </c>
      <c r="U2" s="102" t="s">
        <v>385</v>
      </c>
      <c r="V2" s="102" t="s">
        <v>443</v>
      </c>
      <c r="W2" s="102" t="s">
        <v>21</v>
      </c>
      <c r="X2" s="25"/>
      <c r="Y2" s="102" t="s">
        <v>110</v>
      </c>
      <c r="Z2" s="25"/>
      <c r="AA2" s="43" t="s">
        <v>111</v>
      </c>
      <c r="AB2" s="43" t="s">
        <v>112</v>
      </c>
      <c r="AC2" s="25"/>
      <c r="AD2" s="44" t="s">
        <v>113</v>
      </c>
      <c r="AE2" s="25"/>
      <c r="AF2" s="102" t="s">
        <v>454</v>
      </c>
      <c r="AG2" s="102" t="s">
        <v>379</v>
      </c>
      <c r="AH2" s="102" t="s">
        <v>418</v>
      </c>
      <c r="AI2" s="102" t="s">
        <v>455</v>
      </c>
      <c r="AJ2" s="102" t="s">
        <v>381</v>
      </c>
      <c r="AK2" s="102" t="s">
        <v>456</v>
      </c>
      <c r="AL2" s="102" t="s">
        <v>383</v>
      </c>
      <c r="AM2" s="102" t="s">
        <v>384</v>
      </c>
      <c r="AN2" s="102" t="s">
        <v>385</v>
      </c>
      <c r="AO2" s="102" t="s">
        <v>21</v>
      </c>
      <c r="AP2" s="102" t="s">
        <v>386</v>
      </c>
      <c r="AQ2" s="25"/>
      <c r="AR2" s="110" t="s">
        <v>457</v>
      </c>
      <c r="AS2" s="110" t="s">
        <v>458</v>
      </c>
      <c r="AT2" s="25"/>
      <c r="AU2" s="102" t="s">
        <v>315</v>
      </c>
      <c r="AV2" s="100" t="s">
        <v>316</v>
      </c>
      <c r="AW2" s="100" t="s">
        <v>317</v>
      </c>
      <c r="AX2" s="25"/>
      <c r="AY2" s="102" t="s">
        <v>342</v>
      </c>
      <c r="AZ2" s="25"/>
      <c r="BA2" s="25"/>
      <c r="BB2" s="25">
        <v>1</v>
      </c>
      <c r="BC2" s="25">
        <v>3</v>
      </c>
      <c r="BD2" s="25"/>
      <c r="BE2" s="25"/>
      <c r="BF2" s="25"/>
      <c r="BG2" s="25"/>
      <c r="BH2" s="25"/>
      <c r="BI2" s="25"/>
    </row>
    <row r="3" spans="1:61" ht="14.4" x14ac:dyDescent="0.3">
      <c r="A3" s="102" t="s">
        <v>117</v>
      </c>
      <c r="B3" s="105" t="s">
        <v>11</v>
      </c>
      <c r="C3" s="105" t="s">
        <v>118</v>
      </c>
      <c r="D3" s="105" t="s">
        <v>68</v>
      </c>
      <c r="E3" s="105" t="s">
        <v>12</v>
      </c>
      <c r="F3" s="105" t="s">
        <v>68</v>
      </c>
      <c r="G3" s="105">
        <v>4.3250000000000002</v>
      </c>
      <c r="H3" s="105">
        <v>71</v>
      </c>
      <c r="I3" s="105">
        <v>307.10000000000002</v>
      </c>
      <c r="J3" s="105">
        <v>13</v>
      </c>
      <c r="K3" s="105">
        <v>8</v>
      </c>
      <c r="L3" s="105">
        <v>9</v>
      </c>
      <c r="M3" s="105">
        <v>226.29</v>
      </c>
      <c r="N3" s="105"/>
      <c r="O3" s="105">
        <v>9</v>
      </c>
      <c r="P3" s="105">
        <v>21</v>
      </c>
      <c r="Q3" s="105" t="s">
        <v>11</v>
      </c>
      <c r="R3" s="94"/>
      <c r="S3" s="112">
        <v>249.22</v>
      </c>
      <c r="T3" s="112">
        <v>714.42</v>
      </c>
      <c r="U3" s="112">
        <v>676.29</v>
      </c>
      <c r="V3" s="112">
        <v>789.1</v>
      </c>
      <c r="W3" s="112">
        <v>511.89</v>
      </c>
      <c r="X3" s="86"/>
      <c r="Y3" s="112">
        <v>141.46</v>
      </c>
      <c r="Z3" s="86"/>
      <c r="AA3" s="87">
        <v>0.88770000000000004</v>
      </c>
      <c r="AB3" s="87">
        <v>0.78290000000000004</v>
      </c>
      <c r="AC3" s="86"/>
      <c r="AD3" s="88">
        <v>0.92784</v>
      </c>
      <c r="AE3" s="86"/>
      <c r="AF3" s="112">
        <v>28.120999999999999</v>
      </c>
      <c r="AG3" s="112">
        <v>51.284999999999997</v>
      </c>
      <c r="AH3" s="112">
        <v>19.515999999999998</v>
      </c>
      <c r="AI3" s="112">
        <v>20.606000000000002</v>
      </c>
      <c r="AJ3" s="112">
        <v>20.02</v>
      </c>
      <c r="AK3" s="112">
        <v>23.585000000000001</v>
      </c>
      <c r="AL3" s="112">
        <v>17.574999999999999</v>
      </c>
      <c r="AM3" s="112">
        <v>35.973999999999997</v>
      </c>
      <c r="AN3" s="112">
        <v>42.186999999999998</v>
      </c>
      <c r="AO3" s="112">
        <v>26.704000000000001</v>
      </c>
      <c r="AP3" s="112">
        <v>20.585999999999999</v>
      </c>
      <c r="AQ3" s="94"/>
      <c r="AR3" s="112">
        <v>0.12</v>
      </c>
      <c r="AS3" s="112">
        <v>0.12</v>
      </c>
      <c r="AU3" s="105">
        <v>6.2168920113260935</v>
      </c>
      <c r="AV3" s="105">
        <v>0.87804910172378481</v>
      </c>
      <c r="AW3" s="105">
        <v>-8.2853930000000006E-2</v>
      </c>
      <c r="AX3" s="94"/>
      <c r="AY3" s="69">
        <v>2.7139953000000001E-2</v>
      </c>
      <c r="AZ3" s="66" t="s">
        <v>343</v>
      </c>
      <c r="BA3" s="102" t="s">
        <v>117</v>
      </c>
      <c r="BB3" s="94">
        <f>AY3/G3</f>
        <v>6.2751336416184975E-3</v>
      </c>
      <c r="BC3" s="94"/>
      <c r="BD3" s="94"/>
      <c r="BE3" s="94"/>
      <c r="BF3" s="94"/>
      <c r="BG3" s="94"/>
      <c r="BH3" s="94"/>
      <c r="BI3" s="94"/>
    </row>
    <row r="4" spans="1:61" ht="14.4" x14ac:dyDescent="0.3">
      <c r="A4" s="102" t="s">
        <v>119</v>
      </c>
      <c r="B4" s="105" t="s">
        <v>68</v>
      </c>
      <c r="C4" s="105" t="s">
        <v>70</v>
      </c>
      <c r="D4" s="105" t="s">
        <v>68</v>
      </c>
      <c r="E4" s="105" t="s">
        <v>11</v>
      </c>
      <c r="F4" s="105" t="s">
        <v>68</v>
      </c>
      <c r="G4" s="105">
        <v>3.78</v>
      </c>
      <c r="H4" s="105">
        <v>79</v>
      </c>
      <c r="I4" s="105">
        <v>298.60000000000002</v>
      </c>
      <c r="J4" s="105">
        <v>8</v>
      </c>
      <c r="K4" s="105">
        <v>9</v>
      </c>
      <c r="L4" s="105">
        <v>10</v>
      </c>
      <c r="M4" s="105">
        <v>190.87</v>
      </c>
      <c r="N4" s="105"/>
      <c r="O4" s="105">
        <v>12</v>
      </c>
      <c r="P4" s="105">
        <v>19.5</v>
      </c>
      <c r="Q4" s="105" t="s">
        <v>11</v>
      </c>
      <c r="R4" s="94"/>
      <c r="S4" s="112">
        <v>631.9</v>
      </c>
      <c r="T4" s="112">
        <v>496.9</v>
      </c>
      <c r="U4" s="112">
        <v>358.33</v>
      </c>
      <c r="V4" s="112">
        <v>549.99</v>
      </c>
      <c r="W4" s="112">
        <v>652.04999999999995</v>
      </c>
      <c r="X4" s="86"/>
      <c r="Y4" s="112">
        <v>79.459999999999994</v>
      </c>
      <c r="Z4" s="86"/>
      <c r="AA4" s="87">
        <v>0.80698999999999999</v>
      </c>
      <c r="AB4" s="87">
        <v>0.67737999999999998</v>
      </c>
      <c r="AC4" s="86"/>
      <c r="AD4" s="88">
        <v>1.02234</v>
      </c>
      <c r="AE4" s="86"/>
      <c r="AF4" s="112">
        <v>38.31</v>
      </c>
      <c r="AG4" s="112">
        <v>20.050999999999998</v>
      </c>
      <c r="AH4" s="112">
        <v>40.415999999999997</v>
      </c>
      <c r="AI4" s="112">
        <v>47.482999999999997</v>
      </c>
      <c r="AJ4" s="112">
        <v>43.31</v>
      </c>
      <c r="AK4" s="112">
        <v>26.41</v>
      </c>
      <c r="AL4" s="112">
        <v>30.728000000000002</v>
      </c>
      <c r="AM4" s="112">
        <v>29.934999999999999</v>
      </c>
      <c r="AN4" s="112">
        <v>24.483000000000001</v>
      </c>
      <c r="AO4" s="112">
        <v>15.788</v>
      </c>
      <c r="AP4" s="112">
        <v>22.181000000000001</v>
      </c>
      <c r="AQ4" s="94"/>
      <c r="AR4" s="112">
        <v>0.12</v>
      </c>
      <c r="AS4" s="112">
        <v>0.12</v>
      </c>
      <c r="AU4" s="105">
        <v>5.1583797665011808</v>
      </c>
      <c r="AV4" s="105">
        <v>1</v>
      </c>
      <c r="AW4" s="105">
        <v>-0.22807195</v>
      </c>
      <c r="AX4" s="94"/>
      <c r="AY4" s="69">
        <v>3.1290406999999999E-2</v>
      </c>
      <c r="AZ4" s="66" t="s">
        <v>119</v>
      </c>
      <c r="BA4" s="102" t="s">
        <v>119</v>
      </c>
      <c r="BB4" s="94">
        <f t="shared" ref="BB4:BB63" si="0">AY4/G4</f>
        <v>8.2778854497354507E-3</v>
      </c>
      <c r="BC4" s="94"/>
      <c r="BD4" s="94"/>
      <c r="BE4" s="94"/>
      <c r="BF4" s="94"/>
      <c r="BG4" s="94"/>
      <c r="BH4" s="94"/>
      <c r="BI4" s="94"/>
    </row>
    <row r="5" spans="1:61" ht="14.4" x14ac:dyDescent="0.3">
      <c r="A5" s="102" t="s">
        <v>120</v>
      </c>
      <c r="B5" s="105" t="s">
        <v>12</v>
      </c>
      <c r="C5" s="105" t="s">
        <v>121</v>
      </c>
      <c r="D5" s="105" t="s">
        <v>63</v>
      </c>
      <c r="E5" s="105" t="s">
        <v>68</v>
      </c>
      <c r="F5" s="105" t="s">
        <v>12</v>
      </c>
      <c r="G5" s="105">
        <v>3.04</v>
      </c>
      <c r="H5" s="105">
        <v>80</v>
      </c>
      <c r="I5" s="105">
        <v>243.2</v>
      </c>
      <c r="J5" s="105">
        <v>5</v>
      </c>
      <c r="K5" s="105">
        <v>10</v>
      </c>
      <c r="L5" s="105">
        <v>7</v>
      </c>
      <c r="M5" s="105">
        <v>148.41999999999999</v>
      </c>
      <c r="N5" s="105"/>
      <c r="O5" s="105">
        <v>10</v>
      </c>
      <c r="P5" s="105">
        <v>11.5</v>
      </c>
      <c r="Q5" s="105" t="s">
        <v>121</v>
      </c>
      <c r="R5" s="94"/>
      <c r="S5" s="112">
        <v>993.04</v>
      </c>
      <c r="T5" s="112">
        <v>466.54</v>
      </c>
      <c r="U5" s="112">
        <v>699.74</v>
      </c>
      <c r="V5" s="112">
        <v>766.1</v>
      </c>
      <c r="W5" s="112">
        <v>240.15</v>
      </c>
      <c r="X5" s="86"/>
      <c r="Y5" s="112">
        <v>228.29049000000001</v>
      </c>
      <c r="Z5" s="86"/>
      <c r="AA5" s="87">
        <v>0.84548000000000001</v>
      </c>
      <c r="AB5" s="87">
        <v>0.79600000000000004</v>
      </c>
      <c r="AC5" s="86"/>
      <c r="AD5" s="88">
        <v>0.93359999999999999</v>
      </c>
      <c r="AE5" s="86"/>
      <c r="AF5" s="112">
        <v>19.073</v>
      </c>
      <c r="AG5" s="112">
        <v>25.831</v>
      </c>
      <c r="AH5" s="112">
        <v>26.172000000000001</v>
      </c>
      <c r="AI5" s="112">
        <v>25.46</v>
      </c>
      <c r="AJ5" s="112">
        <v>21.797999999999998</v>
      </c>
      <c r="AK5" s="112">
        <v>19.148</v>
      </c>
      <c r="AL5" s="112">
        <v>15.28</v>
      </c>
      <c r="AM5" s="112">
        <v>23.788</v>
      </c>
      <c r="AN5" s="112">
        <v>30.454999999999998</v>
      </c>
      <c r="AO5" s="112">
        <v>22.206</v>
      </c>
      <c r="AP5" s="112">
        <v>11.454000000000001</v>
      </c>
      <c r="AQ5" s="94"/>
      <c r="AR5" s="112">
        <v>0.12</v>
      </c>
      <c r="AS5" s="112">
        <v>0.12</v>
      </c>
      <c r="AU5" s="105">
        <v>6.9757777160891674</v>
      </c>
      <c r="AV5" s="105">
        <v>0.89556314821188354</v>
      </c>
      <c r="AW5" s="105">
        <v>1.33804605</v>
      </c>
      <c r="AX5" s="94"/>
      <c r="AY5" s="69">
        <v>3.2771863999999998E-2</v>
      </c>
      <c r="AZ5" s="67" t="s">
        <v>344</v>
      </c>
      <c r="BA5" s="102" t="s">
        <v>120</v>
      </c>
      <c r="BB5" s="94">
        <f t="shared" si="0"/>
        <v>1.0780218421052631E-2</v>
      </c>
      <c r="BC5" s="94"/>
      <c r="BD5" s="94"/>
      <c r="BE5" s="94"/>
      <c r="BF5" s="94"/>
      <c r="BG5" s="94"/>
      <c r="BH5" s="94"/>
      <c r="BI5" s="94"/>
    </row>
    <row r="6" spans="1:61" ht="14.4" x14ac:dyDescent="0.3">
      <c r="A6" s="102" t="s">
        <v>122</v>
      </c>
      <c r="B6" s="105" t="s">
        <v>11</v>
      </c>
      <c r="C6" s="105" t="s">
        <v>272</v>
      </c>
      <c r="D6" s="105" t="s">
        <v>63</v>
      </c>
      <c r="E6" s="105" t="s">
        <v>12</v>
      </c>
      <c r="F6" s="105" t="s">
        <v>68</v>
      </c>
      <c r="G6" s="105">
        <v>4.0259999999999998</v>
      </c>
      <c r="H6" s="105">
        <v>70</v>
      </c>
      <c r="I6" s="105">
        <v>281.8</v>
      </c>
      <c r="J6" s="105">
        <v>9</v>
      </c>
      <c r="K6" s="105">
        <v>11</v>
      </c>
      <c r="L6" s="105">
        <v>9</v>
      </c>
      <c r="M6" s="105">
        <v>203.49</v>
      </c>
      <c r="N6" s="105"/>
      <c r="O6" s="105">
        <v>10</v>
      </c>
      <c r="P6" s="105">
        <v>13.5</v>
      </c>
      <c r="Q6" s="105" t="s">
        <v>11</v>
      </c>
      <c r="R6" s="94"/>
      <c r="S6" s="112">
        <v>250.72</v>
      </c>
      <c r="T6" s="112">
        <v>699.88</v>
      </c>
      <c r="U6" s="112">
        <v>769.29</v>
      </c>
      <c r="V6" s="112">
        <v>611.17999999999995</v>
      </c>
      <c r="W6" s="112">
        <v>107.05</v>
      </c>
      <c r="X6" s="86"/>
      <c r="Y6" s="112">
        <v>75.319699999999997</v>
      </c>
      <c r="Z6" s="86"/>
      <c r="AA6" s="87">
        <v>0.90417999999999998</v>
      </c>
      <c r="AB6" s="87">
        <v>0.78500000000000003</v>
      </c>
      <c r="AC6" s="86"/>
      <c r="AD6" s="88">
        <v>0.97099999999999997</v>
      </c>
      <c r="AE6" s="86"/>
      <c r="AF6" s="112">
        <v>24.39</v>
      </c>
      <c r="AG6" s="112">
        <v>51.426000000000002</v>
      </c>
      <c r="AH6" s="112">
        <v>19.501999999999999</v>
      </c>
      <c r="AI6" s="112">
        <v>18.306000000000001</v>
      </c>
      <c r="AJ6" s="112">
        <v>41.683999999999997</v>
      </c>
      <c r="AK6" s="112">
        <v>27.13</v>
      </c>
      <c r="AL6" s="112">
        <v>15.321999999999999</v>
      </c>
      <c r="AM6" s="112">
        <v>40.256999999999998</v>
      </c>
      <c r="AN6" s="112">
        <v>51.488999999999997</v>
      </c>
      <c r="AO6" s="112">
        <v>21.306000000000001</v>
      </c>
      <c r="AP6" s="112">
        <v>12.99</v>
      </c>
      <c r="AQ6" s="94"/>
      <c r="AR6" s="112">
        <v>0.12</v>
      </c>
      <c r="AS6" s="112">
        <v>0.12</v>
      </c>
      <c r="AU6" s="105">
        <v>8.8423566652048589</v>
      </c>
      <c r="AV6" s="105">
        <v>0.57610120312543933</v>
      </c>
      <c r="AW6" s="105">
        <v>-0.35231314000000002</v>
      </c>
      <c r="AX6" s="94"/>
      <c r="AY6" s="69">
        <v>2.7698658000000001E-2</v>
      </c>
      <c r="AZ6" s="67" t="s">
        <v>345</v>
      </c>
      <c r="BA6" s="102" t="s">
        <v>122</v>
      </c>
      <c r="BB6" s="94">
        <f t="shared" si="0"/>
        <v>6.8799448584202687E-3</v>
      </c>
      <c r="BC6" s="94"/>
      <c r="BD6" s="94"/>
      <c r="BE6" s="94"/>
      <c r="BF6" s="94"/>
      <c r="BG6" s="94"/>
      <c r="BH6" s="94"/>
      <c r="BI6" s="94"/>
    </row>
    <row r="7" spans="1:61" ht="14.4" x14ac:dyDescent="0.3">
      <c r="A7" s="102" t="s">
        <v>123</v>
      </c>
      <c r="B7" s="105" t="s">
        <v>68</v>
      </c>
      <c r="C7" s="105" t="s">
        <v>118</v>
      </c>
      <c r="D7" s="105" t="s">
        <v>70</v>
      </c>
      <c r="E7" s="105" t="s">
        <v>68</v>
      </c>
      <c r="F7" s="105" t="s">
        <v>68</v>
      </c>
      <c r="G7" s="105">
        <v>5.516</v>
      </c>
      <c r="H7" s="105">
        <v>56</v>
      </c>
      <c r="I7" s="105">
        <v>308.89999999999998</v>
      </c>
      <c r="J7" s="105">
        <v>11</v>
      </c>
      <c r="K7" s="105">
        <v>18</v>
      </c>
      <c r="L7" s="105">
        <v>10</v>
      </c>
      <c r="M7" s="105">
        <v>190.53</v>
      </c>
      <c r="N7" s="105"/>
      <c r="O7" s="105">
        <v>20</v>
      </c>
      <c r="P7" s="105">
        <v>17.5</v>
      </c>
      <c r="Q7" s="105" t="s">
        <v>12</v>
      </c>
      <c r="R7" s="94"/>
      <c r="S7" s="112">
        <v>521.55999999999995</v>
      </c>
      <c r="T7" s="112">
        <v>605.59</v>
      </c>
      <c r="U7" s="112">
        <v>608.9</v>
      </c>
      <c r="V7" s="112">
        <v>640.62</v>
      </c>
      <c r="W7" s="112">
        <v>786.9</v>
      </c>
      <c r="X7" s="86"/>
      <c r="Y7" s="112">
        <v>173.6</v>
      </c>
      <c r="Z7" s="86"/>
      <c r="AA7" s="87">
        <v>0.86168999999999996</v>
      </c>
      <c r="AB7" s="87">
        <v>0.752</v>
      </c>
      <c r="AC7" s="86"/>
      <c r="AD7" s="88">
        <v>1.0037400000000001</v>
      </c>
      <c r="AE7" s="86"/>
      <c r="AF7" s="112">
        <v>17.800999999999998</v>
      </c>
      <c r="AG7" s="112">
        <v>38.165999999999997</v>
      </c>
      <c r="AH7" s="112">
        <v>28.62</v>
      </c>
      <c r="AI7" s="112">
        <v>28.661999999999999</v>
      </c>
      <c r="AJ7" s="112">
        <v>20.04</v>
      </c>
      <c r="AK7" s="112">
        <v>18.968</v>
      </c>
      <c r="AL7" s="112">
        <v>19.497</v>
      </c>
      <c r="AM7" s="112">
        <v>30.111999999999998</v>
      </c>
      <c r="AN7" s="112">
        <v>35.848999999999997</v>
      </c>
      <c r="AO7" s="112">
        <v>15.468</v>
      </c>
      <c r="AP7" s="112">
        <v>15.521000000000001</v>
      </c>
      <c r="AQ7" s="94"/>
      <c r="AR7" s="112">
        <v>0.12</v>
      </c>
      <c r="AS7" s="112">
        <v>0.12</v>
      </c>
      <c r="AU7" s="105">
        <v>6.0183397594574028</v>
      </c>
      <c r="AV7" s="105">
        <v>0.58590748862331832</v>
      </c>
      <c r="AW7" s="105">
        <v>9.3611010000000008E-2</v>
      </c>
      <c r="AX7" s="94"/>
      <c r="AY7" s="69">
        <v>3.2469228000000003E-2</v>
      </c>
      <c r="AZ7" s="67" t="s">
        <v>346</v>
      </c>
      <c r="BA7" s="102" t="s">
        <v>123</v>
      </c>
      <c r="BB7" s="94">
        <f t="shared" si="0"/>
        <v>5.8863720087019584E-3</v>
      </c>
      <c r="BC7" s="94"/>
      <c r="BD7" s="94"/>
      <c r="BE7" s="94"/>
      <c r="BF7" s="94"/>
      <c r="BG7" s="94"/>
      <c r="BH7" s="94"/>
      <c r="BI7" s="94"/>
    </row>
    <row r="8" spans="1:61" x14ac:dyDescent="0.25">
      <c r="A8" s="102" t="s">
        <v>268</v>
      </c>
      <c r="B8" s="105" t="s">
        <v>11</v>
      </c>
      <c r="C8" s="105" t="s">
        <v>118</v>
      </c>
      <c r="D8" s="105" t="s">
        <v>70</v>
      </c>
      <c r="E8" s="105" t="s">
        <v>273</v>
      </c>
      <c r="F8" s="105" t="s">
        <v>11</v>
      </c>
      <c r="G8" s="105">
        <v>4.88</v>
      </c>
      <c r="H8" s="105">
        <v>64</v>
      </c>
      <c r="I8" s="105">
        <v>312.3</v>
      </c>
      <c r="J8" s="105">
        <v>22</v>
      </c>
      <c r="K8" s="105">
        <v>3</v>
      </c>
      <c r="L8" s="105">
        <v>9</v>
      </c>
      <c r="M8" s="105">
        <v>285.89</v>
      </c>
      <c r="N8" s="105"/>
      <c r="O8" s="105">
        <v>4</v>
      </c>
      <c r="P8" s="105">
        <v>13</v>
      </c>
      <c r="Q8" s="105" t="s">
        <v>121</v>
      </c>
      <c r="R8" s="94"/>
      <c r="S8" s="112">
        <v>302.56479000000002</v>
      </c>
      <c r="T8" s="112">
        <v>636.26228000000003</v>
      </c>
      <c r="U8" s="112">
        <v>412.39800000000002</v>
      </c>
      <c r="V8" s="112">
        <v>387.41</v>
      </c>
      <c r="W8" s="112">
        <v>821.34</v>
      </c>
      <c r="X8" s="86"/>
      <c r="Y8" s="112">
        <v>103.24509999999999</v>
      </c>
      <c r="Z8" s="86"/>
      <c r="AA8" s="88">
        <v>0.90602000000000005</v>
      </c>
      <c r="AB8" s="89">
        <v>0.77</v>
      </c>
      <c r="AC8" s="86"/>
      <c r="AD8" s="88">
        <v>1.1835599999999999</v>
      </c>
      <c r="AE8" s="86"/>
      <c r="AF8" s="112">
        <v>29.776</v>
      </c>
      <c r="AG8" s="112">
        <v>85.668000000000006</v>
      </c>
      <c r="AH8" s="112">
        <v>16.91</v>
      </c>
      <c r="AI8" s="112">
        <v>18.579000000000001</v>
      </c>
      <c r="AJ8" s="112">
        <v>35.994</v>
      </c>
      <c r="AK8" s="112">
        <v>17.959</v>
      </c>
      <c r="AL8" s="112">
        <v>19.393000000000001</v>
      </c>
      <c r="AM8" s="112">
        <v>26.65</v>
      </c>
      <c r="AN8" s="112">
        <v>23.611999999999998</v>
      </c>
      <c r="AO8" s="112">
        <v>59.039000000000001</v>
      </c>
      <c r="AP8" s="112">
        <v>21.64</v>
      </c>
      <c r="AQ8" s="94"/>
      <c r="AR8" s="112">
        <v>0.12</v>
      </c>
      <c r="AS8" s="112">
        <v>0.12</v>
      </c>
      <c r="AU8" s="105">
        <v>4.5739958012593638</v>
      </c>
      <c r="AV8" s="105">
        <v>1</v>
      </c>
      <c r="AW8" s="105">
        <v>-1.5851565299999999</v>
      </c>
      <c r="AX8" s="94"/>
      <c r="AY8" s="70">
        <v>0.03</v>
      </c>
      <c r="AZ8" s="94"/>
      <c r="BA8" s="102" t="s">
        <v>268</v>
      </c>
      <c r="BB8" s="94">
        <f t="shared" si="0"/>
        <v>6.1475409836065573E-3</v>
      </c>
      <c r="BC8" s="94"/>
      <c r="BD8" s="94"/>
      <c r="BE8" s="94"/>
      <c r="BF8" s="94"/>
      <c r="BG8" s="94"/>
      <c r="BH8" s="94"/>
      <c r="BI8" s="94"/>
    </row>
    <row r="9" spans="1:61" x14ac:dyDescent="0.25">
      <c r="A9" s="102" t="s">
        <v>278</v>
      </c>
      <c r="B9" s="105" t="s">
        <v>68</v>
      </c>
      <c r="C9" s="105" t="s">
        <v>118</v>
      </c>
      <c r="D9" s="105" t="s">
        <v>70</v>
      </c>
      <c r="E9" s="105" t="s">
        <v>12</v>
      </c>
      <c r="F9" s="105" t="s">
        <v>273</v>
      </c>
      <c r="G9" s="105">
        <v>6.0060000000000002</v>
      </c>
      <c r="H9" s="105">
        <v>51</v>
      </c>
      <c r="I9" s="105">
        <v>306.3</v>
      </c>
      <c r="J9" s="105">
        <v>18</v>
      </c>
      <c r="K9" s="105">
        <v>8</v>
      </c>
      <c r="L9" s="105">
        <v>16</v>
      </c>
      <c r="M9" s="105">
        <v>211.45</v>
      </c>
      <c r="N9" s="105"/>
      <c r="O9" s="105">
        <v>20</v>
      </c>
      <c r="P9" s="105">
        <v>17</v>
      </c>
      <c r="Q9" s="105" t="s">
        <v>12</v>
      </c>
      <c r="R9" s="94"/>
      <c r="S9" s="112">
        <v>352.00178</v>
      </c>
      <c r="T9" s="112">
        <v>613.90350999999998</v>
      </c>
      <c r="U9" s="112">
        <v>609.33600000000001</v>
      </c>
      <c r="V9" s="112">
        <v>704</v>
      </c>
      <c r="W9" s="112">
        <v>800.96</v>
      </c>
      <c r="X9" s="86"/>
      <c r="Y9" s="112">
        <v>96.709900000000005</v>
      </c>
      <c r="Z9" s="86"/>
      <c r="AA9" s="88">
        <v>0.89405000000000001</v>
      </c>
      <c r="AB9" s="89">
        <v>0</v>
      </c>
      <c r="AC9" s="86"/>
      <c r="AD9" s="88">
        <v>1.0790999999999999</v>
      </c>
      <c r="AE9" s="86"/>
      <c r="AF9" s="112">
        <v>21.596</v>
      </c>
      <c r="AG9" s="112">
        <v>61.171999999999997</v>
      </c>
      <c r="AH9" s="112">
        <v>20.585000000000001</v>
      </c>
      <c r="AI9" s="112">
        <v>22.553000000000001</v>
      </c>
      <c r="AJ9" s="112">
        <v>19.315000000000001</v>
      </c>
      <c r="AK9" s="112">
        <v>24.716000000000001</v>
      </c>
      <c r="AL9" s="112">
        <v>18.367999999999999</v>
      </c>
      <c r="AM9" s="112">
        <v>28.114000000000001</v>
      </c>
      <c r="AN9" s="112">
        <v>47.58</v>
      </c>
      <c r="AO9" s="112">
        <v>19.856999999999999</v>
      </c>
      <c r="AP9" s="112">
        <v>15.068</v>
      </c>
      <c r="AQ9" s="94"/>
      <c r="AR9" s="112">
        <v>0.12</v>
      </c>
      <c r="AS9" s="112">
        <v>0.12</v>
      </c>
      <c r="AU9" s="105">
        <v>6.1969722518588979</v>
      </c>
      <c r="AV9" s="105">
        <v>0.93409264740282172</v>
      </c>
      <c r="AW9" s="105">
        <v>0.79370002000000006</v>
      </c>
      <c r="AX9" s="94"/>
      <c r="AY9" s="70">
        <v>0.04</v>
      </c>
      <c r="AZ9" s="94"/>
      <c r="BA9" s="102" t="s">
        <v>278</v>
      </c>
      <c r="BB9" s="94">
        <f t="shared" si="0"/>
        <v>6.66000666000666E-3</v>
      </c>
      <c r="BC9" s="94"/>
      <c r="BD9" s="94"/>
      <c r="BE9" s="94"/>
      <c r="BF9" s="94"/>
      <c r="BG9" s="94"/>
      <c r="BH9" s="94"/>
      <c r="BI9" s="94"/>
    </row>
    <row r="10" spans="1:61" ht="14.4" x14ac:dyDescent="0.3">
      <c r="A10" s="102" t="s">
        <v>124</v>
      </c>
      <c r="B10" s="105" t="s">
        <v>68</v>
      </c>
      <c r="C10" s="105" t="s">
        <v>70</v>
      </c>
      <c r="D10" s="105" t="s">
        <v>63</v>
      </c>
      <c r="E10" s="105" t="s">
        <v>12</v>
      </c>
      <c r="F10" s="105" t="s">
        <v>68</v>
      </c>
      <c r="G10" s="105">
        <v>4.7279999999999998</v>
      </c>
      <c r="H10" s="105">
        <v>65</v>
      </c>
      <c r="I10" s="105">
        <v>307.3</v>
      </c>
      <c r="J10" s="105">
        <v>11</v>
      </c>
      <c r="K10" s="105">
        <v>13</v>
      </c>
      <c r="L10" s="105">
        <v>8</v>
      </c>
      <c r="M10" s="105">
        <v>217.02</v>
      </c>
      <c r="N10" s="105"/>
      <c r="O10" s="105">
        <v>16</v>
      </c>
      <c r="P10" s="105">
        <v>21</v>
      </c>
      <c r="Q10" s="105" t="s">
        <v>11</v>
      </c>
      <c r="R10" s="94"/>
      <c r="S10" s="112">
        <v>457.87</v>
      </c>
      <c r="T10" s="112">
        <v>673.95</v>
      </c>
      <c r="U10" s="112">
        <v>503.46</v>
      </c>
      <c r="V10" s="112">
        <v>676.11</v>
      </c>
      <c r="W10" s="112">
        <v>315.93</v>
      </c>
      <c r="X10" s="86"/>
      <c r="Y10" s="112">
        <v>140.56392</v>
      </c>
      <c r="Z10" s="86"/>
      <c r="AA10" s="87">
        <v>0.86704000000000003</v>
      </c>
      <c r="AB10" s="89">
        <v>0</v>
      </c>
      <c r="AC10" s="86"/>
      <c r="AD10" s="88">
        <v>1.0932999999999999</v>
      </c>
      <c r="AE10" s="86"/>
      <c r="AF10" s="112">
        <v>26.925000000000001</v>
      </c>
      <c r="AG10" s="112">
        <v>63.021999999999998</v>
      </c>
      <c r="AH10" s="112">
        <v>44.738999999999997</v>
      </c>
      <c r="AI10" s="112">
        <v>52.795999999999999</v>
      </c>
      <c r="AJ10" s="112">
        <v>33.56</v>
      </c>
      <c r="AK10" s="112">
        <v>23.393000000000001</v>
      </c>
      <c r="AL10" s="112">
        <v>22.858000000000001</v>
      </c>
      <c r="AM10" s="112">
        <v>35.996000000000002</v>
      </c>
      <c r="AN10" s="112">
        <v>53.186999999999998</v>
      </c>
      <c r="AO10" s="112">
        <v>42.040999999999997</v>
      </c>
      <c r="AP10" s="112">
        <v>20.053000000000001</v>
      </c>
      <c r="AQ10" s="94"/>
      <c r="AR10" s="112">
        <v>0.12</v>
      </c>
      <c r="AS10" s="112">
        <v>0.12</v>
      </c>
      <c r="AU10" s="105">
        <v>5.7319581792793235</v>
      </c>
      <c r="AV10" s="105">
        <v>0.90276331159406387</v>
      </c>
      <c r="AW10" s="105">
        <v>-0.34190637000000001</v>
      </c>
      <c r="AX10" s="94"/>
      <c r="AY10" s="69">
        <v>2.8321814000000001E-2</v>
      </c>
      <c r="AZ10" s="66" t="s">
        <v>124</v>
      </c>
      <c r="BA10" s="102" t="s">
        <v>124</v>
      </c>
      <c r="BB10" s="94">
        <f t="shared" si="0"/>
        <v>5.9902313874788497E-3</v>
      </c>
      <c r="BC10" s="94"/>
      <c r="BD10" s="94"/>
      <c r="BE10" s="94"/>
      <c r="BF10" s="94"/>
      <c r="BG10" s="94"/>
      <c r="BH10" s="94"/>
      <c r="BI10" s="94"/>
    </row>
    <row r="11" spans="1:61" ht="14.4" x14ac:dyDescent="0.3">
      <c r="A11" s="102" t="s">
        <v>125</v>
      </c>
      <c r="B11" s="105" t="s">
        <v>68</v>
      </c>
      <c r="C11" s="105" t="s">
        <v>121</v>
      </c>
      <c r="D11" s="105" t="s">
        <v>68</v>
      </c>
      <c r="E11" s="105" t="s">
        <v>11</v>
      </c>
      <c r="F11" s="105" t="s">
        <v>11</v>
      </c>
      <c r="G11" s="105">
        <v>4.2069999999999999</v>
      </c>
      <c r="H11" s="105">
        <v>75</v>
      </c>
      <c r="I11" s="105">
        <v>315.5</v>
      </c>
      <c r="J11" s="105">
        <v>10</v>
      </c>
      <c r="K11" s="105">
        <v>12</v>
      </c>
      <c r="L11" s="105">
        <v>8</v>
      </c>
      <c r="M11" s="105">
        <v>211.02</v>
      </c>
      <c r="N11" s="105"/>
      <c r="O11" s="105">
        <v>12</v>
      </c>
      <c r="P11" s="105">
        <v>25.5</v>
      </c>
      <c r="Q11" s="105" t="s">
        <v>121</v>
      </c>
      <c r="R11" s="94"/>
      <c r="S11" s="112">
        <v>475.32</v>
      </c>
      <c r="T11" s="112">
        <v>647.54494999999997</v>
      </c>
      <c r="U11" s="112">
        <v>386.69197000000003</v>
      </c>
      <c r="V11" s="112">
        <v>709.39820999999995</v>
      </c>
      <c r="W11" s="112">
        <v>641.46833000000004</v>
      </c>
      <c r="X11" s="86"/>
      <c r="Y11" s="112">
        <v>121.09563</v>
      </c>
      <c r="Z11" s="86"/>
      <c r="AA11" s="87">
        <v>0.82672999999999996</v>
      </c>
      <c r="AB11" s="87">
        <v>0.63566</v>
      </c>
      <c r="AC11" s="86"/>
      <c r="AD11" s="88">
        <v>1.04203</v>
      </c>
      <c r="AE11" s="86"/>
      <c r="AF11" s="112">
        <v>11.776999999999999</v>
      </c>
      <c r="AG11" s="112">
        <v>32.563000000000002</v>
      </c>
      <c r="AH11" s="112">
        <v>20.314</v>
      </c>
      <c r="AI11" s="112">
        <v>25.081</v>
      </c>
      <c r="AJ11" s="112">
        <v>28.315999999999999</v>
      </c>
      <c r="AK11" s="112">
        <v>15.891999999999999</v>
      </c>
      <c r="AL11" s="112">
        <v>13.167</v>
      </c>
      <c r="AM11" s="112">
        <v>21.672999999999998</v>
      </c>
      <c r="AN11" s="112">
        <v>38.524999999999999</v>
      </c>
      <c r="AO11" s="112">
        <v>38.531999999999996</v>
      </c>
      <c r="AP11" s="112">
        <v>19.829999999999998</v>
      </c>
      <c r="AQ11" s="94"/>
      <c r="AR11" s="112">
        <v>0.12</v>
      </c>
      <c r="AS11" s="112">
        <v>0.12</v>
      </c>
      <c r="AU11" s="105">
        <v>5.6355736117380193</v>
      </c>
      <c r="AV11" s="105">
        <v>1</v>
      </c>
      <c r="AW11" s="105">
        <v>0.31460402999999998</v>
      </c>
      <c r="AX11" s="94"/>
      <c r="AY11" s="69">
        <v>2.9904747999999998E-2</v>
      </c>
      <c r="AZ11" s="66" t="s">
        <v>347</v>
      </c>
      <c r="BA11" s="102" t="s">
        <v>125</v>
      </c>
      <c r="BB11" s="94">
        <f t="shared" si="0"/>
        <v>7.1083308771095789E-3</v>
      </c>
      <c r="BC11" s="94"/>
      <c r="BD11" s="94"/>
      <c r="BE11" s="94"/>
      <c r="BF11" s="94"/>
      <c r="BG11" s="94"/>
      <c r="BH11" s="94"/>
      <c r="BI11" s="94"/>
    </row>
    <row r="12" spans="1:61" ht="14.4" x14ac:dyDescent="0.3">
      <c r="A12" s="102" t="s">
        <v>126</v>
      </c>
      <c r="B12" s="105" t="s">
        <v>68</v>
      </c>
      <c r="C12" s="105" t="s">
        <v>70</v>
      </c>
      <c r="D12" s="105" t="s">
        <v>70</v>
      </c>
      <c r="E12" s="105" t="s">
        <v>12</v>
      </c>
      <c r="F12" s="105" t="s">
        <v>68</v>
      </c>
      <c r="G12" s="105">
        <v>5.4749999999999996</v>
      </c>
      <c r="H12" s="105">
        <v>55</v>
      </c>
      <c r="I12" s="105">
        <v>301.10000000000002</v>
      </c>
      <c r="J12" s="105">
        <v>16</v>
      </c>
      <c r="K12" s="105">
        <v>15</v>
      </c>
      <c r="L12" s="105">
        <v>7</v>
      </c>
      <c r="M12" s="105">
        <v>206.08</v>
      </c>
      <c r="N12" s="105"/>
      <c r="O12" s="105">
        <v>12</v>
      </c>
      <c r="P12" s="105">
        <v>13.5</v>
      </c>
      <c r="Q12" s="105" t="s">
        <v>121</v>
      </c>
      <c r="R12" s="94"/>
      <c r="S12" s="112">
        <v>577.88028999999995</v>
      </c>
      <c r="T12" s="112">
        <v>409.23081000000002</v>
      </c>
      <c r="U12" s="112">
        <v>697.755</v>
      </c>
      <c r="V12" s="112">
        <v>849.60500000000002</v>
      </c>
      <c r="W12" s="112">
        <v>784.06</v>
      </c>
      <c r="X12" s="86"/>
      <c r="Y12" s="112">
        <v>46.68976</v>
      </c>
      <c r="Z12" s="86"/>
      <c r="AA12" s="87">
        <v>0.89066000000000001</v>
      </c>
      <c r="AB12" s="87">
        <v>0.62207000000000001</v>
      </c>
      <c r="AC12" s="86"/>
      <c r="AD12" s="88">
        <v>1.03298</v>
      </c>
      <c r="AE12" s="86"/>
      <c r="AF12" s="112">
        <v>19.638999999999999</v>
      </c>
      <c r="AG12" s="112">
        <v>40.265000000000001</v>
      </c>
      <c r="AH12" s="112">
        <v>25.262</v>
      </c>
      <c r="AI12" s="112">
        <v>30.725000000000001</v>
      </c>
      <c r="AJ12" s="112">
        <v>20.643000000000001</v>
      </c>
      <c r="AK12" s="112">
        <v>19.015999999999998</v>
      </c>
      <c r="AL12" s="112">
        <v>21.69</v>
      </c>
      <c r="AM12" s="112">
        <v>32.161000000000001</v>
      </c>
      <c r="AN12" s="112">
        <v>43.531999999999996</v>
      </c>
      <c r="AO12" s="112">
        <v>20.707999999999998</v>
      </c>
      <c r="AP12" s="112">
        <v>17.437999999999999</v>
      </c>
      <c r="AQ12" s="94"/>
      <c r="AR12" s="112">
        <v>0.12</v>
      </c>
      <c r="AS12" s="112">
        <v>0.12</v>
      </c>
      <c r="AU12" s="105">
        <v>7.1430731267031193</v>
      </c>
      <c r="AV12" s="105">
        <v>0.9460697269523386</v>
      </c>
      <c r="AW12" s="105">
        <v>1.2922969</v>
      </c>
      <c r="AX12" s="94"/>
      <c r="AY12" s="69">
        <v>2.9224087999999999E-2</v>
      </c>
      <c r="AZ12" s="67" t="s">
        <v>126</v>
      </c>
      <c r="BA12" s="102" t="s">
        <v>126</v>
      </c>
      <c r="BB12" s="94">
        <f t="shared" si="0"/>
        <v>5.3377329680365298E-3</v>
      </c>
      <c r="BC12" s="94"/>
      <c r="BD12" s="94"/>
      <c r="BE12" s="94"/>
      <c r="BF12" s="94"/>
      <c r="BG12" s="94"/>
      <c r="BH12" s="94"/>
      <c r="BI12" s="94"/>
    </row>
    <row r="13" spans="1:61" x14ac:dyDescent="0.25">
      <c r="A13" s="102" t="s">
        <v>269</v>
      </c>
      <c r="B13" s="105" t="s">
        <v>68</v>
      </c>
      <c r="C13" s="105" t="s">
        <v>121</v>
      </c>
      <c r="D13" s="105" t="s">
        <v>68</v>
      </c>
      <c r="E13" s="105" t="s">
        <v>68</v>
      </c>
      <c r="F13" s="105" t="s">
        <v>68</v>
      </c>
      <c r="G13" s="105">
        <v>7.2809999999999997</v>
      </c>
      <c r="H13" s="105">
        <v>42</v>
      </c>
      <c r="I13" s="105">
        <v>305.8</v>
      </c>
      <c r="J13" s="105">
        <v>8</v>
      </c>
      <c r="K13" s="105">
        <v>26</v>
      </c>
      <c r="L13" s="105">
        <v>17</v>
      </c>
      <c r="M13" s="105">
        <v>257.04000000000002</v>
      </c>
      <c r="N13" s="105"/>
      <c r="O13" s="105">
        <v>16</v>
      </c>
      <c r="P13" s="105">
        <v>17</v>
      </c>
      <c r="Q13" s="105" t="s">
        <v>11</v>
      </c>
      <c r="R13" s="94"/>
      <c r="S13" s="112">
        <v>713.7</v>
      </c>
      <c r="T13" s="112">
        <v>594.03</v>
      </c>
      <c r="U13" s="112">
        <v>589.41</v>
      </c>
      <c r="V13" s="112">
        <v>697.91</v>
      </c>
      <c r="W13" s="112">
        <v>539.29</v>
      </c>
      <c r="X13" s="86"/>
      <c r="Y13" s="112">
        <v>138.55358000000001</v>
      </c>
      <c r="Z13" s="86"/>
      <c r="AA13" s="87">
        <v>0.85899999999999999</v>
      </c>
      <c r="AB13" s="89">
        <v>0.75424999999999998</v>
      </c>
      <c r="AC13" s="86"/>
      <c r="AD13" s="88">
        <v>1.19414</v>
      </c>
      <c r="AE13" s="86"/>
      <c r="AF13" s="112">
        <v>38.197000000000003</v>
      </c>
      <c r="AG13" s="112">
        <v>23.829000000000001</v>
      </c>
      <c r="AH13" s="112">
        <v>19.707000000000001</v>
      </c>
      <c r="AI13" s="112">
        <v>18.824000000000002</v>
      </c>
      <c r="AJ13" s="112">
        <v>41.555999999999997</v>
      </c>
      <c r="AK13" s="112">
        <v>31.227</v>
      </c>
      <c r="AL13" s="112">
        <v>13.946</v>
      </c>
      <c r="AM13" s="112">
        <v>35.212000000000003</v>
      </c>
      <c r="AN13" s="112">
        <v>30.06</v>
      </c>
      <c r="AO13" s="112">
        <v>42.177</v>
      </c>
      <c r="AP13" s="112">
        <v>12.497</v>
      </c>
      <c r="AQ13" s="94"/>
      <c r="AR13" s="112">
        <v>0.12</v>
      </c>
      <c r="AS13" s="112">
        <v>0.12</v>
      </c>
      <c r="AU13" s="105">
        <v>6.0611470794218851</v>
      </c>
      <c r="AV13" s="105">
        <v>1</v>
      </c>
      <c r="AW13" s="105">
        <v>0.49451054999999999</v>
      </c>
      <c r="AX13" s="94"/>
      <c r="AY13" s="70">
        <v>0.05</v>
      </c>
      <c r="AZ13" s="94"/>
      <c r="BA13" s="102" t="s">
        <v>269</v>
      </c>
      <c r="BB13" s="94">
        <f t="shared" si="0"/>
        <v>6.8671885729982155E-3</v>
      </c>
      <c r="BC13" s="94"/>
      <c r="BD13" s="94"/>
      <c r="BE13" s="94"/>
      <c r="BF13" s="94"/>
      <c r="BG13" s="94"/>
      <c r="BH13" s="94"/>
      <c r="BI13" s="94"/>
    </row>
    <row r="14" spans="1:61" ht="14.4" x14ac:dyDescent="0.3">
      <c r="A14" s="102" t="s">
        <v>127</v>
      </c>
      <c r="B14" s="105" t="s">
        <v>68</v>
      </c>
      <c r="C14" s="105" t="s">
        <v>118</v>
      </c>
      <c r="D14" s="105" t="s">
        <v>68</v>
      </c>
      <c r="E14" s="105" t="s">
        <v>68</v>
      </c>
      <c r="F14" s="105" t="s">
        <v>12</v>
      </c>
      <c r="G14" s="105">
        <v>5.4039999999999999</v>
      </c>
      <c r="H14" s="105">
        <v>57</v>
      </c>
      <c r="I14" s="105">
        <v>308</v>
      </c>
      <c r="J14" s="105">
        <v>12</v>
      </c>
      <c r="K14" s="105">
        <v>12</v>
      </c>
      <c r="L14" s="105">
        <v>14</v>
      </c>
      <c r="M14" s="105">
        <v>207.14</v>
      </c>
      <c r="N14" s="105"/>
      <c r="O14" s="105">
        <v>15</v>
      </c>
      <c r="P14" s="105">
        <v>14</v>
      </c>
      <c r="Q14" s="105" t="s">
        <v>121</v>
      </c>
      <c r="R14" s="94"/>
      <c r="S14" s="112">
        <v>489.73</v>
      </c>
      <c r="T14" s="112">
        <v>515.49</v>
      </c>
      <c r="U14" s="112">
        <v>378.53</v>
      </c>
      <c r="V14" s="112">
        <v>555.53</v>
      </c>
      <c r="W14" s="112">
        <v>490.25</v>
      </c>
      <c r="X14" s="86"/>
      <c r="Y14" s="112">
        <v>37.246029999999998</v>
      </c>
      <c r="Z14" s="86"/>
      <c r="AA14" s="87">
        <v>0.83238000000000001</v>
      </c>
      <c r="AB14" s="87">
        <v>0.70154000000000005</v>
      </c>
      <c r="AC14" s="86"/>
      <c r="AD14" s="88">
        <v>0.98792999999999997</v>
      </c>
      <c r="AE14" s="86"/>
      <c r="AF14" s="112">
        <v>26.468</v>
      </c>
      <c r="AG14" s="112">
        <v>45.65</v>
      </c>
      <c r="AH14" s="112">
        <v>28.797000000000001</v>
      </c>
      <c r="AI14" s="112">
        <v>23.844000000000001</v>
      </c>
      <c r="AJ14" s="112">
        <v>28.620999999999999</v>
      </c>
      <c r="AK14" s="112">
        <v>27.15</v>
      </c>
      <c r="AL14" s="112">
        <v>25.587</v>
      </c>
      <c r="AM14" s="112">
        <v>31.379000000000001</v>
      </c>
      <c r="AN14" s="112">
        <v>35.610999999999997</v>
      </c>
      <c r="AO14" s="112">
        <v>28.43</v>
      </c>
      <c r="AP14" s="112">
        <v>20.489000000000001</v>
      </c>
      <c r="AQ14" s="94"/>
      <c r="AR14" s="112">
        <v>0.12</v>
      </c>
      <c r="AS14" s="112">
        <v>0.12</v>
      </c>
      <c r="AU14" s="105">
        <v>6.3424995666418074</v>
      </c>
      <c r="AV14" s="105">
        <v>1</v>
      </c>
      <c r="AW14" s="105">
        <v>0.71781008000000002</v>
      </c>
      <c r="AX14" s="94"/>
      <c r="AY14" s="69">
        <v>2.9823110999999999E-2</v>
      </c>
      <c r="AZ14" s="67" t="s">
        <v>127</v>
      </c>
      <c r="BA14" s="102" t="s">
        <v>127</v>
      </c>
      <c r="BB14" s="94">
        <f t="shared" si="0"/>
        <v>5.5187103997039232E-3</v>
      </c>
      <c r="BC14" s="94"/>
      <c r="BD14" s="94"/>
      <c r="BE14" s="94"/>
      <c r="BF14" s="94"/>
      <c r="BG14" s="94"/>
      <c r="BH14" s="94"/>
      <c r="BI14" s="94"/>
    </row>
    <row r="15" spans="1:61" ht="14.4" x14ac:dyDescent="0.3">
      <c r="A15" s="102" t="s">
        <v>128</v>
      </c>
      <c r="B15" s="105" t="s">
        <v>11</v>
      </c>
      <c r="C15" s="105" t="s">
        <v>118</v>
      </c>
      <c r="D15" s="105" t="s">
        <v>70</v>
      </c>
      <c r="E15" s="105" t="s">
        <v>273</v>
      </c>
      <c r="F15" s="105" t="s">
        <v>11</v>
      </c>
      <c r="G15" s="105">
        <v>3.0710000000000002</v>
      </c>
      <c r="H15" s="105">
        <v>80</v>
      </c>
      <c r="I15" s="105">
        <v>245.7</v>
      </c>
      <c r="J15" s="105">
        <v>8</v>
      </c>
      <c r="K15" s="105">
        <v>6</v>
      </c>
      <c r="L15" s="105">
        <v>8</v>
      </c>
      <c r="M15" s="105">
        <v>146.34</v>
      </c>
      <c r="N15" s="105"/>
      <c r="O15" s="105">
        <v>14</v>
      </c>
      <c r="P15" s="105">
        <v>24</v>
      </c>
      <c r="Q15" s="105" t="s">
        <v>121</v>
      </c>
      <c r="R15" s="94"/>
      <c r="S15" s="112">
        <v>269.73</v>
      </c>
      <c r="T15" s="112">
        <v>654.11</v>
      </c>
      <c r="U15" s="112">
        <v>711.39</v>
      </c>
      <c r="V15" s="112">
        <v>593.83000000000004</v>
      </c>
      <c r="W15" s="112">
        <v>744.57</v>
      </c>
      <c r="X15" s="86"/>
      <c r="Y15" s="112">
        <v>77.480959999999996</v>
      </c>
      <c r="Z15" s="86"/>
      <c r="AA15" s="87">
        <v>0.91208999999999996</v>
      </c>
      <c r="AB15" s="87">
        <v>0.77063000000000004</v>
      </c>
      <c r="AC15" s="86"/>
      <c r="AD15" s="88">
        <v>1.0155000000000001</v>
      </c>
      <c r="AE15" s="86"/>
      <c r="AF15" s="112">
        <v>29.542000000000002</v>
      </c>
      <c r="AG15" s="112">
        <v>67.611999999999995</v>
      </c>
      <c r="AH15" s="112">
        <v>29.521000000000001</v>
      </c>
      <c r="AI15" s="112">
        <v>31.902000000000001</v>
      </c>
      <c r="AJ15" s="112">
        <v>39.290999999999997</v>
      </c>
      <c r="AK15" s="112">
        <v>27.59</v>
      </c>
      <c r="AL15" s="112">
        <v>22.664999999999999</v>
      </c>
      <c r="AM15" s="112">
        <v>46.101999999999997</v>
      </c>
      <c r="AN15" s="112">
        <v>57.908000000000001</v>
      </c>
      <c r="AO15" s="112">
        <v>33.945</v>
      </c>
      <c r="AP15" s="112">
        <v>27.332000000000001</v>
      </c>
      <c r="AQ15" s="94"/>
      <c r="AR15" s="112">
        <v>0.12</v>
      </c>
      <c r="AS15" s="112">
        <v>0.12</v>
      </c>
      <c r="AU15" s="105">
        <v>5.0897018442282072</v>
      </c>
      <c r="AV15" s="105">
        <v>0.99999697982438662</v>
      </c>
      <c r="AW15" s="105">
        <v>-0.1000929</v>
      </c>
      <c r="AX15" s="94"/>
      <c r="AY15" s="69">
        <v>3.3576601999999997E-2</v>
      </c>
      <c r="AZ15" s="66" t="s">
        <v>128</v>
      </c>
      <c r="BA15" s="102" t="s">
        <v>128</v>
      </c>
      <c r="BB15" s="94">
        <f t="shared" si="0"/>
        <v>1.0933442526864212E-2</v>
      </c>
      <c r="BC15" s="94"/>
      <c r="BD15" s="94"/>
      <c r="BE15" s="94"/>
      <c r="BF15" s="94"/>
      <c r="BG15" s="94"/>
      <c r="BH15" s="94"/>
      <c r="BI15" s="94"/>
    </row>
    <row r="16" spans="1:61" ht="14.4" x14ac:dyDescent="0.3">
      <c r="A16" s="102" t="s">
        <v>130</v>
      </c>
      <c r="B16" s="105" t="s">
        <v>12</v>
      </c>
      <c r="C16" s="105" t="s">
        <v>272</v>
      </c>
      <c r="D16" s="105" t="s">
        <v>70</v>
      </c>
      <c r="E16" s="105" t="s">
        <v>274</v>
      </c>
      <c r="F16" s="105" t="s">
        <v>12</v>
      </c>
      <c r="G16" s="105">
        <v>4.258</v>
      </c>
      <c r="H16" s="105">
        <v>72</v>
      </c>
      <c r="I16" s="105">
        <v>306.60000000000002</v>
      </c>
      <c r="J16" s="105">
        <v>12</v>
      </c>
      <c r="K16" s="105">
        <v>11</v>
      </c>
      <c r="L16" s="105">
        <v>9</v>
      </c>
      <c r="M16" s="105">
        <v>185.31</v>
      </c>
      <c r="N16" s="105"/>
      <c r="O16" s="105">
        <v>16</v>
      </c>
      <c r="P16" s="105">
        <v>19.5</v>
      </c>
      <c r="Q16" s="105" t="s">
        <v>121</v>
      </c>
      <c r="R16" s="94"/>
      <c r="S16" s="112">
        <v>901.29277000000002</v>
      </c>
      <c r="T16" s="112">
        <v>516.57393000000002</v>
      </c>
      <c r="U16" s="112">
        <v>272.05175000000003</v>
      </c>
      <c r="V16" s="112">
        <v>654.41483000000005</v>
      </c>
      <c r="W16" s="112">
        <v>706.34041999999999</v>
      </c>
      <c r="X16" s="86"/>
      <c r="Y16" s="112">
        <v>190.07916</v>
      </c>
      <c r="Z16" s="86"/>
      <c r="AA16" s="87">
        <v>0.78529000000000004</v>
      </c>
      <c r="AB16" s="87">
        <v>0.59972999999999999</v>
      </c>
      <c r="AC16" s="86"/>
      <c r="AD16" s="88">
        <v>0.97950000000000004</v>
      </c>
      <c r="AE16" s="86"/>
      <c r="AF16" s="112">
        <v>30.545000000000002</v>
      </c>
      <c r="AG16" s="112">
        <v>56.491</v>
      </c>
      <c r="AH16" s="112">
        <v>23.562000000000001</v>
      </c>
      <c r="AI16" s="112">
        <v>29.911999999999999</v>
      </c>
      <c r="AJ16" s="112">
        <v>21.901</v>
      </c>
      <c r="AK16" s="112">
        <v>18.667999999999999</v>
      </c>
      <c r="AL16" s="112">
        <v>25.663</v>
      </c>
      <c r="AM16" s="112">
        <v>56.546999999999997</v>
      </c>
      <c r="AN16" s="112">
        <v>71.361999999999995</v>
      </c>
      <c r="AO16" s="112">
        <v>50.427999999999997</v>
      </c>
      <c r="AP16" s="112">
        <v>20.370999999999999</v>
      </c>
      <c r="AQ16" s="94"/>
      <c r="AR16" s="112">
        <v>0.12</v>
      </c>
      <c r="AS16" s="112">
        <v>0.12</v>
      </c>
      <c r="AU16" s="105">
        <v>6.2838743710161111</v>
      </c>
      <c r="AV16" s="105">
        <v>0.90016638143868233</v>
      </c>
      <c r="AW16" s="105">
        <v>0.10676999000000001</v>
      </c>
      <c r="AX16" s="94"/>
      <c r="AY16" s="69">
        <v>3.3087907E-2</v>
      </c>
      <c r="AZ16" s="68" t="s">
        <v>130</v>
      </c>
      <c r="BA16" s="102" t="s">
        <v>130</v>
      </c>
      <c r="BB16" s="94">
        <f t="shared" si="0"/>
        <v>7.7707625645843121E-3</v>
      </c>
      <c r="BC16" s="94"/>
      <c r="BD16" s="94"/>
      <c r="BE16" s="94"/>
      <c r="BF16" s="94"/>
      <c r="BG16" s="94"/>
      <c r="BH16" s="94"/>
      <c r="BI16" s="94"/>
    </row>
    <row r="17" spans="1:61" ht="14.4" x14ac:dyDescent="0.3">
      <c r="A17" s="102" t="s">
        <v>132</v>
      </c>
      <c r="B17" s="105" t="s">
        <v>68</v>
      </c>
      <c r="C17" s="105" t="s">
        <v>121</v>
      </c>
      <c r="D17" s="105" t="s">
        <v>68</v>
      </c>
      <c r="E17" s="105" t="s">
        <v>68</v>
      </c>
      <c r="F17" s="105" t="s">
        <v>68</v>
      </c>
      <c r="G17" s="105">
        <v>4.3600000000000003</v>
      </c>
      <c r="H17" s="105">
        <v>70</v>
      </c>
      <c r="I17" s="105">
        <v>305.2</v>
      </c>
      <c r="J17" s="105">
        <v>11</v>
      </c>
      <c r="K17" s="105">
        <v>8</v>
      </c>
      <c r="L17" s="105">
        <v>14</v>
      </c>
      <c r="M17" s="105">
        <v>221.29</v>
      </c>
      <c r="N17" s="105"/>
      <c r="O17" s="105">
        <v>13</v>
      </c>
      <c r="P17" s="105">
        <v>22.5</v>
      </c>
      <c r="Q17" s="105" t="s">
        <v>11</v>
      </c>
      <c r="R17" s="94"/>
      <c r="S17" s="112">
        <v>438.52</v>
      </c>
      <c r="T17" s="112">
        <v>652.28</v>
      </c>
      <c r="U17" s="112">
        <v>302.24</v>
      </c>
      <c r="V17" s="112">
        <v>705</v>
      </c>
      <c r="W17" s="112">
        <v>575.41999999999996</v>
      </c>
      <c r="X17" s="86"/>
      <c r="Y17" s="112">
        <v>79.459999999999994</v>
      </c>
      <c r="Z17" s="86"/>
      <c r="AA17" s="87">
        <v>0.83482000000000001</v>
      </c>
      <c r="AB17" s="87">
        <v>0.71482000000000001</v>
      </c>
      <c r="AC17" s="86"/>
      <c r="AD17" s="88">
        <v>1.0038899999999999</v>
      </c>
      <c r="AE17" s="86"/>
      <c r="AF17" s="112">
        <v>22.175999999999998</v>
      </c>
      <c r="AG17" s="112">
        <v>50.823999999999998</v>
      </c>
      <c r="AH17" s="112">
        <v>29.567</v>
      </c>
      <c r="AI17" s="112">
        <v>24.937999999999999</v>
      </c>
      <c r="AJ17" s="112">
        <v>28.032</v>
      </c>
      <c r="AK17" s="112">
        <v>19.577000000000002</v>
      </c>
      <c r="AL17" s="112">
        <v>14.875</v>
      </c>
      <c r="AM17" s="112">
        <v>37.582000000000001</v>
      </c>
      <c r="AN17" s="112">
        <v>43.713000000000001</v>
      </c>
      <c r="AO17" s="112">
        <v>33.954999999999998</v>
      </c>
      <c r="AP17" s="112">
        <v>13.843999999999999</v>
      </c>
      <c r="AQ17" s="94"/>
      <c r="AR17" s="112">
        <v>0.12</v>
      </c>
      <c r="AS17" s="112">
        <v>0.12</v>
      </c>
      <c r="AU17" s="105">
        <v>5.4080718626585478</v>
      </c>
      <c r="AV17" s="105">
        <v>0.89737403082087852</v>
      </c>
      <c r="AW17" s="105">
        <v>-0.43864284000000003</v>
      </c>
      <c r="AX17" s="94"/>
      <c r="AY17" s="69">
        <v>2.7583713999999999E-2</v>
      </c>
      <c r="AZ17" s="66" t="s">
        <v>132</v>
      </c>
      <c r="BA17" s="102" t="s">
        <v>132</v>
      </c>
      <c r="BB17" s="94">
        <f t="shared" si="0"/>
        <v>6.3265399082568802E-3</v>
      </c>
      <c r="BC17" s="94"/>
      <c r="BD17" s="94"/>
      <c r="BE17" s="94"/>
      <c r="BF17" s="94"/>
      <c r="BG17" s="94"/>
      <c r="BH17" s="94"/>
      <c r="BI17" s="94"/>
    </row>
    <row r="18" spans="1:61" ht="14.4" x14ac:dyDescent="0.3">
      <c r="A18" s="102" t="s">
        <v>133</v>
      </c>
      <c r="B18" s="105" t="s">
        <v>68</v>
      </c>
      <c r="C18" s="105" t="s">
        <v>121</v>
      </c>
      <c r="D18" s="105" t="s">
        <v>70</v>
      </c>
      <c r="E18" s="105" t="s">
        <v>273</v>
      </c>
      <c r="F18" s="105" t="s">
        <v>12</v>
      </c>
      <c r="G18" s="105">
        <v>3.02</v>
      </c>
      <c r="H18" s="105">
        <v>79</v>
      </c>
      <c r="I18" s="105">
        <v>238.6</v>
      </c>
      <c r="J18" s="105">
        <v>8</v>
      </c>
      <c r="K18" s="105">
        <v>6</v>
      </c>
      <c r="L18" s="105">
        <v>7</v>
      </c>
      <c r="M18" s="105">
        <v>183.62</v>
      </c>
      <c r="N18" s="105"/>
      <c r="O18" s="105">
        <v>14</v>
      </c>
      <c r="P18" s="105">
        <v>16.5</v>
      </c>
      <c r="Q18" s="105" t="s">
        <v>11</v>
      </c>
      <c r="R18" s="94"/>
      <c r="S18" s="112">
        <v>449.29</v>
      </c>
      <c r="T18" s="112">
        <v>619.66</v>
      </c>
      <c r="U18" s="112">
        <v>301.14999999999998</v>
      </c>
      <c r="V18" s="112">
        <v>374.52</v>
      </c>
      <c r="W18" s="112">
        <v>895.1</v>
      </c>
      <c r="X18" s="86"/>
      <c r="Y18" s="112">
        <v>99.311440000000005</v>
      </c>
      <c r="Z18" s="86"/>
      <c r="AA18" s="87">
        <v>0.93264999999999998</v>
      </c>
      <c r="AB18" s="87">
        <v>0.872</v>
      </c>
      <c r="AC18" s="86"/>
      <c r="AD18" s="88">
        <v>0.95633000000000001</v>
      </c>
      <c r="AE18" s="86"/>
      <c r="AF18" s="112">
        <v>28.042000000000002</v>
      </c>
      <c r="AG18" s="112">
        <v>44.723999999999997</v>
      </c>
      <c r="AH18" s="112">
        <v>28.027999999999999</v>
      </c>
      <c r="AI18" s="112">
        <v>31.004999999999999</v>
      </c>
      <c r="AJ18" s="112">
        <v>23.742000000000001</v>
      </c>
      <c r="AK18" s="112">
        <v>19.573</v>
      </c>
      <c r="AL18" s="112">
        <v>22.702999999999999</v>
      </c>
      <c r="AM18" s="112">
        <v>36.521000000000001</v>
      </c>
      <c r="AN18" s="112">
        <v>46.853000000000002</v>
      </c>
      <c r="AO18" s="112">
        <v>32.295000000000002</v>
      </c>
      <c r="AP18" s="112">
        <v>22.805</v>
      </c>
      <c r="AQ18" s="94"/>
      <c r="AR18" s="112">
        <v>0.12</v>
      </c>
      <c r="AS18" s="112">
        <v>0.12</v>
      </c>
      <c r="AU18" s="105">
        <v>5.902000720735626</v>
      </c>
      <c r="AV18" s="105">
        <v>0.8979474647899075</v>
      </c>
      <c r="AW18" s="105">
        <v>0.34434913</v>
      </c>
      <c r="AX18" s="94"/>
      <c r="AY18" s="69">
        <v>2.6023124000000002E-2</v>
      </c>
      <c r="AZ18" s="66" t="s">
        <v>133</v>
      </c>
      <c r="BA18" s="102" t="s">
        <v>133</v>
      </c>
      <c r="BB18" s="94">
        <f t="shared" si="0"/>
        <v>8.616928476821193E-3</v>
      </c>
      <c r="BC18" s="94"/>
      <c r="BD18" s="94"/>
      <c r="BE18" s="94"/>
      <c r="BF18" s="94"/>
      <c r="BG18" s="94"/>
      <c r="BH18" s="94"/>
      <c r="BI18" s="94"/>
    </row>
    <row r="19" spans="1:61" ht="14.4" x14ac:dyDescent="0.3">
      <c r="A19" s="102" t="s">
        <v>134</v>
      </c>
      <c r="B19" s="105" t="s">
        <v>11</v>
      </c>
      <c r="C19" s="105" t="s">
        <v>118</v>
      </c>
      <c r="D19" s="105" t="s">
        <v>68</v>
      </c>
      <c r="E19" s="105" t="s">
        <v>68</v>
      </c>
      <c r="F19" s="105" t="s">
        <v>68</v>
      </c>
      <c r="G19" s="105">
        <v>4.5579999999999998</v>
      </c>
      <c r="H19" s="105">
        <v>67</v>
      </c>
      <c r="I19" s="105">
        <v>305.39999999999998</v>
      </c>
      <c r="J19" s="105">
        <v>13</v>
      </c>
      <c r="K19" s="105">
        <v>11</v>
      </c>
      <c r="L19" s="105">
        <v>8</v>
      </c>
      <c r="M19" s="105">
        <v>191.99</v>
      </c>
      <c r="N19" s="105"/>
      <c r="O19" s="105">
        <v>16</v>
      </c>
      <c r="P19" s="105">
        <v>18.5</v>
      </c>
      <c r="Q19" s="105" t="s">
        <v>121</v>
      </c>
      <c r="R19" s="94"/>
      <c r="S19" s="112">
        <v>271.38</v>
      </c>
      <c r="T19" s="112">
        <v>590.54</v>
      </c>
      <c r="U19" s="112">
        <v>633.87</v>
      </c>
      <c r="V19" s="112">
        <v>689.16</v>
      </c>
      <c r="W19" s="112">
        <v>500.84</v>
      </c>
      <c r="X19" s="86"/>
      <c r="Y19" s="112">
        <v>117.71662000000001</v>
      </c>
      <c r="Z19" s="86"/>
      <c r="AA19" s="87">
        <v>0.84492</v>
      </c>
      <c r="AB19" s="87">
        <v>0.62275999999999998</v>
      </c>
      <c r="AC19" s="86"/>
      <c r="AD19" s="88">
        <v>0.97599999999999998</v>
      </c>
      <c r="AE19" s="86"/>
      <c r="AF19" s="112">
        <v>31.614999999999998</v>
      </c>
      <c r="AG19" s="112">
        <v>36.673999999999999</v>
      </c>
      <c r="AH19" s="112">
        <v>20.213000000000001</v>
      </c>
      <c r="AI19" s="112">
        <v>23.61</v>
      </c>
      <c r="AJ19" s="112">
        <v>23.731000000000002</v>
      </c>
      <c r="AK19" s="112">
        <v>22.876000000000001</v>
      </c>
      <c r="AL19" s="112">
        <v>31.198</v>
      </c>
      <c r="AM19" s="112">
        <v>27.716999999999999</v>
      </c>
      <c r="AN19" s="112">
        <v>52.084000000000003</v>
      </c>
      <c r="AO19" s="112">
        <v>21.954000000000001</v>
      </c>
      <c r="AP19" s="112">
        <v>20.201000000000001</v>
      </c>
      <c r="AQ19" s="94"/>
      <c r="AR19" s="112">
        <v>0.12</v>
      </c>
      <c r="AS19" s="112">
        <v>0.12</v>
      </c>
      <c r="AU19" s="105">
        <v>6.2599615921292511</v>
      </c>
      <c r="AV19" s="105">
        <v>0</v>
      </c>
      <c r="AW19" s="105">
        <v>-0.31474052000000002</v>
      </c>
      <c r="AX19" s="94"/>
      <c r="AY19" s="69">
        <v>3.1812699E-2</v>
      </c>
      <c r="AZ19" s="68" t="s">
        <v>348</v>
      </c>
      <c r="BA19" s="102" t="s">
        <v>134</v>
      </c>
      <c r="BB19" s="94">
        <f t="shared" si="0"/>
        <v>6.9795302764370341E-3</v>
      </c>
      <c r="BC19" s="94"/>
      <c r="BD19" s="94"/>
      <c r="BE19" s="94"/>
      <c r="BF19" s="94"/>
      <c r="BG19" s="94"/>
      <c r="BH19" s="94"/>
      <c r="BI19" s="94"/>
    </row>
    <row r="20" spans="1:61" x14ac:dyDescent="0.25">
      <c r="A20" s="102" t="s">
        <v>279</v>
      </c>
      <c r="B20" s="105" t="s">
        <v>68</v>
      </c>
      <c r="C20" s="105" t="s">
        <v>70</v>
      </c>
      <c r="D20" s="105" t="s">
        <v>68</v>
      </c>
      <c r="E20" s="105" t="s">
        <v>11</v>
      </c>
      <c r="F20" s="105" t="s">
        <v>68</v>
      </c>
      <c r="G20" s="105">
        <v>4.1680000000000001</v>
      </c>
      <c r="H20" s="105">
        <v>74</v>
      </c>
      <c r="I20" s="105">
        <v>308.39999999999998</v>
      </c>
      <c r="J20" s="105">
        <v>8</v>
      </c>
      <c r="K20" s="105">
        <v>15</v>
      </c>
      <c r="L20" s="105">
        <v>7</v>
      </c>
      <c r="M20" s="105">
        <v>0</v>
      </c>
      <c r="N20" s="105"/>
      <c r="O20" s="105">
        <v>15</v>
      </c>
      <c r="P20" s="105">
        <v>13</v>
      </c>
      <c r="Q20" s="105" t="s">
        <v>121</v>
      </c>
      <c r="R20" s="94"/>
      <c r="S20" s="112">
        <v>646.19316000000003</v>
      </c>
      <c r="T20" s="112">
        <v>384.36995999999999</v>
      </c>
      <c r="U20" s="112">
        <v>524.54999999999995</v>
      </c>
      <c r="V20" s="112">
        <v>768.66</v>
      </c>
      <c r="W20" s="112">
        <v>500.29</v>
      </c>
      <c r="X20" s="86"/>
      <c r="Y20" s="112">
        <v>128.81998999999999</v>
      </c>
      <c r="Z20" s="86"/>
      <c r="AA20" s="87">
        <v>0.82138999999999995</v>
      </c>
      <c r="AB20" s="87">
        <v>0</v>
      </c>
      <c r="AC20" s="86"/>
      <c r="AD20" s="88">
        <v>1.0379799999999999</v>
      </c>
      <c r="AE20" s="86"/>
      <c r="AF20" s="112">
        <v>30.623000000000001</v>
      </c>
      <c r="AG20" s="112">
        <v>32.49</v>
      </c>
      <c r="AH20" s="112">
        <v>21.911000000000001</v>
      </c>
      <c r="AI20" s="112">
        <v>20.539000000000001</v>
      </c>
      <c r="AJ20" s="112">
        <v>22.981999999999999</v>
      </c>
      <c r="AK20" s="112">
        <v>29.013000000000002</v>
      </c>
      <c r="AL20" s="112">
        <v>26.166</v>
      </c>
      <c r="AM20" s="112">
        <v>36.009</v>
      </c>
      <c r="AN20" s="112">
        <v>20.850999999999999</v>
      </c>
      <c r="AO20" s="112">
        <v>41.457999999999998</v>
      </c>
      <c r="AP20" s="112">
        <v>17.977</v>
      </c>
      <c r="AQ20" s="94"/>
      <c r="AR20" s="112">
        <v>0.12</v>
      </c>
      <c r="AS20" s="112">
        <v>0.12</v>
      </c>
      <c r="AU20" s="105">
        <v>6.5648895146720774</v>
      </c>
      <c r="AV20" s="105">
        <v>0.99999999999999989</v>
      </c>
      <c r="AW20" s="105">
        <v>1.5334607199999999</v>
      </c>
      <c r="AX20" s="94"/>
      <c r="AY20" s="70">
        <v>2.5000000000000001E-2</v>
      </c>
      <c r="AZ20" s="94"/>
      <c r="BA20" s="102" t="s">
        <v>279</v>
      </c>
      <c r="BB20" s="94">
        <f t="shared" si="0"/>
        <v>5.9980806142034548E-3</v>
      </c>
      <c r="BC20" s="94"/>
      <c r="BD20" s="94"/>
      <c r="BE20" s="94"/>
      <c r="BF20" s="94"/>
      <c r="BG20" s="94"/>
      <c r="BH20" s="94"/>
      <c r="BI20" s="94"/>
    </row>
    <row r="21" spans="1:61" ht="14.4" x14ac:dyDescent="0.3">
      <c r="A21" s="102" t="s">
        <v>135</v>
      </c>
      <c r="B21" s="105" t="s">
        <v>68</v>
      </c>
      <c r="C21" s="105" t="s">
        <v>121</v>
      </c>
      <c r="D21" s="105" t="s">
        <v>63</v>
      </c>
      <c r="E21" s="105" t="s">
        <v>12</v>
      </c>
      <c r="F21" s="105" t="s">
        <v>68</v>
      </c>
      <c r="G21" s="105">
        <v>4.5730000000000004</v>
      </c>
      <c r="H21" s="105">
        <v>67</v>
      </c>
      <c r="I21" s="105">
        <v>306.39999999999998</v>
      </c>
      <c r="J21" s="105">
        <v>12</v>
      </c>
      <c r="K21" s="105">
        <v>9</v>
      </c>
      <c r="L21" s="105">
        <v>11</v>
      </c>
      <c r="M21" s="105">
        <v>238.22</v>
      </c>
      <c r="N21" s="105"/>
      <c r="O21" s="105">
        <v>12</v>
      </c>
      <c r="P21" s="105">
        <v>16.5</v>
      </c>
      <c r="Q21" s="105" t="s">
        <v>12</v>
      </c>
      <c r="R21" s="94"/>
      <c r="S21" s="112">
        <v>444.92</v>
      </c>
      <c r="T21" s="112">
        <v>647.63</v>
      </c>
      <c r="U21" s="112">
        <v>329.61</v>
      </c>
      <c r="V21" s="112">
        <v>789.21</v>
      </c>
      <c r="W21" s="112">
        <v>291.95999999999998</v>
      </c>
      <c r="X21" s="86"/>
      <c r="Y21" s="112">
        <v>-98.195779999999999</v>
      </c>
      <c r="Z21" s="86"/>
      <c r="AA21" s="87">
        <v>0.86929999999999996</v>
      </c>
      <c r="AB21" s="87">
        <v>0.72775000000000001</v>
      </c>
      <c r="AC21" s="86"/>
      <c r="AD21" s="88">
        <v>0.89627999999999997</v>
      </c>
      <c r="AE21" s="86"/>
      <c r="AF21" s="112">
        <v>29.559000000000001</v>
      </c>
      <c r="AG21" s="112">
        <v>61.445999999999998</v>
      </c>
      <c r="AH21" s="112">
        <v>21.081</v>
      </c>
      <c r="AI21" s="112">
        <v>23.004000000000001</v>
      </c>
      <c r="AJ21" s="112">
        <v>23.905999999999999</v>
      </c>
      <c r="AK21" s="112">
        <v>19.978999999999999</v>
      </c>
      <c r="AL21" s="112">
        <v>20.596</v>
      </c>
      <c r="AM21" s="112">
        <v>36.725999999999999</v>
      </c>
      <c r="AN21" s="112">
        <v>50.179000000000002</v>
      </c>
      <c r="AO21" s="112">
        <v>26.146999999999998</v>
      </c>
      <c r="AP21" s="112">
        <v>17.552</v>
      </c>
      <c r="AQ21" s="94"/>
      <c r="AR21" s="112">
        <v>0.12</v>
      </c>
      <c r="AS21" s="112">
        <v>0.12</v>
      </c>
      <c r="AU21" s="105">
        <v>5.8098065082010244</v>
      </c>
      <c r="AV21" s="105">
        <v>0.90544897801264446</v>
      </c>
      <c r="AW21" s="105">
        <v>0.17658744000000001</v>
      </c>
      <c r="AX21" s="94"/>
      <c r="AY21" s="69">
        <v>2.5723365000000002E-2</v>
      </c>
      <c r="AZ21" s="68" t="s">
        <v>135</v>
      </c>
      <c r="BA21" s="102" t="s">
        <v>135</v>
      </c>
      <c r="BB21" s="94">
        <f t="shared" si="0"/>
        <v>5.6250524819593259E-3</v>
      </c>
      <c r="BC21" s="94"/>
      <c r="BD21" s="94"/>
      <c r="BE21" s="94"/>
      <c r="BF21" s="94"/>
      <c r="BG21" s="94"/>
      <c r="BH21" s="94"/>
      <c r="BI21" s="94"/>
    </row>
    <row r="22" spans="1:61" ht="14.4" x14ac:dyDescent="0.3">
      <c r="A22" s="102" t="s">
        <v>136</v>
      </c>
      <c r="B22" s="105" t="s">
        <v>12</v>
      </c>
      <c r="C22" s="105" t="s">
        <v>272</v>
      </c>
      <c r="D22" s="105" t="s">
        <v>68</v>
      </c>
      <c r="E22" s="105" t="s">
        <v>274</v>
      </c>
      <c r="F22" s="105" t="s">
        <v>274</v>
      </c>
      <c r="G22" s="105">
        <v>3.968</v>
      </c>
      <c r="H22" s="105">
        <v>77</v>
      </c>
      <c r="I22" s="105">
        <v>305.5</v>
      </c>
      <c r="J22" s="105">
        <v>7</v>
      </c>
      <c r="K22" s="105">
        <v>10</v>
      </c>
      <c r="L22" s="105">
        <v>13</v>
      </c>
      <c r="M22" s="105">
        <v>190.61</v>
      </c>
      <c r="N22" s="105"/>
      <c r="O22" s="105">
        <v>14</v>
      </c>
      <c r="P22" s="105">
        <v>16.5</v>
      </c>
      <c r="Q22" s="105" t="s">
        <v>273</v>
      </c>
      <c r="R22" s="94"/>
      <c r="S22" s="112">
        <v>853.49</v>
      </c>
      <c r="T22" s="112">
        <v>439.1</v>
      </c>
      <c r="U22" s="112">
        <v>571.55999999999995</v>
      </c>
      <c r="V22" s="112">
        <v>434.45</v>
      </c>
      <c r="W22" s="112">
        <v>416.73</v>
      </c>
      <c r="X22" s="86"/>
      <c r="Y22" s="112">
        <v>62.532499999999999</v>
      </c>
      <c r="Z22" s="86"/>
      <c r="AA22" s="87">
        <v>0.76568000000000003</v>
      </c>
      <c r="AB22" s="87">
        <v>0.64900000000000002</v>
      </c>
      <c r="AC22" s="86"/>
      <c r="AD22" s="88">
        <v>1.07298</v>
      </c>
      <c r="AE22" s="86"/>
      <c r="AF22" s="112">
        <v>25.364000000000001</v>
      </c>
      <c r="AG22" s="112">
        <v>35.664999999999999</v>
      </c>
      <c r="AH22" s="112">
        <v>76.042000000000002</v>
      </c>
      <c r="AI22" s="112">
        <v>69.27</v>
      </c>
      <c r="AJ22" s="112">
        <v>35.475999999999999</v>
      </c>
      <c r="AK22" s="112">
        <v>18.675000000000001</v>
      </c>
      <c r="AL22" s="112">
        <v>15.206</v>
      </c>
      <c r="AM22" s="112">
        <v>48.393999999999998</v>
      </c>
      <c r="AN22" s="112">
        <v>31.478000000000002</v>
      </c>
      <c r="AO22" s="112">
        <v>52.329000000000001</v>
      </c>
      <c r="AP22" s="112">
        <v>12.683</v>
      </c>
      <c r="AQ22" s="94"/>
      <c r="AR22" s="112">
        <v>0.12</v>
      </c>
      <c r="AS22" s="112">
        <v>0.12</v>
      </c>
      <c r="AU22" s="105">
        <v>6.2124529043693295</v>
      </c>
      <c r="AV22" s="105">
        <v>0</v>
      </c>
      <c r="AW22" s="105">
        <v>0.27306092999999998</v>
      </c>
      <c r="AX22" s="94"/>
      <c r="AY22" s="69">
        <v>3.2058758999999999E-2</v>
      </c>
      <c r="AZ22" s="68" t="s">
        <v>349</v>
      </c>
      <c r="BA22" s="102" t="s">
        <v>136</v>
      </c>
      <c r="BB22" s="94">
        <f t="shared" si="0"/>
        <v>8.0793243447580647E-3</v>
      </c>
      <c r="BC22" s="94"/>
      <c r="BD22" s="94"/>
      <c r="BE22" s="94"/>
      <c r="BF22" s="94"/>
      <c r="BG22" s="94"/>
      <c r="BH22" s="94"/>
      <c r="BI22" s="94"/>
    </row>
    <row r="23" spans="1:61" ht="14.4" x14ac:dyDescent="0.3">
      <c r="A23" s="102" t="s">
        <v>137</v>
      </c>
      <c r="B23" s="105" t="s">
        <v>68</v>
      </c>
      <c r="C23" s="105" t="s">
        <v>70</v>
      </c>
      <c r="D23" s="105" t="s">
        <v>68</v>
      </c>
      <c r="E23" s="105" t="s">
        <v>68</v>
      </c>
      <c r="F23" s="105" t="s">
        <v>68</v>
      </c>
      <c r="G23" s="105">
        <v>4.9290000000000003</v>
      </c>
      <c r="H23" s="105">
        <v>62</v>
      </c>
      <c r="I23" s="105">
        <v>305.60000000000002</v>
      </c>
      <c r="J23" s="105">
        <v>12</v>
      </c>
      <c r="K23" s="105">
        <v>13</v>
      </c>
      <c r="L23" s="105">
        <v>9</v>
      </c>
      <c r="M23" s="105">
        <v>215.41</v>
      </c>
      <c r="N23" s="105"/>
      <c r="O23" s="105">
        <v>16</v>
      </c>
      <c r="P23" s="105">
        <v>12</v>
      </c>
      <c r="Q23" s="105" t="s">
        <v>11</v>
      </c>
      <c r="R23" s="94"/>
      <c r="S23" s="112">
        <v>459.77</v>
      </c>
      <c r="T23" s="112">
        <v>599.72</v>
      </c>
      <c r="U23" s="112">
        <v>672.31</v>
      </c>
      <c r="V23" s="112">
        <v>615.44000000000005</v>
      </c>
      <c r="W23" s="112">
        <v>455.84</v>
      </c>
      <c r="X23" s="86"/>
      <c r="Y23" s="112">
        <v>19.18066</v>
      </c>
      <c r="Z23" s="86"/>
      <c r="AA23" s="87">
        <v>0.85660999999999998</v>
      </c>
      <c r="AB23" s="87">
        <v>0.60787999999999998</v>
      </c>
      <c r="AC23" s="86"/>
      <c r="AD23" s="88">
        <v>1.1299999999999999</v>
      </c>
      <c r="AE23" s="86"/>
      <c r="AF23" s="112">
        <v>23.242999999999999</v>
      </c>
      <c r="AG23" s="112">
        <v>40.444000000000003</v>
      </c>
      <c r="AH23" s="112">
        <v>39.130000000000003</v>
      </c>
      <c r="AI23" s="112">
        <v>42.268000000000001</v>
      </c>
      <c r="AJ23" s="112">
        <v>32.052999999999997</v>
      </c>
      <c r="AK23" s="112">
        <v>18.018000000000001</v>
      </c>
      <c r="AL23" s="112">
        <v>20.619</v>
      </c>
      <c r="AM23" s="112">
        <v>38.267000000000003</v>
      </c>
      <c r="AN23" s="112">
        <v>47.406999999999996</v>
      </c>
      <c r="AO23" s="112">
        <v>38.536000000000001</v>
      </c>
      <c r="AP23" s="112">
        <v>19.734999999999999</v>
      </c>
      <c r="AQ23" s="94"/>
      <c r="AR23" s="112">
        <v>0.12</v>
      </c>
      <c r="AS23" s="112">
        <v>0.12</v>
      </c>
      <c r="AU23" s="105">
        <v>8.1448499799987317</v>
      </c>
      <c r="AV23" s="105">
        <v>0.94019254844025235</v>
      </c>
      <c r="AW23" s="105">
        <v>0.54965147999999997</v>
      </c>
      <c r="AX23" s="94"/>
      <c r="AY23" s="69">
        <v>2.8373612999999999E-2</v>
      </c>
      <c r="AZ23" s="67" t="s">
        <v>137</v>
      </c>
      <c r="BA23" s="102" t="s">
        <v>137</v>
      </c>
      <c r="BB23" s="94">
        <f t="shared" si="0"/>
        <v>5.7564643944004864E-3</v>
      </c>
      <c r="BC23" s="94"/>
      <c r="BD23" s="94"/>
      <c r="BE23" s="94"/>
      <c r="BF23" s="94"/>
      <c r="BG23" s="94"/>
      <c r="BH23" s="94"/>
      <c r="BI23" s="94"/>
    </row>
    <row r="24" spans="1:61" ht="14.4" x14ac:dyDescent="0.3">
      <c r="A24" s="102" t="s">
        <v>138</v>
      </c>
      <c r="B24" s="105" t="s">
        <v>11</v>
      </c>
      <c r="C24" s="105" t="s">
        <v>118</v>
      </c>
      <c r="D24" s="105" t="s">
        <v>68</v>
      </c>
      <c r="E24" s="105" t="s">
        <v>12</v>
      </c>
      <c r="F24" s="105" t="s">
        <v>68</v>
      </c>
      <c r="G24" s="105">
        <v>4.2</v>
      </c>
      <c r="H24" s="105">
        <v>73</v>
      </c>
      <c r="I24" s="105">
        <v>306.60000000000002</v>
      </c>
      <c r="J24" s="105">
        <v>10</v>
      </c>
      <c r="K24" s="105">
        <v>9</v>
      </c>
      <c r="L24" s="105">
        <v>11</v>
      </c>
      <c r="M24" s="105">
        <v>208.47</v>
      </c>
      <c r="N24" s="105"/>
      <c r="O24" s="105">
        <v>13</v>
      </c>
      <c r="P24" s="105">
        <v>25.5</v>
      </c>
      <c r="Q24" s="105" t="s">
        <v>12</v>
      </c>
      <c r="R24" s="94"/>
      <c r="S24" s="112">
        <v>207.55</v>
      </c>
      <c r="T24" s="112">
        <v>706.52</v>
      </c>
      <c r="U24" s="112">
        <v>465.52</v>
      </c>
      <c r="V24" s="112">
        <v>648.5</v>
      </c>
      <c r="W24" s="112">
        <v>518.59</v>
      </c>
      <c r="X24" s="86"/>
      <c r="Y24" s="112">
        <v>-35</v>
      </c>
      <c r="Z24" s="86"/>
      <c r="AA24" s="87">
        <v>0.88646000000000003</v>
      </c>
      <c r="AB24" s="89">
        <v>0.71</v>
      </c>
      <c r="AC24" s="86"/>
      <c r="AD24" s="88">
        <v>1.01319</v>
      </c>
      <c r="AE24" s="86"/>
      <c r="AF24" s="112">
        <v>46.165999999999997</v>
      </c>
      <c r="AG24" s="112">
        <v>59.600999999999999</v>
      </c>
      <c r="AH24" s="112">
        <v>27.553999999999998</v>
      </c>
      <c r="AI24" s="112">
        <v>33.988</v>
      </c>
      <c r="AJ24" s="112">
        <v>40.731000000000002</v>
      </c>
      <c r="AK24" s="112">
        <v>37.433</v>
      </c>
      <c r="AL24" s="112">
        <v>18.05</v>
      </c>
      <c r="AM24" s="112">
        <v>46.731999999999999</v>
      </c>
      <c r="AN24" s="112">
        <v>53.591000000000001</v>
      </c>
      <c r="AO24" s="112">
        <v>52.024000000000001</v>
      </c>
      <c r="AP24" s="112">
        <v>15.316000000000001</v>
      </c>
      <c r="AQ24" s="94"/>
      <c r="AR24" s="112">
        <v>0.12</v>
      </c>
      <c r="AS24" s="112">
        <v>0.12</v>
      </c>
      <c r="AU24" s="105">
        <v>4.5837222623610305</v>
      </c>
      <c r="AV24" s="105">
        <v>1</v>
      </c>
      <c r="AW24" s="105">
        <v>-0.78559091000000003</v>
      </c>
      <c r="AX24" s="94"/>
      <c r="AY24" s="69">
        <v>2.9414303999999999E-2</v>
      </c>
      <c r="AZ24" s="66" t="s">
        <v>138</v>
      </c>
      <c r="BA24" s="102" t="s">
        <v>138</v>
      </c>
      <c r="BB24" s="94">
        <f t="shared" si="0"/>
        <v>7.0034057142857138E-3</v>
      </c>
      <c r="BC24" s="94"/>
      <c r="BD24" s="94"/>
      <c r="BE24" s="94"/>
      <c r="BF24" s="94"/>
      <c r="BG24" s="94"/>
      <c r="BH24" s="94"/>
      <c r="BI24" s="94"/>
    </row>
    <row r="25" spans="1:61" ht="14.4" x14ac:dyDescent="0.3">
      <c r="A25" s="102" t="s">
        <v>139</v>
      </c>
      <c r="B25" s="105" t="s">
        <v>11</v>
      </c>
      <c r="C25" s="105" t="s">
        <v>140</v>
      </c>
      <c r="D25" s="105" t="s">
        <v>63</v>
      </c>
      <c r="E25" s="105" t="s">
        <v>273</v>
      </c>
      <c r="F25" s="105" t="s">
        <v>11</v>
      </c>
      <c r="G25" s="105">
        <v>4.0220000000000002</v>
      </c>
      <c r="H25" s="105">
        <v>200</v>
      </c>
      <c r="I25" s="105">
        <v>804.4</v>
      </c>
      <c r="J25" s="105">
        <v>17</v>
      </c>
      <c r="K25" s="105">
        <v>9</v>
      </c>
      <c r="L25" s="105">
        <v>2</v>
      </c>
      <c r="M25" s="105">
        <v>408.42</v>
      </c>
      <c r="N25" s="105"/>
      <c r="O25" s="105">
        <v>4</v>
      </c>
      <c r="P25" s="105">
        <v>45</v>
      </c>
      <c r="Q25" s="105" t="s">
        <v>11</v>
      </c>
      <c r="R25" s="94"/>
      <c r="S25" s="112">
        <v>-58.62</v>
      </c>
      <c r="T25" s="112">
        <v>730.49</v>
      </c>
      <c r="U25" s="112">
        <v>21.69</v>
      </c>
      <c r="V25" s="112">
        <v>901.36</v>
      </c>
      <c r="W25" s="112">
        <v>304.75</v>
      </c>
      <c r="X25" s="86"/>
      <c r="Y25" s="112">
        <v>67.599999999999994</v>
      </c>
      <c r="Z25" s="86"/>
      <c r="AA25" s="87">
        <v>0.90415000000000001</v>
      </c>
      <c r="AB25" s="87">
        <v>0.749</v>
      </c>
      <c r="AC25" s="86"/>
      <c r="AD25" s="88">
        <v>0.99533000000000005</v>
      </c>
      <c r="AE25" s="86"/>
      <c r="AF25" s="112">
        <v>28.952999999999999</v>
      </c>
      <c r="AG25" s="112">
        <v>104.06</v>
      </c>
      <c r="AH25" s="112">
        <v>17.515999999999998</v>
      </c>
      <c r="AI25" s="112">
        <v>20.808</v>
      </c>
      <c r="AJ25" s="112">
        <v>34.491</v>
      </c>
      <c r="AK25" s="112">
        <v>22.376999999999999</v>
      </c>
      <c r="AL25" s="112">
        <v>26.346</v>
      </c>
      <c r="AM25" s="112">
        <v>16.670999999999999</v>
      </c>
      <c r="AN25" s="112">
        <v>11.849</v>
      </c>
      <c r="AO25" s="112">
        <v>31.393999999999998</v>
      </c>
      <c r="AP25" s="112">
        <v>18.808</v>
      </c>
      <c r="AQ25" s="94"/>
      <c r="AR25" s="112">
        <v>0.12</v>
      </c>
      <c r="AS25" s="112">
        <v>0.12</v>
      </c>
      <c r="AU25" s="105">
        <v>4.7907683849649931</v>
      </c>
      <c r="AV25" s="105">
        <v>0.9</v>
      </c>
      <c r="AW25" s="105">
        <v>-1.32743323</v>
      </c>
      <c r="AX25" s="94"/>
      <c r="AY25" s="69">
        <v>1.5756328999999999E-2</v>
      </c>
      <c r="AZ25" s="66" t="s">
        <v>139</v>
      </c>
      <c r="BA25" s="102" t="s">
        <v>139</v>
      </c>
      <c r="BB25" s="94">
        <f t="shared" si="0"/>
        <v>3.9175358030830425E-3</v>
      </c>
      <c r="BC25" s="94"/>
      <c r="BD25" s="94"/>
      <c r="BE25" s="94"/>
      <c r="BF25" s="94"/>
      <c r="BG25" s="94"/>
      <c r="BH25" s="94"/>
      <c r="BI25" s="94"/>
    </row>
    <row r="26" spans="1:61" ht="14.4" x14ac:dyDescent="0.3">
      <c r="A26" s="102" t="s">
        <v>141</v>
      </c>
      <c r="B26" s="105" t="s">
        <v>68</v>
      </c>
      <c r="C26" s="105" t="s">
        <v>121</v>
      </c>
      <c r="D26" s="105" t="s">
        <v>63</v>
      </c>
      <c r="E26" s="105" t="s">
        <v>68</v>
      </c>
      <c r="F26" s="105" t="s">
        <v>68</v>
      </c>
      <c r="G26" s="105">
        <v>4.3079999999999998</v>
      </c>
      <c r="H26" s="105">
        <v>71</v>
      </c>
      <c r="I26" s="105">
        <v>305.89999999999998</v>
      </c>
      <c r="J26" s="105">
        <v>12</v>
      </c>
      <c r="K26" s="105">
        <v>9</v>
      </c>
      <c r="L26" s="105">
        <v>10</v>
      </c>
      <c r="M26" s="105">
        <v>217.49</v>
      </c>
      <c r="N26" s="105"/>
      <c r="O26" s="105">
        <v>14</v>
      </c>
      <c r="P26" s="105">
        <v>18</v>
      </c>
      <c r="Q26" s="105" t="s">
        <v>12</v>
      </c>
      <c r="R26" s="94"/>
      <c r="S26" s="112">
        <v>460.91</v>
      </c>
      <c r="T26" s="112">
        <v>578.03</v>
      </c>
      <c r="U26" s="112">
        <v>555.34</v>
      </c>
      <c r="V26" s="112">
        <v>568.26</v>
      </c>
      <c r="W26" s="112">
        <v>318.88</v>
      </c>
      <c r="X26" s="86"/>
      <c r="Y26" s="112">
        <v>-26.26585</v>
      </c>
      <c r="Z26" s="86"/>
      <c r="AA26" s="87">
        <v>0.84192</v>
      </c>
      <c r="AB26" s="87">
        <v>0.68532999999999999</v>
      </c>
      <c r="AC26" s="86"/>
      <c r="AD26" s="88">
        <v>1.0236700000000001</v>
      </c>
      <c r="AE26" s="86"/>
      <c r="AF26" s="112">
        <v>39.753</v>
      </c>
      <c r="AG26" s="112">
        <v>54.075000000000003</v>
      </c>
      <c r="AH26" s="112">
        <v>31.631</v>
      </c>
      <c r="AI26" s="112">
        <v>23.777000000000001</v>
      </c>
      <c r="AJ26" s="112">
        <v>45.927999999999997</v>
      </c>
      <c r="AK26" s="112">
        <v>23.305</v>
      </c>
      <c r="AL26" s="112">
        <v>21.238</v>
      </c>
      <c r="AM26" s="112">
        <v>32.317</v>
      </c>
      <c r="AN26" s="112">
        <v>57.65</v>
      </c>
      <c r="AO26" s="112">
        <v>40.906999999999996</v>
      </c>
      <c r="AP26" s="112">
        <v>19.765000000000001</v>
      </c>
      <c r="AQ26" s="94"/>
      <c r="AR26" s="112">
        <v>0.12</v>
      </c>
      <c r="AS26" s="112">
        <v>0.12</v>
      </c>
      <c r="AU26" s="105">
        <v>5.3668947126956397</v>
      </c>
      <c r="AV26" s="105">
        <v>0.9</v>
      </c>
      <c r="AW26" s="105">
        <v>0.37425260999999999</v>
      </c>
      <c r="AX26" s="94"/>
      <c r="AY26" s="69">
        <v>2.8127085999999999E-2</v>
      </c>
      <c r="AZ26" s="68" t="s">
        <v>141</v>
      </c>
      <c r="BA26" s="102" t="s">
        <v>141</v>
      </c>
      <c r="BB26" s="94">
        <f t="shared" si="0"/>
        <v>6.5290357474466114E-3</v>
      </c>
      <c r="BC26" s="94"/>
      <c r="BD26" s="94"/>
      <c r="BE26" s="94"/>
      <c r="BF26" s="94"/>
      <c r="BG26" s="94"/>
      <c r="BH26" s="94"/>
      <c r="BI26" s="94"/>
    </row>
    <row r="27" spans="1:61" ht="14.4" x14ac:dyDescent="0.3">
      <c r="A27" s="102" t="s">
        <v>142</v>
      </c>
      <c r="B27" s="105" t="s">
        <v>68</v>
      </c>
      <c r="C27" s="105" t="s">
        <v>118</v>
      </c>
      <c r="D27" s="105" t="s">
        <v>68</v>
      </c>
      <c r="E27" s="105" t="s">
        <v>68</v>
      </c>
      <c r="F27" s="105" t="s">
        <v>12</v>
      </c>
      <c r="G27" s="105">
        <v>3.7160000000000002</v>
      </c>
      <c r="H27" s="105">
        <v>79</v>
      </c>
      <c r="I27" s="105">
        <v>293.60000000000002</v>
      </c>
      <c r="J27" s="105">
        <v>8</v>
      </c>
      <c r="K27" s="105">
        <v>12</v>
      </c>
      <c r="L27" s="105">
        <v>7</v>
      </c>
      <c r="M27" s="105">
        <v>168.61</v>
      </c>
      <c r="N27" s="105"/>
      <c r="O27" s="105">
        <v>12</v>
      </c>
      <c r="P27" s="105">
        <v>14</v>
      </c>
      <c r="Q27" s="105" t="s">
        <v>12</v>
      </c>
      <c r="R27" s="94"/>
      <c r="S27" s="112">
        <v>680.12</v>
      </c>
      <c r="T27" s="112">
        <v>470.29</v>
      </c>
      <c r="U27" s="112">
        <v>626.79</v>
      </c>
      <c r="V27" s="112">
        <v>620.22</v>
      </c>
      <c r="W27" s="112">
        <v>536.54999999999995</v>
      </c>
      <c r="X27" s="86"/>
      <c r="Y27" s="112">
        <v>15.462910000000001</v>
      </c>
      <c r="Z27" s="86"/>
      <c r="AA27" s="87">
        <v>0.84157999999999999</v>
      </c>
      <c r="AB27" s="89">
        <v>0</v>
      </c>
      <c r="AC27" s="86"/>
      <c r="AD27" s="88">
        <v>0.95948</v>
      </c>
      <c r="AE27" s="86"/>
      <c r="AF27" s="112">
        <v>27.620999999999999</v>
      </c>
      <c r="AG27" s="112">
        <v>49.493000000000002</v>
      </c>
      <c r="AH27" s="112">
        <v>43.475999999999999</v>
      </c>
      <c r="AI27" s="112">
        <v>41.082000000000001</v>
      </c>
      <c r="AJ27" s="112">
        <v>36.094999999999999</v>
      </c>
      <c r="AK27" s="112">
        <v>32.405000000000001</v>
      </c>
      <c r="AL27" s="112">
        <v>35.082999999999998</v>
      </c>
      <c r="AM27" s="112">
        <v>44.109000000000002</v>
      </c>
      <c r="AN27" s="112">
        <v>52.298999999999999</v>
      </c>
      <c r="AO27" s="112">
        <v>34.093000000000004</v>
      </c>
      <c r="AP27" s="112">
        <v>20.332000000000001</v>
      </c>
      <c r="AQ27" s="94"/>
      <c r="AR27" s="112">
        <v>0.12</v>
      </c>
      <c r="AS27" s="112">
        <v>0.12</v>
      </c>
      <c r="AU27" s="105">
        <v>6.0042046102107189</v>
      </c>
      <c r="AV27" s="105">
        <v>0.90022259341926325</v>
      </c>
      <c r="AW27" s="105">
        <v>6.5690600000000002E-2</v>
      </c>
      <c r="AX27" s="94"/>
      <c r="AY27" s="69">
        <v>3.4821658999999998E-2</v>
      </c>
      <c r="AZ27" s="67" t="s">
        <v>142</v>
      </c>
      <c r="BA27" s="102" t="s">
        <v>142</v>
      </c>
      <c r="BB27" s="94">
        <f t="shared" si="0"/>
        <v>9.370737082884821E-3</v>
      </c>
      <c r="BC27" s="94"/>
      <c r="BD27" s="94"/>
      <c r="BE27" s="94"/>
      <c r="BF27" s="94"/>
      <c r="BG27" s="94"/>
      <c r="BH27" s="94"/>
      <c r="BI27" s="94"/>
    </row>
    <row r="28" spans="1:61" ht="14.4" x14ac:dyDescent="0.3">
      <c r="A28" s="102" t="s">
        <v>143</v>
      </c>
      <c r="B28" s="105" t="s">
        <v>68</v>
      </c>
      <c r="C28" s="105" t="s">
        <v>121</v>
      </c>
      <c r="D28" s="105" t="s">
        <v>68</v>
      </c>
      <c r="E28" s="105" t="s">
        <v>68</v>
      </c>
      <c r="F28" s="105" t="s">
        <v>68</v>
      </c>
      <c r="G28" s="105">
        <v>5.3339999999999996</v>
      </c>
      <c r="H28" s="105">
        <v>58</v>
      </c>
      <c r="I28" s="105">
        <v>309.39999999999998</v>
      </c>
      <c r="J28" s="105">
        <v>13</v>
      </c>
      <c r="K28" s="105">
        <v>10</v>
      </c>
      <c r="L28" s="105">
        <v>14</v>
      </c>
      <c r="M28" s="105">
        <v>227.29</v>
      </c>
      <c r="N28" s="105"/>
      <c r="O28" s="105">
        <v>14</v>
      </c>
      <c r="P28" s="105">
        <v>16</v>
      </c>
      <c r="Q28" s="105" t="s">
        <v>12</v>
      </c>
      <c r="R28" s="94"/>
      <c r="S28" s="112">
        <v>387.85</v>
      </c>
      <c r="T28" s="112">
        <v>544.46</v>
      </c>
      <c r="U28" s="112">
        <v>700.97</v>
      </c>
      <c r="V28" s="112">
        <v>543.97</v>
      </c>
      <c r="W28" s="112">
        <v>636.53</v>
      </c>
      <c r="X28" s="86"/>
      <c r="Y28" s="112">
        <v>118.92</v>
      </c>
      <c r="Z28" s="86"/>
      <c r="AA28" s="87">
        <v>0.85599000000000003</v>
      </c>
      <c r="AB28" s="87">
        <v>0.69399999999999995</v>
      </c>
      <c r="AC28" s="86"/>
      <c r="AD28" s="88">
        <v>1.1164700000000001</v>
      </c>
      <c r="AE28" s="86"/>
      <c r="AF28" s="112">
        <v>27.297999999999998</v>
      </c>
      <c r="AG28" s="112">
        <v>29.742999999999999</v>
      </c>
      <c r="AH28" s="112">
        <v>17.294</v>
      </c>
      <c r="AI28" s="112">
        <v>19.402000000000001</v>
      </c>
      <c r="AJ28" s="112">
        <v>20.073</v>
      </c>
      <c r="AK28" s="112">
        <v>20.844000000000001</v>
      </c>
      <c r="AL28" s="112">
        <v>26.818999999999999</v>
      </c>
      <c r="AM28" s="112">
        <v>21.298999999999999</v>
      </c>
      <c r="AN28" s="112">
        <v>44.756</v>
      </c>
      <c r="AO28" s="112">
        <v>19.763999999999999</v>
      </c>
      <c r="AP28" s="112">
        <v>17.077999999999999</v>
      </c>
      <c r="AQ28" s="94"/>
      <c r="AR28" s="112">
        <v>0.12</v>
      </c>
      <c r="AS28" s="112">
        <v>0.12</v>
      </c>
      <c r="AU28" s="105">
        <v>5.1209240305442547</v>
      </c>
      <c r="AV28" s="105">
        <v>0.89999099116309633</v>
      </c>
      <c r="AW28" s="105">
        <v>-0.39516055</v>
      </c>
      <c r="AX28" s="94"/>
      <c r="AY28" s="69">
        <v>2.5000000000000001E-2</v>
      </c>
      <c r="AZ28" s="67" t="s">
        <v>286</v>
      </c>
      <c r="BA28" s="102" t="s">
        <v>143</v>
      </c>
      <c r="BB28" s="94">
        <f t="shared" si="0"/>
        <v>4.6869141357330337E-3</v>
      </c>
      <c r="BC28" s="94"/>
      <c r="BD28" s="94"/>
      <c r="BE28" s="94"/>
      <c r="BF28" s="94"/>
      <c r="BG28" s="94"/>
      <c r="BH28" s="94"/>
      <c r="BI28" s="94"/>
    </row>
    <row r="29" spans="1:61" s="94" customFormat="1" ht="14.4" x14ac:dyDescent="0.3">
      <c r="A29" s="122" t="s">
        <v>434</v>
      </c>
      <c r="B29" s="126" t="s">
        <v>11</v>
      </c>
      <c r="C29" s="126" t="s">
        <v>121</v>
      </c>
      <c r="D29" s="126" t="s">
        <v>68</v>
      </c>
      <c r="E29" s="126" t="s">
        <v>273</v>
      </c>
      <c r="F29" s="126" t="s">
        <v>12</v>
      </c>
      <c r="G29" s="126">
        <v>6.1740000000000004</v>
      </c>
      <c r="H29" s="126">
        <v>50</v>
      </c>
      <c r="I29" s="126">
        <v>308.7</v>
      </c>
      <c r="J29" s="126">
        <v>20</v>
      </c>
      <c r="K29" s="126">
        <v>12</v>
      </c>
      <c r="L29" s="126">
        <v>11</v>
      </c>
      <c r="M29" s="126"/>
      <c r="N29" s="126"/>
      <c r="O29" s="126">
        <v>27</v>
      </c>
      <c r="P29" s="126">
        <v>21</v>
      </c>
      <c r="Q29" s="126" t="s">
        <v>121</v>
      </c>
      <c r="S29" s="126">
        <v>222.32285388411597</v>
      </c>
      <c r="T29" s="126">
        <v>424.45599281256773</v>
      </c>
      <c r="U29" s="126">
        <v>616.53199999999993</v>
      </c>
      <c r="V29" s="126">
        <v>624</v>
      </c>
      <c r="W29" s="126">
        <v>387.01</v>
      </c>
      <c r="X29" s="86"/>
      <c r="Y29" s="126">
        <v>25</v>
      </c>
      <c r="Z29" s="86"/>
      <c r="AA29" s="87">
        <v>0.91069999999999995</v>
      </c>
      <c r="AB29" s="87">
        <v>0</v>
      </c>
      <c r="AC29" s="86"/>
      <c r="AD29" s="88">
        <v>1.01</v>
      </c>
      <c r="AE29" s="86"/>
      <c r="AF29" s="126">
        <v>25</v>
      </c>
      <c r="AG29" s="126">
        <v>45</v>
      </c>
      <c r="AH29" s="126">
        <v>21</v>
      </c>
      <c r="AI29" s="126">
        <v>20.5</v>
      </c>
      <c r="AJ29" s="126">
        <v>13</v>
      </c>
      <c r="AK29" s="126">
        <v>13</v>
      </c>
      <c r="AL29" s="126">
        <v>37</v>
      </c>
      <c r="AM29" s="126">
        <v>25</v>
      </c>
      <c r="AN29" s="126">
        <v>30.5</v>
      </c>
      <c r="AO29" s="126">
        <v>23</v>
      </c>
      <c r="AP29" s="126">
        <v>14.3</v>
      </c>
      <c r="AR29" s="126">
        <v>0.12</v>
      </c>
      <c r="AS29" s="126">
        <v>0.12</v>
      </c>
      <c r="AU29" s="126">
        <v>1</v>
      </c>
      <c r="AV29" s="126">
        <v>1</v>
      </c>
      <c r="AW29" s="126">
        <v>1</v>
      </c>
      <c r="AY29" s="69"/>
      <c r="AZ29" s="67"/>
      <c r="BA29" s="122"/>
    </row>
    <row r="30" spans="1:61" ht="14.4" x14ac:dyDescent="0.3">
      <c r="A30" s="102" t="s">
        <v>144</v>
      </c>
      <c r="B30" s="105" t="s">
        <v>68</v>
      </c>
      <c r="C30" s="105" t="s">
        <v>70</v>
      </c>
      <c r="D30" s="105" t="s">
        <v>63</v>
      </c>
      <c r="E30" s="105" t="s">
        <v>12</v>
      </c>
      <c r="F30" s="105" t="s">
        <v>273</v>
      </c>
      <c r="G30" s="105">
        <v>4.4409999999999998</v>
      </c>
      <c r="H30" s="105">
        <v>69</v>
      </c>
      <c r="I30" s="105">
        <v>306.39999999999998</v>
      </c>
      <c r="J30" s="105">
        <v>8</v>
      </c>
      <c r="K30" s="105">
        <v>16</v>
      </c>
      <c r="L30" s="105">
        <v>8</v>
      </c>
      <c r="M30" s="105">
        <v>199.89</v>
      </c>
      <c r="N30" s="105"/>
      <c r="O30" s="105">
        <v>14</v>
      </c>
      <c r="P30" s="105">
        <v>18</v>
      </c>
      <c r="Q30" s="105" t="s">
        <v>11</v>
      </c>
      <c r="R30" s="94"/>
      <c r="S30" s="112">
        <v>717.6</v>
      </c>
      <c r="T30" s="112">
        <v>608.07000000000005</v>
      </c>
      <c r="U30" s="112">
        <v>626.86</v>
      </c>
      <c r="V30" s="112">
        <v>701.3</v>
      </c>
      <c r="W30" s="112">
        <v>321.26</v>
      </c>
      <c r="X30" s="86"/>
      <c r="Y30" s="112">
        <v>143.32667000000001</v>
      </c>
      <c r="Z30" s="86"/>
      <c r="AA30" s="87">
        <v>0.87795000000000001</v>
      </c>
      <c r="AB30" s="87">
        <v>0.60233000000000003</v>
      </c>
      <c r="AC30" s="86"/>
      <c r="AD30" s="88">
        <v>1.0169999999999999</v>
      </c>
      <c r="AE30" s="86"/>
      <c r="AF30" s="112">
        <v>36.689</v>
      </c>
      <c r="AG30" s="112">
        <v>57.136000000000003</v>
      </c>
      <c r="AH30" s="112">
        <v>38.049999999999997</v>
      </c>
      <c r="AI30" s="112">
        <v>41.692999999999998</v>
      </c>
      <c r="AJ30" s="112">
        <v>34.457000000000001</v>
      </c>
      <c r="AK30" s="112">
        <v>29.923999999999999</v>
      </c>
      <c r="AL30" s="112">
        <v>20.888999999999999</v>
      </c>
      <c r="AM30" s="112">
        <v>32.790999999999997</v>
      </c>
      <c r="AN30" s="112">
        <v>50.798999999999999</v>
      </c>
      <c r="AO30" s="112">
        <v>47.78</v>
      </c>
      <c r="AP30" s="112">
        <v>23.664000000000001</v>
      </c>
      <c r="AQ30" s="94"/>
      <c r="AR30" s="112">
        <v>0.12</v>
      </c>
      <c r="AS30" s="112">
        <v>0.12</v>
      </c>
      <c r="AU30" s="105">
        <v>6.3741938984745925</v>
      </c>
      <c r="AV30" s="105">
        <v>0.9005520520306709</v>
      </c>
      <c r="AW30" s="105">
        <v>0.49832751000000003</v>
      </c>
      <c r="AX30" s="94"/>
      <c r="AY30" s="69">
        <v>3.0659763E-2</v>
      </c>
      <c r="AZ30" s="68" t="s">
        <v>144</v>
      </c>
      <c r="BA30" s="102" t="s">
        <v>144</v>
      </c>
      <c r="BB30" s="94">
        <f t="shared" si="0"/>
        <v>6.9037971177662687E-3</v>
      </c>
      <c r="BC30" s="94"/>
      <c r="BD30" s="94"/>
      <c r="BE30" s="94"/>
      <c r="BF30" s="94"/>
      <c r="BG30" s="94"/>
      <c r="BH30" s="94"/>
      <c r="BI30" s="94"/>
    </row>
    <row r="31" spans="1:61" x14ac:dyDescent="0.25">
      <c r="A31" s="102" t="s">
        <v>280</v>
      </c>
      <c r="B31" s="105" t="s">
        <v>12</v>
      </c>
      <c r="C31" s="105" t="s">
        <v>121</v>
      </c>
      <c r="D31" s="105" t="s">
        <v>68</v>
      </c>
      <c r="E31" s="105" t="s">
        <v>11</v>
      </c>
      <c r="F31" s="105" t="s">
        <v>12</v>
      </c>
      <c r="G31" s="105">
        <v>2.2999999999999998</v>
      </c>
      <c r="H31" s="105">
        <v>136</v>
      </c>
      <c r="I31" s="105">
        <v>312.8</v>
      </c>
      <c r="J31" s="105">
        <v>5</v>
      </c>
      <c r="K31" s="105">
        <v>9</v>
      </c>
      <c r="L31" s="105">
        <v>4</v>
      </c>
      <c r="M31" s="105">
        <v>0</v>
      </c>
      <c r="N31" s="105"/>
      <c r="O31" s="105">
        <v>20</v>
      </c>
      <c r="P31" s="105">
        <v>19.5</v>
      </c>
      <c r="Q31" s="105" t="s">
        <v>121</v>
      </c>
      <c r="R31" s="94"/>
      <c r="S31" s="112">
        <v>769.65535999999997</v>
      </c>
      <c r="T31" s="112">
        <v>414.12542000000002</v>
      </c>
      <c r="U31" s="112">
        <v>556.76</v>
      </c>
      <c r="V31" s="112">
        <v>743.56</v>
      </c>
      <c r="W31" s="112">
        <v>524.72</v>
      </c>
      <c r="X31" s="86"/>
      <c r="Y31" s="112">
        <v>106.92562</v>
      </c>
      <c r="Z31" s="86"/>
      <c r="AA31" s="87">
        <v>0.82601999999999998</v>
      </c>
      <c r="AB31" s="89">
        <v>0</v>
      </c>
      <c r="AC31" s="86"/>
      <c r="AD31" s="88">
        <v>0.98582000000000003</v>
      </c>
      <c r="AE31" s="86"/>
      <c r="AF31" s="112">
        <v>13.519</v>
      </c>
      <c r="AG31" s="112">
        <v>21.747</v>
      </c>
      <c r="AH31" s="112">
        <v>28.739000000000001</v>
      </c>
      <c r="AI31" s="112">
        <v>27.259</v>
      </c>
      <c r="AJ31" s="112">
        <v>12.183</v>
      </c>
      <c r="AK31" s="112">
        <v>10.82</v>
      </c>
      <c r="AL31" s="112">
        <v>9.3960000000000008</v>
      </c>
      <c r="AM31" s="112">
        <v>23.120999999999999</v>
      </c>
      <c r="AN31" s="112">
        <v>32.997999999999998</v>
      </c>
      <c r="AO31" s="112">
        <v>14.904999999999999</v>
      </c>
      <c r="AP31" s="112">
        <v>13.353999999999999</v>
      </c>
      <c r="AQ31" s="94"/>
      <c r="AR31" s="112">
        <v>0.12</v>
      </c>
      <c r="AS31" s="112">
        <v>0.12</v>
      </c>
      <c r="AU31" s="105">
        <v>4.1100121278689778</v>
      </c>
      <c r="AV31" s="105">
        <v>0.77691662630054137</v>
      </c>
      <c r="AW31" s="105">
        <v>0.78504622000000002</v>
      </c>
      <c r="AX31" s="94"/>
      <c r="AY31" s="70">
        <v>1.4999999999999999E-2</v>
      </c>
      <c r="AZ31" s="94"/>
      <c r="BA31" s="102" t="s">
        <v>280</v>
      </c>
      <c r="BB31" s="94">
        <f t="shared" si="0"/>
        <v>6.5217391304347831E-3</v>
      </c>
      <c r="BC31" s="94"/>
      <c r="BD31" s="94"/>
      <c r="BE31" s="94"/>
      <c r="BF31" s="94"/>
      <c r="BG31" s="94"/>
      <c r="BH31" s="94"/>
      <c r="BI31" s="94"/>
    </row>
    <row r="32" spans="1:61" ht="14.4" x14ac:dyDescent="0.3">
      <c r="A32" s="102" t="s">
        <v>145</v>
      </c>
      <c r="B32" s="105" t="s">
        <v>68</v>
      </c>
      <c r="C32" s="105" t="s">
        <v>121</v>
      </c>
      <c r="D32" s="105" t="s">
        <v>68</v>
      </c>
      <c r="E32" s="105" t="s">
        <v>68</v>
      </c>
      <c r="F32" s="105" t="s">
        <v>12</v>
      </c>
      <c r="G32" s="105">
        <v>3.3010000000000002</v>
      </c>
      <c r="H32" s="105">
        <v>80</v>
      </c>
      <c r="I32" s="105">
        <v>264.10000000000002</v>
      </c>
      <c r="J32" s="105">
        <v>9</v>
      </c>
      <c r="K32" s="105">
        <v>10</v>
      </c>
      <c r="L32" s="105">
        <v>5</v>
      </c>
      <c r="M32" s="105">
        <v>181.6</v>
      </c>
      <c r="N32" s="105"/>
      <c r="O32" s="105">
        <v>10</v>
      </c>
      <c r="P32" s="105">
        <v>11</v>
      </c>
      <c r="Q32" s="105" t="s">
        <v>11</v>
      </c>
      <c r="R32" s="94"/>
      <c r="S32" s="112">
        <v>387.37</v>
      </c>
      <c r="T32" s="112">
        <v>635.16999999999996</v>
      </c>
      <c r="U32" s="112">
        <v>515.41999999999996</v>
      </c>
      <c r="V32" s="112">
        <v>685</v>
      </c>
      <c r="W32" s="112">
        <v>362.96</v>
      </c>
      <c r="X32" s="86"/>
      <c r="Y32" s="112">
        <v>91.1</v>
      </c>
      <c r="Z32" s="86"/>
      <c r="AA32" s="87">
        <v>0.84609000000000001</v>
      </c>
      <c r="AB32" s="87">
        <v>0.76485000000000003</v>
      </c>
      <c r="AC32" s="86"/>
      <c r="AD32" s="88">
        <v>1.0395300000000001</v>
      </c>
      <c r="AE32" s="86"/>
      <c r="AF32" s="112">
        <v>24.484999999999999</v>
      </c>
      <c r="AG32" s="112">
        <v>41.33</v>
      </c>
      <c r="AH32" s="112">
        <v>29.170999999999999</v>
      </c>
      <c r="AI32" s="112">
        <v>25.863</v>
      </c>
      <c r="AJ32" s="112">
        <v>30.547999999999998</v>
      </c>
      <c r="AK32" s="112">
        <v>20.882999999999999</v>
      </c>
      <c r="AL32" s="112">
        <v>14.686999999999999</v>
      </c>
      <c r="AM32" s="112">
        <v>21.75</v>
      </c>
      <c r="AN32" s="112">
        <v>13.329000000000001</v>
      </c>
      <c r="AO32" s="112">
        <v>44.143000000000001</v>
      </c>
      <c r="AP32" s="112">
        <v>13.048999999999999</v>
      </c>
      <c r="AQ32" s="94"/>
      <c r="AR32" s="112">
        <v>0.12</v>
      </c>
      <c r="AS32" s="112">
        <v>0.12</v>
      </c>
      <c r="AU32" s="105">
        <v>7.0606539505295567</v>
      </c>
      <c r="AV32" s="105">
        <v>2.0082619124073886E-2</v>
      </c>
      <c r="AW32" s="105">
        <v>0.89440587000000005</v>
      </c>
      <c r="AX32" s="94"/>
      <c r="AY32" s="69">
        <v>3.3259445999999998E-2</v>
      </c>
      <c r="AZ32" s="67" t="s">
        <v>350</v>
      </c>
      <c r="BA32" s="102" t="s">
        <v>145</v>
      </c>
      <c r="BB32" s="94">
        <f t="shared" si="0"/>
        <v>1.0075566797940017E-2</v>
      </c>
      <c r="BC32" s="94"/>
      <c r="BD32" s="94"/>
      <c r="BE32" s="94"/>
      <c r="BF32" s="94"/>
      <c r="BG32" s="94"/>
      <c r="BH32" s="94"/>
      <c r="BI32" s="94"/>
    </row>
    <row r="33" spans="1:61" ht="14.4" x14ac:dyDescent="0.3">
      <c r="A33" s="102" t="s">
        <v>146</v>
      </c>
      <c r="B33" s="105" t="s">
        <v>12</v>
      </c>
      <c r="C33" s="105" t="s">
        <v>70</v>
      </c>
      <c r="D33" s="105" t="s">
        <v>70</v>
      </c>
      <c r="E33" s="105" t="s">
        <v>274</v>
      </c>
      <c r="F33" s="105" t="s">
        <v>68</v>
      </c>
      <c r="G33" s="105">
        <v>4.2610000000000001</v>
      </c>
      <c r="H33" s="105">
        <v>72</v>
      </c>
      <c r="I33" s="105">
        <v>306.8</v>
      </c>
      <c r="J33" s="105">
        <v>9</v>
      </c>
      <c r="K33" s="105">
        <v>12</v>
      </c>
      <c r="L33" s="105">
        <v>9</v>
      </c>
      <c r="M33" s="105">
        <v>231.38</v>
      </c>
      <c r="N33" s="105"/>
      <c r="O33" s="105">
        <v>14</v>
      </c>
      <c r="P33" s="105">
        <v>15</v>
      </c>
      <c r="Q33" s="105" t="s">
        <v>274</v>
      </c>
      <c r="R33" s="94"/>
      <c r="S33" s="112">
        <v>777.15</v>
      </c>
      <c r="T33" s="112">
        <v>534.29999999999995</v>
      </c>
      <c r="U33" s="112">
        <v>557.47</v>
      </c>
      <c r="V33" s="112">
        <v>528.95000000000005</v>
      </c>
      <c r="W33" s="112">
        <v>749.84</v>
      </c>
      <c r="X33" s="86"/>
      <c r="Y33" s="112">
        <v>206.85</v>
      </c>
      <c r="Z33" s="86"/>
      <c r="AA33" s="87">
        <v>0.79922000000000004</v>
      </c>
      <c r="AB33" s="89">
        <v>0.63478000000000001</v>
      </c>
      <c r="AC33" s="86"/>
      <c r="AD33" s="88">
        <v>1.02593</v>
      </c>
      <c r="AE33" s="86"/>
      <c r="AF33" s="112">
        <v>22.824999999999999</v>
      </c>
      <c r="AG33" s="112">
        <v>33.527999999999999</v>
      </c>
      <c r="AH33" s="112">
        <v>35.523000000000003</v>
      </c>
      <c r="AI33" s="112">
        <v>39.598999999999997</v>
      </c>
      <c r="AJ33" s="112">
        <v>20.484000000000002</v>
      </c>
      <c r="AK33" s="112">
        <v>18.295999999999999</v>
      </c>
      <c r="AL33" s="112">
        <v>32.447000000000003</v>
      </c>
      <c r="AM33" s="112">
        <v>45.93</v>
      </c>
      <c r="AN33" s="112">
        <v>27.995999999999999</v>
      </c>
      <c r="AO33" s="112">
        <v>24.088999999999999</v>
      </c>
      <c r="AP33" s="112">
        <v>21.452000000000002</v>
      </c>
      <c r="AQ33" s="94"/>
      <c r="AR33" s="112">
        <v>0.12</v>
      </c>
      <c r="AS33" s="112">
        <v>0.12</v>
      </c>
      <c r="AU33" s="105">
        <v>6.4746969208002465</v>
      </c>
      <c r="AV33" s="105">
        <v>0.90005194760997087</v>
      </c>
      <c r="AW33" s="105">
        <v>0.40508811</v>
      </c>
      <c r="AX33" s="94"/>
      <c r="AY33" s="69">
        <v>2.6646284999999999E-2</v>
      </c>
      <c r="AZ33" s="68" t="s">
        <v>146</v>
      </c>
      <c r="BA33" s="102" t="s">
        <v>146</v>
      </c>
      <c r="BB33" s="94">
        <f t="shared" si="0"/>
        <v>6.2535285144332308E-3</v>
      </c>
      <c r="BC33" s="94"/>
      <c r="BD33" s="94"/>
      <c r="BE33" s="94"/>
      <c r="BF33" s="94"/>
      <c r="BG33" s="94"/>
      <c r="BH33" s="94"/>
      <c r="BI33" s="94"/>
    </row>
    <row r="34" spans="1:61" ht="14.4" x14ac:dyDescent="0.3">
      <c r="A34" s="102" t="s">
        <v>147</v>
      </c>
      <c r="B34" s="105" t="s">
        <v>68</v>
      </c>
      <c r="C34" s="105" t="s">
        <v>118</v>
      </c>
      <c r="D34" s="105" t="s">
        <v>63</v>
      </c>
      <c r="E34" s="105" t="s">
        <v>273</v>
      </c>
      <c r="F34" s="105" t="s">
        <v>12</v>
      </c>
      <c r="G34" s="105">
        <v>3.601</v>
      </c>
      <c r="H34" s="105">
        <v>79</v>
      </c>
      <c r="I34" s="105">
        <v>284.5</v>
      </c>
      <c r="J34" s="105">
        <v>11</v>
      </c>
      <c r="K34" s="105">
        <v>8</v>
      </c>
      <c r="L34" s="105">
        <v>7</v>
      </c>
      <c r="M34" s="105">
        <v>180.7</v>
      </c>
      <c r="N34" s="105"/>
      <c r="O34" s="105">
        <v>11</v>
      </c>
      <c r="P34" s="105">
        <v>16.7</v>
      </c>
      <c r="Q34" s="105" t="s">
        <v>274</v>
      </c>
      <c r="R34" s="94"/>
      <c r="S34" s="112">
        <v>481.06</v>
      </c>
      <c r="T34" s="112">
        <v>401.03</v>
      </c>
      <c r="U34" s="112">
        <v>585.51</v>
      </c>
      <c r="V34" s="112">
        <v>619.45000000000005</v>
      </c>
      <c r="W34" s="112">
        <v>50.81</v>
      </c>
      <c r="X34" s="86"/>
      <c r="Y34" s="112">
        <v>-87.515339999999995</v>
      </c>
      <c r="Z34" s="86"/>
      <c r="AA34" s="87">
        <v>0.89805000000000001</v>
      </c>
      <c r="AB34" s="87">
        <v>0.751</v>
      </c>
      <c r="AC34" s="86"/>
      <c r="AD34" s="88">
        <v>1.02258</v>
      </c>
      <c r="AE34" s="86"/>
      <c r="AF34" s="112">
        <v>30.149000000000001</v>
      </c>
      <c r="AG34" s="112">
        <v>37.567</v>
      </c>
      <c r="AH34" s="112">
        <v>26.36</v>
      </c>
      <c r="AI34" s="112">
        <v>17.552</v>
      </c>
      <c r="AJ34" s="112">
        <v>17.187999999999999</v>
      </c>
      <c r="AK34" s="112">
        <v>15.804</v>
      </c>
      <c r="AL34" s="112">
        <v>24.428999999999998</v>
      </c>
      <c r="AM34" s="112">
        <v>39.460999999999999</v>
      </c>
      <c r="AN34" s="112">
        <v>43.061999999999998</v>
      </c>
      <c r="AO34" s="112">
        <v>34.92</v>
      </c>
      <c r="AP34" s="112">
        <v>9.33</v>
      </c>
      <c r="AQ34" s="94"/>
      <c r="AR34" s="112">
        <v>0.12</v>
      </c>
      <c r="AS34" s="112">
        <v>0.12</v>
      </c>
      <c r="AU34" s="105">
        <v>5.574493516556287</v>
      </c>
      <c r="AV34" s="105">
        <v>0.90004008093871324</v>
      </c>
      <c r="AW34" s="105">
        <v>-0.24924618000000001</v>
      </c>
      <c r="AX34" s="94"/>
      <c r="AY34" s="69">
        <v>3.1486330999999999E-2</v>
      </c>
      <c r="AZ34" s="68" t="s">
        <v>351</v>
      </c>
      <c r="BA34" s="102" t="s">
        <v>147</v>
      </c>
      <c r="BB34" s="94">
        <f t="shared" si="0"/>
        <v>8.7437742293807273E-3</v>
      </c>
      <c r="BC34" s="94"/>
      <c r="BD34" s="94"/>
      <c r="BE34" s="94"/>
      <c r="BF34" s="94"/>
      <c r="BG34" s="94"/>
      <c r="BH34" s="94"/>
      <c r="BI34" s="94"/>
    </row>
    <row r="35" spans="1:61" ht="14.4" x14ac:dyDescent="0.3">
      <c r="A35" s="102" t="s">
        <v>148</v>
      </c>
      <c r="B35" s="105" t="s">
        <v>68</v>
      </c>
      <c r="C35" s="105" t="s">
        <v>70</v>
      </c>
      <c r="D35" s="105" t="s">
        <v>68</v>
      </c>
      <c r="E35" s="105" t="s">
        <v>68</v>
      </c>
      <c r="F35" s="105" t="s">
        <v>68</v>
      </c>
      <c r="G35" s="105">
        <v>4.2469999999999999</v>
      </c>
      <c r="H35" s="105">
        <v>72</v>
      </c>
      <c r="I35" s="105">
        <v>305.8</v>
      </c>
      <c r="J35" s="105">
        <v>12</v>
      </c>
      <c r="K35" s="105">
        <v>8</v>
      </c>
      <c r="L35" s="105">
        <v>11</v>
      </c>
      <c r="M35" s="105">
        <v>208.84</v>
      </c>
      <c r="N35" s="105"/>
      <c r="O35" s="105">
        <v>14</v>
      </c>
      <c r="P35" s="105">
        <v>18</v>
      </c>
      <c r="Q35" s="105" t="s">
        <v>12</v>
      </c>
      <c r="R35" s="94"/>
      <c r="S35" s="112">
        <v>453.62</v>
      </c>
      <c r="T35" s="112">
        <v>564.80999999999995</v>
      </c>
      <c r="U35" s="112">
        <v>294.88</v>
      </c>
      <c r="V35" s="112">
        <v>588.24</v>
      </c>
      <c r="W35" s="112">
        <v>560.42999999999995</v>
      </c>
      <c r="X35" s="86"/>
      <c r="Y35" s="112">
        <v>147.77000000000001</v>
      </c>
      <c r="Z35" s="86"/>
      <c r="AA35" s="87">
        <v>0.85833000000000004</v>
      </c>
      <c r="AB35" s="89">
        <v>0.72</v>
      </c>
      <c r="AC35" s="86"/>
      <c r="AD35" s="88">
        <v>0.95713000000000004</v>
      </c>
      <c r="AE35" s="86"/>
      <c r="AF35" s="112">
        <v>23.462</v>
      </c>
      <c r="AG35" s="112">
        <v>42.802999999999997</v>
      </c>
      <c r="AH35" s="112">
        <v>29.122</v>
      </c>
      <c r="AI35" s="112">
        <v>25.744</v>
      </c>
      <c r="AJ35" s="112">
        <v>27.428000000000001</v>
      </c>
      <c r="AK35" s="112">
        <v>20.763999999999999</v>
      </c>
      <c r="AL35" s="112">
        <v>21.248000000000001</v>
      </c>
      <c r="AM35" s="112">
        <v>34.838000000000001</v>
      </c>
      <c r="AN35" s="112">
        <v>48.363</v>
      </c>
      <c r="AO35" s="112">
        <v>37.866999999999997</v>
      </c>
      <c r="AP35" s="112">
        <v>13.492000000000001</v>
      </c>
      <c r="AQ35" s="94"/>
      <c r="AR35" s="112">
        <v>0.12</v>
      </c>
      <c r="AS35" s="112">
        <v>0.12</v>
      </c>
      <c r="AU35" s="105">
        <v>5.849871555583718</v>
      </c>
      <c r="AV35" s="105">
        <v>0.90137784214201555</v>
      </c>
      <c r="AW35" s="105">
        <v>-0.10884759999999999</v>
      </c>
      <c r="AX35" s="94"/>
      <c r="AY35" s="69">
        <v>2.9284045000000002E-2</v>
      </c>
      <c r="AZ35" s="68" t="s">
        <v>352</v>
      </c>
      <c r="BA35" s="102" t="s">
        <v>148</v>
      </c>
      <c r="BB35" s="94">
        <f t="shared" si="0"/>
        <v>6.895230751118437E-3</v>
      </c>
      <c r="BC35" s="94"/>
      <c r="BD35" s="94"/>
      <c r="BE35" s="94"/>
      <c r="BF35" s="94"/>
      <c r="BG35" s="94"/>
      <c r="BH35" s="94"/>
      <c r="BI35" s="94"/>
    </row>
    <row r="36" spans="1:61" ht="14.4" x14ac:dyDescent="0.3">
      <c r="A36" s="102" t="s">
        <v>149</v>
      </c>
      <c r="B36" s="105" t="s">
        <v>68</v>
      </c>
      <c r="C36" s="105" t="s">
        <v>70</v>
      </c>
      <c r="D36" s="105" t="s">
        <v>63</v>
      </c>
      <c r="E36" s="105" t="s">
        <v>68</v>
      </c>
      <c r="F36" s="105" t="s">
        <v>68</v>
      </c>
      <c r="G36" s="105">
        <v>5.3029999999999999</v>
      </c>
      <c r="H36" s="105">
        <v>58</v>
      </c>
      <c r="I36" s="105">
        <v>307.60000000000002</v>
      </c>
      <c r="J36" s="105">
        <v>12</v>
      </c>
      <c r="K36" s="105">
        <v>15</v>
      </c>
      <c r="L36" s="105">
        <v>10</v>
      </c>
      <c r="M36" s="105">
        <v>220.25</v>
      </c>
      <c r="N36" s="105"/>
      <c r="O36" s="105">
        <v>17</v>
      </c>
      <c r="P36" s="105">
        <v>16.5</v>
      </c>
      <c r="Q36" s="105" t="s">
        <v>11</v>
      </c>
      <c r="R36" s="94"/>
      <c r="S36" s="112">
        <v>403.36</v>
      </c>
      <c r="T36" s="112">
        <v>619</v>
      </c>
      <c r="U36" s="112">
        <v>614.44000000000005</v>
      </c>
      <c r="V36" s="112">
        <v>757.14332999999999</v>
      </c>
      <c r="W36" s="112">
        <v>294.52332999999999</v>
      </c>
      <c r="X36" s="86"/>
      <c r="Y36" s="112">
        <v>8.0433299999999992</v>
      </c>
      <c r="Z36" s="86"/>
      <c r="AA36" s="87">
        <v>0.85529999999999995</v>
      </c>
      <c r="AB36" s="89">
        <v>0</v>
      </c>
      <c r="AC36" s="86"/>
      <c r="AD36" s="88">
        <v>0.97951999999999995</v>
      </c>
      <c r="AE36" s="86"/>
      <c r="AF36" s="112">
        <v>23.024000000000001</v>
      </c>
      <c r="AG36" s="112">
        <v>47.597000000000001</v>
      </c>
      <c r="AH36" s="112">
        <v>27.277999999999999</v>
      </c>
      <c r="AI36" s="112">
        <v>29.867999999999999</v>
      </c>
      <c r="AJ36" s="112">
        <v>22.382999999999999</v>
      </c>
      <c r="AK36" s="112">
        <v>21.97</v>
      </c>
      <c r="AL36" s="112">
        <v>20.655000000000001</v>
      </c>
      <c r="AM36" s="112">
        <v>32.353000000000002</v>
      </c>
      <c r="AN36" s="112">
        <v>39.018000000000001</v>
      </c>
      <c r="AO36" s="112">
        <v>22.364000000000001</v>
      </c>
      <c r="AP36" s="112">
        <v>18.012</v>
      </c>
      <c r="AQ36" s="94"/>
      <c r="AR36" s="112">
        <v>0.12</v>
      </c>
      <c r="AS36" s="112">
        <v>0.12</v>
      </c>
      <c r="AU36" s="105">
        <v>3.7205205474320677</v>
      </c>
      <c r="AV36" s="105">
        <v>0.90931276906920511</v>
      </c>
      <c r="AW36" s="105">
        <v>0.45248499999999997</v>
      </c>
      <c r="AX36" s="94"/>
      <c r="AY36" s="69">
        <v>2.7929534999999998E-2</v>
      </c>
      <c r="AZ36" s="67" t="s">
        <v>353</v>
      </c>
      <c r="BA36" s="102" t="s">
        <v>149</v>
      </c>
      <c r="BB36" s="94">
        <f t="shared" si="0"/>
        <v>5.2667424099566281E-3</v>
      </c>
      <c r="BC36" s="94"/>
      <c r="BD36" s="94"/>
      <c r="BE36" s="94"/>
      <c r="BF36" s="94"/>
      <c r="BG36" s="94"/>
      <c r="BH36" s="94"/>
      <c r="BI36" s="94"/>
    </row>
    <row r="37" spans="1:61" ht="14.4" x14ac:dyDescent="0.3">
      <c r="A37" s="102" t="s">
        <v>150</v>
      </c>
      <c r="B37" s="105" t="s">
        <v>68</v>
      </c>
      <c r="C37" s="105" t="s">
        <v>70</v>
      </c>
      <c r="D37" s="105" t="s">
        <v>63</v>
      </c>
      <c r="E37" s="105" t="s">
        <v>11</v>
      </c>
      <c r="F37" s="105" t="s">
        <v>68</v>
      </c>
      <c r="G37" s="105">
        <v>4.42</v>
      </c>
      <c r="H37" s="105">
        <v>69</v>
      </c>
      <c r="I37" s="105">
        <v>305</v>
      </c>
      <c r="J37" s="105">
        <v>13</v>
      </c>
      <c r="K37" s="105">
        <v>12</v>
      </c>
      <c r="L37" s="105">
        <v>7</v>
      </c>
      <c r="M37" s="105">
        <v>224.8</v>
      </c>
      <c r="N37" s="105"/>
      <c r="O37" s="105">
        <v>9</v>
      </c>
      <c r="P37" s="105">
        <v>24</v>
      </c>
      <c r="Q37" s="105" t="s">
        <v>121</v>
      </c>
      <c r="R37" s="94"/>
      <c r="S37" s="112">
        <v>632.08000000000004</v>
      </c>
      <c r="T37" s="112">
        <v>700.96</v>
      </c>
      <c r="U37" s="112">
        <v>470.54</v>
      </c>
      <c r="V37" s="112">
        <v>671.13</v>
      </c>
      <c r="W37" s="112">
        <v>323.13</v>
      </c>
      <c r="X37" s="86"/>
      <c r="Y37" s="112">
        <v>48.619140000000002</v>
      </c>
      <c r="Z37" s="86"/>
      <c r="AA37" s="87">
        <v>0.83531999999999995</v>
      </c>
      <c r="AB37" s="87">
        <v>0.68018999999999996</v>
      </c>
      <c r="AC37" s="86"/>
      <c r="AD37" s="88">
        <v>0.99073999999999995</v>
      </c>
      <c r="AE37" s="86"/>
      <c r="AF37" s="112">
        <v>12.708</v>
      </c>
      <c r="AG37" s="112">
        <v>24.4</v>
      </c>
      <c r="AH37" s="112">
        <v>16.454999999999998</v>
      </c>
      <c r="AI37" s="112">
        <v>14.552</v>
      </c>
      <c r="AJ37" s="112">
        <v>20.387</v>
      </c>
      <c r="AK37" s="112">
        <v>14.083</v>
      </c>
      <c r="AL37" s="112">
        <v>19.797000000000001</v>
      </c>
      <c r="AM37" s="112">
        <v>31.901</v>
      </c>
      <c r="AN37" s="112">
        <v>13.536</v>
      </c>
      <c r="AO37" s="112">
        <v>38.081000000000003</v>
      </c>
      <c r="AP37" s="112">
        <v>17.138999999999999</v>
      </c>
      <c r="AQ37" s="94"/>
      <c r="AR37" s="112">
        <v>0.12</v>
      </c>
      <c r="AS37" s="112">
        <v>0.12</v>
      </c>
      <c r="AU37" s="105">
        <v>5.2930256051349884</v>
      </c>
      <c r="AV37" s="105">
        <v>1</v>
      </c>
      <c r="AW37" s="105">
        <v>-0.34614746000000002</v>
      </c>
      <c r="AX37" s="94"/>
      <c r="AY37" s="69">
        <v>2.7133451999999999E-2</v>
      </c>
      <c r="AZ37" s="66" t="s">
        <v>354</v>
      </c>
      <c r="BA37" s="102" t="s">
        <v>150</v>
      </c>
      <c r="BB37" s="94">
        <f t="shared" si="0"/>
        <v>6.1387900452488688E-3</v>
      </c>
      <c r="BC37" s="94"/>
      <c r="BD37" s="94"/>
      <c r="BE37" s="94"/>
      <c r="BF37" s="94"/>
      <c r="BG37" s="94"/>
      <c r="BH37" s="94"/>
      <c r="BI37" s="94"/>
    </row>
    <row r="38" spans="1:61" ht="14.4" x14ac:dyDescent="0.3">
      <c r="A38" s="102" t="s">
        <v>151</v>
      </c>
      <c r="B38" s="105" t="s">
        <v>12</v>
      </c>
      <c r="C38" s="105" t="s">
        <v>272</v>
      </c>
      <c r="D38" s="105" t="s">
        <v>68</v>
      </c>
      <c r="E38" s="105" t="s">
        <v>11</v>
      </c>
      <c r="F38" s="105" t="s">
        <v>68</v>
      </c>
      <c r="G38" s="105">
        <v>3.3690000000000002</v>
      </c>
      <c r="H38" s="105">
        <v>78</v>
      </c>
      <c r="I38" s="105">
        <v>262.8</v>
      </c>
      <c r="J38" s="105">
        <v>7</v>
      </c>
      <c r="K38" s="105">
        <v>7</v>
      </c>
      <c r="L38" s="105">
        <v>12</v>
      </c>
      <c r="M38" s="105">
        <v>154.54</v>
      </c>
      <c r="N38" s="105"/>
      <c r="O38" s="105">
        <v>19</v>
      </c>
      <c r="P38" s="105">
        <v>18</v>
      </c>
      <c r="Q38" s="105" t="s">
        <v>121</v>
      </c>
      <c r="R38" s="94"/>
      <c r="S38" s="112">
        <v>1024.73</v>
      </c>
      <c r="T38" s="112">
        <v>373.43</v>
      </c>
      <c r="U38" s="112">
        <v>471.04</v>
      </c>
      <c r="V38" s="112">
        <v>374.23</v>
      </c>
      <c r="W38" s="112">
        <v>494.38</v>
      </c>
      <c r="X38" s="86"/>
      <c r="Y38" s="112">
        <v>100.89447</v>
      </c>
      <c r="Z38" s="86"/>
      <c r="AA38" s="87">
        <v>0.81411</v>
      </c>
      <c r="AB38" s="87">
        <v>0.621</v>
      </c>
      <c r="AC38" s="86"/>
      <c r="AD38" s="88">
        <v>1.05986</v>
      </c>
      <c r="AE38" s="86"/>
      <c r="AF38" s="112">
        <v>15.535</v>
      </c>
      <c r="AG38" s="112">
        <v>18.385999999999999</v>
      </c>
      <c r="AH38" s="112">
        <v>56.168999999999997</v>
      </c>
      <c r="AI38" s="112">
        <v>56.534999999999997</v>
      </c>
      <c r="AJ38" s="112">
        <v>29.146000000000001</v>
      </c>
      <c r="AK38" s="112">
        <v>10.91</v>
      </c>
      <c r="AL38" s="112">
        <v>15.672000000000001</v>
      </c>
      <c r="AM38" s="112">
        <v>30.236999999999998</v>
      </c>
      <c r="AN38" s="112">
        <v>49.777999999999999</v>
      </c>
      <c r="AO38" s="112">
        <v>39.445</v>
      </c>
      <c r="AP38" s="112">
        <v>13.509</v>
      </c>
      <c r="AQ38" s="94"/>
      <c r="AR38" s="112">
        <v>0.12</v>
      </c>
      <c r="AS38" s="112">
        <v>0.12</v>
      </c>
      <c r="AU38" s="105">
        <v>7.6861112619324254</v>
      </c>
      <c r="AV38" s="105">
        <v>0.9000112234302462</v>
      </c>
      <c r="AW38" s="105">
        <v>1.61354759</v>
      </c>
      <c r="AX38" s="94"/>
      <c r="AY38" s="69">
        <v>3.4017087000000001E-2</v>
      </c>
      <c r="AZ38" s="68" t="s">
        <v>151</v>
      </c>
      <c r="BA38" s="102" t="s">
        <v>151</v>
      </c>
      <c r="BB38" s="94">
        <f t="shared" si="0"/>
        <v>1.0097087266251113E-2</v>
      </c>
      <c r="BC38" s="94"/>
      <c r="BD38" s="94"/>
      <c r="BE38" s="94"/>
      <c r="BF38" s="94"/>
      <c r="BG38" s="94"/>
      <c r="BH38" s="94"/>
      <c r="BI38" s="94"/>
    </row>
    <row r="39" spans="1:61" ht="14.4" x14ac:dyDescent="0.3">
      <c r="A39" s="102" t="s">
        <v>152</v>
      </c>
      <c r="B39" s="105" t="s">
        <v>68</v>
      </c>
      <c r="C39" s="105" t="s">
        <v>121</v>
      </c>
      <c r="D39" s="105" t="s">
        <v>63</v>
      </c>
      <c r="E39" s="105" t="s">
        <v>68</v>
      </c>
      <c r="F39" s="105" t="s">
        <v>68</v>
      </c>
      <c r="G39" s="105">
        <v>4.42</v>
      </c>
      <c r="H39" s="105">
        <v>69</v>
      </c>
      <c r="I39" s="105">
        <v>305</v>
      </c>
      <c r="J39" s="105">
        <v>12</v>
      </c>
      <c r="K39" s="105">
        <v>7</v>
      </c>
      <c r="L39" s="105">
        <v>13</v>
      </c>
      <c r="M39" s="105">
        <v>209.95</v>
      </c>
      <c r="N39" s="105"/>
      <c r="O39" s="105">
        <v>12</v>
      </c>
      <c r="P39" s="105">
        <v>16.5</v>
      </c>
      <c r="Q39" s="105" t="s">
        <v>274</v>
      </c>
      <c r="R39" s="94"/>
      <c r="S39" s="112">
        <v>335.19099</v>
      </c>
      <c r="T39" s="112">
        <v>677.81879000000004</v>
      </c>
      <c r="U39" s="112">
        <v>566.84333000000004</v>
      </c>
      <c r="V39" s="112">
        <v>718.10333000000003</v>
      </c>
      <c r="W39" s="112">
        <v>237.85</v>
      </c>
      <c r="X39" s="86"/>
      <c r="Y39" s="112">
        <v>-98.125259999999997</v>
      </c>
      <c r="Z39" s="86"/>
      <c r="AA39" s="87">
        <v>0.85528000000000004</v>
      </c>
      <c r="AB39" s="87">
        <v>0.7349</v>
      </c>
      <c r="AC39" s="86"/>
      <c r="AD39" s="88">
        <v>1.08311</v>
      </c>
      <c r="AE39" s="86"/>
      <c r="AF39" s="112">
        <v>27.567</v>
      </c>
      <c r="AG39" s="112">
        <v>48.183999999999997</v>
      </c>
      <c r="AH39" s="112">
        <v>28.370999999999999</v>
      </c>
      <c r="AI39" s="112">
        <v>18.38</v>
      </c>
      <c r="AJ39" s="112">
        <v>26.637</v>
      </c>
      <c r="AK39" s="112">
        <v>19.905000000000001</v>
      </c>
      <c r="AL39" s="112">
        <v>14.689</v>
      </c>
      <c r="AM39" s="112">
        <v>38.854999999999997</v>
      </c>
      <c r="AN39" s="112">
        <v>51.207000000000001</v>
      </c>
      <c r="AO39" s="112">
        <v>45.235999999999997</v>
      </c>
      <c r="AP39" s="112">
        <v>14.348000000000001</v>
      </c>
      <c r="AQ39" s="94"/>
      <c r="AR39" s="112">
        <v>0.12</v>
      </c>
      <c r="AS39" s="112">
        <v>0.12</v>
      </c>
      <c r="AU39" s="105">
        <v>5.0338306368237333</v>
      </c>
      <c r="AV39" s="105">
        <v>0.90170957652045147</v>
      </c>
      <c r="AW39" s="105">
        <v>-0.55357789999999996</v>
      </c>
      <c r="AX39" s="94"/>
      <c r="AY39" s="69">
        <v>2.9247662000000001E-2</v>
      </c>
      <c r="AZ39" s="68" t="s">
        <v>152</v>
      </c>
      <c r="BA39" s="102" t="s">
        <v>152</v>
      </c>
      <c r="BB39" s="94">
        <f t="shared" si="0"/>
        <v>6.6171180995475117E-3</v>
      </c>
      <c r="BC39" s="94"/>
      <c r="BD39" s="94"/>
      <c r="BE39" s="94"/>
      <c r="BF39" s="94"/>
      <c r="BG39" s="94"/>
      <c r="BH39" s="94"/>
      <c r="BI39" s="94"/>
    </row>
    <row r="40" spans="1:61" ht="14.4" x14ac:dyDescent="0.3">
      <c r="A40" s="102" t="s">
        <v>153</v>
      </c>
      <c r="B40" s="105" t="s">
        <v>11</v>
      </c>
      <c r="C40" s="105" t="s">
        <v>118</v>
      </c>
      <c r="D40" s="105" t="s">
        <v>68</v>
      </c>
      <c r="E40" s="105" t="s">
        <v>273</v>
      </c>
      <c r="F40" s="105" t="s">
        <v>68</v>
      </c>
      <c r="G40" s="105">
        <v>5.7869999999999999</v>
      </c>
      <c r="H40" s="105">
        <v>53</v>
      </c>
      <c r="I40" s="105">
        <v>306.7</v>
      </c>
      <c r="J40" s="105">
        <v>17</v>
      </c>
      <c r="K40" s="105">
        <v>12</v>
      </c>
      <c r="L40" s="105">
        <v>9</v>
      </c>
      <c r="M40" s="105">
        <v>258.83</v>
      </c>
      <c r="N40" s="105"/>
      <c r="O40" s="105">
        <v>13</v>
      </c>
      <c r="P40" s="105">
        <v>25.5</v>
      </c>
      <c r="Q40" s="105" t="s">
        <v>274</v>
      </c>
      <c r="R40" s="94"/>
      <c r="S40" s="112">
        <v>124.19</v>
      </c>
      <c r="T40" s="112">
        <v>735.83</v>
      </c>
      <c r="U40" s="112">
        <v>495.99700000000001</v>
      </c>
      <c r="V40" s="112">
        <v>868.17</v>
      </c>
      <c r="W40" s="112">
        <v>610.97</v>
      </c>
      <c r="X40" s="94"/>
      <c r="Y40" s="112">
        <v>24.635809999999999</v>
      </c>
      <c r="Z40" s="86"/>
      <c r="AA40" s="87">
        <v>0.90627000000000002</v>
      </c>
      <c r="AB40" s="89">
        <v>0.71460999999999997</v>
      </c>
      <c r="AC40" s="86"/>
      <c r="AD40" s="88">
        <v>1.0669599999999999</v>
      </c>
      <c r="AE40" s="86"/>
      <c r="AF40" s="112">
        <v>28.948</v>
      </c>
      <c r="AG40" s="112">
        <v>55.713999999999999</v>
      </c>
      <c r="AH40" s="112">
        <v>19.443000000000001</v>
      </c>
      <c r="AI40" s="112">
        <v>14.827</v>
      </c>
      <c r="AJ40" s="112">
        <v>26.672000000000001</v>
      </c>
      <c r="AK40" s="112">
        <v>23.466999999999999</v>
      </c>
      <c r="AL40" s="112">
        <v>18.018999999999998</v>
      </c>
      <c r="AM40" s="112">
        <v>42.241</v>
      </c>
      <c r="AN40" s="112">
        <v>51.805</v>
      </c>
      <c r="AO40" s="112">
        <v>28.46</v>
      </c>
      <c r="AP40" s="112">
        <v>19.818000000000001</v>
      </c>
      <c r="AQ40" s="94"/>
      <c r="AR40" s="112">
        <v>0.12</v>
      </c>
      <c r="AS40" s="112">
        <v>0.12</v>
      </c>
      <c r="AU40" s="105">
        <v>4.9212220861379281</v>
      </c>
      <c r="AV40" s="105">
        <v>0.8919585573073413</v>
      </c>
      <c r="AW40" s="105">
        <v>-0.47170487999999999</v>
      </c>
      <c r="AX40" s="94"/>
      <c r="AY40" s="69">
        <v>2.3699802999999998E-2</v>
      </c>
      <c r="AZ40" s="66" t="s">
        <v>153</v>
      </c>
      <c r="BA40" s="102" t="s">
        <v>153</v>
      </c>
      <c r="BB40" s="94">
        <f t="shared" si="0"/>
        <v>4.0953521686538791E-3</v>
      </c>
      <c r="BC40" s="94"/>
      <c r="BD40" s="94"/>
      <c r="BE40" s="94"/>
      <c r="BF40" s="94"/>
      <c r="BG40" s="94"/>
      <c r="BH40" s="94"/>
      <c r="BI40" s="94"/>
    </row>
    <row r="41" spans="1:61" ht="14.4" x14ac:dyDescent="0.3">
      <c r="A41" s="102" t="s">
        <v>26</v>
      </c>
      <c r="B41" s="105" t="s">
        <v>68</v>
      </c>
      <c r="C41" s="105" t="s">
        <v>70</v>
      </c>
      <c r="D41" s="105" t="s">
        <v>68</v>
      </c>
      <c r="E41" s="105" t="s">
        <v>68</v>
      </c>
      <c r="F41" s="105" t="s">
        <v>68</v>
      </c>
      <c r="G41" s="105">
        <v>5.2469999999999999</v>
      </c>
      <c r="H41" s="105">
        <v>58</v>
      </c>
      <c r="I41" s="105">
        <v>304.3</v>
      </c>
      <c r="J41" s="105">
        <v>11</v>
      </c>
      <c r="K41" s="105">
        <v>13</v>
      </c>
      <c r="L41" s="105">
        <v>12</v>
      </c>
      <c r="M41" s="105">
        <v>246.56</v>
      </c>
      <c r="N41" s="105"/>
      <c r="O41" s="105">
        <v>14</v>
      </c>
      <c r="P41" s="105">
        <v>13.5</v>
      </c>
      <c r="Q41" s="105" t="s">
        <v>12</v>
      </c>
      <c r="R41" s="94"/>
      <c r="S41" s="112">
        <v>517.88406999999995</v>
      </c>
      <c r="T41" s="112">
        <v>805.54405999999994</v>
      </c>
      <c r="U41" s="112">
        <v>879.83614</v>
      </c>
      <c r="V41" s="112">
        <v>901.34163999999998</v>
      </c>
      <c r="W41" s="112">
        <v>590.54</v>
      </c>
      <c r="X41" s="86"/>
      <c r="Y41" s="112">
        <v>-69.400000000000006</v>
      </c>
      <c r="Z41" s="86"/>
      <c r="AA41" s="87">
        <v>0.84735000000000005</v>
      </c>
      <c r="AB41" s="87">
        <v>0.69579000000000002</v>
      </c>
      <c r="AC41" s="86"/>
      <c r="AD41" s="88">
        <v>1.0235000000000001</v>
      </c>
      <c r="AE41" s="86"/>
      <c r="AF41" s="112">
        <v>22.47</v>
      </c>
      <c r="AG41" s="112">
        <v>21.701000000000001</v>
      </c>
      <c r="AH41" s="112">
        <v>26.497</v>
      </c>
      <c r="AI41" s="112">
        <v>19.143999999999998</v>
      </c>
      <c r="AJ41" s="112">
        <v>27.382000000000001</v>
      </c>
      <c r="AK41" s="112">
        <v>30.361000000000001</v>
      </c>
      <c r="AL41" s="112">
        <v>32.436999999999998</v>
      </c>
      <c r="AM41" s="112">
        <v>36.707000000000001</v>
      </c>
      <c r="AN41" s="112">
        <v>33.222000000000001</v>
      </c>
      <c r="AO41" s="112">
        <v>28.027999999999999</v>
      </c>
      <c r="AP41" s="112">
        <v>17.895</v>
      </c>
      <c r="AQ41" s="94"/>
      <c r="AR41" s="112">
        <v>0.12</v>
      </c>
      <c r="AS41" s="112">
        <v>0.12</v>
      </c>
      <c r="AU41" s="105">
        <v>6.4328432771408872</v>
      </c>
      <c r="AV41" s="105">
        <v>0.93163484005023167</v>
      </c>
      <c r="AW41" s="105">
        <v>0.71623363000000007</v>
      </c>
      <c r="AX41" s="94"/>
      <c r="AY41" s="69">
        <v>2.4685756E-2</v>
      </c>
      <c r="AZ41" s="67" t="s">
        <v>26</v>
      </c>
      <c r="BA41" s="102" t="s">
        <v>26</v>
      </c>
      <c r="BB41" s="94">
        <f t="shared" si="0"/>
        <v>4.7047371831522777E-3</v>
      </c>
      <c r="BC41" s="94"/>
      <c r="BD41" s="94"/>
      <c r="BE41" s="94"/>
      <c r="BF41" s="94"/>
      <c r="BG41" s="94"/>
      <c r="BH41" s="94"/>
      <c r="BI41" s="94"/>
    </row>
    <row r="42" spans="1:61" ht="14.4" x14ac:dyDescent="0.3">
      <c r="A42" s="102" t="s">
        <v>154</v>
      </c>
      <c r="B42" s="105" t="s">
        <v>68</v>
      </c>
      <c r="C42" s="105" t="s">
        <v>121</v>
      </c>
      <c r="D42" s="105" t="s">
        <v>63</v>
      </c>
      <c r="E42" s="105" t="s">
        <v>68</v>
      </c>
      <c r="F42" s="105" t="s">
        <v>273</v>
      </c>
      <c r="G42" s="105">
        <v>5.1369999999999996</v>
      </c>
      <c r="H42" s="105">
        <v>60</v>
      </c>
      <c r="I42" s="105">
        <v>308.2</v>
      </c>
      <c r="J42" s="105">
        <v>11</v>
      </c>
      <c r="K42" s="105">
        <v>15</v>
      </c>
      <c r="L42" s="105">
        <v>10</v>
      </c>
      <c r="M42" s="105">
        <v>227.27</v>
      </c>
      <c r="N42" s="105"/>
      <c r="O42" s="105">
        <v>16</v>
      </c>
      <c r="P42" s="105">
        <v>19</v>
      </c>
      <c r="Q42" s="105" t="s">
        <v>274</v>
      </c>
      <c r="R42" s="94"/>
      <c r="S42" s="112">
        <v>649.99</v>
      </c>
      <c r="T42" s="112">
        <v>556.91999999999996</v>
      </c>
      <c r="U42" s="112">
        <v>556.38</v>
      </c>
      <c r="V42" s="112">
        <v>720.3</v>
      </c>
      <c r="W42" s="112">
        <v>150.9</v>
      </c>
      <c r="X42" s="86"/>
      <c r="Y42" s="112">
        <v>-97.642470000000003</v>
      </c>
      <c r="Z42" s="86"/>
      <c r="AA42" s="87">
        <v>0.83631999999999995</v>
      </c>
      <c r="AB42" s="87">
        <v>0.76800000000000002</v>
      </c>
      <c r="AC42" s="86"/>
      <c r="AD42" s="88">
        <v>1.04172</v>
      </c>
      <c r="AE42" s="86"/>
      <c r="AF42" s="112">
        <v>26.943000000000001</v>
      </c>
      <c r="AG42" s="112">
        <v>45.639000000000003</v>
      </c>
      <c r="AH42" s="112">
        <v>37.832999999999998</v>
      </c>
      <c r="AI42" s="112">
        <v>32.683</v>
      </c>
      <c r="AJ42" s="112">
        <v>24.350999999999999</v>
      </c>
      <c r="AK42" s="112">
        <v>16.206</v>
      </c>
      <c r="AL42" s="112">
        <v>20.757999999999999</v>
      </c>
      <c r="AM42" s="112">
        <v>33.692999999999998</v>
      </c>
      <c r="AN42" s="112">
        <v>45.595999999999997</v>
      </c>
      <c r="AO42" s="112">
        <v>41.58</v>
      </c>
      <c r="AP42" s="112">
        <v>13.045999999999999</v>
      </c>
      <c r="AQ42" s="94"/>
      <c r="AR42" s="112">
        <v>0.12</v>
      </c>
      <c r="AS42" s="112">
        <v>0.12</v>
      </c>
      <c r="AU42" s="105">
        <v>4.0833479053208146</v>
      </c>
      <c r="AV42" s="105">
        <v>0.90039469955322238</v>
      </c>
      <c r="AW42" s="105">
        <v>-0.65424658999999996</v>
      </c>
      <c r="AX42" s="94"/>
      <c r="AY42" s="69">
        <v>2.7123685000000002E-2</v>
      </c>
      <c r="AZ42" s="68" t="s">
        <v>355</v>
      </c>
      <c r="BA42" s="102" t="s">
        <v>154</v>
      </c>
      <c r="BB42" s="94">
        <f t="shared" si="0"/>
        <v>5.2800632664979572E-3</v>
      </c>
      <c r="BC42" s="94"/>
      <c r="BD42" s="94"/>
      <c r="BE42" s="94"/>
      <c r="BF42" s="94"/>
      <c r="BG42" s="94"/>
      <c r="BH42" s="94"/>
      <c r="BI42" s="94"/>
    </row>
    <row r="43" spans="1:61" ht="14.4" x14ac:dyDescent="0.3">
      <c r="A43" s="102" t="s">
        <v>155</v>
      </c>
      <c r="B43" s="105" t="s">
        <v>68</v>
      </c>
      <c r="C43" s="105" t="s">
        <v>121</v>
      </c>
      <c r="D43" s="105" t="s">
        <v>63</v>
      </c>
      <c r="E43" s="105" t="s">
        <v>274</v>
      </c>
      <c r="F43" s="105" t="s">
        <v>11</v>
      </c>
      <c r="G43" s="105">
        <v>5.1449999999999996</v>
      </c>
      <c r="H43" s="105">
        <v>60</v>
      </c>
      <c r="I43" s="105">
        <v>308.7</v>
      </c>
      <c r="J43" s="105">
        <v>12</v>
      </c>
      <c r="K43" s="105">
        <v>12</v>
      </c>
      <c r="L43" s="105">
        <v>13</v>
      </c>
      <c r="M43" s="105">
        <v>224.22</v>
      </c>
      <c r="N43" s="105"/>
      <c r="O43" s="105">
        <v>16</v>
      </c>
      <c r="P43" s="105">
        <v>15</v>
      </c>
      <c r="Q43" s="105" t="s">
        <v>121</v>
      </c>
      <c r="R43" s="94"/>
      <c r="S43" s="112">
        <v>650.80999999999995</v>
      </c>
      <c r="T43" s="112">
        <v>451.94</v>
      </c>
      <c r="U43" s="112">
        <v>626.71</v>
      </c>
      <c r="V43" s="112">
        <v>598</v>
      </c>
      <c r="W43" s="112">
        <v>149.86000000000001</v>
      </c>
      <c r="X43" s="86"/>
      <c r="Y43" s="112">
        <v>194.83288999999999</v>
      </c>
      <c r="Z43" s="86"/>
      <c r="AA43" s="87">
        <v>0.78691999999999995</v>
      </c>
      <c r="AB43" s="89">
        <v>0.64</v>
      </c>
      <c r="AC43" s="86"/>
      <c r="AD43" s="88">
        <v>1.0580499999999999</v>
      </c>
      <c r="AE43" s="86"/>
      <c r="AF43" s="112">
        <v>31.199000000000002</v>
      </c>
      <c r="AG43" s="112">
        <v>46.887999999999998</v>
      </c>
      <c r="AH43" s="112">
        <v>26.366</v>
      </c>
      <c r="AI43" s="112">
        <v>34.613</v>
      </c>
      <c r="AJ43" s="112">
        <v>29.26</v>
      </c>
      <c r="AK43" s="112">
        <v>16.349</v>
      </c>
      <c r="AL43" s="112">
        <v>16.626999999999999</v>
      </c>
      <c r="AM43" s="112">
        <v>31.119</v>
      </c>
      <c r="AN43" s="112">
        <v>50.161000000000001</v>
      </c>
      <c r="AO43" s="112">
        <v>46.497</v>
      </c>
      <c r="AP43" s="112">
        <v>11.736000000000001</v>
      </c>
      <c r="AQ43" s="94"/>
      <c r="AR43" s="112">
        <v>0.12</v>
      </c>
      <c r="AS43" s="112">
        <v>0.12</v>
      </c>
      <c r="AU43" s="105">
        <v>4.8036130527682168</v>
      </c>
      <c r="AV43" s="105">
        <v>0.90638838872647154</v>
      </c>
      <c r="AW43" s="105">
        <v>0.60850470000000001</v>
      </c>
      <c r="AX43" s="94"/>
      <c r="AY43" s="69">
        <v>2.7535456E-2</v>
      </c>
      <c r="AZ43" s="67" t="s">
        <v>155</v>
      </c>
      <c r="BA43" s="102" t="s">
        <v>155</v>
      </c>
      <c r="BB43" s="94">
        <f t="shared" si="0"/>
        <v>5.3518864917395537E-3</v>
      </c>
      <c r="BC43" s="94"/>
      <c r="BD43" s="94"/>
      <c r="BE43" s="94"/>
      <c r="BF43" s="94"/>
      <c r="BG43" s="94"/>
      <c r="BH43" s="94"/>
      <c r="BI43" s="94"/>
    </row>
    <row r="44" spans="1:61" ht="14.4" x14ac:dyDescent="0.3">
      <c r="A44" s="102" t="s">
        <v>156</v>
      </c>
      <c r="B44" s="105" t="s">
        <v>68</v>
      </c>
      <c r="C44" s="105" t="s">
        <v>118</v>
      </c>
      <c r="D44" s="105" t="s">
        <v>68</v>
      </c>
      <c r="E44" s="105" t="s">
        <v>12</v>
      </c>
      <c r="F44" s="105" t="s">
        <v>68</v>
      </c>
      <c r="G44" s="105">
        <v>5.94</v>
      </c>
      <c r="H44" s="105">
        <v>52</v>
      </c>
      <c r="I44" s="105">
        <v>308.89999999999998</v>
      </c>
      <c r="J44" s="105">
        <v>19</v>
      </c>
      <c r="K44" s="105">
        <v>14</v>
      </c>
      <c r="L44" s="105">
        <v>9</v>
      </c>
      <c r="M44" s="105">
        <v>269.24</v>
      </c>
      <c r="N44" s="105"/>
      <c r="O44" s="105">
        <v>11</v>
      </c>
      <c r="P44" s="105">
        <v>21</v>
      </c>
      <c r="Q44" s="105" t="s">
        <v>11</v>
      </c>
      <c r="R44" s="94"/>
      <c r="S44" s="112">
        <v>442.09</v>
      </c>
      <c r="T44" s="112">
        <v>675.58</v>
      </c>
      <c r="U44" s="112">
        <v>496.59</v>
      </c>
      <c r="V44" s="112">
        <v>729.98</v>
      </c>
      <c r="W44" s="112">
        <v>508.34</v>
      </c>
      <c r="X44" s="86"/>
      <c r="Y44" s="112">
        <v>85.42</v>
      </c>
      <c r="Z44" s="86"/>
      <c r="AA44" s="87">
        <v>0.86855000000000004</v>
      </c>
      <c r="AB44" s="87">
        <v>0.65293000000000001</v>
      </c>
      <c r="AC44" s="86"/>
      <c r="AD44" s="88">
        <v>1.06358</v>
      </c>
      <c r="AE44" s="86"/>
      <c r="AF44" s="112">
        <v>22.07</v>
      </c>
      <c r="AG44" s="112">
        <v>49.045000000000002</v>
      </c>
      <c r="AH44" s="112">
        <v>28.263999999999999</v>
      </c>
      <c r="AI44" s="112">
        <v>32.384</v>
      </c>
      <c r="AJ44" s="112">
        <v>23.710999999999999</v>
      </c>
      <c r="AK44" s="112">
        <v>20.454999999999998</v>
      </c>
      <c r="AL44" s="112">
        <v>23.161000000000001</v>
      </c>
      <c r="AM44" s="112">
        <v>27.148</v>
      </c>
      <c r="AN44" s="112">
        <v>39.234999999999999</v>
      </c>
      <c r="AO44" s="112">
        <v>22.562000000000001</v>
      </c>
      <c r="AP44" s="112">
        <v>13.545</v>
      </c>
      <c r="AQ44" s="94"/>
      <c r="AR44" s="112">
        <v>0.12</v>
      </c>
      <c r="AS44" s="112">
        <v>0.12</v>
      </c>
      <c r="AU44" s="105">
        <v>5.2012499652977802</v>
      </c>
      <c r="AV44" s="105">
        <v>1</v>
      </c>
      <c r="AW44" s="105">
        <v>-0.59471065000000001</v>
      </c>
      <c r="AX44" s="94"/>
      <c r="AY44" s="69">
        <v>2.2944585E-2</v>
      </c>
      <c r="AZ44" s="68" t="s">
        <v>156</v>
      </c>
      <c r="BA44" s="102" t="s">
        <v>156</v>
      </c>
      <c r="BB44" s="94">
        <f t="shared" si="0"/>
        <v>3.8627247474747471E-3</v>
      </c>
      <c r="BC44" s="94"/>
      <c r="BD44" s="94"/>
      <c r="BE44" s="94"/>
      <c r="BF44" s="94"/>
      <c r="BG44" s="94"/>
      <c r="BH44" s="94"/>
      <c r="BI44" s="94"/>
    </row>
    <row r="45" spans="1:61" ht="14.4" x14ac:dyDescent="0.3">
      <c r="A45" s="102" t="s">
        <v>157</v>
      </c>
      <c r="B45" s="105" t="s">
        <v>68</v>
      </c>
      <c r="C45" s="105" t="s">
        <v>118</v>
      </c>
      <c r="D45" s="105" t="s">
        <v>68</v>
      </c>
      <c r="E45" s="105" t="s">
        <v>12</v>
      </c>
      <c r="F45" s="105" t="s">
        <v>273</v>
      </c>
      <c r="G45" s="105">
        <v>3.8610000000000002</v>
      </c>
      <c r="H45" s="105">
        <v>79</v>
      </c>
      <c r="I45" s="105">
        <v>305</v>
      </c>
      <c r="J45" s="105">
        <v>9</v>
      </c>
      <c r="K45" s="105">
        <v>11</v>
      </c>
      <c r="L45" s="105">
        <v>8</v>
      </c>
      <c r="M45" s="105">
        <v>225.75</v>
      </c>
      <c r="N45" s="105"/>
      <c r="O45" s="105">
        <v>11</v>
      </c>
      <c r="P45" s="105">
        <v>19.5</v>
      </c>
      <c r="Q45" s="105" t="s">
        <v>273</v>
      </c>
      <c r="R45" s="94"/>
      <c r="S45" s="112">
        <v>362.79</v>
      </c>
      <c r="T45" s="112">
        <v>732.67</v>
      </c>
      <c r="U45" s="112">
        <v>301.68</v>
      </c>
      <c r="V45" s="112">
        <v>784.37</v>
      </c>
      <c r="W45" s="112">
        <v>575.27</v>
      </c>
      <c r="X45" s="86"/>
      <c r="Y45" s="112">
        <v>182.33332999999999</v>
      </c>
      <c r="Z45" s="86"/>
      <c r="AA45" s="87">
        <v>0.89651000000000003</v>
      </c>
      <c r="AB45" s="87">
        <v>0.72623000000000004</v>
      </c>
      <c r="AC45" s="86"/>
      <c r="AD45" s="88">
        <v>1.0715600000000001</v>
      </c>
      <c r="AE45" s="86"/>
      <c r="AF45" s="112">
        <v>29.268000000000001</v>
      </c>
      <c r="AG45" s="112">
        <v>59.915999999999997</v>
      </c>
      <c r="AH45" s="112">
        <v>28.35</v>
      </c>
      <c r="AI45" s="112">
        <v>36.552999999999997</v>
      </c>
      <c r="AJ45" s="112">
        <v>32.316000000000003</v>
      </c>
      <c r="AK45" s="112">
        <v>16.347000000000001</v>
      </c>
      <c r="AL45" s="112">
        <v>19.744</v>
      </c>
      <c r="AM45" s="112">
        <v>30.907</v>
      </c>
      <c r="AN45" s="112">
        <v>50.353000000000002</v>
      </c>
      <c r="AO45" s="112">
        <v>25.541</v>
      </c>
      <c r="AP45" s="112">
        <v>12.8</v>
      </c>
      <c r="AQ45" s="94"/>
      <c r="AR45" s="112">
        <v>0.12</v>
      </c>
      <c r="AS45" s="112">
        <v>0.12</v>
      </c>
      <c r="AU45" s="105">
        <v>7.5694015073183643</v>
      </c>
      <c r="AV45" s="105">
        <v>0.89967704063175336</v>
      </c>
      <c r="AW45" s="105">
        <v>-0.73262561999999998</v>
      </c>
      <c r="AX45" s="94"/>
      <c r="AY45" s="69">
        <v>2.7022724000000001E-2</v>
      </c>
      <c r="AZ45" s="66" t="s">
        <v>157</v>
      </c>
      <c r="BA45" s="102" t="s">
        <v>157</v>
      </c>
      <c r="BB45" s="94">
        <f t="shared" si="0"/>
        <v>6.9988925148925145E-3</v>
      </c>
      <c r="BC45" s="94"/>
      <c r="BD45" s="94"/>
      <c r="BE45" s="94"/>
      <c r="BF45" s="94"/>
      <c r="BG45" s="94"/>
      <c r="BH45" s="94"/>
      <c r="BI45" s="94"/>
    </row>
    <row r="46" spans="1:61" ht="14.4" x14ac:dyDescent="0.3">
      <c r="A46" s="102" t="s">
        <v>158</v>
      </c>
      <c r="B46" s="105" t="s">
        <v>12</v>
      </c>
      <c r="C46" s="105" t="s">
        <v>118</v>
      </c>
      <c r="D46" s="105" t="s">
        <v>63</v>
      </c>
      <c r="E46" s="105" t="s">
        <v>68</v>
      </c>
      <c r="F46" s="105" t="s">
        <v>12</v>
      </c>
      <c r="G46" s="105">
        <v>4.6920000000000002</v>
      </c>
      <c r="H46" s="105">
        <v>66</v>
      </c>
      <c r="I46" s="105">
        <v>309.7</v>
      </c>
      <c r="J46" s="105">
        <v>9</v>
      </c>
      <c r="K46" s="105">
        <v>14</v>
      </c>
      <c r="L46" s="105">
        <v>11</v>
      </c>
      <c r="M46" s="105">
        <v>198.24</v>
      </c>
      <c r="N46" s="105"/>
      <c r="O46" s="105">
        <v>18</v>
      </c>
      <c r="P46" s="105">
        <v>15.5</v>
      </c>
      <c r="Q46" s="105" t="s">
        <v>11</v>
      </c>
      <c r="R46" s="94"/>
      <c r="S46" s="112">
        <v>784.36</v>
      </c>
      <c r="T46" s="112">
        <v>392.27</v>
      </c>
      <c r="U46" s="112">
        <v>486.5</v>
      </c>
      <c r="V46" s="112">
        <v>490</v>
      </c>
      <c r="W46" s="112">
        <v>295.42</v>
      </c>
      <c r="X46" s="86"/>
      <c r="Y46" s="112">
        <v>180.52475000000001</v>
      </c>
      <c r="Z46" s="86"/>
      <c r="AA46" s="87">
        <v>0.84157999999999999</v>
      </c>
      <c r="AB46" s="87">
        <v>0.70877000000000001</v>
      </c>
      <c r="AC46" s="86"/>
      <c r="AD46" s="88">
        <v>1.0578399999999999</v>
      </c>
      <c r="AE46" s="86"/>
      <c r="AF46" s="112">
        <v>24.204999999999998</v>
      </c>
      <c r="AG46" s="112">
        <v>21.994</v>
      </c>
      <c r="AH46" s="112">
        <v>24.173999999999999</v>
      </c>
      <c r="AI46" s="112">
        <v>26.233000000000001</v>
      </c>
      <c r="AJ46" s="112">
        <v>45.302999999999997</v>
      </c>
      <c r="AK46" s="112">
        <v>22.012</v>
      </c>
      <c r="AL46" s="112">
        <v>21.427</v>
      </c>
      <c r="AM46" s="112">
        <v>23.003</v>
      </c>
      <c r="AN46" s="112">
        <v>33.1</v>
      </c>
      <c r="AO46" s="112">
        <v>48.734000000000002</v>
      </c>
      <c r="AP46" s="112">
        <v>18.417000000000002</v>
      </c>
      <c r="AQ46" s="94"/>
      <c r="AR46" s="112">
        <v>0.12</v>
      </c>
      <c r="AS46" s="112">
        <v>0.12</v>
      </c>
      <c r="AU46" s="105">
        <v>1.8653489017689671</v>
      </c>
      <c r="AV46" s="105">
        <v>0.92146863595801554</v>
      </c>
      <c r="AW46" s="105">
        <v>0.13291797</v>
      </c>
      <c r="AX46" s="94"/>
      <c r="AY46" s="69">
        <v>3.1242130999999999E-2</v>
      </c>
      <c r="AZ46" s="67" t="s">
        <v>356</v>
      </c>
      <c r="BA46" s="102" t="s">
        <v>158</v>
      </c>
      <c r="BB46" s="94">
        <f t="shared" si="0"/>
        <v>6.6585956947996586E-3</v>
      </c>
      <c r="BC46" s="94"/>
      <c r="BD46" s="94"/>
      <c r="BE46" s="94"/>
      <c r="BF46" s="94"/>
      <c r="BG46" s="94"/>
      <c r="BH46" s="94"/>
      <c r="BI46" s="94"/>
    </row>
    <row r="47" spans="1:61" ht="14.4" x14ac:dyDescent="0.3">
      <c r="A47" s="102" t="s">
        <v>159</v>
      </c>
      <c r="B47" s="105" t="s">
        <v>68</v>
      </c>
      <c r="C47" s="105" t="s">
        <v>70</v>
      </c>
      <c r="D47" s="105" t="s">
        <v>68</v>
      </c>
      <c r="E47" s="105" t="s">
        <v>11</v>
      </c>
      <c r="F47" s="105" t="s">
        <v>68</v>
      </c>
      <c r="G47" s="105">
        <v>4.0830000000000002</v>
      </c>
      <c r="H47" s="105">
        <v>75</v>
      </c>
      <c r="I47" s="105">
        <v>306.2</v>
      </c>
      <c r="J47" s="105">
        <v>7</v>
      </c>
      <c r="K47" s="105">
        <v>14</v>
      </c>
      <c r="L47" s="105">
        <v>8</v>
      </c>
      <c r="M47" s="105">
        <v>214.42</v>
      </c>
      <c r="N47" s="105"/>
      <c r="O47" s="105">
        <v>14</v>
      </c>
      <c r="P47" s="105">
        <v>14</v>
      </c>
      <c r="Q47" s="105" t="s">
        <v>121</v>
      </c>
      <c r="R47" s="94"/>
      <c r="S47" s="112">
        <v>742</v>
      </c>
      <c r="T47" s="112">
        <v>546.01666999999998</v>
      </c>
      <c r="U47" s="112">
        <v>379.02332999999999</v>
      </c>
      <c r="V47" s="112">
        <v>718.46</v>
      </c>
      <c r="W47" s="112">
        <v>529.96333000000004</v>
      </c>
      <c r="X47" s="86"/>
      <c r="Y47" s="112">
        <v>182.04044999999999</v>
      </c>
      <c r="Z47" s="86"/>
      <c r="AA47" s="87">
        <v>0.81384000000000001</v>
      </c>
      <c r="AB47" s="89">
        <v>0</v>
      </c>
      <c r="AC47" s="86"/>
      <c r="AD47" s="88">
        <v>1.0863400000000001</v>
      </c>
      <c r="AE47" s="86"/>
      <c r="AF47" s="112">
        <v>29.635000000000002</v>
      </c>
      <c r="AG47" s="112">
        <v>41.164999999999999</v>
      </c>
      <c r="AH47" s="112">
        <v>34.024000000000001</v>
      </c>
      <c r="AI47" s="112">
        <v>40.393999999999998</v>
      </c>
      <c r="AJ47" s="112">
        <v>36.137999999999998</v>
      </c>
      <c r="AK47" s="112">
        <v>29.957000000000001</v>
      </c>
      <c r="AL47" s="112">
        <v>25.524000000000001</v>
      </c>
      <c r="AM47" s="112">
        <v>31.239000000000001</v>
      </c>
      <c r="AN47" s="112">
        <v>33.659999999999997</v>
      </c>
      <c r="AO47" s="112">
        <v>26.074999999999999</v>
      </c>
      <c r="AP47" s="112">
        <v>21.884</v>
      </c>
      <c r="AQ47" s="94"/>
      <c r="AR47" s="112">
        <v>0.12</v>
      </c>
      <c r="AS47" s="112">
        <v>0.12</v>
      </c>
      <c r="AU47" s="105">
        <v>6.0218233266550625</v>
      </c>
      <c r="AV47" s="105">
        <v>1</v>
      </c>
      <c r="AW47" s="105">
        <v>0.43670379000000004</v>
      </c>
      <c r="AX47" s="94"/>
      <c r="AY47" s="69">
        <v>2.8563100000000001E-2</v>
      </c>
      <c r="AZ47" s="68" t="s">
        <v>159</v>
      </c>
      <c r="BA47" s="102" t="s">
        <v>159</v>
      </c>
      <c r="BB47" s="94">
        <f t="shared" si="0"/>
        <v>6.995615968650502E-3</v>
      </c>
      <c r="BC47" s="94"/>
      <c r="BD47" s="94"/>
      <c r="BE47" s="94"/>
      <c r="BF47" s="94"/>
      <c r="BG47" s="94"/>
      <c r="BH47" s="94"/>
      <c r="BI47" s="94"/>
    </row>
    <row r="48" spans="1:61" ht="14.4" x14ac:dyDescent="0.3">
      <c r="A48" s="102" t="s">
        <v>270</v>
      </c>
      <c r="B48" s="105" t="s">
        <v>11</v>
      </c>
      <c r="C48" s="105" t="s">
        <v>140</v>
      </c>
      <c r="D48" s="105" t="s">
        <v>68</v>
      </c>
      <c r="E48" s="105" t="s">
        <v>273</v>
      </c>
      <c r="F48" s="105" t="s">
        <v>12</v>
      </c>
      <c r="G48" s="105">
        <v>4.7359999999999998</v>
      </c>
      <c r="H48" s="105">
        <v>67</v>
      </c>
      <c r="I48" s="105">
        <v>317.3</v>
      </c>
      <c r="J48" s="105">
        <v>18</v>
      </c>
      <c r="K48" s="105">
        <v>10</v>
      </c>
      <c r="L48" s="105">
        <v>6</v>
      </c>
      <c r="M48" s="105">
        <v>299.89</v>
      </c>
      <c r="N48" s="105"/>
      <c r="O48" s="105">
        <v>8</v>
      </c>
      <c r="P48" s="105">
        <v>10</v>
      </c>
      <c r="Q48" s="105" t="s">
        <v>121</v>
      </c>
      <c r="R48" s="94"/>
      <c r="S48" s="112">
        <v>86.6</v>
      </c>
      <c r="T48" s="112">
        <v>645.37</v>
      </c>
      <c r="U48" s="112">
        <v>144.79</v>
      </c>
      <c r="V48" s="112">
        <v>781.23</v>
      </c>
      <c r="W48" s="112">
        <v>354.81</v>
      </c>
      <c r="X48" s="86"/>
      <c r="Y48" s="112">
        <v>78.541120000000006</v>
      </c>
      <c r="Z48" s="86"/>
      <c r="AA48" s="87">
        <v>0.90583999999999998</v>
      </c>
      <c r="AB48" s="87">
        <v>0.76944999999999997</v>
      </c>
      <c r="AC48" s="86"/>
      <c r="AD48" s="88">
        <v>1.0558700000000001</v>
      </c>
      <c r="AE48" s="86"/>
      <c r="AF48" s="112">
        <v>25.207999999999998</v>
      </c>
      <c r="AG48" s="112">
        <v>93.747</v>
      </c>
      <c r="AH48" s="112">
        <v>14.773</v>
      </c>
      <c r="AI48" s="112">
        <v>17.352</v>
      </c>
      <c r="AJ48" s="112">
        <v>30.498000000000001</v>
      </c>
      <c r="AK48" s="112">
        <v>17.97</v>
      </c>
      <c r="AL48" s="112">
        <v>23.459</v>
      </c>
      <c r="AM48" s="112">
        <v>27.117000000000001</v>
      </c>
      <c r="AN48" s="112">
        <v>25.81</v>
      </c>
      <c r="AO48" s="112">
        <v>36.405000000000001</v>
      </c>
      <c r="AP48" s="112">
        <v>17.327000000000002</v>
      </c>
      <c r="AQ48" s="94"/>
      <c r="AR48" s="112">
        <v>0.12</v>
      </c>
      <c r="AS48" s="112">
        <v>0.12</v>
      </c>
      <c r="AU48" s="105">
        <v>3.4456491476506286</v>
      </c>
      <c r="AV48" s="105">
        <v>1</v>
      </c>
      <c r="AW48" s="105">
        <v>-1.44374767</v>
      </c>
      <c r="AX48" s="94"/>
      <c r="AY48" s="69">
        <v>1.6833528E-2</v>
      </c>
      <c r="AZ48" s="67" t="s">
        <v>270</v>
      </c>
      <c r="BA48" s="102" t="s">
        <v>270</v>
      </c>
      <c r="BB48" s="94">
        <f t="shared" si="0"/>
        <v>3.5543766891891894E-3</v>
      </c>
      <c r="BC48" s="94"/>
      <c r="BD48" s="94"/>
      <c r="BE48" s="94"/>
      <c r="BF48" s="94"/>
      <c r="BG48" s="94"/>
      <c r="BH48" s="94"/>
      <c r="BI48" s="94"/>
    </row>
    <row r="49" spans="1:61" ht="14.4" x14ac:dyDescent="0.3">
      <c r="A49" s="102" t="s">
        <v>160</v>
      </c>
      <c r="B49" s="105" t="s">
        <v>11</v>
      </c>
      <c r="C49" s="105" t="s">
        <v>121</v>
      </c>
      <c r="D49" s="105" t="s">
        <v>63</v>
      </c>
      <c r="E49" s="105" t="s">
        <v>273</v>
      </c>
      <c r="F49" s="105" t="s">
        <v>68</v>
      </c>
      <c r="G49" s="105">
        <v>5.4119999999999999</v>
      </c>
      <c r="H49" s="105">
        <v>57</v>
      </c>
      <c r="I49" s="105">
        <v>308.5</v>
      </c>
      <c r="J49" s="105">
        <v>16</v>
      </c>
      <c r="K49" s="105">
        <v>11</v>
      </c>
      <c r="L49" s="105">
        <v>9</v>
      </c>
      <c r="M49" s="105">
        <v>237.09</v>
      </c>
      <c r="N49" s="105"/>
      <c r="O49" s="105">
        <v>14</v>
      </c>
      <c r="P49" s="105">
        <v>25.5</v>
      </c>
      <c r="Q49" s="105" t="s">
        <v>273</v>
      </c>
      <c r="R49" s="94"/>
      <c r="S49" s="112">
        <v>126.91</v>
      </c>
      <c r="T49" s="112">
        <v>406.55</v>
      </c>
      <c r="U49" s="112">
        <v>716.34</v>
      </c>
      <c r="V49" s="112">
        <v>609.55999999999995</v>
      </c>
      <c r="W49" s="112">
        <v>240.96</v>
      </c>
      <c r="X49" s="86"/>
      <c r="Y49" s="112">
        <v>-21.44472</v>
      </c>
      <c r="Z49" s="86"/>
      <c r="AA49" s="87">
        <v>0.91957</v>
      </c>
      <c r="AB49" s="87">
        <v>0.71238999999999997</v>
      </c>
      <c r="AC49" s="86"/>
      <c r="AD49" s="88">
        <v>1.1036300000000001</v>
      </c>
      <c r="AE49" s="86"/>
      <c r="AF49" s="112">
        <v>27.167999999999999</v>
      </c>
      <c r="AG49" s="112">
        <v>59.892000000000003</v>
      </c>
      <c r="AH49" s="112">
        <v>33.036999999999999</v>
      </c>
      <c r="AI49" s="112">
        <v>25.882000000000001</v>
      </c>
      <c r="AJ49" s="112">
        <v>26.282</v>
      </c>
      <c r="AK49" s="112">
        <v>30.852</v>
      </c>
      <c r="AL49" s="112">
        <v>36.212000000000003</v>
      </c>
      <c r="AM49" s="112">
        <v>30.797999999999998</v>
      </c>
      <c r="AN49" s="112">
        <v>36.118000000000002</v>
      </c>
      <c r="AO49" s="112">
        <v>35.283000000000001</v>
      </c>
      <c r="AP49" s="112">
        <v>17.693000000000001</v>
      </c>
      <c r="AQ49" s="94"/>
      <c r="AR49" s="112">
        <v>0.12</v>
      </c>
      <c r="AS49" s="112">
        <v>0.12</v>
      </c>
      <c r="AU49" s="105">
        <v>6.1667200752231262</v>
      </c>
      <c r="AV49" s="105">
        <v>0.87208226743140638</v>
      </c>
      <c r="AW49" s="105">
        <v>-5.3106279999999999E-2</v>
      </c>
      <c r="AX49" s="94"/>
      <c r="AY49" s="69">
        <v>2.6022522999999999E-2</v>
      </c>
      <c r="AZ49" s="66" t="s">
        <v>160</v>
      </c>
      <c r="BA49" s="102" t="s">
        <v>160</v>
      </c>
      <c r="BB49" s="94">
        <f t="shared" si="0"/>
        <v>4.8083006282335552E-3</v>
      </c>
      <c r="BC49" s="94"/>
      <c r="BD49" s="94"/>
      <c r="BE49" s="94"/>
      <c r="BF49" s="94"/>
      <c r="BG49" s="94"/>
      <c r="BH49" s="94"/>
      <c r="BI49" s="94"/>
    </row>
    <row r="50" spans="1:61" ht="14.4" x14ac:dyDescent="0.3">
      <c r="A50" s="102" t="s">
        <v>161</v>
      </c>
      <c r="B50" s="105" t="s">
        <v>68</v>
      </c>
      <c r="C50" s="105" t="s">
        <v>121</v>
      </c>
      <c r="D50" s="105" t="s">
        <v>68</v>
      </c>
      <c r="E50" s="105" t="s">
        <v>68</v>
      </c>
      <c r="F50" s="105" t="s">
        <v>68</v>
      </c>
      <c r="G50" s="105">
        <v>5.6440000000000001</v>
      </c>
      <c r="H50" s="105">
        <v>55</v>
      </c>
      <c r="I50" s="105">
        <v>310.39999999999998</v>
      </c>
      <c r="J50" s="105">
        <v>14</v>
      </c>
      <c r="K50" s="105">
        <v>11</v>
      </c>
      <c r="L50" s="105">
        <v>14</v>
      </c>
      <c r="M50" s="105">
        <v>217.17</v>
      </c>
      <c r="N50" s="105"/>
      <c r="O50" s="105">
        <v>17</v>
      </c>
      <c r="P50" s="105">
        <v>24</v>
      </c>
      <c r="Q50" s="105" t="s">
        <v>273</v>
      </c>
      <c r="R50" s="94"/>
      <c r="S50" s="112">
        <v>554</v>
      </c>
      <c r="T50" s="112">
        <v>590.12333000000001</v>
      </c>
      <c r="U50" s="112">
        <v>653.68700000000001</v>
      </c>
      <c r="V50" s="112">
        <v>746.34333000000004</v>
      </c>
      <c r="W50" s="112">
        <v>466.41</v>
      </c>
      <c r="X50" s="86"/>
      <c r="Y50" s="112">
        <v>24.6</v>
      </c>
      <c r="Z50" s="86"/>
      <c r="AA50" s="87">
        <v>0.84219999999999995</v>
      </c>
      <c r="AB50" s="87">
        <v>0.61612999999999996</v>
      </c>
      <c r="AC50" s="86"/>
      <c r="AD50" s="88">
        <v>1.0392300000000001</v>
      </c>
      <c r="AE50" s="86"/>
      <c r="AF50" s="112">
        <v>25.274999999999999</v>
      </c>
      <c r="AG50" s="112">
        <v>44.984999999999999</v>
      </c>
      <c r="AH50" s="112">
        <v>32.811</v>
      </c>
      <c r="AI50" s="112">
        <v>26.302</v>
      </c>
      <c r="AJ50" s="112">
        <v>32.939</v>
      </c>
      <c r="AK50" s="112">
        <v>18.283000000000001</v>
      </c>
      <c r="AL50" s="112">
        <v>31.829000000000001</v>
      </c>
      <c r="AM50" s="112">
        <v>36.601999999999997</v>
      </c>
      <c r="AN50" s="112">
        <v>43.17</v>
      </c>
      <c r="AO50" s="112">
        <v>26.006</v>
      </c>
      <c r="AP50" s="112">
        <v>18.791</v>
      </c>
      <c r="AQ50" s="94"/>
      <c r="AR50" s="112">
        <v>0.12</v>
      </c>
      <c r="AS50" s="112">
        <v>0.12</v>
      </c>
      <c r="AU50" s="105">
        <v>5.7683667452876666</v>
      </c>
      <c r="AV50" s="105">
        <v>0.87695333227207395</v>
      </c>
      <c r="AW50" s="105">
        <v>0.11323555</v>
      </c>
      <c r="AX50" s="94"/>
      <c r="AY50" s="69">
        <v>2.8587741999999999E-2</v>
      </c>
      <c r="AZ50" s="68" t="s">
        <v>161</v>
      </c>
      <c r="BA50" s="102" t="s">
        <v>161</v>
      </c>
      <c r="BB50" s="94">
        <f t="shared" si="0"/>
        <v>5.0651562721474126E-3</v>
      </c>
      <c r="BC50" s="94"/>
      <c r="BD50" s="94"/>
      <c r="BE50" s="94"/>
      <c r="BF50" s="94"/>
      <c r="BG50" s="94"/>
      <c r="BH50" s="94"/>
      <c r="BI50" s="94"/>
    </row>
    <row r="51" spans="1:61" ht="14.4" x14ac:dyDescent="0.3">
      <c r="A51" s="102" t="s">
        <v>173</v>
      </c>
      <c r="B51" s="105" t="s">
        <v>12</v>
      </c>
      <c r="C51" s="105" t="s">
        <v>70</v>
      </c>
      <c r="D51" s="105" t="s">
        <v>68</v>
      </c>
      <c r="E51" s="105" t="s">
        <v>68</v>
      </c>
      <c r="F51" s="105" t="s">
        <v>68</v>
      </c>
      <c r="G51" s="105">
        <v>3.1859999999999999</v>
      </c>
      <c r="H51" s="105">
        <v>80</v>
      </c>
      <c r="I51" s="105">
        <v>254.9</v>
      </c>
      <c r="J51" s="105">
        <v>5</v>
      </c>
      <c r="K51" s="105">
        <v>10</v>
      </c>
      <c r="L51" s="105">
        <v>9</v>
      </c>
      <c r="M51" s="105">
        <v>197.95</v>
      </c>
      <c r="N51" s="105"/>
      <c r="O51" s="105">
        <v>16</v>
      </c>
      <c r="P51" s="105">
        <v>12</v>
      </c>
      <c r="Q51" s="105" t="s">
        <v>121</v>
      </c>
      <c r="R51" s="94"/>
      <c r="S51" s="112">
        <v>927.25</v>
      </c>
      <c r="T51" s="112">
        <v>414.83</v>
      </c>
      <c r="U51" s="112">
        <v>503.01</v>
      </c>
      <c r="V51" s="112">
        <v>477.94</v>
      </c>
      <c r="W51" s="112">
        <v>522.69000000000005</v>
      </c>
      <c r="X51" s="86"/>
      <c r="Y51" s="112">
        <v>177</v>
      </c>
      <c r="Z51" s="86"/>
      <c r="AA51" s="87">
        <v>0.86141000000000001</v>
      </c>
      <c r="AB51" s="89">
        <v>0</v>
      </c>
      <c r="AC51" s="86"/>
      <c r="AD51" s="88">
        <v>0.92879</v>
      </c>
      <c r="AE51" s="86"/>
      <c r="AF51" s="112">
        <v>24.934000000000001</v>
      </c>
      <c r="AG51" s="112">
        <v>30.625</v>
      </c>
      <c r="AH51" s="112">
        <v>25.175000000000001</v>
      </c>
      <c r="AI51" s="112">
        <v>27.54</v>
      </c>
      <c r="AJ51" s="112">
        <v>24.224</v>
      </c>
      <c r="AK51" s="112">
        <v>20.047000000000001</v>
      </c>
      <c r="AL51" s="112">
        <v>23.065000000000001</v>
      </c>
      <c r="AM51" s="112">
        <v>34.234000000000002</v>
      </c>
      <c r="AN51" s="112">
        <v>28.933</v>
      </c>
      <c r="AO51" s="112">
        <v>29.658000000000001</v>
      </c>
      <c r="AP51" s="112">
        <v>20.6</v>
      </c>
      <c r="AQ51" s="94"/>
      <c r="AR51" s="112">
        <v>0.12</v>
      </c>
      <c r="AS51" s="112">
        <v>0.12</v>
      </c>
      <c r="AU51" s="105">
        <v>6.028875615945144</v>
      </c>
      <c r="AV51" s="105">
        <v>1</v>
      </c>
      <c r="AW51" s="105">
        <v>0.42639139999999998</v>
      </c>
      <c r="AX51" s="94"/>
      <c r="AY51" s="69">
        <v>2.5590360999999999E-2</v>
      </c>
      <c r="AZ51" s="68" t="s">
        <v>173</v>
      </c>
      <c r="BA51" s="102" t="s">
        <v>173</v>
      </c>
      <c r="BB51" s="94">
        <f t="shared" si="0"/>
        <v>8.0321283741368477E-3</v>
      </c>
      <c r="BC51" s="94"/>
      <c r="BD51" s="94"/>
      <c r="BE51" s="94"/>
      <c r="BF51" s="94"/>
      <c r="BG51" s="94"/>
      <c r="BH51" s="94"/>
      <c r="BI51" s="94"/>
    </row>
    <row r="52" spans="1:61" ht="14.4" x14ac:dyDescent="0.3">
      <c r="A52" s="102" t="s">
        <v>162</v>
      </c>
      <c r="B52" s="105" t="s">
        <v>68</v>
      </c>
      <c r="C52" s="105" t="s">
        <v>121</v>
      </c>
      <c r="D52" s="105" t="s">
        <v>63</v>
      </c>
      <c r="E52" s="105" t="s">
        <v>273</v>
      </c>
      <c r="F52" s="105" t="s">
        <v>68</v>
      </c>
      <c r="G52" s="105">
        <v>5.45</v>
      </c>
      <c r="H52" s="105">
        <v>56</v>
      </c>
      <c r="I52" s="105">
        <v>305.2</v>
      </c>
      <c r="J52" s="105">
        <v>9</v>
      </c>
      <c r="K52" s="105">
        <v>16</v>
      </c>
      <c r="L52" s="105">
        <v>15</v>
      </c>
      <c r="M52" s="105">
        <v>217.18</v>
      </c>
      <c r="N52" s="105"/>
      <c r="O52" s="105">
        <v>10</v>
      </c>
      <c r="P52" s="105">
        <v>24</v>
      </c>
      <c r="Q52" s="105" t="s">
        <v>12</v>
      </c>
      <c r="R52" s="94"/>
      <c r="S52" s="112">
        <v>416.43</v>
      </c>
      <c r="T52" s="112">
        <v>529.77</v>
      </c>
      <c r="U52" s="112">
        <v>641.35</v>
      </c>
      <c r="V52" s="112">
        <v>354.61</v>
      </c>
      <c r="W52" s="112">
        <v>114.21</v>
      </c>
      <c r="X52" s="86"/>
      <c r="Y52" s="112">
        <v>114.90394000000001</v>
      </c>
      <c r="Z52" s="86"/>
      <c r="AA52" s="87">
        <v>0.91466999999999998</v>
      </c>
      <c r="AB52" s="87">
        <v>0.67435</v>
      </c>
      <c r="AC52" s="86"/>
      <c r="AD52" s="88">
        <v>1.0292699999999999</v>
      </c>
      <c r="AE52" s="86"/>
      <c r="AF52" s="112">
        <v>20.675000000000001</v>
      </c>
      <c r="AG52" s="112">
        <v>57.895000000000003</v>
      </c>
      <c r="AH52" s="112">
        <v>34.115000000000002</v>
      </c>
      <c r="AI52" s="112">
        <v>39.604999999999997</v>
      </c>
      <c r="AJ52" s="112">
        <v>35.046999999999997</v>
      </c>
      <c r="AK52" s="112">
        <v>28.213000000000001</v>
      </c>
      <c r="AL52" s="112">
        <v>26.74</v>
      </c>
      <c r="AM52" s="112">
        <v>38.844000000000001</v>
      </c>
      <c r="AN52" s="112">
        <v>43.939</v>
      </c>
      <c r="AO52" s="112">
        <v>48.878</v>
      </c>
      <c r="AP52" s="112">
        <v>18.481999999999999</v>
      </c>
      <c r="AQ52" s="94"/>
      <c r="AR52" s="112">
        <v>0.12</v>
      </c>
      <c r="AS52" s="112">
        <v>0.12</v>
      </c>
      <c r="AU52" s="105">
        <v>5.130225556829469</v>
      </c>
      <c r="AV52" s="105">
        <v>0</v>
      </c>
      <c r="AW52" s="105">
        <v>-0.43156364000000003</v>
      </c>
      <c r="AX52" s="94"/>
      <c r="AY52" s="69">
        <v>2.8105719000000001E-2</v>
      </c>
      <c r="AZ52" s="66" t="s">
        <v>162</v>
      </c>
      <c r="BA52" s="102" t="s">
        <v>162</v>
      </c>
      <c r="BB52" s="94">
        <f t="shared" si="0"/>
        <v>5.1570126605504588E-3</v>
      </c>
      <c r="BC52" s="94"/>
      <c r="BD52" s="94"/>
      <c r="BE52" s="94"/>
      <c r="BF52" s="94"/>
      <c r="BG52" s="94"/>
      <c r="BH52" s="94"/>
      <c r="BI52" s="94"/>
    </row>
    <row r="53" spans="1:61" ht="14.4" x14ac:dyDescent="0.3">
      <c r="A53" s="102" t="s">
        <v>163</v>
      </c>
      <c r="B53" s="105" t="s">
        <v>11</v>
      </c>
      <c r="C53" s="105" t="s">
        <v>121</v>
      </c>
      <c r="D53" s="105" t="s">
        <v>68</v>
      </c>
      <c r="E53" s="105" t="s">
        <v>12</v>
      </c>
      <c r="F53" s="105" t="s">
        <v>11</v>
      </c>
      <c r="G53" s="105">
        <v>5.1379999999999999</v>
      </c>
      <c r="H53" s="105">
        <v>60</v>
      </c>
      <c r="I53" s="105">
        <v>308.3</v>
      </c>
      <c r="J53" s="105">
        <v>11</v>
      </c>
      <c r="K53" s="105">
        <v>11</v>
      </c>
      <c r="L53" s="105">
        <v>16</v>
      </c>
      <c r="M53" s="105">
        <v>225.46</v>
      </c>
      <c r="N53" s="105"/>
      <c r="O53" s="105">
        <v>14</v>
      </c>
      <c r="P53" s="105">
        <v>22.5</v>
      </c>
      <c r="Q53" s="105" t="s">
        <v>121</v>
      </c>
      <c r="R53" s="94"/>
      <c r="S53" s="112">
        <v>283.41000000000003</v>
      </c>
      <c r="T53" s="112">
        <v>699.48</v>
      </c>
      <c r="U53" s="112">
        <v>590.85</v>
      </c>
      <c r="V53" s="112">
        <v>823.25</v>
      </c>
      <c r="W53" s="112">
        <v>415.1</v>
      </c>
      <c r="X53" s="86"/>
      <c r="Y53" s="112">
        <v>18.873349999999999</v>
      </c>
      <c r="Z53" s="86"/>
      <c r="AA53" s="87">
        <v>0.86931999999999998</v>
      </c>
      <c r="AB53" s="87">
        <v>0.68100000000000005</v>
      </c>
      <c r="AC53" s="86"/>
      <c r="AD53" s="88">
        <v>1.1123000000000001</v>
      </c>
      <c r="AE53" s="86"/>
      <c r="AF53" s="112">
        <v>25.015999999999998</v>
      </c>
      <c r="AG53" s="112">
        <v>53.238999999999997</v>
      </c>
      <c r="AH53" s="112">
        <v>22.378</v>
      </c>
      <c r="AI53" s="112">
        <v>26.878</v>
      </c>
      <c r="AJ53" s="112">
        <v>28.286000000000001</v>
      </c>
      <c r="AK53" s="112">
        <v>17.123999999999999</v>
      </c>
      <c r="AL53" s="112">
        <v>16.405000000000001</v>
      </c>
      <c r="AM53" s="112">
        <v>37.582999999999998</v>
      </c>
      <c r="AN53" s="112">
        <v>27.510999999999999</v>
      </c>
      <c r="AO53" s="112">
        <v>22.260999999999999</v>
      </c>
      <c r="AP53" s="112">
        <v>12.316000000000001</v>
      </c>
      <c r="AQ53" s="94"/>
      <c r="AR53" s="112">
        <v>0.12</v>
      </c>
      <c r="AS53" s="112">
        <v>0.12</v>
      </c>
      <c r="AU53" s="105">
        <v>5.356901996417391</v>
      </c>
      <c r="AV53" s="105">
        <v>0.76399509331885473</v>
      </c>
      <c r="AW53" s="105">
        <v>9.7682470000000007E-2</v>
      </c>
      <c r="AX53" s="94"/>
      <c r="AY53" s="69">
        <v>2.7346757999999999E-2</v>
      </c>
      <c r="AZ53" s="66" t="s">
        <v>163</v>
      </c>
      <c r="BA53" s="102" t="s">
        <v>163</v>
      </c>
      <c r="BB53" s="94">
        <f t="shared" si="0"/>
        <v>5.3224519268197743E-3</v>
      </c>
      <c r="BC53" s="94"/>
      <c r="BD53" s="94"/>
      <c r="BE53" s="94"/>
      <c r="BF53" s="94"/>
      <c r="BG53" s="94"/>
      <c r="BH53" s="94"/>
      <c r="BI53" s="94"/>
    </row>
    <row r="54" spans="1:61" ht="14.4" x14ac:dyDescent="0.3">
      <c r="A54" s="102" t="s">
        <v>164</v>
      </c>
      <c r="B54" s="105" t="s">
        <v>12</v>
      </c>
      <c r="C54" s="105" t="s">
        <v>70</v>
      </c>
      <c r="D54" s="105" t="s">
        <v>70</v>
      </c>
      <c r="E54" s="105" t="s">
        <v>68</v>
      </c>
      <c r="F54" s="105" t="s">
        <v>12</v>
      </c>
      <c r="G54" s="105">
        <v>5.0670000000000002</v>
      </c>
      <c r="H54" s="105">
        <v>61</v>
      </c>
      <c r="I54" s="105">
        <v>309.10000000000002</v>
      </c>
      <c r="J54" s="105">
        <v>7</v>
      </c>
      <c r="K54" s="105">
        <v>11</v>
      </c>
      <c r="L54" s="105">
        <v>17</v>
      </c>
      <c r="M54" s="105">
        <v>214.84</v>
      </c>
      <c r="N54" s="105"/>
      <c r="O54" s="105">
        <v>23</v>
      </c>
      <c r="P54" s="105">
        <v>17</v>
      </c>
      <c r="Q54" s="105" t="s">
        <v>11</v>
      </c>
      <c r="R54" s="94"/>
      <c r="S54" s="112">
        <v>844.98720000000003</v>
      </c>
      <c r="T54" s="112">
        <v>439.86824999999999</v>
      </c>
      <c r="U54" s="112">
        <v>579.02</v>
      </c>
      <c r="V54" s="112">
        <v>600</v>
      </c>
      <c r="W54" s="112">
        <v>802.97</v>
      </c>
      <c r="X54" s="86"/>
      <c r="Y54" s="112">
        <v>202.04229000000001</v>
      </c>
      <c r="Z54" s="86"/>
      <c r="AA54" s="87">
        <v>0.84574000000000005</v>
      </c>
      <c r="AB54" s="87">
        <v>0.54713999999999996</v>
      </c>
      <c r="AC54" s="86"/>
      <c r="AD54" s="88">
        <v>1.04688</v>
      </c>
      <c r="AE54" s="86"/>
      <c r="AF54" s="112">
        <v>29.443999999999999</v>
      </c>
      <c r="AG54" s="112">
        <v>22.242999999999999</v>
      </c>
      <c r="AH54" s="112">
        <v>34.673999999999999</v>
      </c>
      <c r="AI54" s="112">
        <v>30.373999999999999</v>
      </c>
      <c r="AJ54" s="112">
        <v>34.034999999999997</v>
      </c>
      <c r="AK54" s="112">
        <v>23.699000000000002</v>
      </c>
      <c r="AL54" s="112">
        <v>29.268000000000001</v>
      </c>
      <c r="AM54" s="112">
        <v>29.454999999999998</v>
      </c>
      <c r="AN54" s="112">
        <v>45.579000000000001</v>
      </c>
      <c r="AO54" s="112">
        <v>26.95</v>
      </c>
      <c r="AP54" s="112">
        <v>25.68</v>
      </c>
      <c r="AQ54" s="94"/>
      <c r="AR54" s="112">
        <v>0.12</v>
      </c>
      <c r="AS54" s="112">
        <v>0.12</v>
      </c>
      <c r="AU54" s="105">
        <v>8.5532284127284672</v>
      </c>
      <c r="AV54" s="105">
        <v>0.8068737821041797</v>
      </c>
      <c r="AW54" s="105">
        <v>1.26081216</v>
      </c>
      <c r="AX54" s="94"/>
      <c r="AY54" s="69">
        <v>2.8879887999999999E-2</v>
      </c>
      <c r="AZ54" s="67" t="s">
        <v>357</v>
      </c>
      <c r="BA54" s="102" t="s">
        <v>164</v>
      </c>
      <c r="BB54" s="94">
        <f t="shared" si="0"/>
        <v>5.6996029208604693E-3</v>
      </c>
      <c r="BC54" s="94"/>
      <c r="BD54" s="94"/>
      <c r="BE54" s="94"/>
      <c r="BF54" s="94"/>
      <c r="BG54" s="94"/>
      <c r="BH54" s="94"/>
      <c r="BI54" s="94"/>
    </row>
    <row r="55" spans="1:61" ht="14.4" x14ac:dyDescent="0.3">
      <c r="A55" s="102" t="s">
        <v>165</v>
      </c>
      <c r="B55" s="105" t="s">
        <v>68</v>
      </c>
      <c r="C55" s="105" t="s">
        <v>70</v>
      </c>
      <c r="D55" s="105" t="s">
        <v>68</v>
      </c>
      <c r="E55" s="105" t="s">
        <v>12</v>
      </c>
      <c r="F55" s="105" t="s">
        <v>12</v>
      </c>
      <c r="G55" s="105">
        <v>5.923</v>
      </c>
      <c r="H55" s="105">
        <v>53</v>
      </c>
      <c r="I55" s="105">
        <v>313.89999999999998</v>
      </c>
      <c r="J55" s="105">
        <v>17</v>
      </c>
      <c r="K55" s="105">
        <v>10</v>
      </c>
      <c r="L55" s="105">
        <v>15</v>
      </c>
      <c r="M55" s="105">
        <v>219.95</v>
      </c>
      <c r="N55" s="105"/>
      <c r="O55" s="105">
        <v>14</v>
      </c>
      <c r="P55" s="105">
        <v>19.5</v>
      </c>
      <c r="Q55" s="105" t="s">
        <v>12</v>
      </c>
      <c r="R55" s="94"/>
      <c r="S55" s="112">
        <v>735.82</v>
      </c>
      <c r="T55" s="112">
        <v>439.66</v>
      </c>
      <c r="U55" s="112">
        <v>609.73</v>
      </c>
      <c r="V55" s="112">
        <v>491.45</v>
      </c>
      <c r="W55" s="112">
        <v>431.92</v>
      </c>
      <c r="X55" s="86"/>
      <c r="Y55" s="112">
        <v>184.08430999999999</v>
      </c>
      <c r="Z55" s="86"/>
      <c r="AA55" s="87">
        <v>0.89481999999999995</v>
      </c>
      <c r="AB55" s="87">
        <v>0.79</v>
      </c>
      <c r="AC55" s="86"/>
      <c r="AD55" s="88">
        <v>1.0652200000000001</v>
      </c>
      <c r="AE55" s="86"/>
      <c r="AF55" s="112">
        <v>21.45</v>
      </c>
      <c r="AG55" s="112">
        <v>46.631999999999998</v>
      </c>
      <c r="AH55" s="112">
        <v>25.382000000000001</v>
      </c>
      <c r="AI55" s="112">
        <v>28.821999999999999</v>
      </c>
      <c r="AJ55" s="112">
        <v>37.887</v>
      </c>
      <c r="AK55" s="112">
        <v>18.696000000000002</v>
      </c>
      <c r="AL55" s="112">
        <v>16.206</v>
      </c>
      <c r="AM55" s="112">
        <v>45.566000000000003</v>
      </c>
      <c r="AN55" s="112">
        <v>31.475000000000001</v>
      </c>
      <c r="AO55" s="112">
        <v>39.401000000000003</v>
      </c>
      <c r="AP55" s="112">
        <v>15.185</v>
      </c>
      <c r="AQ55" s="94"/>
      <c r="AR55" s="112">
        <v>0.12</v>
      </c>
      <c r="AS55" s="112">
        <v>0.12</v>
      </c>
      <c r="AU55" s="105">
        <v>6.5315616506978964</v>
      </c>
      <c r="AV55" s="105">
        <v>0.8709403681346477</v>
      </c>
      <c r="AW55" s="105">
        <v>0.29342516000000002</v>
      </c>
      <c r="AX55" s="94"/>
      <c r="AY55" s="69">
        <v>2.8544578000000001E-2</v>
      </c>
      <c r="AZ55" s="68" t="s">
        <v>358</v>
      </c>
      <c r="BA55" s="102" t="s">
        <v>165</v>
      </c>
      <c r="BB55" s="94">
        <f t="shared" si="0"/>
        <v>4.8192770555461764E-3</v>
      </c>
      <c r="BC55" s="94"/>
      <c r="BD55" s="94"/>
      <c r="BE55" s="94"/>
      <c r="BF55" s="94"/>
      <c r="BG55" s="94"/>
      <c r="BH55" s="94"/>
      <c r="BI55" s="94"/>
    </row>
    <row r="56" spans="1:61" ht="14.4" x14ac:dyDescent="0.3">
      <c r="A56" s="102" t="s">
        <v>271</v>
      </c>
      <c r="B56" s="105" t="s">
        <v>68</v>
      </c>
      <c r="C56" s="105" t="s">
        <v>70</v>
      </c>
      <c r="D56" s="105" t="s">
        <v>68</v>
      </c>
      <c r="E56" s="105" t="s">
        <v>11</v>
      </c>
      <c r="F56" s="105" t="s">
        <v>12</v>
      </c>
      <c r="G56" s="105">
        <v>5.851</v>
      </c>
      <c r="H56" s="105">
        <v>53</v>
      </c>
      <c r="I56" s="105">
        <v>310.10000000000002</v>
      </c>
      <c r="J56" s="105">
        <v>8</v>
      </c>
      <c r="K56" s="105">
        <v>15</v>
      </c>
      <c r="L56" s="105">
        <v>18</v>
      </c>
      <c r="M56" s="105">
        <v>203.07</v>
      </c>
      <c r="N56" s="105"/>
      <c r="O56" s="105">
        <v>19</v>
      </c>
      <c r="P56" s="105">
        <v>23</v>
      </c>
      <c r="Q56" s="105" t="s">
        <v>121</v>
      </c>
      <c r="R56" s="94"/>
      <c r="S56" s="112">
        <v>675.39</v>
      </c>
      <c r="T56" s="112">
        <v>588.26</v>
      </c>
      <c r="U56" s="112">
        <v>587.66</v>
      </c>
      <c r="V56" s="112">
        <v>696.24</v>
      </c>
      <c r="W56" s="112">
        <v>456.11</v>
      </c>
      <c r="X56" s="86"/>
      <c r="Y56" s="112">
        <v>137.97</v>
      </c>
      <c r="Z56" s="86"/>
      <c r="AA56" s="87">
        <v>0.84040000000000004</v>
      </c>
      <c r="AB56" s="89">
        <v>0.7</v>
      </c>
      <c r="AC56" s="86"/>
      <c r="AD56" s="88">
        <v>1.04166</v>
      </c>
      <c r="AE56" s="86"/>
      <c r="AF56" s="112">
        <v>20.780999999999999</v>
      </c>
      <c r="AG56" s="112">
        <v>44.414999999999999</v>
      </c>
      <c r="AH56" s="112">
        <v>26.856000000000002</v>
      </c>
      <c r="AI56" s="112">
        <v>25.933</v>
      </c>
      <c r="AJ56" s="112">
        <v>24.361999999999998</v>
      </c>
      <c r="AK56" s="112">
        <v>15.798999999999999</v>
      </c>
      <c r="AL56" s="112">
        <v>19.082999999999998</v>
      </c>
      <c r="AM56" s="112">
        <v>30.559000000000001</v>
      </c>
      <c r="AN56" s="112">
        <v>41.040999999999997</v>
      </c>
      <c r="AO56" s="112">
        <v>21.771000000000001</v>
      </c>
      <c r="AP56" s="112">
        <v>16.77</v>
      </c>
      <c r="AQ56" s="94"/>
      <c r="AR56" s="112">
        <v>0.12</v>
      </c>
      <c r="AS56" s="112">
        <v>0.12</v>
      </c>
      <c r="AU56" s="105">
        <v>5.3997871490277083</v>
      </c>
      <c r="AV56" s="105">
        <v>0.90003674089772567</v>
      </c>
      <c r="AW56" s="105">
        <v>0.60888109000000001</v>
      </c>
      <c r="AX56" s="94"/>
      <c r="AY56" s="69">
        <v>2.8191181999999999E-2</v>
      </c>
      <c r="AZ56" s="68" t="s">
        <v>359</v>
      </c>
      <c r="BA56" s="102" t="s">
        <v>271</v>
      </c>
      <c r="BB56" s="94">
        <f t="shared" si="0"/>
        <v>4.818181849256537E-3</v>
      </c>
      <c r="BC56" s="94"/>
      <c r="BD56" s="94"/>
      <c r="BE56" s="94"/>
      <c r="BF56" s="94"/>
      <c r="BG56" s="94"/>
      <c r="BH56" s="94"/>
      <c r="BI56" s="94"/>
    </row>
    <row r="57" spans="1:61" ht="14.4" x14ac:dyDescent="0.3">
      <c r="A57" s="102" t="s">
        <v>166</v>
      </c>
      <c r="B57" s="105" t="s">
        <v>68</v>
      </c>
      <c r="C57" s="105" t="s">
        <v>121</v>
      </c>
      <c r="D57" s="105" t="s">
        <v>68</v>
      </c>
      <c r="E57" s="105" t="s">
        <v>12</v>
      </c>
      <c r="F57" s="105" t="s">
        <v>68</v>
      </c>
      <c r="G57" s="105">
        <v>6.968</v>
      </c>
      <c r="H57" s="105">
        <v>44</v>
      </c>
      <c r="I57" s="105">
        <v>306.60000000000002</v>
      </c>
      <c r="J57" s="105">
        <v>18</v>
      </c>
      <c r="K57" s="105">
        <v>16</v>
      </c>
      <c r="L57" s="105">
        <v>13</v>
      </c>
      <c r="M57" s="105">
        <v>239</v>
      </c>
      <c r="N57" s="105"/>
      <c r="O57" s="105">
        <v>22</v>
      </c>
      <c r="P57" s="105">
        <v>13.5</v>
      </c>
      <c r="Q57" s="105" t="s">
        <v>121</v>
      </c>
      <c r="R57" s="94"/>
      <c r="S57" s="112">
        <v>585.63901999999996</v>
      </c>
      <c r="T57" s="112">
        <v>716.49414000000002</v>
      </c>
      <c r="U57" s="112">
        <v>446.82400000000001</v>
      </c>
      <c r="V57" s="112">
        <v>609.47063000000003</v>
      </c>
      <c r="W57" s="112">
        <v>372.54417000000001</v>
      </c>
      <c r="X57" s="86"/>
      <c r="Y57" s="112">
        <v>50.397829999999999</v>
      </c>
      <c r="Z57" s="86"/>
      <c r="AA57" s="87">
        <v>0.87627999999999995</v>
      </c>
      <c r="AB57" s="87">
        <v>0.45190999999999998</v>
      </c>
      <c r="AC57" s="86"/>
      <c r="AD57" s="88">
        <v>1.04803</v>
      </c>
      <c r="AE57" s="86"/>
      <c r="AF57" s="112">
        <v>28.515999999999998</v>
      </c>
      <c r="AG57" s="112">
        <v>48.908999999999999</v>
      </c>
      <c r="AH57" s="112">
        <v>28.048999999999999</v>
      </c>
      <c r="AI57" s="112">
        <v>32.094000000000001</v>
      </c>
      <c r="AJ57" s="112">
        <v>31.559000000000001</v>
      </c>
      <c r="AK57" s="112">
        <v>21.309000000000001</v>
      </c>
      <c r="AL57" s="112">
        <v>18.466999999999999</v>
      </c>
      <c r="AM57" s="112">
        <v>38.360999999999997</v>
      </c>
      <c r="AN57" s="112">
        <v>43.341999999999999</v>
      </c>
      <c r="AO57" s="112">
        <v>46.582999999999998</v>
      </c>
      <c r="AP57" s="112">
        <v>17.765999999999998</v>
      </c>
      <c r="AQ57" s="94"/>
      <c r="AR57" s="112">
        <v>0.12</v>
      </c>
      <c r="AS57" s="112">
        <v>0.12</v>
      </c>
      <c r="AU57" s="105">
        <v>6.245591974544471</v>
      </c>
      <c r="AV57" s="105">
        <v>0.90033719561863368</v>
      </c>
      <c r="AW57" s="105">
        <v>0.44981546</v>
      </c>
      <c r="AX57" s="94"/>
      <c r="AY57" s="69">
        <v>2.5656234E-2</v>
      </c>
      <c r="AZ57" s="67" t="s">
        <v>360</v>
      </c>
      <c r="BA57" s="102" t="s">
        <v>166</v>
      </c>
      <c r="BB57" s="94">
        <f t="shared" si="0"/>
        <v>3.6820083237657864E-3</v>
      </c>
      <c r="BC57" s="94"/>
      <c r="BD57" s="94"/>
      <c r="BE57" s="94"/>
      <c r="BF57" s="94"/>
      <c r="BG57" s="94"/>
      <c r="BH57" s="94"/>
      <c r="BI57" s="94"/>
    </row>
    <row r="58" spans="1:61" ht="14.4" x14ac:dyDescent="0.3">
      <c r="A58" s="102" t="s">
        <v>167</v>
      </c>
      <c r="B58" s="105" t="s">
        <v>68</v>
      </c>
      <c r="C58" s="105" t="s">
        <v>70</v>
      </c>
      <c r="D58" s="105" t="s">
        <v>68</v>
      </c>
      <c r="E58" s="105" t="s">
        <v>68</v>
      </c>
      <c r="F58" s="105" t="s">
        <v>68</v>
      </c>
      <c r="G58" s="105">
        <v>5.86</v>
      </c>
      <c r="H58" s="105">
        <v>53</v>
      </c>
      <c r="I58" s="105">
        <v>310.60000000000002</v>
      </c>
      <c r="J58" s="105">
        <v>11</v>
      </c>
      <c r="K58" s="105">
        <v>18</v>
      </c>
      <c r="L58" s="105">
        <v>13</v>
      </c>
      <c r="M58" s="105">
        <v>233.28</v>
      </c>
      <c r="N58" s="105"/>
      <c r="O58" s="105">
        <v>14</v>
      </c>
      <c r="P58" s="105">
        <v>15</v>
      </c>
      <c r="Q58" s="105" t="s">
        <v>273</v>
      </c>
      <c r="R58" s="94"/>
      <c r="S58" s="112">
        <v>413.56</v>
      </c>
      <c r="T58" s="112">
        <v>639.98</v>
      </c>
      <c r="U58" s="112">
        <v>515.88</v>
      </c>
      <c r="V58" s="112">
        <v>550.25</v>
      </c>
      <c r="W58" s="112">
        <v>531.13</v>
      </c>
      <c r="X58" s="86"/>
      <c r="Y58" s="112">
        <v>47.119889999999998</v>
      </c>
      <c r="Z58" s="86"/>
      <c r="AA58" s="87">
        <v>0.85438000000000003</v>
      </c>
      <c r="AB58" s="87">
        <v>0.55084</v>
      </c>
      <c r="AC58" s="86"/>
      <c r="AD58" s="88">
        <v>1.0921000000000001</v>
      </c>
      <c r="AE58" s="86"/>
      <c r="AF58" s="112">
        <v>17.353000000000002</v>
      </c>
      <c r="AG58" s="112">
        <v>33.579000000000001</v>
      </c>
      <c r="AH58" s="112">
        <v>22.036999999999999</v>
      </c>
      <c r="AI58" s="112">
        <v>28.97</v>
      </c>
      <c r="AJ58" s="112">
        <v>23.434999999999999</v>
      </c>
      <c r="AK58" s="112">
        <v>15.56</v>
      </c>
      <c r="AL58" s="112">
        <v>14.46</v>
      </c>
      <c r="AM58" s="112">
        <v>37.835000000000001</v>
      </c>
      <c r="AN58" s="112">
        <v>29.292999999999999</v>
      </c>
      <c r="AO58" s="112">
        <v>31.751000000000001</v>
      </c>
      <c r="AP58" s="112">
        <v>15.141</v>
      </c>
      <c r="AQ58" s="94"/>
      <c r="AR58" s="112">
        <v>0.12</v>
      </c>
      <c r="AS58" s="112">
        <v>0.12</v>
      </c>
      <c r="AU58" s="105">
        <v>6.0546570488264635</v>
      </c>
      <c r="AV58" s="105">
        <v>0.89950099519510562</v>
      </c>
      <c r="AW58" s="105">
        <v>0.90578347000000003</v>
      </c>
      <c r="AX58" s="94"/>
      <c r="AY58" s="69">
        <v>2.6627228999999999E-2</v>
      </c>
      <c r="AZ58" s="67" t="s">
        <v>167</v>
      </c>
      <c r="BA58" s="102" t="s">
        <v>167</v>
      </c>
      <c r="BB58" s="94">
        <f t="shared" si="0"/>
        <v>4.5438957337883955E-3</v>
      </c>
      <c r="BC58" s="94" t="s">
        <v>286</v>
      </c>
      <c r="BD58" s="94"/>
      <c r="BE58" s="94"/>
      <c r="BF58" s="94"/>
      <c r="BG58" s="94"/>
      <c r="BH58" s="94"/>
      <c r="BI58" s="94"/>
    </row>
    <row r="59" spans="1:61" ht="14.4" x14ac:dyDescent="0.3">
      <c r="A59" s="102" t="s">
        <v>168</v>
      </c>
      <c r="B59" s="105" t="s">
        <v>12</v>
      </c>
      <c r="C59" s="105" t="s">
        <v>70</v>
      </c>
      <c r="D59" s="105" t="s">
        <v>68</v>
      </c>
      <c r="E59" s="105" t="s">
        <v>68</v>
      </c>
      <c r="F59" s="105" t="s">
        <v>68</v>
      </c>
      <c r="G59" s="105">
        <v>5.44</v>
      </c>
      <c r="H59" s="105">
        <v>57</v>
      </c>
      <c r="I59" s="105">
        <v>310.10000000000002</v>
      </c>
      <c r="J59" s="105">
        <v>11</v>
      </c>
      <c r="K59" s="105">
        <v>12</v>
      </c>
      <c r="L59" s="105">
        <v>16</v>
      </c>
      <c r="M59" s="105">
        <v>214.86</v>
      </c>
      <c r="N59" s="105"/>
      <c r="O59" s="105">
        <v>25</v>
      </c>
      <c r="P59" s="105">
        <v>14.5</v>
      </c>
      <c r="Q59" s="105" t="s">
        <v>11</v>
      </c>
      <c r="R59" s="94"/>
      <c r="S59" s="112">
        <v>837.83</v>
      </c>
      <c r="T59" s="112">
        <v>445.95</v>
      </c>
      <c r="U59" s="112">
        <v>657.26</v>
      </c>
      <c r="V59" s="112">
        <v>652.58000000000004</v>
      </c>
      <c r="W59" s="112">
        <v>335.82</v>
      </c>
      <c r="X59" s="86"/>
      <c r="Y59" s="112">
        <v>209.76</v>
      </c>
      <c r="Z59" s="86"/>
      <c r="AA59" s="87">
        <v>0.83479000000000003</v>
      </c>
      <c r="AB59" s="87">
        <v>0.52647999999999995</v>
      </c>
      <c r="AC59" s="86"/>
      <c r="AD59" s="88">
        <v>0.95647000000000004</v>
      </c>
      <c r="AE59" s="86"/>
      <c r="AF59" s="112">
        <v>26.294</v>
      </c>
      <c r="AG59" s="112">
        <v>26.260999999999999</v>
      </c>
      <c r="AH59" s="112">
        <v>45.893000000000001</v>
      </c>
      <c r="AI59" s="112">
        <v>45.887999999999998</v>
      </c>
      <c r="AJ59" s="112">
        <v>21.529</v>
      </c>
      <c r="AK59" s="112">
        <v>31.125</v>
      </c>
      <c r="AL59" s="112">
        <v>16.202999999999999</v>
      </c>
      <c r="AM59" s="112">
        <v>26.08</v>
      </c>
      <c r="AN59" s="112">
        <v>31.920999999999999</v>
      </c>
      <c r="AO59" s="112">
        <v>36.840000000000003</v>
      </c>
      <c r="AP59" s="112">
        <v>21.256</v>
      </c>
      <c r="AQ59" s="94"/>
      <c r="AR59" s="112">
        <v>0.12</v>
      </c>
      <c r="AS59" s="112">
        <v>0.12</v>
      </c>
      <c r="AU59" s="105">
        <v>6.6705980696427396</v>
      </c>
      <c r="AV59" s="105">
        <v>0.84770875746478813</v>
      </c>
      <c r="AW59" s="105">
        <v>0.58524414000000002</v>
      </c>
      <c r="AX59" s="94"/>
      <c r="AY59" s="69">
        <v>2.8924024E-2</v>
      </c>
      <c r="AZ59" s="67" t="s">
        <v>361</v>
      </c>
      <c r="BA59" s="102" t="s">
        <v>168</v>
      </c>
      <c r="BB59" s="94">
        <f t="shared" si="0"/>
        <v>5.3169161764705878E-3</v>
      </c>
      <c r="BC59" s="94"/>
      <c r="BD59" s="94"/>
      <c r="BE59" s="94"/>
      <c r="BF59" s="94"/>
      <c r="BG59" s="94"/>
      <c r="BH59" s="94"/>
      <c r="BI59" s="94"/>
    </row>
    <row r="60" spans="1:61" ht="14.4" x14ac:dyDescent="0.3">
      <c r="A60" s="102" t="s">
        <v>169</v>
      </c>
      <c r="B60" s="105" t="s">
        <v>68</v>
      </c>
      <c r="C60" s="105" t="s">
        <v>70</v>
      </c>
      <c r="D60" s="105" t="s">
        <v>68</v>
      </c>
      <c r="E60" s="105" t="s">
        <v>11</v>
      </c>
      <c r="F60" s="105" t="s">
        <v>68</v>
      </c>
      <c r="G60" s="105">
        <v>5.5549999999999997</v>
      </c>
      <c r="H60" s="105">
        <v>55</v>
      </c>
      <c r="I60" s="105">
        <v>305.5</v>
      </c>
      <c r="J60" s="105">
        <v>12</v>
      </c>
      <c r="K60" s="105">
        <v>10</v>
      </c>
      <c r="L60" s="105">
        <v>17</v>
      </c>
      <c r="M60" s="105">
        <v>214.71</v>
      </c>
      <c r="N60" s="105"/>
      <c r="O60" s="105">
        <v>21</v>
      </c>
      <c r="P60" s="105">
        <v>18.5</v>
      </c>
      <c r="Q60" s="105" t="s">
        <v>12</v>
      </c>
      <c r="R60" s="59" t="s">
        <v>286</v>
      </c>
      <c r="S60" s="112">
        <v>730.05</v>
      </c>
      <c r="T60" s="112">
        <v>459.7</v>
      </c>
      <c r="U60" s="112">
        <v>557.69000000000005</v>
      </c>
      <c r="V60" s="112">
        <v>476.1</v>
      </c>
      <c r="W60" s="112">
        <v>419.98</v>
      </c>
      <c r="X60" s="86"/>
      <c r="Y60" s="112">
        <v>175.25104999999999</v>
      </c>
      <c r="Z60" s="86"/>
      <c r="AA60" s="87">
        <v>0.81167</v>
      </c>
      <c r="AB60" s="87">
        <v>0.70142000000000004</v>
      </c>
      <c r="AC60" s="86"/>
      <c r="AD60" s="88">
        <v>0.99485999999999997</v>
      </c>
      <c r="AE60" s="86"/>
      <c r="AF60" s="112">
        <v>22.651</v>
      </c>
      <c r="AG60" s="112">
        <v>15.013</v>
      </c>
      <c r="AH60" s="112">
        <v>34.762999999999998</v>
      </c>
      <c r="AI60" s="112">
        <v>39.488999999999997</v>
      </c>
      <c r="AJ60" s="112">
        <v>28.349</v>
      </c>
      <c r="AK60" s="112">
        <v>21.120999999999999</v>
      </c>
      <c r="AL60" s="112">
        <v>28.907</v>
      </c>
      <c r="AM60" s="112">
        <v>35.283999999999999</v>
      </c>
      <c r="AN60" s="112">
        <v>41.026000000000003</v>
      </c>
      <c r="AO60" s="112">
        <v>30.026</v>
      </c>
      <c r="AP60" s="112">
        <v>20.786999999999999</v>
      </c>
      <c r="AQ60" s="94"/>
      <c r="AR60" s="112">
        <v>0.09</v>
      </c>
      <c r="AS60" s="112">
        <v>0.09</v>
      </c>
      <c r="AU60" s="105">
        <v>5.9963018293229799</v>
      </c>
      <c r="AV60" s="105">
        <v>0.77510473695501436</v>
      </c>
      <c r="AW60" s="105">
        <v>0.34467100000000001</v>
      </c>
      <c r="AX60" s="94"/>
      <c r="AY60" s="69">
        <v>2.8459317000000001E-2</v>
      </c>
      <c r="AZ60" s="67" t="s">
        <v>362</v>
      </c>
      <c r="BA60" s="102" t="s">
        <v>169</v>
      </c>
      <c r="BB60" s="94">
        <f t="shared" si="0"/>
        <v>5.1231893789378943E-3</v>
      </c>
      <c r="BC60" s="94"/>
      <c r="BD60" s="94"/>
      <c r="BE60" s="94"/>
      <c r="BF60" s="94"/>
      <c r="BG60" s="94"/>
      <c r="BH60" s="94"/>
      <c r="BI60" s="94"/>
    </row>
    <row r="61" spans="1:61" ht="14.4" x14ac:dyDescent="0.3">
      <c r="A61" s="102" t="s">
        <v>170</v>
      </c>
      <c r="B61" s="105" t="s">
        <v>12</v>
      </c>
      <c r="C61" s="105" t="s">
        <v>121</v>
      </c>
      <c r="D61" s="105" t="s">
        <v>68</v>
      </c>
      <c r="E61" s="105" t="s">
        <v>68</v>
      </c>
      <c r="F61" s="105" t="s">
        <v>12</v>
      </c>
      <c r="G61" s="105">
        <v>5.6219999999999999</v>
      </c>
      <c r="H61" s="105">
        <v>55</v>
      </c>
      <c r="I61" s="105">
        <v>309.2</v>
      </c>
      <c r="J61" s="105">
        <v>11</v>
      </c>
      <c r="K61" s="105">
        <v>15</v>
      </c>
      <c r="L61" s="105">
        <v>13</v>
      </c>
      <c r="M61" s="105">
        <v>213.67</v>
      </c>
      <c r="N61" s="105"/>
      <c r="O61" s="105">
        <v>18</v>
      </c>
      <c r="P61" s="105">
        <v>23.5</v>
      </c>
      <c r="Q61" s="105" t="s">
        <v>121</v>
      </c>
      <c r="R61" s="94"/>
      <c r="S61" s="112">
        <v>781.67</v>
      </c>
      <c r="T61" s="112">
        <v>480.86</v>
      </c>
      <c r="U61" s="112">
        <v>719.53</v>
      </c>
      <c r="V61" s="112">
        <v>689.5</v>
      </c>
      <c r="W61" s="112">
        <v>420.63</v>
      </c>
      <c r="X61" s="86"/>
      <c r="Y61" s="112">
        <v>158.05180999999999</v>
      </c>
      <c r="Z61" s="86"/>
      <c r="AA61" s="87">
        <v>0.83499999999999996</v>
      </c>
      <c r="AB61" s="87">
        <v>0.74390999999999996</v>
      </c>
      <c r="AC61" s="86"/>
      <c r="AD61" s="88">
        <v>1.05402</v>
      </c>
      <c r="AE61" s="86"/>
      <c r="AF61" s="112">
        <v>28.45</v>
      </c>
      <c r="AG61" s="112">
        <v>43.179000000000002</v>
      </c>
      <c r="AH61" s="112">
        <v>30.23</v>
      </c>
      <c r="AI61" s="112">
        <v>33.695999999999998</v>
      </c>
      <c r="AJ61" s="112">
        <v>20.648</v>
      </c>
      <c r="AK61" s="112">
        <v>22.434999999999999</v>
      </c>
      <c r="AL61" s="112">
        <v>23.28</v>
      </c>
      <c r="AM61" s="112">
        <v>25.361999999999998</v>
      </c>
      <c r="AN61" s="112">
        <v>33.090000000000003</v>
      </c>
      <c r="AO61" s="112">
        <v>27.452000000000002</v>
      </c>
      <c r="AP61" s="112">
        <v>19.007000000000001</v>
      </c>
      <c r="AQ61" s="94"/>
      <c r="AR61" s="112">
        <v>0.12</v>
      </c>
      <c r="AS61" s="112">
        <v>0.12</v>
      </c>
      <c r="AU61" s="105">
        <v>6.0603586608604134</v>
      </c>
      <c r="AV61" s="105">
        <v>1</v>
      </c>
      <c r="AW61" s="105">
        <v>1.0532007400000001</v>
      </c>
      <c r="AX61" s="94"/>
      <c r="AY61" s="69">
        <v>2.8942762E-2</v>
      </c>
      <c r="AZ61" s="68" t="s">
        <v>363</v>
      </c>
      <c r="BA61" s="102" t="s">
        <v>170</v>
      </c>
      <c r="BB61" s="94">
        <f t="shared" si="0"/>
        <v>5.1481255780860902E-3</v>
      </c>
      <c r="BC61" s="94"/>
      <c r="BD61" s="94"/>
      <c r="BE61" s="94"/>
      <c r="BF61" s="94"/>
      <c r="BG61" s="94"/>
      <c r="BH61" s="94"/>
      <c r="BI61" s="94"/>
    </row>
    <row r="62" spans="1:61" ht="14.4" x14ac:dyDescent="0.3">
      <c r="A62" s="102" t="s">
        <v>171</v>
      </c>
      <c r="B62" s="105" t="s">
        <v>68</v>
      </c>
      <c r="C62" s="105" t="s">
        <v>121</v>
      </c>
      <c r="D62" s="105" t="s">
        <v>70</v>
      </c>
      <c r="E62" s="105" t="s">
        <v>11</v>
      </c>
      <c r="F62" s="105" t="s">
        <v>68</v>
      </c>
      <c r="G62" s="105">
        <v>4.2510000000000003</v>
      </c>
      <c r="H62" s="105">
        <v>71</v>
      </c>
      <c r="I62" s="105">
        <v>301.8</v>
      </c>
      <c r="J62" s="105">
        <v>9</v>
      </c>
      <c r="K62" s="105">
        <v>13</v>
      </c>
      <c r="L62" s="105">
        <v>9</v>
      </c>
      <c r="M62" s="105">
        <v>230.5</v>
      </c>
      <c r="N62" s="105"/>
      <c r="O62" s="105">
        <v>14</v>
      </c>
      <c r="P62" s="105">
        <v>22.5</v>
      </c>
      <c r="Q62" s="105" t="s">
        <v>12</v>
      </c>
      <c r="R62" s="94"/>
      <c r="S62" s="112">
        <v>551.15</v>
      </c>
      <c r="T62" s="112">
        <v>653.24</v>
      </c>
      <c r="U62" s="112">
        <v>415.91</v>
      </c>
      <c r="V62" s="112">
        <v>779.13</v>
      </c>
      <c r="W62" s="112">
        <v>709.95</v>
      </c>
      <c r="X62" s="86"/>
      <c r="Y62" s="112">
        <v>5.5654199999999996</v>
      </c>
      <c r="Z62" s="86"/>
      <c r="AA62" s="87">
        <v>0.82325999999999999</v>
      </c>
      <c r="AB62" s="87">
        <v>0.58299999999999996</v>
      </c>
      <c r="AC62" s="86"/>
      <c r="AD62" s="88">
        <v>1.0480700000000001</v>
      </c>
      <c r="AE62" s="86"/>
      <c r="AF62" s="112">
        <v>39.466000000000001</v>
      </c>
      <c r="AG62" s="112">
        <v>63.408999999999999</v>
      </c>
      <c r="AH62" s="112">
        <v>48.258000000000003</v>
      </c>
      <c r="AI62" s="112">
        <v>38.215000000000003</v>
      </c>
      <c r="AJ62" s="112">
        <v>33.243000000000002</v>
      </c>
      <c r="AK62" s="112">
        <v>28.262</v>
      </c>
      <c r="AL62" s="112">
        <v>26.167999999999999</v>
      </c>
      <c r="AM62" s="112">
        <v>36.99</v>
      </c>
      <c r="AN62" s="112">
        <v>69.522000000000006</v>
      </c>
      <c r="AO62" s="112">
        <v>54.036000000000001</v>
      </c>
      <c r="AP62" s="112">
        <v>22.416</v>
      </c>
      <c r="AQ62" s="94"/>
      <c r="AR62" s="112">
        <v>0.12</v>
      </c>
      <c r="AS62" s="112">
        <v>0.12</v>
      </c>
      <c r="AU62" s="105">
        <v>6.1828761205491549</v>
      </c>
      <c r="AV62" s="105">
        <v>0.8965387746485638</v>
      </c>
      <c r="AW62" s="105">
        <v>0.91779593000000004</v>
      </c>
      <c r="AX62" s="94"/>
      <c r="AY62" s="69">
        <v>2.6188373000000001E-2</v>
      </c>
      <c r="AZ62" s="66" t="s">
        <v>171</v>
      </c>
      <c r="BA62" s="102" t="s">
        <v>171</v>
      </c>
      <c r="BB62" s="94">
        <f t="shared" si="0"/>
        <v>6.1605205833921428E-3</v>
      </c>
      <c r="BC62" s="94"/>
      <c r="BD62" s="94"/>
      <c r="BE62" s="94"/>
      <c r="BF62" s="94"/>
      <c r="BG62" s="94"/>
      <c r="BH62" s="94"/>
      <c r="BI62" s="94"/>
    </row>
    <row r="63" spans="1:61" ht="14.4" x14ac:dyDescent="0.3">
      <c r="A63" s="102" t="s">
        <v>172</v>
      </c>
      <c r="B63" s="105" t="s">
        <v>68</v>
      </c>
      <c r="C63" s="105" t="s">
        <v>70</v>
      </c>
      <c r="D63" s="105" t="s">
        <v>68</v>
      </c>
      <c r="E63" s="105" t="s">
        <v>11</v>
      </c>
      <c r="F63" s="105" t="s">
        <v>68</v>
      </c>
      <c r="G63" s="105">
        <v>4.2610000000000001</v>
      </c>
      <c r="H63" s="105">
        <v>70</v>
      </c>
      <c r="I63" s="105">
        <v>298.3</v>
      </c>
      <c r="J63" s="105">
        <v>11</v>
      </c>
      <c r="K63" s="105">
        <v>9</v>
      </c>
      <c r="L63" s="105">
        <v>10</v>
      </c>
      <c r="M63" s="105">
        <v>223.26</v>
      </c>
      <c r="N63" s="105"/>
      <c r="O63" s="105">
        <v>17</v>
      </c>
      <c r="P63" s="105">
        <v>19.5</v>
      </c>
      <c r="Q63" s="105" t="s">
        <v>11</v>
      </c>
      <c r="R63" s="94"/>
      <c r="S63" s="112">
        <v>669.24</v>
      </c>
      <c r="T63" s="112">
        <v>616.83000000000004</v>
      </c>
      <c r="U63" s="112">
        <v>466.06</v>
      </c>
      <c r="V63" s="112">
        <v>628.62</v>
      </c>
      <c r="W63" s="112">
        <v>539.48</v>
      </c>
      <c r="X63" s="86"/>
      <c r="Y63" s="112">
        <v>156.17708999999999</v>
      </c>
      <c r="Z63" s="86"/>
      <c r="AA63" s="87">
        <v>0.82860999999999996</v>
      </c>
      <c r="AB63" s="87">
        <v>0.63653000000000004</v>
      </c>
      <c r="AC63" s="86"/>
      <c r="AD63" s="88">
        <v>0.99094000000000004</v>
      </c>
      <c r="AE63" s="86"/>
      <c r="AF63" s="112">
        <v>17.442</v>
      </c>
      <c r="AG63" s="112">
        <v>19.855</v>
      </c>
      <c r="AH63" s="112">
        <v>25.241</v>
      </c>
      <c r="AI63" s="112">
        <v>22.78</v>
      </c>
      <c r="AJ63" s="112">
        <v>20.504999999999999</v>
      </c>
      <c r="AK63" s="112">
        <v>22.809000000000001</v>
      </c>
      <c r="AL63" s="112">
        <v>21.448</v>
      </c>
      <c r="AM63" s="112">
        <v>40.969000000000001</v>
      </c>
      <c r="AN63" s="112">
        <v>29.021000000000001</v>
      </c>
      <c r="AO63" s="112">
        <v>31.952999999999999</v>
      </c>
      <c r="AP63" s="112">
        <v>18.457000000000001</v>
      </c>
      <c r="AQ63" s="94"/>
      <c r="AR63" s="112">
        <v>0.12</v>
      </c>
      <c r="AS63" s="112">
        <v>0.12</v>
      </c>
      <c r="AU63" s="105">
        <v>6.6487090863372424</v>
      </c>
      <c r="AV63" s="105">
        <v>0.85970614105036236</v>
      </c>
      <c r="AW63" s="105">
        <v>0.36760903</v>
      </c>
      <c r="AX63" s="94"/>
      <c r="AY63" s="69">
        <v>2.671952E-2</v>
      </c>
      <c r="AZ63" s="66" t="s">
        <v>172</v>
      </c>
      <c r="BA63" s="102" t="s">
        <v>172</v>
      </c>
      <c r="BB63" s="94">
        <f t="shared" si="0"/>
        <v>6.2707157944144566E-3</v>
      </c>
      <c r="BC63" s="94"/>
      <c r="BD63" s="94"/>
      <c r="BE63" s="94"/>
      <c r="BF63" s="94"/>
      <c r="BG63" s="94"/>
      <c r="BH63" s="94"/>
      <c r="BI63" s="94"/>
    </row>
    <row r="64" spans="1:61" x14ac:dyDescent="0.25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 t="s">
        <v>286</v>
      </c>
      <c r="T64" s="94" t="s">
        <v>286</v>
      </c>
      <c r="U64" s="94" t="s">
        <v>286</v>
      </c>
      <c r="V64" s="94" t="s">
        <v>286</v>
      </c>
      <c r="W64" s="94" t="s">
        <v>286</v>
      </c>
      <c r="X64" s="94" t="s">
        <v>286</v>
      </c>
      <c r="Y64" s="94" t="s">
        <v>286</v>
      </c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</row>
    <row r="65" spans="1:61" x14ac:dyDescent="0.2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 t="s">
        <v>286</v>
      </c>
      <c r="T65" s="94" t="s">
        <v>286</v>
      </c>
      <c r="U65" s="94" t="s">
        <v>286</v>
      </c>
      <c r="V65" s="94" t="s">
        <v>286</v>
      </c>
      <c r="W65" s="94" t="s">
        <v>286</v>
      </c>
      <c r="X65" s="94" t="s">
        <v>286</v>
      </c>
      <c r="Y65" s="94" t="s">
        <v>286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</row>
    <row r="66" spans="1:61" x14ac:dyDescent="0.25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</row>
    <row r="67" spans="1:61" x14ac:dyDescent="0.25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</row>
    <row r="68" spans="1:61" x14ac:dyDescent="0.25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</row>
    <row r="69" spans="1:61" x14ac:dyDescent="0.2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</row>
    <row r="70" spans="1:61" x14ac:dyDescent="0.25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</row>
    <row r="71" spans="1:61" x14ac:dyDescent="0.25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</row>
    <row r="72" spans="1:61" x14ac:dyDescent="0.25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</row>
    <row r="73" spans="1:61" x14ac:dyDescent="0.25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</row>
    <row r="74" spans="1:61" x14ac:dyDescent="0.25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</row>
    <row r="75" spans="1:61" x14ac:dyDescent="0.25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</row>
    <row r="76" spans="1:61" x14ac:dyDescent="0.25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</row>
    <row r="77" spans="1:61" x14ac:dyDescent="0.25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</row>
    <row r="78" spans="1:61" x14ac:dyDescent="0.25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</row>
    <row r="79" spans="1:61" x14ac:dyDescent="0.25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</row>
    <row r="80" spans="1:61" x14ac:dyDescent="0.25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</row>
    <row r="81" spans="1:61" x14ac:dyDescent="0.25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</row>
    <row r="82" spans="1:61" x14ac:dyDescent="0.25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</row>
    <row r="83" spans="1:61" x14ac:dyDescent="0.25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</row>
    <row r="84" spans="1:61" x14ac:dyDescent="0.25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</row>
    <row r="85" spans="1:61" x14ac:dyDescent="0.25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</row>
    <row r="86" spans="1:61" x14ac:dyDescent="0.25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</row>
    <row r="87" spans="1:61" x14ac:dyDescent="0.25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</row>
    <row r="88" spans="1:61" x14ac:dyDescent="0.25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</row>
    <row r="89" spans="1:61" x14ac:dyDescent="0.25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</row>
    <row r="90" spans="1:61" x14ac:dyDescent="0.25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</row>
    <row r="91" spans="1:61" x14ac:dyDescent="0.25">
      <c r="A91" s="94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</row>
    <row r="92" spans="1:61" x14ac:dyDescent="0.25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94"/>
    </row>
    <row r="93" spans="1:61" x14ac:dyDescent="0.25">
      <c r="A93" s="94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</row>
    <row r="94" spans="1:61" x14ac:dyDescent="0.25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  <c r="BH94" s="94"/>
      <c r="BI94" s="94"/>
    </row>
    <row r="95" spans="1:61" x14ac:dyDescent="0.25">
      <c r="A95" s="94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94"/>
      <c r="BG95" s="94"/>
      <c r="BH95" s="94"/>
      <c r="BI95" s="94"/>
    </row>
    <row r="96" spans="1:61" x14ac:dyDescent="0.25">
      <c r="A96" s="94"/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  <c r="BH96" s="94"/>
      <c r="BI96" s="94"/>
    </row>
    <row r="97" spans="1:61" x14ac:dyDescent="0.25">
      <c r="A97" s="94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</row>
    <row r="98" spans="1:61" x14ac:dyDescent="0.25">
      <c r="A98" s="94"/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U98" s="94"/>
      <c r="AV98" s="94"/>
      <c r="AW98" s="94"/>
      <c r="AX98" s="94"/>
      <c r="AY98" s="94"/>
      <c r="AZ98" s="94"/>
      <c r="BA98" s="94"/>
      <c r="BB98" s="94"/>
      <c r="BC98" s="94"/>
      <c r="BD98" s="94"/>
      <c r="BE98" s="94"/>
      <c r="BF98" s="94"/>
      <c r="BG98" s="94"/>
      <c r="BH98" s="94"/>
      <c r="BI98" s="94"/>
    </row>
    <row r="99" spans="1:61" x14ac:dyDescent="0.25">
      <c r="A99" s="94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</row>
    <row r="100" spans="1:61" x14ac:dyDescent="0.25">
      <c r="A100" s="94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4"/>
      <c r="BG100" s="94"/>
      <c r="BH100" s="94"/>
      <c r="BI100" s="94"/>
    </row>
    <row r="101" spans="1:61" x14ac:dyDescent="0.25">
      <c r="A101" s="94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  <c r="BE101" s="94"/>
      <c r="BF101" s="94"/>
      <c r="BG101" s="94"/>
      <c r="BH101" s="94"/>
      <c r="BI101" s="94"/>
    </row>
    <row r="102" spans="1:61" x14ac:dyDescent="0.25">
      <c r="A102" s="94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94"/>
      <c r="BH102" s="94"/>
      <c r="BI102" s="94"/>
    </row>
    <row r="103" spans="1:61" x14ac:dyDescent="0.25">
      <c r="A103" s="94"/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94"/>
      <c r="BG103" s="94"/>
      <c r="BH103" s="94"/>
      <c r="BI103" s="94"/>
    </row>
    <row r="104" spans="1:61" x14ac:dyDescent="0.25">
      <c r="A104" s="94"/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94"/>
      <c r="BH104" s="94"/>
      <c r="BI104" s="94"/>
    </row>
    <row r="105" spans="1:61" x14ac:dyDescent="0.25">
      <c r="A105" s="94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</row>
    <row r="106" spans="1:61" x14ac:dyDescent="0.25">
      <c r="A106" s="94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U106" s="94"/>
      <c r="AV106" s="94"/>
      <c r="AW106" s="94"/>
      <c r="AX106" s="94"/>
      <c r="AY106" s="94"/>
      <c r="AZ106" s="94"/>
      <c r="BA106" s="94"/>
      <c r="BB106" s="94"/>
      <c r="BC106" s="94"/>
      <c r="BD106" s="94"/>
      <c r="BE106" s="94"/>
      <c r="BF106" s="94"/>
      <c r="BG106" s="94"/>
      <c r="BH106" s="94"/>
      <c r="BI106" s="94"/>
    </row>
  </sheetData>
  <mergeCells count="6">
    <mergeCell ref="B1:Q1"/>
    <mergeCell ref="S1:W1"/>
    <mergeCell ref="AA1:AB1"/>
    <mergeCell ref="AF1:AP1"/>
    <mergeCell ref="AU1:AW1"/>
    <mergeCell ref="AR1:A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C00000"/>
  </sheetPr>
  <dimension ref="A1:Z129"/>
  <sheetViews>
    <sheetView workbookViewId="0">
      <selection activeCell="Q13" sqref="Q13"/>
    </sheetView>
  </sheetViews>
  <sheetFormatPr baseColWidth="10" defaultColWidth="9.109375" defaultRowHeight="13.2" x14ac:dyDescent="0.25"/>
  <cols>
    <col min="1" max="1" width="14.88671875"/>
    <col min="2" max="2" width="7"/>
    <col min="3" max="3" width="8.109375"/>
    <col min="4" max="5" width="7.44140625"/>
    <col min="6" max="6" width="7.33203125"/>
    <col min="7" max="7" width="7.109375" bestFit="1" customWidth="1"/>
    <col min="8" max="8" width="7.5546875"/>
    <col min="9" max="13" width="6.5546875"/>
    <col min="14" max="16" width="6.5546875" style="7"/>
    <col min="17" max="17" width="12" style="7" bestFit="1" customWidth="1"/>
    <col min="18" max="18" width="7.44140625" style="7" bestFit="1" customWidth="1"/>
    <col min="19" max="26" width="5.88671875" style="7"/>
    <col min="27" max="1025" width="11.5546875"/>
  </cols>
  <sheetData>
    <row r="1" spans="1:21" x14ac:dyDescent="0.25">
      <c r="A1" s="134" t="s">
        <v>174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O1"/>
      <c r="P1"/>
      <c r="Q1" s="31" t="s">
        <v>298</v>
      </c>
      <c r="R1" s="31" t="s">
        <v>298</v>
      </c>
      <c r="U1" s="7" t="s">
        <v>286</v>
      </c>
    </row>
    <row r="2" spans="1:21" x14ac:dyDescent="0.25">
      <c r="B2" s="129" t="s">
        <v>175</v>
      </c>
      <c r="C2" s="129"/>
      <c r="D2" s="129" t="s">
        <v>34</v>
      </c>
      <c r="O2" s="129" t="s">
        <v>3</v>
      </c>
      <c r="P2" s="129"/>
      <c r="Q2" s="46">
        <v>0</v>
      </c>
      <c r="R2" s="7">
        <v>0</v>
      </c>
      <c r="S2" s="7" t="s">
        <v>339</v>
      </c>
      <c r="U2" s="7" t="s">
        <v>286</v>
      </c>
    </row>
    <row r="3" spans="1:21" x14ac:dyDescent="0.25">
      <c r="B3" s="31" t="s">
        <v>32</v>
      </c>
      <c r="C3" s="31" t="s">
        <v>176</v>
      </c>
      <c r="D3" s="129"/>
      <c r="O3" s="129" t="s">
        <v>6</v>
      </c>
      <c r="P3" s="129"/>
      <c r="Q3" s="46">
        <v>0</v>
      </c>
      <c r="R3" s="7">
        <v>0</v>
      </c>
      <c r="S3" s="7" t="s">
        <v>330</v>
      </c>
      <c r="U3" s="7" t="s">
        <v>286</v>
      </c>
    </row>
    <row r="4" spans="1:21" x14ac:dyDescent="0.25">
      <c r="A4" s="31" t="s">
        <v>13</v>
      </c>
      <c r="B4" s="34">
        <v>1</v>
      </c>
      <c r="C4" s="34">
        <v>263</v>
      </c>
      <c r="D4" s="34">
        <v>6</v>
      </c>
      <c r="O4" s="129" t="s">
        <v>301</v>
      </c>
      <c r="P4" s="129"/>
      <c r="Q4" s="46">
        <v>3.5059337363944674</v>
      </c>
      <c r="R4" s="7">
        <v>3.1186958290704239E-2</v>
      </c>
      <c r="S4" s="7" t="s">
        <v>331</v>
      </c>
      <c r="U4" s="7" t="s">
        <v>286</v>
      </c>
    </row>
    <row r="5" spans="1:21" x14ac:dyDescent="0.25">
      <c r="A5" s="31" t="s">
        <v>14</v>
      </c>
      <c r="B5" s="34">
        <v>0.7</v>
      </c>
      <c r="C5" s="34">
        <v>-190</v>
      </c>
      <c r="D5" s="34">
        <v>-3</v>
      </c>
      <c r="O5" s="130" t="s">
        <v>10</v>
      </c>
      <c r="P5" s="182"/>
      <c r="Q5" s="46">
        <v>0</v>
      </c>
      <c r="R5" s="46">
        <v>0</v>
      </c>
      <c r="S5" s="7" t="s">
        <v>332</v>
      </c>
      <c r="U5" s="7" t="s">
        <v>286</v>
      </c>
    </row>
    <row r="6" spans="1:21" x14ac:dyDescent="0.25">
      <c r="A6" s="31" t="s">
        <v>46</v>
      </c>
      <c r="B6" s="34">
        <v>3.9883754414027002</v>
      </c>
      <c r="C6" s="34">
        <v>105.532592432347</v>
      </c>
      <c r="D6" s="34">
        <v>6</v>
      </c>
      <c r="O6" s="130" t="s">
        <v>302</v>
      </c>
      <c r="P6" s="182"/>
      <c r="Q6" s="46">
        <v>0</v>
      </c>
      <c r="R6" s="7">
        <v>1.4576832989678538E-2</v>
      </c>
      <c r="S6" s="7" t="s">
        <v>333</v>
      </c>
      <c r="U6" s="7" t="s">
        <v>286</v>
      </c>
    </row>
    <row r="7" spans="1:21" x14ac:dyDescent="0.25">
      <c r="A7" s="31" t="s">
        <v>109</v>
      </c>
      <c r="B7" s="34">
        <v>-8.0199641815165705</v>
      </c>
      <c r="C7" s="34">
        <v>-4.7427117035430202</v>
      </c>
      <c r="D7" s="34">
        <v>-4</v>
      </c>
      <c r="O7" s="130" t="s">
        <v>303</v>
      </c>
      <c r="P7" s="182"/>
      <c r="Q7" s="46">
        <v>0</v>
      </c>
      <c r="R7" s="46">
        <v>0</v>
      </c>
      <c r="S7" s="7" t="s">
        <v>334</v>
      </c>
      <c r="U7" s="7" t="s">
        <v>286</v>
      </c>
    </row>
    <row r="8" spans="1:21" x14ac:dyDescent="0.25">
      <c r="A8" s="31" t="s">
        <v>177</v>
      </c>
      <c r="B8" s="34">
        <v>-1</v>
      </c>
      <c r="C8" s="34">
        <v>-257</v>
      </c>
      <c r="D8" s="34">
        <v>-6</v>
      </c>
      <c r="O8" s="130" t="s">
        <v>22</v>
      </c>
      <c r="P8" s="182"/>
      <c r="Q8" s="46">
        <v>2.2961361914632743</v>
      </c>
      <c r="R8" s="7">
        <v>1.6422903343070132</v>
      </c>
      <c r="S8" s="7" t="s">
        <v>335</v>
      </c>
      <c r="U8" s="7" t="s">
        <v>286</v>
      </c>
    </row>
    <row r="9" spans="1:21" x14ac:dyDescent="0.25">
      <c r="O9" s="130" t="s">
        <v>304</v>
      </c>
      <c r="P9" s="182"/>
      <c r="Q9" s="46">
        <v>10.376778250288387</v>
      </c>
      <c r="R9" s="7">
        <v>3.8465088864297399</v>
      </c>
      <c r="S9" s="7" t="s">
        <v>336</v>
      </c>
      <c r="U9" s="7" t="s">
        <v>286</v>
      </c>
    </row>
    <row r="10" spans="1:21" x14ac:dyDescent="0.25">
      <c r="A10" s="134" t="s">
        <v>178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O10" s="130" t="s">
        <v>305</v>
      </c>
      <c r="P10" s="182"/>
      <c r="Q10" s="46">
        <v>198.51260661104453</v>
      </c>
      <c r="R10" s="7">
        <v>206.82697313576699</v>
      </c>
      <c r="S10" s="7" t="s">
        <v>337</v>
      </c>
      <c r="U10" s="7" t="s">
        <v>286</v>
      </c>
    </row>
    <row r="11" spans="1:21" x14ac:dyDescent="0.25">
      <c r="B11" s="31" t="s">
        <v>179</v>
      </c>
      <c r="C11" s="31" t="s">
        <v>114</v>
      </c>
      <c r="D11" s="31" t="s">
        <v>180</v>
      </c>
      <c r="E11" s="31" t="s">
        <v>181</v>
      </c>
      <c r="F11" s="31" t="s">
        <v>182</v>
      </c>
      <c r="G11" s="31" t="s">
        <v>183</v>
      </c>
      <c r="H11" s="31" t="s">
        <v>184</v>
      </c>
      <c r="I11" s="31" t="s">
        <v>109</v>
      </c>
      <c r="J11" s="31" t="s">
        <v>17</v>
      </c>
      <c r="K11" s="31" t="s">
        <v>185</v>
      </c>
      <c r="L11" s="31" t="s">
        <v>186</v>
      </c>
      <c r="O11" s="129" t="s">
        <v>306</v>
      </c>
      <c r="P11" s="129"/>
      <c r="Q11" s="46">
        <v>0</v>
      </c>
      <c r="R11" s="7">
        <v>0</v>
      </c>
      <c r="S11" s="7" t="s">
        <v>338</v>
      </c>
      <c r="U11" s="7" t="s">
        <v>286</v>
      </c>
    </row>
    <row r="12" spans="1:21" x14ac:dyDescent="0.25">
      <c r="B12" s="129" t="s">
        <v>35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</row>
    <row r="13" spans="1:21" x14ac:dyDescent="0.25">
      <c r="A13" s="31" t="s">
        <v>13</v>
      </c>
      <c r="B13" s="34">
        <v>-19.739999999999998</v>
      </c>
      <c r="C13" s="34"/>
      <c r="D13" s="34">
        <v>30.03</v>
      </c>
      <c r="E13" s="34">
        <v>30.03</v>
      </c>
      <c r="F13" s="34">
        <v>-15.07</v>
      </c>
      <c r="G13" s="34"/>
      <c r="H13" s="34"/>
      <c r="I13" s="34"/>
      <c r="J13" s="34"/>
      <c r="K13" s="34"/>
      <c r="L13" s="34"/>
      <c r="M13" s="31">
        <f>'Setup&amp;WS'!$B$21*B13+'Setup&amp;WS'!$B$22*C13+'Setup&amp;WS'!$B$23*D13+'Setup&amp;WS'!$B$24*E13+'Setup&amp;WS'!$B$25*F13+'Setup&amp;WS'!$B$26*G13+'Setup&amp;WS'!$B$27*H13+'Setup&amp;WS'!$B$28*I13+'Setup&amp;WS'!$B$29*J13+'Setup&amp;WS'!$B$30*K13+'Setup&amp;WS'!$B$31*L13</f>
        <v>126.25000000000003</v>
      </c>
      <c r="P13" s="31" t="s">
        <v>307</v>
      </c>
      <c r="Q13" s="60">
        <f>CirA</f>
        <v>5.4410350190000001</v>
      </c>
      <c r="S13" s="7" t="s">
        <v>319</v>
      </c>
    </row>
    <row r="14" spans="1:21" x14ac:dyDescent="0.25">
      <c r="A14" s="31" t="s">
        <v>14</v>
      </c>
      <c r="B14" s="34"/>
      <c r="C14" s="34">
        <v>16.04</v>
      </c>
      <c r="D14" s="34"/>
      <c r="E14" s="34"/>
      <c r="F14" s="34"/>
      <c r="G14" s="34"/>
      <c r="H14" s="34">
        <v>4.9000000000000004</v>
      </c>
      <c r="I14" s="34"/>
      <c r="J14" s="34"/>
      <c r="K14" s="34"/>
      <c r="L14" s="34">
        <v>3.34</v>
      </c>
      <c r="M14" s="31">
        <f>'Setup&amp;WS'!$B$21*B14+'Setup&amp;WS'!$B$22*C14+'Setup&amp;WS'!$B$23*D14+'Setup&amp;WS'!$B$24*E14+'Setup&amp;WS'!$B$25*F14+'Setup&amp;WS'!$B$26*G14+'Setup&amp;WS'!$B$27*H14+'Setup&amp;WS'!$B$28*I14+'Setup&amp;WS'!$B$29*J14+'Setup&amp;WS'!$B$30*K14+'Setup&amp;WS'!$B$31*L14</f>
        <v>121.39999999999999</v>
      </c>
      <c r="P14" s="31" t="s">
        <v>308</v>
      </c>
      <c r="Q14" s="60">
        <f>CTA</f>
        <v>2.0226307449999998</v>
      </c>
      <c r="S14" s="7" t="s">
        <v>320</v>
      </c>
    </row>
    <row r="15" spans="1:21" x14ac:dyDescent="0.25">
      <c r="A15" s="31" t="s">
        <v>46</v>
      </c>
      <c r="B15" s="34">
        <v>6.04</v>
      </c>
      <c r="C15" s="34"/>
      <c r="D15" s="34"/>
      <c r="E15" s="34"/>
      <c r="F15" s="34"/>
      <c r="G15" s="34"/>
      <c r="H15" s="34"/>
      <c r="I15" s="34"/>
      <c r="J15" s="34">
        <v>-29.14</v>
      </c>
      <c r="K15" s="34"/>
      <c r="L15" s="34">
        <v>6.11</v>
      </c>
      <c r="M15" s="31">
        <f>'Setup&amp;WS'!$B$21*B15+'Setup&amp;WS'!$B$22*C15+'Setup&amp;WS'!$B$23*D15+'Setup&amp;WS'!$B$24*E15+'Setup&amp;WS'!$B$25*F15+'Setup&amp;WS'!$B$26*G15+'Setup&amp;WS'!$B$27*H15+'Setup&amp;WS'!$B$28*I15+'Setup&amp;WS'!$B$29*J15+'Setup&amp;WS'!$B$30*K15+'Setup&amp;WS'!$B$31*L15</f>
        <v>-84.949999999999989</v>
      </c>
      <c r="P15" s="31" t="s">
        <v>309</v>
      </c>
      <c r="Q15" s="60">
        <f>CTR</f>
        <v>65.337806779999994</v>
      </c>
      <c r="S15" s="7" t="s">
        <v>321</v>
      </c>
    </row>
    <row r="16" spans="1:21" x14ac:dyDescent="0.25">
      <c r="A16" s="31" t="s">
        <v>44</v>
      </c>
      <c r="B16" s="34"/>
      <c r="C16" s="34"/>
      <c r="D16" s="34"/>
      <c r="E16" s="34"/>
      <c r="F16" s="34"/>
      <c r="G16" s="34"/>
      <c r="H16" s="34"/>
      <c r="I16" s="34">
        <v>-41</v>
      </c>
      <c r="J16" s="34"/>
      <c r="K16" s="34"/>
      <c r="L16" s="34">
        <v>9</v>
      </c>
      <c r="M16" s="31">
        <f>'Setup&amp;WS'!$B$21*B16+'Setup&amp;WS'!$B$22*C16+'Setup&amp;WS'!$B$23*D16+'Setup&amp;WS'!$B$24*E16+'Setup&amp;WS'!$B$25*F16+'Setup&amp;WS'!$B$26*G16+'Setup&amp;WS'!$B$27*H16+'Setup&amp;WS'!$B$28*I16+'Setup&amp;WS'!$B$29*J16+'Setup&amp;WS'!$B$30*K16+'Setup&amp;WS'!$B$31*L16</f>
        <v>-160</v>
      </c>
      <c r="P16" s="31" t="s">
        <v>310</v>
      </c>
      <c r="Q16" s="61">
        <f>tech</f>
        <v>1.6262563000000001E-2</v>
      </c>
      <c r="S16" s="7" t="s">
        <v>322</v>
      </c>
    </row>
    <row r="17" spans="1:19" x14ac:dyDescent="0.25">
      <c r="A17" s="31" t="s">
        <v>21</v>
      </c>
      <c r="B17" s="34">
        <v>-15.27</v>
      </c>
      <c r="C17" s="34"/>
      <c r="D17" s="34"/>
      <c r="E17" s="34"/>
      <c r="F17" s="34">
        <v>-10.72</v>
      </c>
      <c r="G17" s="34">
        <v>6.03</v>
      </c>
      <c r="H17" s="34"/>
      <c r="I17" s="34"/>
      <c r="J17" s="34"/>
      <c r="K17" s="34">
        <v>31</v>
      </c>
      <c r="L17" s="34"/>
      <c r="M17" s="31">
        <f>'Setup&amp;WS'!$B$21*B17+'Setup&amp;WS'!$B$22*C17+'Setup&amp;WS'!$B$23*D17+'Setup&amp;WS'!$B$24*E17+'Setup&amp;WS'!$B$25*F17+'Setup&amp;WS'!$B$26*G17+'Setup&amp;WS'!$B$27*H17+'Setup&amp;WS'!$B$28*I17+'Setup&amp;WS'!$B$29*J17+'Setup&amp;WS'!$B$30*K17+'Setup&amp;WS'!$B$31*L17</f>
        <v>55.200000000000017</v>
      </c>
      <c r="P17" s="31" t="s">
        <v>311</v>
      </c>
      <c r="Q17" s="61">
        <f>Con</f>
        <v>-0.28311636500000004</v>
      </c>
      <c r="S17" s="7" t="s">
        <v>323</v>
      </c>
    </row>
    <row r="18" spans="1:19" x14ac:dyDescent="0.25">
      <c r="B18" s="129" t="s">
        <v>36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P18" s="31" t="s">
        <v>304</v>
      </c>
      <c r="Q18" s="61">
        <f>Poids</f>
        <v>-4.4713100000000003E-4</v>
      </c>
      <c r="S18" s="7" t="s">
        <v>324</v>
      </c>
    </row>
    <row r="19" spans="1:19" x14ac:dyDescent="0.25">
      <c r="A19" s="31" t="s">
        <v>13</v>
      </c>
      <c r="B19" s="34">
        <v>0.47</v>
      </c>
      <c r="C19" s="34"/>
      <c r="D19" s="34">
        <v>-0.59</v>
      </c>
      <c r="E19" s="34">
        <v>-0.59</v>
      </c>
      <c r="F19" s="34">
        <v>0.32</v>
      </c>
      <c r="G19" s="34"/>
      <c r="H19" s="34"/>
      <c r="I19" s="34"/>
      <c r="J19" s="34"/>
      <c r="K19" s="34"/>
      <c r="L19" s="34"/>
      <c r="M19" s="31">
        <f>'Setup&amp;WS'!$C$21*B19+'Setup&amp;WS'!$C$22*C19+'Setup&amp;WS'!$C$23*D19+'Setup&amp;WS'!$C$24*E19+'Setup&amp;WS'!$C$25*F19+'Setup&amp;WS'!$C$26*G19+'Setup&amp;WS'!$C$27*H19+'Setup&amp;WS'!$C$28*I19+'Setup&amp;WS'!$C$29*J19+'Setup&amp;WS'!$C$30*K19+'Setup&amp;WS'!$C$31*L19</f>
        <v>-21.23</v>
      </c>
      <c r="P19" s="31" t="s">
        <v>191</v>
      </c>
      <c r="Q19" s="61">
        <f>Exp</f>
        <v>-0.27759661900000004</v>
      </c>
      <c r="S19" s="7" t="s">
        <v>325</v>
      </c>
    </row>
    <row r="20" spans="1:19" x14ac:dyDescent="0.25">
      <c r="A20" s="31" t="s">
        <v>14</v>
      </c>
      <c r="B20" s="34"/>
      <c r="C20" s="34">
        <v>-0.51</v>
      </c>
      <c r="D20" s="34"/>
      <c r="E20" s="34"/>
      <c r="F20" s="34"/>
      <c r="G20" s="34"/>
      <c r="H20" s="34">
        <v>-0.09</v>
      </c>
      <c r="I20" s="34"/>
      <c r="J20" s="34"/>
      <c r="K20" s="34"/>
      <c r="L20" s="34">
        <v>-0.04</v>
      </c>
      <c r="M20" s="31">
        <f>'Setup&amp;WS'!$C$21*B20+'Setup&amp;WS'!$C$22*C20+'Setup&amp;WS'!$C$23*D20+'Setup&amp;WS'!$C$24*E20+'Setup&amp;WS'!$C$25*F20+'Setup&amp;WS'!$C$26*G20+'Setup&amp;WS'!$C$27*H20+'Setup&amp;WS'!$C$28*I20+'Setup&amp;WS'!$C$29*J20+'Setup&amp;WS'!$C$30*K20+'Setup&amp;WS'!$C$31*L20</f>
        <v>-15.5</v>
      </c>
      <c r="P20" s="31" t="s">
        <v>312</v>
      </c>
      <c r="Q20" s="61">
        <f>Endu</f>
        <v>-0.35339979500000002</v>
      </c>
      <c r="S20" s="7" t="s">
        <v>326</v>
      </c>
    </row>
    <row r="21" spans="1:19" x14ac:dyDescent="0.25">
      <c r="A21" s="31" t="s">
        <v>46</v>
      </c>
      <c r="B21" s="34">
        <v>-0.14000000000000001</v>
      </c>
      <c r="C21" s="34"/>
      <c r="D21" s="34"/>
      <c r="E21" s="34"/>
      <c r="F21" s="34"/>
      <c r="G21" s="34"/>
      <c r="H21" s="34"/>
      <c r="I21" s="34"/>
      <c r="J21" s="34">
        <v>0.71</v>
      </c>
      <c r="K21" s="34"/>
      <c r="L21" s="34">
        <v>-0.09</v>
      </c>
      <c r="M21" s="31">
        <f>'Setup&amp;WS'!$C$21*B21+'Setup&amp;WS'!$C$22*C21+'Setup&amp;WS'!$C$23*D21+'Setup&amp;WS'!$C$24*E21+'Setup&amp;WS'!$C$25*F21+'Setup&amp;WS'!$C$26*G21+'Setup&amp;WS'!$C$27*H21+'Setup&amp;WS'!$C$28*I21+'Setup&amp;WS'!$C$29*J21+'Setup&amp;WS'!$C$30*K21+'Setup&amp;WS'!$C$31*L21</f>
        <v>12.28</v>
      </c>
      <c r="P21" s="31" t="s">
        <v>313</v>
      </c>
      <c r="Q21" s="61">
        <f>Motiv</f>
        <v>2.2387817000000001E-2</v>
      </c>
      <c r="S21" s="7" t="s">
        <v>327</v>
      </c>
    </row>
    <row r="22" spans="1:19" x14ac:dyDescent="0.25">
      <c r="A22" s="31" t="s">
        <v>44</v>
      </c>
      <c r="B22" s="34"/>
      <c r="C22" s="34"/>
      <c r="D22" s="34"/>
      <c r="E22" s="34"/>
      <c r="F22" s="34"/>
      <c r="G22" s="34"/>
      <c r="H22" s="34"/>
      <c r="I22" s="34">
        <v>1.0900000000000001</v>
      </c>
      <c r="J22" s="34"/>
      <c r="K22" s="34"/>
      <c r="L22" s="34">
        <v>-0.14000000000000001</v>
      </c>
      <c r="M22" s="31">
        <f>'Setup&amp;WS'!$C$21*B22+'Setup&amp;WS'!$C$22*C22+'Setup&amp;WS'!$C$23*D22+'Setup&amp;WS'!$C$24*E22+'Setup&amp;WS'!$C$25*F22+'Setup&amp;WS'!$C$26*G22+'Setup&amp;WS'!$C$27*H22+'Setup&amp;WS'!$C$28*I22+'Setup&amp;WS'!$C$29*J22+'Setup&amp;WS'!$C$30*K22+'Setup&amp;WS'!$C$31*L22</f>
        <v>33.590000000000003</v>
      </c>
      <c r="P22" s="31" t="s">
        <v>314</v>
      </c>
      <c r="Q22" s="61">
        <f>Agr</f>
        <v>-0.28312775300000004</v>
      </c>
      <c r="S22" s="7" t="s">
        <v>328</v>
      </c>
    </row>
    <row r="23" spans="1:19" x14ac:dyDescent="0.25">
      <c r="A23" s="31" t="s">
        <v>21</v>
      </c>
      <c r="B23" s="34">
        <v>0.34</v>
      </c>
      <c r="C23" s="34"/>
      <c r="D23" s="34"/>
      <c r="E23" s="34"/>
      <c r="F23" s="34">
        <v>0.23</v>
      </c>
      <c r="G23" s="34">
        <v>-0.12</v>
      </c>
      <c r="H23" s="34"/>
      <c r="I23" s="34"/>
      <c r="J23" s="34"/>
      <c r="K23" s="34">
        <v>-0.7</v>
      </c>
      <c r="L23" s="34"/>
      <c r="M23" s="31">
        <f>'Setup&amp;WS'!$C$21*B23+'Setup&amp;WS'!$C$22*C23+'Setup&amp;WS'!$C$23*D23+'Setup&amp;WS'!$C$24*E23+'Setup&amp;WS'!$C$25*F23+'Setup&amp;WS'!$C$26*G23+'Setup&amp;WS'!$C$27*H23+'Setup&amp;WS'!$C$28*I23+'Setup&amp;WS'!$C$29*J23+'Setup&amp;WS'!$C$30*K23+'Setup&amp;WS'!$C$31*L23</f>
        <v>-5.1799999999999979</v>
      </c>
      <c r="P23" s="31" t="s">
        <v>6</v>
      </c>
      <c r="Q23" s="62">
        <f>talent</f>
        <v>-0.281445538</v>
      </c>
      <c r="S23" s="7" t="s">
        <v>329</v>
      </c>
    </row>
    <row r="25" spans="1:19" x14ac:dyDescent="0.25">
      <c r="A25" s="134" t="s">
        <v>187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</row>
    <row r="26" spans="1:19" x14ac:dyDescent="0.25">
      <c r="B26" s="31" t="s">
        <v>188</v>
      </c>
      <c r="C26" s="31" t="s">
        <v>189</v>
      </c>
      <c r="D26" s="31" t="s">
        <v>190</v>
      </c>
      <c r="E26" s="31" t="s">
        <v>191</v>
      </c>
      <c r="F26" s="31" t="s">
        <v>192</v>
      </c>
    </row>
    <row r="27" spans="1:19" x14ac:dyDescent="0.25">
      <c r="A27" s="31" t="s">
        <v>13</v>
      </c>
      <c r="B27" s="34"/>
      <c r="C27" s="34"/>
      <c r="D27" s="34"/>
      <c r="E27" s="34"/>
      <c r="F27" s="34"/>
      <c r="G27" s="31"/>
    </row>
    <row r="28" spans="1:19" x14ac:dyDescent="0.25">
      <c r="A28" s="31" t="s">
        <v>14</v>
      </c>
      <c r="B28" s="34"/>
      <c r="C28" s="34"/>
      <c r="D28" s="34">
        <v>0.29521804804429003</v>
      </c>
      <c r="E28" s="34"/>
      <c r="F28" s="34"/>
      <c r="G28" s="31">
        <f>'Setup&amp;WS'!C5*D28*IF('Setup&amp;WS'!G13&lt;&gt;"Indianapolis Oval",1,0.39)</f>
        <v>0</v>
      </c>
    </row>
    <row r="29" spans="1:19" x14ac:dyDescent="0.25">
      <c r="A29" s="31" t="s">
        <v>46</v>
      </c>
      <c r="B29" s="34"/>
      <c r="C29" s="34">
        <v>-0.498</v>
      </c>
      <c r="D29" s="34"/>
      <c r="E29" s="34"/>
      <c r="F29" s="34"/>
      <c r="G29" s="31">
        <f>'Setup&amp;WS'!C4*C29*IF('Setup&amp;WS'!G13&lt;&gt;"Indianapolis Oval",1,0.39)</f>
        <v>-101.592</v>
      </c>
    </row>
    <row r="30" spans="1:19" x14ac:dyDescent="0.25">
      <c r="A30" s="31" t="s">
        <v>44</v>
      </c>
      <c r="B30" s="34">
        <v>0.5</v>
      </c>
      <c r="C30" s="34"/>
      <c r="D30" s="34"/>
      <c r="E30" s="34"/>
      <c r="F30" s="34"/>
      <c r="G30" s="31">
        <f>'Setup&amp;WS'!C3*B30*IF('Setup&amp;WS'!G13&lt;&gt;"Indianapolis Oval",1,0.39)</f>
        <v>97</v>
      </c>
    </row>
    <row r="31" spans="1:19" x14ac:dyDescent="0.25">
      <c r="A31" s="31" t="s">
        <v>21</v>
      </c>
      <c r="B31" s="34"/>
      <c r="C31" s="34"/>
      <c r="D31" s="34"/>
      <c r="E31" s="34">
        <v>0.75</v>
      </c>
      <c r="F31" s="34">
        <v>2</v>
      </c>
      <c r="G31" s="31">
        <f>'Setup&amp;WS'!C6*E31*IF('Setup&amp;WS'!G13&lt;&gt;"Indianapolis Oval",1,0.39)+'Setup&amp;WS'!C12*F31+IF('Setup&amp;WS'!I15&lt;&gt;"Dry",'Setup&amp;WS'!C7*0.11,0)</f>
        <v>250.5</v>
      </c>
      <c r="H31" s="90">
        <f>'Setup&amp;WS'!C6*E31*IF('Setup&amp;WS'!G13&lt;&gt;"Indianapolis Oval",1,0.39)+'Setup&amp;WS'!C12*F31+IF('Setup&amp;WS'!I16&lt;&gt;"Dry",'Setup&amp;WS'!C7*0.11,0)</f>
        <v>250.5</v>
      </c>
      <c r="I31" s="90">
        <f>'Setup&amp;WS'!C6*E31*IF('Setup&amp;WS'!G13&lt;&gt;"Indianapolis Oval",1,0.39)+'Setup&amp;WS'!C12*F31+IF('Setup&amp;WS'!I17&lt;&gt;"Dry",'Setup&amp;WS'!C7*0.11,0)</f>
        <v>250.5</v>
      </c>
    </row>
    <row r="33" spans="1:13" x14ac:dyDescent="0.25">
      <c r="A33" s="134" t="s">
        <v>193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</row>
    <row r="34" spans="1:13" x14ac:dyDescent="0.25">
      <c r="B34" s="31" t="s">
        <v>194</v>
      </c>
      <c r="C34" s="31" t="s">
        <v>195</v>
      </c>
      <c r="E34" s="7"/>
      <c r="F34" s="7"/>
    </row>
    <row r="35" spans="1:13" x14ac:dyDescent="0.25">
      <c r="A35" s="31" t="s">
        <v>3</v>
      </c>
      <c r="B35" s="46">
        <v>0.16650000000000001</v>
      </c>
      <c r="C35" s="34">
        <f>B35*'Setup&amp;WS'!C3</f>
        <v>32.301000000000002</v>
      </c>
      <c r="E35" s="7"/>
      <c r="F35" s="27"/>
      <c r="G35" s="46">
        <v>0.16700000000000001</v>
      </c>
    </row>
    <row r="36" spans="1:13" x14ac:dyDescent="0.25">
      <c r="A36" s="31" t="s">
        <v>6</v>
      </c>
      <c r="B36" s="46">
        <v>0.249</v>
      </c>
      <c r="C36" s="34">
        <f>B36*'Setup&amp;WS'!C4</f>
        <v>50.795999999999999</v>
      </c>
      <c r="E36" s="7"/>
      <c r="F36" s="27"/>
      <c r="G36" s="46">
        <v>0.249</v>
      </c>
    </row>
    <row r="37" spans="1:13" x14ac:dyDescent="0.25">
      <c r="A37" s="31" t="s">
        <v>196</v>
      </c>
      <c r="B37" s="46">
        <v>0.14549999999999999</v>
      </c>
      <c r="C37" s="34">
        <f>B37*'Setup&amp;WS'!C5</f>
        <v>0</v>
      </c>
      <c r="E37" s="7"/>
      <c r="F37" s="27"/>
      <c r="G37" s="46">
        <v>0.14499999999999999</v>
      </c>
    </row>
    <row r="38" spans="1:13" x14ac:dyDescent="0.25">
      <c r="A38" s="31" t="s">
        <v>10</v>
      </c>
      <c r="B38" s="46">
        <v>8.4699999999999998E-2</v>
      </c>
      <c r="C38" s="34">
        <f>B38*'Setup&amp;WS'!C6</f>
        <v>11.3498</v>
      </c>
      <c r="E38" s="7"/>
      <c r="F38" s="27"/>
      <c r="G38" s="46">
        <v>8.6999999999999994E-2</v>
      </c>
    </row>
    <row r="39" spans="1:13" x14ac:dyDescent="0.25">
      <c r="A39" s="31" t="s">
        <v>15</v>
      </c>
      <c r="B39" s="46">
        <v>0.1245</v>
      </c>
      <c r="C39" s="34">
        <f>B39*'Setup&amp;WS'!C7</f>
        <v>7.8434999999999997</v>
      </c>
      <c r="F39" s="27"/>
      <c r="G39" s="46">
        <v>0.125</v>
      </c>
    </row>
    <row r="40" spans="1:13" x14ac:dyDescent="0.25">
      <c r="A40" s="31" t="s">
        <v>18</v>
      </c>
      <c r="B40" s="46">
        <v>0.14399999999999999</v>
      </c>
      <c r="C40" s="34">
        <f>B40*'Setup&amp;WS'!C8</f>
        <v>8.0640000000000001</v>
      </c>
      <c r="F40" s="27"/>
      <c r="G40" s="46">
        <v>0.14499999999999999</v>
      </c>
    </row>
    <row r="41" spans="1:13" x14ac:dyDescent="0.25">
      <c r="A41" s="31" t="s">
        <v>20</v>
      </c>
      <c r="B41" s="46">
        <v>8.2900000000000001E-2</v>
      </c>
      <c r="C41" s="34">
        <f>B41*'Setup&amp;WS'!C9</f>
        <v>5.7201000000000004</v>
      </c>
      <c r="F41" s="27"/>
      <c r="G41" s="46">
        <v>8.2900000000000001E-2</v>
      </c>
    </row>
    <row r="42" spans="1:13" x14ac:dyDescent="0.25">
      <c r="A42" s="31" t="s">
        <v>22</v>
      </c>
      <c r="B42" s="46">
        <v>8.3500000000000005E-2</v>
      </c>
      <c r="C42" s="34">
        <f>B42*'Setup&amp;WS'!C10</f>
        <v>4.5925000000000002</v>
      </c>
      <c r="D42" s="31" t="s">
        <v>2</v>
      </c>
      <c r="F42" s="27"/>
      <c r="G42" s="46">
        <v>8.4000000000000005E-2</v>
      </c>
    </row>
    <row r="43" spans="1:13" x14ac:dyDescent="0.25">
      <c r="A43" s="31" t="s">
        <v>192</v>
      </c>
      <c r="B43" s="46">
        <v>-8.2699999999999996E-2</v>
      </c>
      <c r="C43" s="34">
        <f>B43*'Setup&amp;WS'!C12</f>
        <v>-6.2024999999999997</v>
      </c>
      <c r="D43" s="33">
        <f>SUM(C35:C43)</f>
        <v>114.46440000000003</v>
      </c>
      <c r="F43" s="27"/>
      <c r="G43" s="46">
        <v>-8.2699999999999996E-2</v>
      </c>
    </row>
    <row r="45" spans="1:13" x14ac:dyDescent="0.25">
      <c r="A45" s="134" t="s">
        <v>197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</row>
    <row r="46" spans="1:13" x14ac:dyDescent="0.25">
      <c r="B46" s="31" t="s">
        <v>188</v>
      </c>
      <c r="C46" s="31" t="s">
        <v>198</v>
      </c>
      <c r="D46" s="31" t="s">
        <v>191</v>
      </c>
      <c r="E46" s="31" t="s">
        <v>199</v>
      </c>
      <c r="F46" s="31" t="s">
        <v>200</v>
      </c>
      <c r="G46" s="31" t="s">
        <v>201</v>
      </c>
    </row>
    <row r="47" spans="1:13" x14ac:dyDescent="0.25">
      <c r="A47" s="31" t="s">
        <v>202</v>
      </c>
      <c r="B47" s="46">
        <v>-1.01165457155397E-4</v>
      </c>
      <c r="C47" s="46">
        <v>7.0608061378709094E-5</v>
      </c>
      <c r="D47" s="46">
        <v>-8.6645502152733194E-5</v>
      </c>
      <c r="E47" s="46">
        <v>-1.6391545280336901E-4</v>
      </c>
      <c r="F47" s="46">
        <v>-1.26912680856842E-2</v>
      </c>
      <c r="G47" s="46">
        <v>-8.3557977071091003E-3</v>
      </c>
      <c r="H47" s="46">
        <f>B47*'Setup&amp;WS'!C3+C47*'Setup&amp;WS'!C5+D47*'Setup&amp;WS'!C6+E47*'Setup&amp;WS'!C7+F47*'Setup&amp;WS'!B22+G47*'Setup&amp;WS'!B31</f>
        <v>-0.14679859846719201</v>
      </c>
    </row>
    <row r="48" spans="1:13" x14ac:dyDescent="0.25">
      <c r="B48" t="s">
        <v>286</v>
      </c>
      <c r="C48" t="s">
        <v>286</v>
      </c>
      <c r="D48" t="s">
        <v>286</v>
      </c>
      <c r="E48" t="s">
        <v>286</v>
      </c>
      <c r="F48" t="s">
        <v>286</v>
      </c>
      <c r="G48" t="s">
        <v>286</v>
      </c>
      <c r="H48" t="s">
        <v>286</v>
      </c>
    </row>
    <row r="49" spans="1:15" x14ac:dyDescent="0.25">
      <c r="C49" s="2"/>
      <c r="D49" s="2"/>
      <c r="E49" s="2"/>
      <c r="F49" s="2"/>
      <c r="G49" s="2"/>
      <c r="H49" s="2"/>
      <c r="I49" s="2"/>
      <c r="J49" s="2"/>
      <c r="K49" s="2"/>
      <c r="L49" s="7"/>
    </row>
    <row r="50" spans="1:15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5" x14ac:dyDescent="0.25">
      <c r="C51" s="28"/>
      <c r="D51" s="28"/>
      <c r="E51" s="28"/>
      <c r="F51" s="28"/>
      <c r="G51" s="28"/>
      <c r="H51" s="28"/>
      <c r="I51" s="26"/>
      <c r="J51" s="26"/>
      <c r="K51" s="26"/>
      <c r="L51" s="7"/>
    </row>
    <row r="53" spans="1:15" x14ac:dyDescent="0.25">
      <c r="A53" s="134" t="s">
        <v>203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</row>
    <row r="54" spans="1:15" x14ac:dyDescent="0.25">
      <c r="B54" s="31" t="s">
        <v>62</v>
      </c>
      <c r="C54" s="31" t="s">
        <v>194</v>
      </c>
      <c r="F54" s="31" t="s">
        <v>204</v>
      </c>
      <c r="G54" s="71" t="s">
        <v>364</v>
      </c>
      <c r="H54" s="56" t="s">
        <v>365</v>
      </c>
      <c r="I54" s="56">
        <v>100</v>
      </c>
      <c r="J54" s="56">
        <v>82</v>
      </c>
      <c r="K54" s="56" t="s">
        <v>366</v>
      </c>
      <c r="L54" s="56" t="s">
        <v>367</v>
      </c>
      <c r="M54">
        <f>VLOOKUP('Setup&amp;WS'!$G$13,Tracks!$A$3:$G$890,7,0)</f>
        <v>4.7359999999999998</v>
      </c>
    </row>
    <row r="55" spans="1:15" x14ac:dyDescent="0.25">
      <c r="A55" s="31" t="s">
        <v>64</v>
      </c>
      <c r="B55" s="34">
        <v>0</v>
      </c>
      <c r="C55" s="34">
        <v>0.998163750229071</v>
      </c>
      <c r="E55" s="46">
        <f>$B$82*$C$82*$D$82*$F$82*$G$82*$H$82*$I$82*($E$81^B55)*(C55^$J$80)</f>
        <v>0.64651337867990577</v>
      </c>
      <c r="F55" s="50">
        <f>E55*$B$77*VLOOKUP('Setup&amp;WS'!$G$13,Tracks!$A$3:$AD$890,30,0)</f>
        <v>88.589833278765454</v>
      </c>
      <c r="G55" s="50">
        <f>0.82*F55</f>
        <v>72.643663288587675</v>
      </c>
      <c r="I55" s="45">
        <f>'Tyre&amp;Fuel'!$W$4/$M$54</f>
        <v>0.66666666666666663</v>
      </c>
      <c r="J55" s="45">
        <f>'Tyre&amp;Fuel'!$V$4/$M$54</f>
        <v>0.22222222222222221</v>
      </c>
      <c r="K55" s="45">
        <f>(I55-J55)/(F55-G55)</f>
        <v>2.7871548134643299E-2</v>
      </c>
      <c r="L55" s="45">
        <f>J55-K55*G55</f>
        <v>-1.8024691358024696</v>
      </c>
      <c r="M55">
        <f>K55*$O$59+L55</f>
        <v>0.28789697429577776</v>
      </c>
    </row>
    <row r="56" spans="1:15" x14ac:dyDescent="0.25">
      <c r="A56" s="31" t="s">
        <v>63</v>
      </c>
      <c r="B56" s="34">
        <v>1</v>
      </c>
      <c r="C56" s="34">
        <v>0.99706484481765401</v>
      </c>
      <c r="E56" s="46">
        <f>$B$82*$C$82*$D$82*$F$82*$G$82*$H$82*$I$82*($E$81^B56)*(C56^$J$80)</f>
        <v>0.85712298748489735</v>
      </c>
      <c r="F56" s="50">
        <f>E56*$B$77*VLOOKUP('Setup&amp;WS'!$G$13,Tracks!$A$3:$AD$890,30,0)</f>
        <v>117.44905065341145</v>
      </c>
      <c r="G56" s="50">
        <f t="shared" ref="G56:G59" si="0">0.82*F56</f>
        <v>96.308221535797387</v>
      </c>
      <c r="I56" s="45">
        <f>'Tyre&amp;Fuel'!$W$4/$M$54</f>
        <v>0.66666666666666663</v>
      </c>
      <c r="J56" s="45">
        <f>'Tyre&amp;Fuel'!$V$4/$M$54</f>
        <v>0.22222222222222221</v>
      </c>
      <c r="K56" s="45">
        <f t="shared" ref="K56:K59" si="1">(I56-J56)/(F56-G56)</f>
        <v>2.1023037553155537E-2</v>
      </c>
      <c r="L56" s="45">
        <f t="shared" ref="L56:L59" si="2">J56-K56*G56</f>
        <v>-1.8024691358024691</v>
      </c>
      <c r="M56">
        <f>K56*$O$59+L56</f>
        <v>-0.22574131931580399</v>
      </c>
    </row>
    <row r="57" spans="1:15" x14ac:dyDescent="0.25">
      <c r="A57" s="31" t="s">
        <v>68</v>
      </c>
      <c r="B57" s="34">
        <v>2</v>
      </c>
      <c r="C57" s="34">
        <v>0.99638034655434904</v>
      </c>
      <c r="E57" s="46">
        <f>$B$82*$C$82*$D$82*$F$82*$G$82*$H$82*$I$82*($E$81^B57)*(C57^$J$80)</f>
        <v>1.1458071835397039</v>
      </c>
      <c r="F57" s="50">
        <f>E57*$B$77*VLOOKUP('Setup&amp;WS'!$G$13,Tracks!$A$3:$AD$890,30,0)</f>
        <v>157.0065998737067</v>
      </c>
      <c r="G57" s="50">
        <f t="shared" si="0"/>
        <v>128.74541189643949</v>
      </c>
      <c r="I57" s="45">
        <f>'Tyre&amp;Fuel'!$W$4/$M$54</f>
        <v>0.66666666666666663</v>
      </c>
      <c r="J57" s="45">
        <f>'Tyre&amp;Fuel'!$V$4/$M$54</f>
        <v>0.22222222222222221</v>
      </c>
      <c r="K57" s="45">
        <f t="shared" si="1"/>
        <v>1.5726318539827394E-2</v>
      </c>
      <c r="L57" s="45">
        <f t="shared" si="2"/>
        <v>-1.8024691358024683</v>
      </c>
      <c r="M57">
        <f>K57*$O$59+L57</f>
        <v>-0.62299524531541373</v>
      </c>
    </row>
    <row r="58" spans="1:15" x14ac:dyDescent="0.25">
      <c r="A58" s="31" t="s">
        <v>70</v>
      </c>
      <c r="B58" s="34">
        <v>3</v>
      </c>
      <c r="C58" s="34">
        <v>0.99586252604811198</v>
      </c>
      <c r="E58" s="46">
        <f>$B$82*$C$82*$D$82*$F$82*$G$82*$H$82*$I$82*($E$81^B58)*(C58^$J$80)</f>
        <v>1.5368437684987271</v>
      </c>
      <c r="F58" s="50">
        <f>E58*$B$77*VLOOKUP('Setup&amp;WS'!$G$13,Tracks!$A$3:$AD$890,30,0)</f>
        <v>210.58919693944995</v>
      </c>
      <c r="G58" s="50">
        <f t="shared" si="0"/>
        <v>172.68314149034896</v>
      </c>
      <c r="I58" s="45">
        <f>'Tyre&amp;Fuel'!$W$4/$M$54</f>
        <v>0.66666666666666663</v>
      </c>
      <c r="J58" s="45">
        <f>'Tyre&amp;Fuel'!$V$4/$M$54</f>
        <v>0.22222222222222221</v>
      </c>
      <c r="K58" s="45">
        <f t="shared" si="1"/>
        <v>1.1724893006639266E-2</v>
      </c>
      <c r="L58" s="45">
        <f t="shared" si="2"/>
        <v>-1.8024691358024691</v>
      </c>
      <c r="M58">
        <f>K58*$O$59+L58</f>
        <v>-0.92310216030452419</v>
      </c>
      <c r="O58" t="s">
        <v>340</v>
      </c>
    </row>
    <row r="59" spans="1:15" x14ac:dyDescent="0.25">
      <c r="A59" s="31" t="s">
        <v>71</v>
      </c>
      <c r="B59" s="34">
        <v>5</v>
      </c>
      <c r="C59" s="34">
        <v>0.99608785438452296</v>
      </c>
      <c r="E59" s="46">
        <f>$B$82*$C$82*$D$82*$F$82*$G$82*$H$82*$I$82*($E$81^B59)*(C59^$J$80)</f>
        <v>2.8357089595365528</v>
      </c>
      <c r="F59" s="50">
        <f>E59*$B$77*VLOOKUP('Setup&amp;WS'!$G$13,Tracks!$A$3:$AD$890,30,0)*0.73</f>
        <v>283.65528747407569</v>
      </c>
      <c r="G59" s="50">
        <f t="shared" si="0"/>
        <v>232.59733572874205</v>
      </c>
      <c r="I59" s="45">
        <f>'Tyre&amp;Fuel'!$W$4/$M$54</f>
        <v>0.66666666666666663</v>
      </c>
      <c r="J59" s="45">
        <f>'Tyre&amp;Fuel'!$V$4/$M$54</f>
        <v>0.22222222222222221</v>
      </c>
      <c r="K59" s="45">
        <f t="shared" si="1"/>
        <v>8.7047057167753249E-3</v>
      </c>
      <c r="L59" s="45">
        <f t="shared" si="2"/>
        <v>-1.8024691358024683</v>
      </c>
      <c r="M59">
        <f>K59*$O$59+L59</f>
        <v>-1.149616207044319</v>
      </c>
      <c r="O59">
        <v>75</v>
      </c>
    </row>
    <row r="60" spans="1:15" x14ac:dyDescent="0.25">
      <c r="B60" t="s">
        <v>425</v>
      </c>
      <c r="C60" t="s">
        <v>426</v>
      </c>
      <c r="E60" t="s">
        <v>424</v>
      </c>
      <c r="F60" t="s">
        <v>427</v>
      </c>
      <c r="G60" t="s">
        <v>428</v>
      </c>
      <c r="H60" s="94" t="s">
        <v>425</v>
      </c>
      <c r="I60" s="94" t="s">
        <v>426</v>
      </c>
      <c r="J60" s="94"/>
      <c r="K60" s="94" t="s">
        <v>424</v>
      </c>
      <c r="L60" s="94" t="s">
        <v>427</v>
      </c>
    </row>
    <row r="61" spans="1:15" x14ac:dyDescent="0.25">
      <c r="A61" s="49" t="s">
        <v>56</v>
      </c>
      <c r="B61" s="48">
        <f>'Setup&amp;WS'!$C$34</f>
        <v>1</v>
      </c>
      <c r="C61" s="96">
        <v>3</v>
      </c>
      <c r="D61" s="96">
        <v>2</v>
      </c>
      <c r="E61" s="96">
        <v>34</v>
      </c>
      <c r="F61" s="96">
        <v>7</v>
      </c>
      <c r="G61" s="96">
        <v>250</v>
      </c>
      <c r="H61" s="96">
        <v>1</v>
      </c>
      <c r="I61" s="96">
        <v>3</v>
      </c>
      <c r="J61" s="96">
        <v>2</v>
      </c>
      <c r="K61" s="96">
        <v>34</v>
      </c>
      <c r="L61" s="96">
        <v>7</v>
      </c>
      <c r="M61">
        <v>250</v>
      </c>
    </row>
    <row r="62" spans="1:15" x14ac:dyDescent="0.25">
      <c r="A62" s="49" t="s">
        <v>266</v>
      </c>
      <c r="B62" s="48">
        <f>'Setup&amp;WS'!$C$35</f>
        <v>8</v>
      </c>
      <c r="C62" s="96">
        <v>2</v>
      </c>
      <c r="D62" s="96">
        <v>5</v>
      </c>
      <c r="E62" s="96">
        <v>14</v>
      </c>
      <c r="F62" s="96">
        <v>3</v>
      </c>
      <c r="G62" s="96">
        <v>1000</v>
      </c>
      <c r="H62" s="96">
        <v>8</v>
      </c>
      <c r="I62" s="96">
        <v>2</v>
      </c>
      <c r="J62" s="96">
        <v>5</v>
      </c>
      <c r="K62" s="96">
        <v>14</v>
      </c>
      <c r="L62" s="96">
        <v>3</v>
      </c>
      <c r="M62">
        <v>1000</v>
      </c>
    </row>
    <row r="63" spans="1:15" x14ac:dyDescent="0.25">
      <c r="A63" s="49" t="s">
        <v>205</v>
      </c>
      <c r="B63" s="48">
        <f>'Setup&amp;WS'!$C$36</f>
        <v>3</v>
      </c>
      <c r="C63" s="96">
        <v>4</v>
      </c>
      <c r="D63" s="96">
        <v>4</v>
      </c>
      <c r="E63" s="96">
        <v>27</v>
      </c>
      <c r="F63" s="96">
        <v>4</v>
      </c>
      <c r="G63" s="96">
        <v>1900</v>
      </c>
      <c r="H63" s="96">
        <v>3</v>
      </c>
      <c r="I63" s="96">
        <v>4</v>
      </c>
      <c r="J63" s="96">
        <v>4</v>
      </c>
      <c r="K63" s="96">
        <v>27</v>
      </c>
      <c r="L63" s="96">
        <v>4</v>
      </c>
      <c r="M63">
        <v>1900</v>
      </c>
    </row>
    <row r="64" spans="1:15" x14ac:dyDescent="0.25">
      <c r="A64" s="49" t="s">
        <v>206</v>
      </c>
      <c r="B64" s="48">
        <f>'Setup&amp;WS'!$C$37</f>
        <v>4</v>
      </c>
      <c r="C64" s="96">
        <v>5</v>
      </c>
      <c r="D64" s="96">
        <v>3</v>
      </c>
      <c r="E64" s="96">
        <v>21</v>
      </c>
      <c r="F64" s="96">
        <v>5</v>
      </c>
      <c r="G64" s="96">
        <v>2500</v>
      </c>
      <c r="H64" s="96">
        <v>4</v>
      </c>
      <c r="I64" s="96">
        <v>5</v>
      </c>
      <c r="J64" s="96">
        <v>3</v>
      </c>
      <c r="K64" s="96">
        <v>21</v>
      </c>
      <c r="L64" s="96">
        <v>5</v>
      </c>
      <c r="M64">
        <v>2500</v>
      </c>
    </row>
    <row r="65" spans="1:26" x14ac:dyDescent="0.25">
      <c r="A65" s="49" t="s">
        <v>267</v>
      </c>
      <c r="B65" s="48">
        <f>'Setup&amp;WS'!$C$38</f>
        <v>8</v>
      </c>
      <c r="C65" s="96">
        <v>7</v>
      </c>
      <c r="D65" s="96">
        <v>1</v>
      </c>
      <c r="E65" s="96">
        <v>38</v>
      </c>
      <c r="F65" s="96">
        <v>8</v>
      </c>
      <c r="G65" s="96">
        <v>3000</v>
      </c>
      <c r="H65" s="96">
        <v>8</v>
      </c>
      <c r="I65" s="96">
        <v>7</v>
      </c>
      <c r="J65" s="96">
        <v>1</v>
      </c>
      <c r="K65" s="96">
        <v>38</v>
      </c>
      <c r="L65" s="96">
        <v>8</v>
      </c>
      <c r="M65">
        <v>3000</v>
      </c>
    </row>
    <row r="66" spans="1:26" x14ac:dyDescent="0.25">
      <c r="A66" s="49" t="s">
        <v>207</v>
      </c>
      <c r="B66" s="48">
        <f>'Setup&amp;WS'!$C$39</f>
        <v>7</v>
      </c>
      <c r="C66" s="96">
        <v>5</v>
      </c>
      <c r="D66" s="96">
        <v>8</v>
      </c>
      <c r="E66" s="96">
        <v>18</v>
      </c>
      <c r="F66" s="96">
        <v>6</v>
      </c>
      <c r="G66" s="96">
        <v>3600</v>
      </c>
      <c r="H66" s="96">
        <v>7</v>
      </c>
      <c r="I66" s="96">
        <v>5</v>
      </c>
      <c r="J66" s="96">
        <v>8</v>
      </c>
      <c r="K66" s="96">
        <v>18</v>
      </c>
      <c r="L66" s="96">
        <v>6</v>
      </c>
      <c r="M66">
        <v>3400</v>
      </c>
    </row>
    <row r="67" spans="1:26" s="91" customFormat="1" x14ac:dyDescent="0.25">
      <c r="A67" s="97" t="s">
        <v>411</v>
      </c>
      <c r="B67" s="96">
        <v>1</v>
      </c>
      <c r="C67" s="96">
        <v>8</v>
      </c>
      <c r="D67" s="96">
        <v>2</v>
      </c>
      <c r="E67" s="96">
        <v>13</v>
      </c>
      <c r="F67" s="96">
        <v>1</v>
      </c>
      <c r="G67" s="96">
        <v>5000</v>
      </c>
      <c r="H67" s="96">
        <v>1</v>
      </c>
      <c r="I67" s="96">
        <v>8</v>
      </c>
      <c r="J67" s="96">
        <v>2</v>
      </c>
      <c r="K67" s="96">
        <v>13</v>
      </c>
      <c r="L67" s="96">
        <v>1</v>
      </c>
      <c r="M67" s="91">
        <v>5000</v>
      </c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</row>
    <row r="68" spans="1:26" s="91" customFormat="1" x14ac:dyDescent="0.25">
      <c r="A68" s="97" t="s">
        <v>208</v>
      </c>
      <c r="B68" s="96">
        <v>6</v>
      </c>
      <c r="C68" s="96">
        <v>7</v>
      </c>
      <c r="D68" s="96">
        <v>3</v>
      </c>
      <c r="E68" s="96">
        <v>24</v>
      </c>
      <c r="F68" s="96">
        <v>2</v>
      </c>
      <c r="G68" s="96">
        <v>6900</v>
      </c>
      <c r="H68" s="96">
        <v>5</v>
      </c>
      <c r="I68" s="96">
        <v>7</v>
      </c>
      <c r="J68" s="96">
        <v>3</v>
      </c>
      <c r="K68" s="96">
        <v>24</v>
      </c>
      <c r="L68" s="96">
        <v>2</v>
      </c>
      <c r="M68" s="91">
        <v>6900</v>
      </c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 spans="1:26" s="91" customFormat="1" x14ac:dyDescent="0.25">
      <c r="A69" s="97" t="s">
        <v>209</v>
      </c>
      <c r="B69" s="96">
        <v>8</v>
      </c>
      <c r="C69" s="96">
        <v>8</v>
      </c>
      <c r="D69" s="96">
        <v>5</v>
      </c>
      <c r="E69" s="96">
        <v>32</v>
      </c>
      <c r="F69" s="96">
        <v>6</v>
      </c>
      <c r="G69" s="96">
        <v>8500</v>
      </c>
      <c r="H69" s="96">
        <v>7</v>
      </c>
      <c r="I69" s="96">
        <v>8</v>
      </c>
      <c r="J69" s="96">
        <v>5</v>
      </c>
      <c r="K69" s="96">
        <v>32</v>
      </c>
      <c r="L69" s="96">
        <v>6</v>
      </c>
      <c r="M69" s="91">
        <v>8500</v>
      </c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</row>
    <row r="71" spans="1:26" x14ac:dyDescent="0.25">
      <c r="A71" s="31" t="s">
        <v>129</v>
      </c>
      <c r="B71" s="34">
        <v>4</v>
      </c>
      <c r="D71" s="129" t="s">
        <v>210</v>
      </c>
      <c r="E71" s="129"/>
      <c r="F71" s="129"/>
      <c r="G71" s="129"/>
    </row>
    <row r="72" spans="1:26" x14ac:dyDescent="0.25">
      <c r="A72" s="31" t="s">
        <v>12</v>
      </c>
      <c r="B72" s="34">
        <v>3</v>
      </c>
      <c r="D72" s="129" t="s">
        <v>211</v>
      </c>
      <c r="E72" s="129"/>
      <c r="F72" s="183" t="str">
        <f>VLOOKUP('Setup&amp;WS'!G13,Tracks!A3:F890,6,0)</f>
        <v>High</v>
      </c>
      <c r="G72" s="183"/>
    </row>
    <row r="73" spans="1:26" x14ac:dyDescent="0.25">
      <c r="A73" s="31" t="s">
        <v>68</v>
      </c>
      <c r="B73" s="34">
        <v>2</v>
      </c>
    </row>
    <row r="74" spans="1:26" x14ac:dyDescent="0.25">
      <c r="A74" s="31" t="s">
        <v>11</v>
      </c>
      <c r="B74" s="34">
        <v>1</v>
      </c>
    </row>
    <row r="75" spans="1:26" x14ac:dyDescent="0.25">
      <c r="A75" s="31" t="s">
        <v>131</v>
      </c>
      <c r="B75" s="34">
        <v>0</v>
      </c>
    </row>
    <row r="77" spans="1:26" x14ac:dyDescent="0.25">
      <c r="A77" s="31" t="s">
        <v>212</v>
      </c>
      <c r="B77" s="184">
        <v>129.77645817206201</v>
      </c>
      <c r="C77" s="184"/>
      <c r="D77" s="184"/>
      <c r="E77" s="184"/>
      <c r="M77" t="s">
        <v>281</v>
      </c>
      <c r="N77" s="7" t="s">
        <v>282</v>
      </c>
      <c r="O77" s="7" t="s">
        <v>283</v>
      </c>
      <c r="P77" s="7" t="s">
        <v>284</v>
      </c>
      <c r="Q77" s="7" t="s">
        <v>285</v>
      </c>
    </row>
    <row r="78" spans="1:26" x14ac:dyDescent="0.25">
      <c r="M78" s="31" t="s">
        <v>216</v>
      </c>
      <c r="N78" s="31" t="s">
        <v>216</v>
      </c>
      <c r="O78" s="31" t="s">
        <v>216</v>
      </c>
      <c r="P78" s="31" t="s">
        <v>216</v>
      </c>
      <c r="Q78" s="31" t="s">
        <v>216</v>
      </c>
    </row>
    <row r="79" spans="1:26" x14ac:dyDescent="0.25">
      <c r="B79" s="31" t="s">
        <v>213</v>
      </c>
      <c r="C79" s="31" t="s">
        <v>214</v>
      </c>
      <c r="D79" s="31" t="s">
        <v>215</v>
      </c>
      <c r="E79" s="31" t="s">
        <v>216</v>
      </c>
      <c r="F79" s="31" t="s">
        <v>185</v>
      </c>
      <c r="G79" s="31" t="s">
        <v>198</v>
      </c>
      <c r="H79" s="31" t="s">
        <v>191</v>
      </c>
      <c r="I79" s="31" t="s">
        <v>217</v>
      </c>
      <c r="J79" s="31" t="s">
        <v>218</v>
      </c>
      <c r="M79" s="34">
        <f>B55</f>
        <v>0</v>
      </c>
      <c r="N79" s="28">
        <f>B56</f>
        <v>1</v>
      </c>
      <c r="O79" s="28">
        <f>B57</f>
        <v>2</v>
      </c>
      <c r="P79" s="28">
        <f>B58</f>
        <v>3</v>
      </c>
      <c r="Q79" s="28">
        <f>B59</f>
        <v>5</v>
      </c>
    </row>
    <row r="80" spans="1:26" x14ac:dyDescent="0.25">
      <c r="A80" s="31" t="s">
        <v>219</v>
      </c>
      <c r="B80" s="34">
        <f>VLOOKUP(F72,A71:B75,2,0)</f>
        <v>3</v>
      </c>
      <c r="C80" s="34">
        <f>'Setup&amp;WS'!G17</f>
        <v>16</v>
      </c>
      <c r="D80" s="34">
        <f>VLOOKUP('Tyre&amp;Fuel'!C6,A61:B69,2,0)</f>
        <v>1</v>
      </c>
      <c r="E80" s="34">
        <f>VLOOKUP('Tyre&amp;Fuel'!C7,A55:C59,2,0)</f>
        <v>3</v>
      </c>
      <c r="F80" s="34">
        <f>'Setup&amp;WS'!B30</f>
        <v>5</v>
      </c>
      <c r="G80" s="34">
        <f>'Setup&amp;WS'!C5</f>
        <v>0</v>
      </c>
      <c r="H80" s="34">
        <f>'Setup&amp;WS'!C6</f>
        <v>134</v>
      </c>
      <c r="I80" s="34">
        <f>'Setup&amp;WS'!C12</f>
        <v>75</v>
      </c>
      <c r="J80" s="34">
        <f>'Tyre&amp;Fuel'!S18</f>
        <v>20</v>
      </c>
      <c r="M80" s="45">
        <v>1.355293715</v>
      </c>
      <c r="N80" s="45">
        <v>1.355293715</v>
      </c>
      <c r="O80" s="45">
        <v>1.355293715</v>
      </c>
      <c r="P80" s="45">
        <v>1.355293715</v>
      </c>
      <c r="Q80" s="45">
        <v>1.355293715</v>
      </c>
    </row>
    <row r="81" spans="1:17" x14ac:dyDescent="0.25">
      <c r="A81" s="31" t="s">
        <v>202</v>
      </c>
      <c r="B81" s="45">
        <v>0.89641617623862402</v>
      </c>
      <c r="C81" s="45">
        <v>0.98846362200000004</v>
      </c>
      <c r="D81" s="45">
        <v>1.0488763560000001</v>
      </c>
      <c r="E81" s="45">
        <v>1.355293715</v>
      </c>
      <c r="F81" s="45">
        <v>1.0093392940000001</v>
      </c>
      <c r="G81" s="45">
        <v>0.999670155</v>
      </c>
      <c r="H81" s="45">
        <v>1.0002293600000001</v>
      </c>
      <c r="I81" s="45">
        <v>0.99985832900000005</v>
      </c>
      <c r="J81" s="45">
        <f>VLOOKUP('Tyre&amp;Fuel'!C7,A55:C59,3,0)</f>
        <v>0.99586252604811198</v>
      </c>
      <c r="M81" s="34">
        <f t="shared" ref="M81:Q81" si="3">M80^M79</f>
        <v>1</v>
      </c>
      <c r="N81" s="34">
        <f t="shared" si="3"/>
        <v>1.355293715</v>
      </c>
      <c r="O81" s="34">
        <f t="shared" si="3"/>
        <v>1.836821053918501</v>
      </c>
      <c r="P81" s="34">
        <f t="shared" si="3"/>
        <v>2.4894320299554207</v>
      </c>
      <c r="Q81" s="34">
        <f t="shared" si="3"/>
        <v>4.5726411649211887</v>
      </c>
    </row>
    <row r="82" spans="1:17" x14ac:dyDescent="0.25">
      <c r="A82" s="31" t="s">
        <v>220</v>
      </c>
      <c r="B82" s="34">
        <f t="shared" ref="B82:J82" si="4">B81^B80</f>
        <v>0.72032594047039877</v>
      </c>
      <c r="C82" s="34">
        <f t="shared" si="4"/>
        <v>0.83056007865528347</v>
      </c>
      <c r="D82" s="34">
        <f t="shared" si="4"/>
        <v>1.0488763560000001</v>
      </c>
      <c r="E82" s="34">
        <f t="shared" si="4"/>
        <v>2.4894320299554207</v>
      </c>
      <c r="F82" s="34">
        <f t="shared" si="4"/>
        <v>1.0475768781915118</v>
      </c>
      <c r="G82" s="34">
        <f t="shared" si="4"/>
        <v>1</v>
      </c>
      <c r="H82" s="34">
        <f t="shared" si="4"/>
        <v>1.0312077786734537</v>
      </c>
      <c r="I82" s="34">
        <f t="shared" si="4"/>
        <v>0.9894301796013496</v>
      </c>
      <c r="J82" s="34">
        <f t="shared" si="4"/>
        <v>0.92042372933934258</v>
      </c>
      <c r="K82" s="46">
        <f>PRODUCT(B82:J82)</f>
        <v>1.5368437684987268</v>
      </c>
      <c r="M82" s="46">
        <f>B82*C82*D82*F82*G82*H82*I82*J82*M81</f>
        <v>0.61734714987428196</v>
      </c>
      <c r="N82" s="7">
        <f>B82*C82*D82*F82*G82*H82*I82*J82*N81</f>
        <v>0.83668671219777735</v>
      </c>
      <c r="O82" s="7">
        <f>B82*C82*D82*F82*G82*H82*I82*J82*O81</f>
        <v>1.1339562424656615</v>
      </c>
      <c r="P82" s="7">
        <f>B82*C82*D82*F82*G82*H82*I82*J82*P81</f>
        <v>1.5368437684987271</v>
      </c>
      <c r="Q82" s="7">
        <f>B82*C82*D82*F82*G82*H82*I82*J82*Q81</f>
        <v>2.8229069905619122</v>
      </c>
    </row>
    <row r="84" spans="1:17" x14ac:dyDescent="0.25">
      <c r="A84" s="134" t="s">
        <v>221</v>
      </c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</row>
    <row r="86" spans="1:17" x14ac:dyDescent="0.25">
      <c r="A86" s="129" t="s">
        <v>222</v>
      </c>
      <c r="B86" s="34">
        <f>ROUNDDOWN(VLOOKUP('Setup&amp;WS'!G13,Tracks!$A$3:$H$890,8,0)/('Tyre&amp;Fuel'!$H$18+1),0)</f>
        <v>7</v>
      </c>
      <c r="C86" s="34">
        <f>IF('Tyre&amp;Fuel'!$H$18&gt;=1,ROUNDDOWN(VLOOKUP('Setup&amp;WS'!G13,Tracks!$A$3:$H$890,8,0)/('Tyre&amp;Fuel'!$H$18+1),0),"-")</f>
        <v>7</v>
      </c>
      <c r="D86" s="34">
        <f>IF('Tyre&amp;Fuel'!$H$18&gt;=2,ROUNDDOWN(VLOOKUP('Setup&amp;WS'!G13,Tracks!$A$3:$H$890,8,0)/('Tyre&amp;Fuel'!$H$18+1),0),"-")</f>
        <v>7</v>
      </c>
      <c r="E86" s="34">
        <f>IF('Tyre&amp;Fuel'!$H$18&gt;=3,ROUNDDOWN(VLOOKUP('Setup&amp;WS'!G13,Tracks!$A$3:$H$890,8,0)/('Tyre&amp;Fuel'!$H$18+1),0),"-")</f>
        <v>7</v>
      </c>
      <c r="F86" s="34">
        <f>IF('Tyre&amp;Fuel'!$H$18&gt;=4,ROUNDDOWN(VLOOKUP('Setup&amp;WS'!G13,Tracks!$A$3:$H$890,8,0)/('Tyre&amp;Fuel'!$H$18+1),0),"-")</f>
        <v>7</v>
      </c>
    </row>
    <row r="87" spans="1:17" x14ac:dyDescent="0.25">
      <c r="A87" s="129"/>
      <c r="B87" s="34">
        <f>IF(VLOOKUP('Setup&amp;WS'!G13,Tracks!$A$3:$H$890,8,0)-SUM($B$86:$F$86)&gt;0,1,0)</f>
        <v>1</v>
      </c>
      <c r="C87" s="34">
        <f>IF(VLOOKUP('Setup&amp;WS'!G13,Tracks!$A$3:$H$890,8,0)-SUM($B$86:$F$86)&gt;1,1,0)</f>
        <v>1</v>
      </c>
      <c r="D87" s="34">
        <f>IF(VLOOKUP('Setup&amp;WS'!G13,Tracks!$A$3:$H$890,8,0)-SUM($B$86:$F$86)&gt;2,1,0)</f>
        <v>1</v>
      </c>
      <c r="E87" s="34">
        <f>IF(VLOOKUP('Setup&amp;WS'!G13,Tracks!$A$3:$H$890,8,0)-SUM($B$86:$F$86)&gt;3,1,0)</f>
        <v>1</v>
      </c>
      <c r="F87" s="34">
        <f>IF(VLOOKUP('Setup&amp;WS'!G13,Tracks!$A$3:$H$890,8,0)-SUM($B$86:$F$86)&gt;4,1,0)</f>
        <v>1</v>
      </c>
    </row>
    <row r="89" spans="1:17" x14ac:dyDescent="0.25">
      <c r="A89" s="134" t="s">
        <v>223</v>
      </c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</row>
    <row r="91" spans="1:17" x14ac:dyDescent="0.25">
      <c r="A91" s="31" t="s">
        <v>224</v>
      </c>
      <c r="B91" s="34">
        <f>(0.998789138^'Setup&amp;WS'!C3)*(0.998751839^'Setup&amp;WS'!C4)*(0.998707677^'Setup&amp;WS'!C6)</f>
        <v>0.51524296086694921</v>
      </c>
    </row>
    <row r="93" spans="1:17" x14ac:dyDescent="0.25">
      <c r="B93" s="31" t="s">
        <v>225</v>
      </c>
      <c r="C93" s="31" t="s">
        <v>194</v>
      </c>
    </row>
    <row r="94" spans="1:17" x14ac:dyDescent="0.25">
      <c r="A94" s="129" t="s">
        <v>226</v>
      </c>
      <c r="B94" s="34">
        <v>1</v>
      </c>
      <c r="C94" s="46">
        <v>1.0193267935988299</v>
      </c>
      <c r="E94" s="106"/>
    </row>
    <row r="95" spans="1:17" x14ac:dyDescent="0.25">
      <c r="A95" s="129"/>
      <c r="B95" s="34">
        <v>2</v>
      </c>
      <c r="C95" s="46">
        <v>1.00995581572653</v>
      </c>
      <c r="E95" s="106"/>
    </row>
    <row r="96" spans="1:17" x14ac:dyDescent="0.25">
      <c r="A96" s="129"/>
      <c r="B96" s="34">
        <v>3</v>
      </c>
      <c r="C96" s="46">
        <v>1.0073261618496101</v>
      </c>
      <c r="E96" s="106"/>
    </row>
    <row r="97" spans="1:13" x14ac:dyDescent="0.25">
      <c r="A97" s="129"/>
      <c r="B97" s="34">
        <v>4</v>
      </c>
      <c r="C97" s="46">
        <v>1.0053141448054901</v>
      </c>
      <c r="E97" s="106"/>
    </row>
    <row r="98" spans="1:13" x14ac:dyDescent="0.25">
      <c r="A98" s="129"/>
      <c r="B98" s="34">
        <v>5</v>
      </c>
      <c r="C98" s="46">
        <v>1.0043268635857201</v>
      </c>
      <c r="E98" s="106"/>
    </row>
    <row r="99" spans="1:13" x14ac:dyDescent="0.25">
      <c r="A99" s="129"/>
      <c r="B99" s="34">
        <v>6</v>
      </c>
      <c r="C99" s="46">
        <v>1.0036669136885199</v>
      </c>
      <c r="E99" s="106"/>
    </row>
    <row r="100" spans="1:13" x14ac:dyDescent="0.25">
      <c r="A100" s="129"/>
      <c r="B100" s="34">
        <v>7</v>
      </c>
      <c r="C100" s="46">
        <v>1.00430482472465</v>
      </c>
      <c r="E100" s="106"/>
    </row>
    <row r="101" spans="1:13" x14ac:dyDescent="0.25">
      <c r="A101" s="129"/>
      <c r="B101" s="34">
        <v>8</v>
      </c>
      <c r="C101" s="46">
        <v>1.0096900118273699</v>
      </c>
      <c r="E101" s="106"/>
    </row>
    <row r="102" spans="1:13" x14ac:dyDescent="0.25">
      <c r="A102" s="129"/>
      <c r="B102" s="34">
        <v>9</v>
      </c>
      <c r="C102" s="46">
        <v>1.0051519553917501</v>
      </c>
      <c r="E102" s="106"/>
    </row>
    <row r="104" spans="1:13" x14ac:dyDescent="0.25">
      <c r="A104" s="134" t="s">
        <v>227</v>
      </c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</row>
    <row r="106" spans="1:13" x14ac:dyDescent="0.25">
      <c r="C106" s="31" t="s">
        <v>29</v>
      </c>
      <c r="D106" s="31" t="s">
        <v>228</v>
      </c>
      <c r="H106" s="129" t="s">
        <v>229</v>
      </c>
      <c r="I106" s="129"/>
    </row>
    <row r="107" spans="1:13" x14ac:dyDescent="0.25">
      <c r="A107" s="129" t="s">
        <v>230</v>
      </c>
      <c r="B107" s="129"/>
      <c r="C107" s="46">
        <v>3.1470799100151797E-2</v>
      </c>
      <c r="D107" s="46">
        <v>3.5539390660964502E-2</v>
      </c>
      <c r="F107" s="46">
        <f>IF($H$107="Yes",C107,D107)</f>
        <v>3.5539390660964502E-2</v>
      </c>
      <c r="H107" s="183" t="str">
        <f>IF(SUM('Setup&amp;WS'!I2:I6)&gt;0,"Yes","No")</f>
        <v>No</v>
      </c>
      <c r="I107" s="183"/>
    </row>
    <row r="108" spans="1:13" x14ac:dyDescent="0.25">
      <c r="A108" s="129" t="s">
        <v>231</v>
      </c>
      <c r="B108" s="129"/>
      <c r="C108" s="46">
        <v>-9.4545618459636896E-2</v>
      </c>
      <c r="D108" s="46">
        <v>-7.9797767686843504E-2</v>
      </c>
      <c r="F108" s="46">
        <f>IF($H$107="Yes",C108,D108)</f>
        <v>-7.9797767686843504E-2</v>
      </c>
    </row>
    <row r="109" spans="1:13" x14ac:dyDescent="0.25">
      <c r="A109" s="129" t="s">
        <v>232</v>
      </c>
      <c r="B109" s="129"/>
      <c r="C109" s="46">
        <v>-3.5538342026769199E-2</v>
      </c>
      <c r="D109" s="34">
        <v>0</v>
      </c>
      <c r="F109" s="46">
        <f>IF($H$107="Yes",C109,D109)</f>
        <v>0</v>
      </c>
    </row>
    <row r="110" spans="1:13" x14ac:dyDescent="0.25">
      <c r="A110" s="129" t="s">
        <v>233</v>
      </c>
      <c r="B110" s="129"/>
      <c r="C110" s="46">
        <v>-9.4469512881002592E-3</v>
      </c>
      <c r="D110" s="34">
        <v>0</v>
      </c>
      <c r="F110" s="46">
        <f>IF($H$107="Yes",C110,D110)</f>
        <v>0</v>
      </c>
    </row>
    <row r="111" spans="1:13" x14ac:dyDescent="0.25">
      <c r="A111" s="129" t="s">
        <v>234</v>
      </c>
      <c r="B111" s="129"/>
      <c r="C111" s="46">
        <v>-1.12688398024834E-2</v>
      </c>
      <c r="D111" s="34">
        <v>0</v>
      </c>
      <c r="F111" s="46">
        <f>IF($H$107="Yes",C111,D111)</f>
        <v>0</v>
      </c>
    </row>
    <row r="112" spans="1:13" x14ac:dyDescent="0.25">
      <c r="A112" s="7"/>
    </row>
    <row r="113" spans="1:26" x14ac:dyDescent="0.25">
      <c r="A113" s="129" t="s">
        <v>235</v>
      </c>
      <c r="B113" s="129"/>
      <c r="C113" s="34">
        <v>24.26</v>
      </c>
    </row>
    <row r="115" spans="1:26" x14ac:dyDescent="0.25">
      <c r="A115" s="134" t="s">
        <v>236</v>
      </c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</row>
    <row r="117" spans="1:26" x14ac:dyDescent="0.25">
      <c r="A117" s="49" t="s">
        <v>56</v>
      </c>
      <c r="B117" s="45">
        <v>0</v>
      </c>
    </row>
    <row r="118" spans="1:26" x14ac:dyDescent="0.25">
      <c r="A118" s="49" t="s">
        <v>266</v>
      </c>
      <c r="B118" s="45">
        <v>1.4999999999999999E-2</v>
      </c>
    </row>
    <row r="119" spans="1:26" x14ac:dyDescent="0.25">
      <c r="A119" s="49" t="s">
        <v>205</v>
      </c>
      <c r="B119" s="45">
        <v>0.05</v>
      </c>
    </row>
    <row r="120" spans="1:26" x14ac:dyDescent="0.25">
      <c r="A120" s="49" t="s">
        <v>206</v>
      </c>
      <c r="B120" s="45">
        <v>7.0000000000000007E-2</v>
      </c>
    </row>
    <row r="121" spans="1:26" x14ac:dyDescent="0.25">
      <c r="A121" s="49" t="s">
        <v>267</v>
      </c>
      <c r="B121" s="45">
        <v>7.0000000000000007E-2</v>
      </c>
    </row>
    <row r="122" spans="1:26" x14ac:dyDescent="0.25">
      <c r="A122" s="49" t="s">
        <v>207</v>
      </c>
      <c r="B122" s="45">
        <v>0.09</v>
      </c>
    </row>
    <row r="123" spans="1:26" s="94" customFormat="1" x14ac:dyDescent="0.25">
      <c r="A123" s="100" t="s">
        <v>411</v>
      </c>
      <c r="B123" s="99">
        <v>0</v>
      </c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</row>
    <row r="124" spans="1:26" s="94" customFormat="1" x14ac:dyDescent="0.25">
      <c r="A124" s="100" t="s">
        <v>208</v>
      </c>
      <c r="B124" s="99">
        <v>7.4999999999999997E-2</v>
      </c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</row>
    <row r="125" spans="1:26" s="94" customFormat="1" x14ac:dyDescent="0.25">
      <c r="A125" s="100" t="s">
        <v>209</v>
      </c>
      <c r="B125" s="99">
        <v>0.08</v>
      </c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</row>
    <row r="128" spans="1:26" x14ac:dyDescent="0.25">
      <c r="A128" s="78" t="s">
        <v>374</v>
      </c>
    </row>
    <row r="129" spans="1:1" x14ac:dyDescent="0.25">
      <c r="A129" s="78" t="s">
        <v>375</v>
      </c>
    </row>
  </sheetData>
  <mergeCells count="38">
    <mergeCell ref="A1:M1"/>
    <mergeCell ref="B2:C2"/>
    <mergeCell ref="D2:D3"/>
    <mergeCell ref="A10:M10"/>
    <mergeCell ref="B12:L12"/>
    <mergeCell ref="B18:L18"/>
    <mergeCell ref="A25:M25"/>
    <mergeCell ref="A33:M33"/>
    <mergeCell ref="A45:M45"/>
    <mergeCell ref="A53:M53"/>
    <mergeCell ref="D71:G71"/>
    <mergeCell ref="D72:E72"/>
    <mergeCell ref="F72:G72"/>
    <mergeCell ref="B77:E77"/>
    <mergeCell ref="A84:M84"/>
    <mergeCell ref="A86:A87"/>
    <mergeCell ref="A89:M89"/>
    <mergeCell ref="A94:A102"/>
    <mergeCell ref="A104:M104"/>
    <mergeCell ref="H106:I106"/>
    <mergeCell ref="A111:B111"/>
    <mergeCell ref="A113:B113"/>
    <mergeCell ref="A115:M115"/>
    <mergeCell ref="A107:B107"/>
    <mergeCell ref="H107:I107"/>
    <mergeCell ref="A108:B108"/>
    <mergeCell ref="A109:B109"/>
    <mergeCell ref="A110:B110"/>
    <mergeCell ref="O2:P2"/>
    <mergeCell ref="O3:P3"/>
    <mergeCell ref="O4:P4"/>
    <mergeCell ref="O5:P5"/>
    <mergeCell ref="O6:P6"/>
    <mergeCell ref="O7:P7"/>
    <mergeCell ref="O8:P8"/>
    <mergeCell ref="O9:P9"/>
    <mergeCell ref="O10:P10"/>
    <mergeCell ref="O11:P11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Roman,Navadno"&amp;12&amp;A</oddHeader>
    <oddFooter>&amp;C&amp;"Times New Roman,Navadno"&amp;12Página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C00000"/>
  </sheetPr>
  <dimension ref="B2:V81"/>
  <sheetViews>
    <sheetView workbookViewId="0">
      <selection activeCell="C13" sqref="C13"/>
    </sheetView>
  </sheetViews>
  <sheetFormatPr baseColWidth="10" defaultColWidth="9.109375" defaultRowHeight="13.2" x14ac:dyDescent="0.25"/>
  <cols>
    <col min="1" max="1" width="2.88671875"/>
    <col min="2" max="1025" width="11.5546875"/>
  </cols>
  <sheetData>
    <row r="2" spans="2:9" x14ac:dyDescent="0.25">
      <c r="B2" s="134" t="s">
        <v>237</v>
      </c>
      <c r="C2" s="134"/>
      <c r="D2" s="134"/>
      <c r="E2" s="134"/>
      <c r="F2" s="134"/>
      <c r="G2" s="134"/>
      <c r="H2" s="134"/>
      <c r="I2" s="134"/>
    </row>
    <row r="3" spans="2:9" s="94" customFormat="1" x14ac:dyDescent="0.25"/>
    <row r="4" spans="2:9" x14ac:dyDescent="0.25">
      <c r="B4" s="90" t="s">
        <v>380</v>
      </c>
      <c r="C4" s="3">
        <v>881</v>
      </c>
      <c r="D4" t="s">
        <v>286</v>
      </c>
    </row>
    <row r="5" spans="2:9" s="94" customFormat="1" x14ac:dyDescent="0.25">
      <c r="B5" s="90" t="s">
        <v>397</v>
      </c>
      <c r="C5" s="3">
        <v>824</v>
      </c>
    </row>
    <row r="6" spans="2:9" x14ac:dyDescent="0.25">
      <c r="B6" s="31" t="s">
        <v>413</v>
      </c>
      <c r="C6" s="52">
        <f>C5+C4</f>
        <v>1705</v>
      </c>
      <c r="E6" s="129" t="s">
        <v>417</v>
      </c>
      <c r="F6" s="129"/>
      <c r="H6" s="129" t="s">
        <v>238</v>
      </c>
      <c r="I6" s="129"/>
    </row>
    <row r="7" spans="2:9" x14ac:dyDescent="0.25">
      <c r="B7" s="7"/>
      <c r="C7" s="26"/>
      <c r="E7" s="31" t="s">
        <v>239</v>
      </c>
      <c r="F7" s="34">
        <f>(B10-B11)*(B10-B12)*(B11-B12)</f>
        <v>-16000</v>
      </c>
      <c r="H7" s="31" t="s">
        <v>418</v>
      </c>
      <c r="I7" s="99">
        <f>C6/2+F11/2</f>
        <v>913.99999999995168</v>
      </c>
    </row>
    <row r="8" spans="2:9" x14ac:dyDescent="0.25">
      <c r="B8" s="129" t="s">
        <v>416</v>
      </c>
      <c r="C8" s="129"/>
      <c r="E8" s="31" t="s">
        <v>106</v>
      </c>
      <c r="F8" s="51">
        <f>(B12*(C11-C10)+B11*(C10-C12)+B10*(C12-C11))/F7</f>
        <v>1.2500000000024158E-5</v>
      </c>
      <c r="H8" s="31" t="s">
        <v>419</v>
      </c>
      <c r="I8" s="99">
        <f>C6-I7</f>
        <v>791.00000000004832</v>
      </c>
    </row>
    <row r="9" spans="2:9" x14ac:dyDescent="0.25">
      <c r="B9" s="31" t="s">
        <v>414</v>
      </c>
      <c r="C9" s="43" t="s">
        <v>415</v>
      </c>
      <c r="E9" s="31" t="s">
        <v>240</v>
      </c>
      <c r="F9" s="51">
        <f>(B12*B12*(C10-C11)+B11*B11*(C12-C10)+B10*B10*(C11-C12))/F7</f>
        <v>-3.075000000003528E-3</v>
      </c>
      <c r="H9" s="31" t="s">
        <v>420</v>
      </c>
      <c r="I9" s="99">
        <f>ROUND(I7-I8,0)</f>
        <v>123</v>
      </c>
    </row>
    <row r="10" spans="2:9" x14ac:dyDescent="0.25">
      <c r="B10" s="1">
        <v>57</v>
      </c>
      <c r="C10" s="47">
        <v>89.231999999999999</v>
      </c>
      <c r="E10" s="31" t="s">
        <v>241</v>
      </c>
      <c r="F10" s="45">
        <f>(B11*B12*(B11-B12)*C10+B12*B10*(B12-B10)*C11+B10*B11*(B10-B11)*C12)/F7</f>
        <v>89.366662500000274</v>
      </c>
      <c r="H10" s="56" t="s">
        <v>287</v>
      </c>
      <c r="I10" s="99">
        <f>F12</f>
        <v>89.17755000000021</v>
      </c>
    </row>
    <row r="11" spans="2:9" x14ac:dyDescent="0.25">
      <c r="B11" s="1">
        <v>77</v>
      </c>
      <c r="C11" s="47">
        <v>89.203999999999994</v>
      </c>
      <c r="E11" s="31" t="s">
        <v>242</v>
      </c>
      <c r="F11" s="45">
        <f>-F9/(2*F8)</f>
        <v>122.99999999990341</v>
      </c>
    </row>
    <row r="12" spans="2:9" x14ac:dyDescent="0.25">
      <c r="B12" s="1">
        <v>97</v>
      </c>
      <c r="C12" s="47">
        <v>89.186000000000007</v>
      </c>
      <c r="E12" s="31" t="s">
        <v>243</v>
      </c>
      <c r="F12" s="45">
        <f>F10-F9*F9/(4*F8)</f>
        <v>89.17755000000021</v>
      </c>
    </row>
    <row r="14" spans="2:9" x14ac:dyDescent="0.25">
      <c r="B14" s="134" t="s">
        <v>244</v>
      </c>
      <c r="C14" s="134"/>
      <c r="D14" s="134"/>
      <c r="E14" s="134"/>
      <c r="F14" s="134"/>
      <c r="G14" s="134"/>
      <c r="H14" s="134"/>
      <c r="I14" s="134"/>
    </row>
    <row r="15" spans="2:9" x14ac:dyDescent="0.25">
      <c r="B15" s="31" t="s">
        <v>102</v>
      </c>
      <c r="C15" s="31" t="s">
        <v>189</v>
      </c>
      <c r="D15" s="31" t="s">
        <v>245</v>
      </c>
      <c r="E15" s="31" t="s">
        <v>246</v>
      </c>
      <c r="F15" s="31" t="s">
        <v>115</v>
      </c>
      <c r="G15" s="31" t="s">
        <v>116</v>
      </c>
      <c r="H15" s="31" t="s">
        <v>32</v>
      </c>
      <c r="I15" s="31" t="s">
        <v>5</v>
      </c>
    </row>
    <row r="16" spans="2:9" x14ac:dyDescent="0.25">
      <c r="B16" s="34">
        <f>IF(C16&lt;&gt;"",(F16-G16)/2+0.246534498671854*C16-3.69107049712848*(D16+E16)/2+0.189968386659174*(F16+G16)/2-0.376337780506523*H16-IF(I16="Wet",58.8818967363256,0),0)</f>
        <v>108.21661038424436</v>
      </c>
      <c r="C16" s="1">
        <v>104</v>
      </c>
      <c r="D16" s="1">
        <v>7</v>
      </c>
      <c r="E16" s="1">
        <v>7</v>
      </c>
      <c r="F16" s="1">
        <v>543</v>
      </c>
      <c r="G16" s="1">
        <v>517</v>
      </c>
      <c r="H16" s="1">
        <v>14</v>
      </c>
      <c r="I16" s="1" t="s">
        <v>34</v>
      </c>
    </row>
    <row r="17" spans="2:10" x14ac:dyDescent="0.25">
      <c r="B17" s="34">
        <f t="shared" ref="B17:B25" si="0">IF(C17&lt;&gt;"",(F17-G17)/2+0.246534498671854*C17-3.69107049712848*(D17+E17)/2+0.189968386659174*(F17+G17)/2-0.376337780506523*H17-IF(I17="Wet",58.8818967363256,0),0)</f>
        <v>0</v>
      </c>
      <c r="C17" s="1"/>
      <c r="D17" s="1"/>
      <c r="E17" s="1"/>
      <c r="F17" s="1"/>
      <c r="G17" s="1"/>
      <c r="H17" s="1"/>
      <c r="I17" s="1" t="s">
        <v>34</v>
      </c>
    </row>
    <row r="18" spans="2:10" x14ac:dyDescent="0.25">
      <c r="B18" s="34">
        <f t="shared" si="0"/>
        <v>0</v>
      </c>
      <c r="C18" s="1"/>
      <c r="D18" s="1"/>
      <c r="E18" s="1"/>
      <c r="F18" s="1"/>
      <c r="G18" s="1"/>
      <c r="H18" s="1"/>
      <c r="I18" s="1" t="s">
        <v>34</v>
      </c>
    </row>
    <row r="19" spans="2:10" x14ac:dyDescent="0.25">
      <c r="B19" s="34">
        <f t="shared" si="0"/>
        <v>0</v>
      </c>
      <c r="C19" s="1"/>
      <c r="D19" s="1"/>
      <c r="E19" s="1"/>
      <c r="F19" s="1"/>
      <c r="G19" s="1"/>
      <c r="H19" s="1"/>
      <c r="I19" s="1" t="s">
        <v>34</v>
      </c>
    </row>
    <row r="20" spans="2:10" x14ac:dyDescent="0.25">
      <c r="B20" s="34">
        <f t="shared" si="0"/>
        <v>0</v>
      </c>
      <c r="C20" s="1"/>
      <c r="D20" s="1"/>
      <c r="E20" s="1"/>
      <c r="F20" s="1"/>
      <c r="G20" s="1"/>
      <c r="H20" s="1"/>
      <c r="I20" s="1" t="s">
        <v>34</v>
      </c>
    </row>
    <row r="21" spans="2:10" x14ac:dyDescent="0.25">
      <c r="B21" s="34">
        <f t="shared" si="0"/>
        <v>0</v>
      </c>
      <c r="C21" s="1"/>
      <c r="D21" s="1"/>
      <c r="E21" s="1"/>
      <c r="F21" s="1"/>
      <c r="G21" s="1"/>
      <c r="H21" s="1"/>
      <c r="I21" s="1" t="s">
        <v>34</v>
      </c>
    </row>
    <row r="22" spans="2:10" x14ac:dyDescent="0.25">
      <c r="B22" s="34">
        <f t="shared" si="0"/>
        <v>0</v>
      </c>
      <c r="C22" s="1"/>
      <c r="D22" s="1"/>
      <c r="E22" s="1"/>
      <c r="F22" s="1"/>
      <c r="G22" s="1"/>
      <c r="H22" s="1"/>
      <c r="I22" s="1" t="s">
        <v>34</v>
      </c>
    </row>
    <row r="23" spans="2:10" x14ac:dyDescent="0.25">
      <c r="B23" s="34">
        <f t="shared" si="0"/>
        <v>0</v>
      </c>
      <c r="C23" s="1"/>
      <c r="D23" s="1"/>
      <c r="E23" s="1"/>
      <c r="F23" s="1"/>
      <c r="G23" s="1"/>
      <c r="H23" s="1"/>
      <c r="I23" s="1" t="s">
        <v>34</v>
      </c>
    </row>
    <row r="24" spans="2:10" x14ac:dyDescent="0.25">
      <c r="B24" s="34">
        <f t="shared" si="0"/>
        <v>0</v>
      </c>
      <c r="C24" s="1"/>
      <c r="D24" s="1"/>
      <c r="E24" s="1"/>
      <c r="F24" s="1"/>
      <c r="G24" s="1"/>
      <c r="H24" s="1"/>
      <c r="I24" s="1" t="s">
        <v>34</v>
      </c>
    </row>
    <row r="25" spans="2:10" x14ac:dyDescent="0.25">
      <c r="B25" s="34">
        <f t="shared" si="0"/>
        <v>0</v>
      </c>
      <c r="C25" s="1"/>
      <c r="D25" s="1"/>
      <c r="E25" s="1"/>
      <c r="F25" s="1"/>
      <c r="G25" s="1"/>
      <c r="H25" s="1"/>
      <c r="I25" s="1" t="s">
        <v>34</v>
      </c>
    </row>
    <row r="26" spans="2:10" x14ac:dyDescent="0.25">
      <c r="B26" s="34">
        <f>SUM(B16:B25)/COUNTIF(B16:B25,"&lt;&gt;0")</f>
        <v>108.21661038424436</v>
      </c>
      <c r="C26" s="31" t="s">
        <v>247</v>
      </c>
      <c r="E26" s="185" t="s">
        <v>248</v>
      </c>
      <c r="F26" s="185"/>
      <c r="G26" s="185"/>
      <c r="H26" s="185"/>
      <c r="I26" s="185"/>
    </row>
    <row r="28" spans="2:10" x14ac:dyDescent="0.25">
      <c r="B28" s="134" t="s">
        <v>249</v>
      </c>
      <c r="C28" s="134"/>
      <c r="D28" s="134"/>
      <c r="E28" s="134"/>
      <c r="F28" s="134"/>
      <c r="G28" s="134"/>
      <c r="H28" s="134"/>
      <c r="I28" s="134"/>
      <c r="J28" s="134"/>
    </row>
    <row r="29" spans="2:10" x14ac:dyDescent="0.25">
      <c r="B29" s="31" t="s">
        <v>250</v>
      </c>
      <c r="C29" s="31" t="s">
        <v>251</v>
      </c>
      <c r="D29" s="31" t="s">
        <v>252</v>
      </c>
      <c r="E29" s="31" t="s">
        <v>188</v>
      </c>
      <c r="F29" s="31" t="s">
        <v>198</v>
      </c>
      <c r="G29" s="31" t="s">
        <v>191</v>
      </c>
      <c r="H29" s="31" t="s">
        <v>199</v>
      </c>
      <c r="I29" s="31" t="s">
        <v>253</v>
      </c>
      <c r="J29" s="31" t="s">
        <v>254</v>
      </c>
    </row>
    <row r="30" spans="2:10" x14ac:dyDescent="0.25">
      <c r="B30" s="45">
        <f>IF(D30&gt;0,(C30-((E30*-0.000101165457155397)+(F30*0.0000706080613787091)+(G30*-0.0000866455021527332)+(H30*-0.000163915452803369)+(I30*-0.0126912680856842)+(J30*-0.0083557977071091))*D30)/D30,0)</f>
        <v>0.90097701500159333</v>
      </c>
      <c r="C30" s="1">
        <v>217.6</v>
      </c>
      <c r="D30" s="1">
        <v>306.71100000000001</v>
      </c>
      <c r="E30" s="1">
        <v>212</v>
      </c>
      <c r="F30" s="1">
        <v>22</v>
      </c>
      <c r="G30" s="1">
        <v>179</v>
      </c>
      <c r="H30" s="1">
        <v>131</v>
      </c>
      <c r="I30" s="1">
        <v>6</v>
      </c>
      <c r="J30" s="1">
        <v>7</v>
      </c>
    </row>
    <row r="31" spans="2:10" x14ac:dyDescent="0.25">
      <c r="B31" s="45">
        <f t="shared" ref="B31:B39" si="1">IF(D31&gt;0,(C31-((E31*-0.000101165457155397)+(F31*0.0000706080613787091)+(G31*-0.0000866455021527332)+(H31*-0.000163915452803369)+(I31*-0.0126912680856842)+(J31*-0.0083557977071091))*D31)/D31,0)</f>
        <v>0</v>
      </c>
      <c r="C31" s="1"/>
      <c r="D31" s="1"/>
      <c r="E31" s="1"/>
      <c r="F31" s="1"/>
      <c r="G31" s="1"/>
      <c r="H31" s="1"/>
      <c r="I31" s="1"/>
      <c r="J31" s="1"/>
    </row>
    <row r="32" spans="2:10" x14ac:dyDescent="0.25">
      <c r="B32" s="45">
        <f t="shared" si="1"/>
        <v>0</v>
      </c>
      <c r="C32" s="1"/>
      <c r="D32" s="1"/>
      <c r="E32" s="1"/>
      <c r="F32" s="1"/>
      <c r="G32" s="1"/>
      <c r="H32" s="1"/>
      <c r="I32" s="1"/>
      <c r="J32" s="1"/>
    </row>
    <row r="33" spans="2:22" x14ac:dyDescent="0.25">
      <c r="B33" s="45">
        <f t="shared" si="1"/>
        <v>0</v>
      </c>
      <c r="C33" s="1"/>
      <c r="D33" s="1"/>
      <c r="E33" s="1"/>
      <c r="F33" s="1"/>
      <c r="G33" s="1"/>
      <c r="H33" s="1"/>
      <c r="I33" s="1"/>
      <c r="J33" s="1"/>
    </row>
    <row r="34" spans="2:22" x14ac:dyDescent="0.25">
      <c r="B34" s="45">
        <f t="shared" si="1"/>
        <v>0</v>
      </c>
      <c r="C34" s="1"/>
      <c r="D34" s="1"/>
      <c r="E34" s="1"/>
      <c r="F34" s="1"/>
      <c r="G34" s="1"/>
      <c r="H34" s="1"/>
      <c r="I34" s="1"/>
      <c r="J34" s="1"/>
    </row>
    <row r="35" spans="2:22" x14ac:dyDescent="0.25">
      <c r="B35" s="45">
        <f t="shared" si="1"/>
        <v>0</v>
      </c>
      <c r="C35" s="1"/>
      <c r="D35" s="1"/>
      <c r="E35" s="1"/>
      <c r="F35" s="1"/>
      <c r="G35" s="1"/>
      <c r="H35" s="1"/>
      <c r="I35" s="1"/>
      <c r="J35" s="1"/>
    </row>
    <row r="36" spans="2:22" x14ac:dyDescent="0.25">
      <c r="B36" s="45">
        <f t="shared" si="1"/>
        <v>0</v>
      </c>
      <c r="C36" s="1"/>
      <c r="D36" s="1"/>
      <c r="E36" s="1"/>
      <c r="F36" s="1"/>
      <c r="G36" s="1"/>
      <c r="H36" s="1"/>
      <c r="I36" s="1"/>
      <c r="J36" s="1"/>
    </row>
    <row r="37" spans="2:22" x14ac:dyDescent="0.25">
      <c r="B37" s="45">
        <f t="shared" si="1"/>
        <v>0</v>
      </c>
      <c r="C37" s="1"/>
      <c r="D37" s="1"/>
      <c r="E37" s="1"/>
      <c r="F37" s="1"/>
      <c r="G37" s="1"/>
      <c r="H37" s="1"/>
      <c r="I37" s="1"/>
      <c r="J37" s="1"/>
    </row>
    <row r="38" spans="2:22" x14ac:dyDescent="0.25">
      <c r="B38" s="45">
        <f t="shared" si="1"/>
        <v>0</v>
      </c>
      <c r="C38" s="1"/>
      <c r="D38" s="1"/>
      <c r="E38" s="1"/>
      <c r="F38" s="1"/>
      <c r="G38" s="1"/>
      <c r="H38" s="1"/>
      <c r="I38" s="1"/>
      <c r="J38" s="1"/>
    </row>
    <row r="39" spans="2:22" x14ac:dyDescent="0.25">
      <c r="B39" s="45">
        <f t="shared" si="1"/>
        <v>0</v>
      </c>
      <c r="C39" s="1"/>
      <c r="D39" s="1"/>
      <c r="E39" s="1"/>
      <c r="F39" s="1"/>
      <c r="G39" s="1"/>
      <c r="H39" s="1"/>
      <c r="I39" s="1"/>
      <c r="J39" s="1"/>
    </row>
    <row r="40" spans="2:22" x14ac:dyDescent="0.25">
      <c r="B40" s="45">
        <f>SUM(B30:B39)/COUNTIF(B30:B39,"&lt;&gt;0")</f>
        <v>0.90097701500159333</v>
      </c>
      <c r="C40" s="31" t="s">
        <v>247</v>
      </c>
      <c r="E40" s="185" t="s">
        <v>255</v>
      </c>
      <c r="F40" s="185"/>
      <c r="G40" s="185"/>
      <c r="H40" s="185"/>
      <c r="I40" s="185"/>
      <c r="J40" s="185"/>
    </row>
    <row r="42" spans="2:22" x14ac:dyDescent="0.25">
      <c r="B42" s="134" t="s">
        <v>256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O42" s="31" t="s">
        <v>62</v>
      </c>
      <c r="P42" s="31" t="s">
        <v>194</v>
      </c>
      <c r="R42" s="49" t="s">
        <v>56</v>
      </c>
      <c r="S42" s="48">
        <v>1</v>
      </c>
      <c r="U42" s="31" t="s">
        <v>129</v>
      </c>
      <c r="V42" s="34">
        <v>4</v>
      </c>
    </row>
    <row r="43" spans="2:22" x14ac:dyDescent="0.25">
      <c r="B43" s="31" t="s">
        <v>103</v>
      </c>
      <c r="C43" s="31" t="s">
        <v>257</v>
      </c>
      <c r="D43" s="31" t="s">
        <v>211</v>
      </c>
      <c r="E43" s="31" t="s">
        <v>258</v>
      </c>
      <c r="F43" s="31" t="s">
        <v>259</v>
      </c>
      <c r="G43" s="31" t="s">
        <v>216</v>
      </c>
      <c r="H43" s="31" t="s">
        <v>260</v>
      </c>
      <c r="I43" s="31" t="s">
        <v>198</v>
      </c>
      <c r="J43" s="31" t="s">
        <v>191</v>
      </c>
      <c r="K43" s="31" t="s">
        <v>217</v>
      </c>
      <c r="L43" s="31" t="s">
        <v>218</v>
      </c>
      <c r="N43" s="31" t="s">
        <v>64</v>
      </c>
      <c r="O43" s="34">
        <v>0</v>
      </c>
      <c r="P43" s="45">
        <v>0.998163750229071</v>
      </c>
      <c r="R43" s="49" t="s">
        <v>205</v>
      </c>
      <c r="S43" s="48">
        <v>2</v>
      </c>
      <c r="U43" s="31" t="s">
        <v>12</v>
      </c>
      <c r="V43" s="34">
        <v>3</v>
      </c>
    </row>
    <row r="44" spans="2:22" x14ac:dyDescent="0.25">
      <c r="B44" s="46">
        <f>IF(C44&lt;&gt;"",C44/(0.896416176238624^VLOOKUP($D44,$U$42:$V$46,2,0)*0.988463622^E44*1.048876356^VLOOKUP($F44,$R$42:$S$47,2,0)*1.355293715^VLOOKUP($G44,$N$43:$P$47,2,0)*1.009339294^H44*0.999670155^I44*1.00022936^J44*0.999858329^K44*VLOOKUP($G44,$N$43:$P$47,3,0)^L44*129.776458172062*IF(G44="Rain",0.73,1)),0)</f>
        <v>1.0734250211880669</v>
      </c>
      <c r="C44" s="1">
        <v>82.671000000000006</v>
      </c>
      <c r="D44" s="1" t="s">
        <v>68</v>
      </c>
      <c r="E44" s="1">
        <v>26.38</v>
      </c>
      <c r="F44" s="1" t="s">
        <v>205</v>
      </c>
      <c r="G44" s="1" t="s">
        <v>64</v>
      </c>
      <c r="H44" s="1">
        <v>7</v>
      </c>
      <c r="I44" s="1">
        <v>22</v>
      </c>
      <c r="J44" s="1">
        <v>179</v>
      </c>
      <c r="K44" s="1">
        <v>53</v>
      </c>
      <c r="L44" s="1">
        <v>100</v>
      </c>
      <c r="N44" s="31" t="s">
        <v>63</v>
      </c>
      <c r="O44" s="34">
        <v>1</v>
      </c>
      <c r="P44" s="45">
        <v>0.99706484481765401</v>
      </c>
      <c r="R44" s="49" t="s">
        <v>206</v>
      </c>
      <c r="S44" s="48">
        <v>4</v>
      </c>
      <c r="U44" s="31" t="s">
        <v>68</v>
      </c>
      <c r="V44" s="34">
        <v>2</v>
      </c>
    </row>
    <row r="45" spans="2:22" x14ac:dyDescent="0.25">
      <c r="B45" s="46">
        <f t="shared" ref="B45:B53" si="2">IF(C45&lt;&gt;"",C45/(0.896416176238624^VLOOKUP($D45,$U$42:$V$46,2,0)*0.988463622^E45*1.048876356^VLOOKUP($F45,$R$42:$S$47,2,0)*1.355293715^VLOOKUP($G45,$N$43:$P$47,2,0)*1.009339294^H45*0.999670155^I45*1.00022936^J45*0.999858329^K45*VLOOKUP($G45,$N$43:$P$47,3,0)^L45*129.776458172062*IF(G45="Rain",0.73,1)),0)</f>
        <v>1.0694311405176382</v>
      </c>
      <c r="C45" s="1">
        <v>81.772999999999996</v>
      </c>
      <c r="D45" s="1" t="s">
        <v>68</v>
      </c>
      <c r="E45" s="1">
        <v>27</v>
      </c>
      <c r="F45" s="1" t="s">
        <v>205</v>
      </c>
      <c r="G45" s="1" t="s">
        <v>64</v>
      </c>
      <c r="H45" s="1">
        <v>7</v>
      </c>
      <c r="I45" s="1">
        <v>22</v>
      </c>
      <c r="J45" s="1">
        <v>179</v>
      </c>
      <c r="K45" s="1">
        <v>53</v>
      </c>
      <c r="L45" s="1">
        <v>100</v>
      </c>
      <c r="N45" s="31" t="s">
        <v>68</v>
      </c>
      <c r="O45" s="34">
        <v>2</v>
      </c>
      <c r="P45" s="45">
        <v>0.99638034655434904</v>
      </c>
      <c r="R45" s="49" t="s">
        <v>207</v>
      </c>
      <c r="S45" s="48">
        <v>7</v>
      </c>
      <c r="U45" s="31" t="s">
        <v>11</v>
      </c>
      <c r="V45" s="34">
        <v>1</v>
      </c>
    </row>
    <row r="46" spans="2:22" x14ac:dyDescent="0.25">
      <c r="B46" s="46">
        <f t="shared" si="2"/>
        <v>1.0748301217354848</v>
      </c>
      <c r="C46" s="1">
        <v>83.59</v>
      </c>
      <c r="D46" s="1" t="s">
        <v>68</v>
      </c>
      <c r="E46" s="1">
        <v>25.54</v>
      </c>
      <c r="F46" s="1" t="s">
        <v>205</v>
      </c>
      <c r="G46" s="1" t="s">
        <v>64</v>
      </c>
      <c r="H46" s="1">
        <v>7</v>
      </c>
      <c r="I46" s="1">
        <v>22</v>
      </c>
      <c r="J46" s="1">
        <v>179</v>
      </c>
      <c r="K46" s="1">
        <v>53</v>
      </c>
      <c r="L46" s="1">
        <v>100</v>
      </c>
      <c r="N46" s="31" t="s">
        <v>70</v>
      </c>
      <c r="O46" s="34">
        <v>3</v>
      </c>
      <c r="P46" s="45">
        <v>0.99586252604811198</v>
      </c>
      <c r="R46" s="49" t="s">
        <v>208</v>
      </c>
      <c r="S46" s="48">
        <v>5</v>
      </c>
      <c r="U46" s="31" t="s">
        <v>131</v>
      </c>
      <c r="V46" s="34">
        <v>0</v>
      </c>
    </row>
    <row r="47" spans="2:22" x14ac:dyDescent="0.25">
      <c r="B47" s="46">
        <f t="shared" si="2"/>
        <v>1.0754168599458338</v>
      </c>
      <c r="C47" s="1">
        <v>85.281999999999996</v>
      </c>
      <c r="D47" s="1" t="s">
        <v>68</v>
      </c>
      <c r="E47" s="1">
        <v>23.86</v>
      </c>
      <c r="F47" s="1" t="s">
        <v>205</v>
      </c>
      <c r="G47" s="1" t="s">
        <v>64</v>
      </c>
      <c r="H47" s="1">
        <v>7</v>
      </c>
      <c r="I47" s="1">
        <v>22</v>
      </c>
      <c r="J47" s="1">
        <v>179</v>
      </c>
      <c r="K47" s="1">
        <v>53</v>
      </c>
      <c r="L47" s="1">
        <v>100</v>
      </c>
      <c r="N47" s="31" t="s">
        <v>71</v>
      </c>
      <c r="O47" s="34">
        <v>5</v>
      </c>
      <c r="P47" s="45">
        <v>0.99608785438452296</v>
      </c>
      <c r="R47" s="49" t="s">
        <v>209</v>
      </c>
      <c r="S47" s="48">
        <v>6</v>
      </c>
    </row>
    <row r="48" spans="2:22" x14ac:dyDescent="0.25">
      <c r="B48" s="46">
        <f t="shared" si="2"/>
        <v>0</v>
      </c>
      <c r="C48" s="1"/>
      <c r="D48" s="1" t="s">
        <v>68</v>
      </c>
      <c r="E48" s="1"/>
      <c r="F48" s="1" t="s">
        <v>56</v>
      </c>
      <c r="G48" s="1" t="s">
        <v>68</v>
      </c>
      <c r="H48" s="1"/>
      <c r="I48" s="1"/>
      <c r="J48" s="1"/>
      <c r="K48" s="1"/>
      <c r="L48" s="1"/>
    </row>
    <row r="49" spans="2:17" x14ac:dyDescent="0.25">
      <c r="B49" s="46">
        <f t="shared" si="2"/>
        <v>0</v>
      </c>
      <c r="C49" s="1"/>
      <c r="D49" s="1" t="s">
        <v>68</v>
      </c>
      <c r="E49" s="1"/>
      <c r="F49" s="1" t="s">
        <v>56</v>
      </c>
      <c r="G49" s="1" t="s">
        <v>68</v>
      </c>
      <c r="H49" s="1"/>
      <c r="I49" s="1"/>
      <c r="J49" s="1"/>
      <c r="K49" s="1"/>
      <c r="L49" s="1"/>
    </row>
    <row r="50" spans="2:17" x14ac:dyDescent="0.25">
      <c r="B50" s="46">
        <f t="shared" si="2"/>
        <v>0</v>
      </c>
      <c r="C50" s="1"/>
      <c r="D50" s="1" t="s">
        <v>68</v>
      </c>
      <c r="E50" s="1"/>
      <c r="F50" s="1" t="s">
        <v>56</v>
      </c>
      <c r="G50" s="1" t="s">
        <v>68</v>
      </c>
      <c r="H50" s="1"/>
      <c r="I50" s="1"/>
      <c r="J50" s="1"/>
      <c r="K50" s="1"/>
      <c r="L50" s="1"/>
    </row>
    <row r="51" spans="2:17" x14ac:dyDescent="0.25">
      <c r="B51" s="46">
        <f t="shared" si="2"/>
        <v>0</v>
      </c>
      <c r="C51" s="1"/>
      <c r="D51" s="1" t="s">
        <v>68</v>
      </c>
      <c r="E51" s="1"/>
      <c r="F51" s="1" t="s">
        <v>56</v>
      </c>
      <c r="G51" s="1" t="s">
        <v>68</v>
      </c>
      <c r="H51" s="1"/>
      <c r="I51" s="1"/>
      <c r="J51" s="1"/>
      <c r="K51" s="1"/>
      <c r="L51" s="1"/>
    </row>
    <row r="52" spans="2:17" x14ac:dyDescent="0.25">
      <c r="B52" s="46">
        <f t="shared" si="2"/>
        <v>0</v>
      </c>
      <c r="C52" s="1"/>
      <c r="D52" s="1" t="s">
        <v>68</v>
      </c>
      <c r="E52" s="1"/>
      <c r="F52" s="1" t="s">
        <v>56</v>
      </c>
      <c r="G52" s="1" t="s">
        <v>68</v>
      </c>
      <c r="H52" s="1"/>
      <c r="I52" s="1"/>
      <c r="J52" s="1"/>
      <c r="K52" s="1"/>
      <c r="L52" s="1"/>
    </row>
    <row r="53" spans="2:17" x14ac:dyDescent="0.25">
      <c r="B53" s="46">
        <f t="shared" si="2"/>
        <v>0</v>
      </c>
      <c r="C53" s="1"/>
      <c r="D53" s="1" t="s">
        <v>68</v>
      </c>
      <c r="E53" s="1"/>
      <c r="F53" s="1" t="s">
        <v>56</v>
      </c>
      <c r="G53" s="1" t="s">
        <v>68</v>
      </c>
      <c r="H53" s="1"/>
      <c r="I53" s="1"/>
      <c r="J53" s="1"/>
      <c r="K53" s="1"/>
      <c r="L53" s="1"/>
    </row>
    <row r="54" spans="2:17" x14ac:dyDescent="0.25">
      <c r="B54" s="46">
        <f>SUM(B44:B53)/COUNTIF(B44:B53,"&lt;&gt;0")</f>
        <v>1.0732757858467559</v>
      </c>
      <c r="C54" s="31" t="s">
        <v>247</v>
      </c>
      <c r="E54" s="185" t="s">
        <v>255</v>
      </c>
      <c r="F54" s="185"/>
      <c r="G54" s="185"/>
      <c r="H54" s="185"/>
      <c r="I54" s="185"/>
      <c r="J54" s="185"/>
      <c r="K54" s="185"/>
      <c r="L54" s="185"/>
    </row>
    <row r="55" spans="2:17" x14ac:dyDescent="0.25">
      <c r="D55" s="29"/>
      <c r="E55" s="30"/>
      <c r="F55" s="30"/>
      <c r="G55" s="30"/>
      <c r="H55" s="30"/>
      <c r="I55" s="30"/>
      <c r="J55" s="30"/>
      <c r="K55" s="30"/>
    </row>
    <row r="56" spans="2:17" x14ac:dyDescent="0.25">
      <c r="B56" s="134" t="s">
        <v>261</v>
      </c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P56" s="31" t="s">
        <v>225</v>
      </c>
      <c r="Q56" s="31" t="s">
        <v>194</v>
      </c>
    </row>
    <row r="57" spans="2:17" x14ac:dyDescent="0.25">
      <c r="B57" s="32" t="s">
        <v>262</v>
      </c>
      <c r="C57" s="31" t="s">
        <v>38</v>
      </c>
      <c r="D57" s="31" t="s">
        <v>14</v>
      </c>
      <c r="E57" s="31" t="s">
        <v>39</v>
      </c>
      <c r="F57" s="31" t="s">
        <v>40</v>
      </c>
      <c r="G57" s="31" t="s">
        <v>41</v>
      </c>
      <c r="H57" s="31" t="s">
        <v>42</v>
      </c>
      <c r="I57" s="31" t="s">
        <v>43</v>
      </c>
      <c r="J57" s="31" t="s">
        <v>44</v>
      </c>
      <c r="K57" s="31" t="s">
        <v>46</v>
      </c>
      <c r="L57" s="31" t="s">
        <v>21</v>
      </c>
      <c r="M57" s="31" t="s">
        <v>48</v>
      </c>
      <c r="P57" s="31">
        <v>1</v>
      </c>
      <c r="Q57" s="46">
        <v>1.0193267935988299</v>
      </c>
    </row>
    <row r="58" spans="2:17" x14ac:dyDescent="0.25">
      <c r="B58" s="31" t="s">
        <v>35</v>
      </c>
      <c r="C58" s="1">
        <v>7</v>
      </c>
      <c r="D58" s="1">
        <v>6</v>
      </c>
      <c r="E58" s="1">
        <v>7</v>
      </c>
      <c r="F58" s="1">
        <v>7</v>
      </c>
      <c r="G58" s="1">
        <v>7</v>
      </c>
      <c r="H58" s="1">
        <v>7</v>
      </c>
      <c r="I58" s="1">
        <v>7</v>
      </c>
      <c r="J58" s="1">
        <v>7</v>
      </c>
      <c r="K58" s="1">
        <v>6</v>
      </c>
      <c r="L58" s="1">
        <v>7</v>
      </c>
      <c r="M58" s="1">
        <v>7</v>
      </c>
      <c r="P58" s="31">
        <v>2</v>
      </c>
      <c r="Q58" s="46">
        <v>1.00995581572653</v>
      </c>
    </row>
    <row r="59" spans="2:17" x14ac:dyDescent="0.25">
      <c r="B59" s="31" t="s">
        <v>36</v>
      </c>
      <c r="C59" s="1">
        <v>23</v>
      </c>
      <c r="D59" s="1">
        <v>43</v>
      </c>
      <c r="E59" s="1">
        <v>15</v>
      </c>
      <c r="F59" s="1">
        <v>11</v>
      </c>
      <c r="G59" s="1">
        <v>21</v>
      </c>
      <c r="H59" s="1">
        <v>18</v>
      </c>
      <c r="I59" s="1">
        <v>14</v>
      </c>
      <c r="J59" s="1">
        <v>34</v>
      </c>
      <c r="K59" s="1">
        <v>39</v>
      </c>
      <c r="L59" s="1">
        <v>23</v>
      </c>
      <c r="M59" s="1">
        <v>15</v>
      </c>
      <c r="P59" s="31">
        <v>3</v>
      </c>
      <c r="Q59" s="46">
        <v>1.0073261618496101</v>
      </c>
    </row>
    <row r="60" spans="2:17" x14ac:dyDescent="0.25">
      <c r="B60" s="129" t="s">
        <v>0</v>
      </c>
      <c r="C60" s="31" t="s">
        <v>188</v>
      </c>
      <c r="D60" s="31" t="s">
        <v>189</v>
      </c>
      <c r="E60" s="31" t="s">
        <v>191</v>
      </c>
      <c r="F60" s="31" t="s">
        <v>218</v>
      </c>
      <c r="P60" s="31">
        <v>4</v>
      </c>
      <c r="Q60" s="46">
        <v>1.0053141448054901</v>
      </c>
    </row>
    <row r="61" spans="2:17" x14ac:dyDescent="0.25">
      <c r="B61" s="129"/>
      <c r="C61" s="1">
        <v>212</v>
      </c>
      <c r="D61" s="1">
        <v>181</v>
      </c>
      <c r="E61" s="1">
        <v>179</v>
      </c>
      <c r="F61" s="1">
        <v>100</v>
      </c>
      <c r="P61" s="31">
        <v>5</v>
      </c>
      <c r="Q61" s="46">
        <v>1.0043268635857201</v>
      </c>
    </row>
    <row r="62" spans="2:17" x14ac:dyDescent="0.25">
      <c r="P62" s="31">
        <v>6</v>
      </c>
      <c r="Q62" s="46">
        <v>1.0036669136885199</v>
      </c>
    </row>
    <row r="63" spans="2:17" x14ac:dyDescent="0.25">
      <c r="B63" s="32" t="s">
        <v>263</v>
      </c>
      <c r="C63" s="31" t="s">
        <v>38</v>
      </c>
      <c r="D63" s="31" t="s">
        <v>14</v>
      </c>
      <c r="E63" s="31" t="s">
        <v>39</v>
      </c>
      <c r="F63" s="31" t="s">
        <v>40</v>
      </c>
      <c r="G63" s="31" t="s">
        <v>41</v>
      </c>
      <c r="H63" s="31" t="s">
        <v>42</v>
      </c>
      <c r="I63" s="31" t="s">
        <v>43</v>
      </c>
      <c r="J63" s="31" t="s">
        <v>44</v>
      </c>
      <c r="K63" s="31" t="s">
        <v>46</v>
      </c>
      <c r="L63" s="31" t="s">
        <v>21</v>
      </c>
      <c r="M63" s="31" t="s">
        <v>48</v>
      </c>
      <c r="P63" s="31">
        <v>7</v>
      </c>
      <c r="Q63" s="46">
        <v>1.00430482472465</v>
      </c>
    </row>
    <row r="64" spans="2:17" x14ac:dyDescent="0.25">
      <c r="B64" s="31" t="s">
        <v>35</v>
      </c>
      <c r="C64" s="1">
        <v>3</v>
      </c>
      <c r="D64" s="1">
        <v>3</v>
      </c>
      <c r="E64" s="1">
        <v>2</v>
      </c>
      <c r="F64" s="1">
        <v>3</v>
      </c>
      <c r="G64" s="1">
        <v>2</v>
      </c>
      <c r="H64" s="1">
        <v>3</v>
      </c>
      <c r="I64" s="1">
        <v>3</v>
      </c>
      <c r="J64" s="1">
        <v>3</v>
      </c>
      <c r="K64" s="1">
        <v>2</v>
      </c>
      <c r="L64" s="1">
        <v>3</v>
      </c>
      <c r="M64" s="1">
        <v>3</v>
      </c>
      <c r="P64" s="31">
        <v>8</v>
      </c>
      <c r="Q64" s="46">
        <v>1.0096900118273699</v>
      </c>
    </row>
    <row r="65" spans="2:17" x14ac:dyDescent="0.25">
      <c r="B65" s="31" t="s">
        <v>36</v>
      </c>
      <c r="C65" s="1">
        <v>19</v>
      </c>
      <c r="D65" s="1">
        <v>36</v>
      </c>
      <c r="E65" s="1">
        <v>19</v>
      </c>
      <c r="F65" s="1">
        <v>21</v>
      </c>
      <c r="G65" s="1">
        <v>20</v>
      </c>
      <c r="H65" s="1">
        <v>13</v>
      </c>
      <c r="I65" s="1">
        <v>11</v>
      </c>
      <c r="J65" s="1">
        <v>25</v>
      </c>
      <c r="K65" s="1">
        <v>30</v>
      </c>
      <c r="L65" s="1">
        <v>33</v>
      </c>
      <c r="M65" s="1">
        <v>9</v>
      </c>
      <c r="P65" s="31">
        <v>9</v>
      </c>
      <c r="Q65" s="46">
        <v>1.0051519553917501</v>
      </c>
    </row>
    <row r="66" spans="2:17" x14ac:dyDescent="0.25">
      <c r="B66" s="129" t="s">
        <v>0</v>
      </c>
      <c r="C66" s="31" t="s">
        <v>188</v>
      </c>
      <c r="D66" s="31" t="s">
        <v>189</v>
      </c>
      <c r="E66" s="31" t="s">
        <v>191</v>
      </c>
      <c r="F66" s="31" t="s">
        <v>218</v>
      </c>
    </row>
    <row r="67" spans="2:17" x14ac:dyDescent="0.25">
      <c r="B67" s="129"/>
      <c r="C67" s="1">
        <v>199</v>
      </c>
      <c r="D67" s="1">
        <v>65</v>
      </c>
      <c r="E67" s="1">
        <v>78</v>
      </c>
      <c r="F67" s="1">
        <v>0</v>
      </c>
    </row>
    <row r="69" spans="2:17" x14ac:dyDescent="0.25">
      <c r="B69" s="32" t="s">
        <v>264</v>
      </c>
      <c r="C69" s="31" t="s">
        <v>38</v>
      </c>
      <c r="D69" s="31" t="s">
        <v>14</v>
      </c>
      <c r="E69" s="31" t="s">
        <v>39</v>
      </c>
      <c r="F69" s="31" t="s">
        <v>40</v>
      </c>
      <c r="G69" s="31" t="s">
        <v>41</v>
      </c>
      <c r="H69" s="31" t="s">
        <v>42</v>
      </c>
      <c r="I69" s="31" t="s">
        <v>43</v>
      </c>
      <c r="J69" s="31" t="s">
        <v>44</v>
      </c>
      <c r="K69" s="31" t="s">
        <v>46</v>
      </c>
      <c r="L69" s="31" t="s">
        <v>21</v>
      </c>
      <c r="M69" s="31" t="s">
        <v>48</v>
      </c>
    </row>
    <row r="70" spans="2:17" x14ac:dyDescent="0.25">
      <c r="B70" s="31" t="s">
        <v>35</v>
      </c>
      <c r="C70" s="1">
        <v>3</v>
      </c>
      <c r="D70" s="1">
        <v>3</v>
      </c>
      <c r="E70" s="1">
        <v>2</v>
      </c>
      <c r="F70" s="1">
        <v>3</v>
      </c>
      <c r="G70" s="1">
        <v>2</v>
      </c>
      <c r="H70" s="1">
        <v>3</v>
      </c>
      <c r="I70" s="1">
        <v>3</v>
      </c>
      <c r="J70" s="1">
        <v>3</v>
      </c>
      <c r="K70" s="1">
        <v>2</v>
      </c>
      <c r="L70" s="1">
        <v>3</v>
      </c>
      <c r="M70" s="1">
        <v>3</v>
      </c>
    </row>
    <row r="71" spans="2:17" x14ac:dyDescent="0.25">
      <c r="B71" s="31" t="s">
        <v>36</v>
      </c>
      <c r="C71" s="1">
        <v>17</v>
      </c>
      <c r="D71" s="1">
        <v>33</v>
      </c>
      <c r="E71" s="1">
        <v>18</v>
      </c>
      <c r="F71" s="1">
        <v>20</v>
      </c>
      <c r="G71" s="1">
        <v>21</v>
      </c>
      <c r="H71" s="1">
        <v>12</v>
      </c>
      <c r="I71" s="1">
        <v>12</v>
      </c>
      <c r="J71" s="1">
        <v>26</v>
      </c>
      <c r="K71" s="1">
        <v>30</v>
      </c>
      <c r="L71" s="1">
        <v>31</v>
      </c>
      <c r="M71" s="1">
        <v>10</v>
      </c>
    </row>
    <row r="72" spans="2:17" x14ac:dyDescent="0.25">
      <c r="B72" s="129" t="s">
        <v>0</v>
      </c>
      <c r="C72" s="31" t="s">
        <v>188</v>
      </c>
      <c r="D72" s="31" t="s">
        <v>189</v>
      </c>
      <c r="E72" s="31" t="s">
        <v>191</v>
      </c>
      <c r="F72" s="31" t="s">
        <v>218</v>
      </c>
    </row>
    <row r="73" spans="2:17" x14ac:dyDescent="0.25">
      <c r="B73" s="129"/>
      <c r="C73" s="1">
        <v>199</v>
      </c>
      <c r="D73" s="1">
        <v>65</v>
      </c>
      <c r="E73" s="1">
        <v>78</v>
      </c>
      <c r="F73" s="1">
        <v>0</v>
      </c>
    </row>
    <row r="76" spans="2:17" x14ac:dyDescent="0.25">
      <c r="B76" s="31" t="s">
        <v>265</v>
      </c>
      <c r="C76" s="31" t="s">
        <v>38</v>
      </c>
      <c r="D76" s="31" t="s">
        <v>14</v>
      </c>
      <c r="E76" s="31" t="s">
        <v>39</v>
      </c>
      <c r="F76" s="31" t="s">
        <v>40</v>
      </c>
      <c r="G76" s="31" t="s">
        <v>41</v>
      </c>
      <c r="H76" s="31" t="s">
        <v>42</v>
      </c>
      <c r="I76" s="31" t="s">
        <v>43</v>
      </c>
      <c r="J76" s="31" t="s">
        <v>44</v>
      </c>
      <c r="K76" s="31" t="s">
        <v>46</v>
      </c>
      <c r="L76" s="31" t="s">
        <v>21</v>
      </c>
      <c r="M76" s="31" t="s">
        <v>48</v>
      </c>
    </row>
    <row r="77" spans="2:17" x14ac:dyDescent="0.25">
      <c r="B77" s="31" t="s">
        <v>262</v>
      </c>
      <c r="C77" s="34">
        <v>30.579431895351998</v>
      </c>
      <c r="D77" s="34">
        <v>60.920599857992897</v>
      </c>
      <c r="E77" s="34">
        <v>19.943107757838298</v>
      </c>
      <c r="F77" s="34">
        <v>14.6249456890814</v>
      </c>
      <c r="G77" s="34">
        <v>27.920350860973599</v>
      </c>
      <c r="H77" s="34">
        <v>23.931729309405899</v>
      </c>
      <c r="I77" s="34">
        <v>18.613567240649001</v>
      </c>
      <c r="J77" s="34">
        <v>45.204377584433402</v>
      </c>
      <c r="K77" s="34">
        <v>55.2535673130633</v>
      </c>
      <c r="L77" s="34">
        <v>30.579431895351998</v>
      </c>
      <c r="M77" s="34">
        <v>19.943107757838298</v>
      </c>
    </row>
    <row r="78" spans="2:17" x14ac:dyDescent="0.25">
      <c r="B78" s="31" t="s">
        <v>263</v>
      </c>
      <c r="C78" s="34">
        <v>29.008649488958099</v>
      </c>
      <c r="D78" s="34">
        <v>54.963756926446898</v>
      </c>
      <c r="E78" s="34">
        <v>29.008649488958099</v>
      </c>
      <c r="F78" s="34">
        <v>32.0621915404273</v>
      </c>
      <c r="G78" s="34">
        <v>30.535420514692699</v>
      </c>
      <c r="H78" s="34">
        <v>19.848023334550302</v>
      </c>
      <c r="I78" s="34">
        <v>16.794481283081002</v>
      </c>
      <c r="J78" s="34">
        <v>38.1692756433659</v>
      </c>
      <c r="K78" s="34">
        <v>45.803130772038998</v>
      </c>
      <c r="L78" s="34">
        <v>50.383443849242902</v>
      </c>
      <c r="M78" s="34">
        <v>13.7409392316117</v>
      </c>
    </row>
    <row r="79" spans="2:17" x14ac:dyDescent="0.25">
      <c r="B79" s="31" t="s">
        <v>264</v>
      </c>
      <c r="C79" s="34">
        <v>25.955107437488799</v>
      </c>
      <c r="D79" s="34">
        <v>50.383443849242902</v>
      </c>
      <c r="E79" s="34">
        <v>27.481878463223399</v>
      </c>
      <c r="F79" s="34">
        <v>30.535420514692699</v>
      </c>
      <c r="G79" s="34">
        <v>32.0621915404273</v>
      </c>
      <c r="H79" s="34">
        <v>18.321252308815598</v>
      </c>
      <c r="I79" s="34">
        <v>18.321252308815598</v>
      </c>
      <c r="J79" s="34">
        <v>39.696046669100497</v>
      </c>
      <c r="K79" s="34">
        <v>45.803130772038998</v>
      </c>
      <c r="L79" s="34">
        <v>47.329901797773701</v>
      </c>
      <c r="M79" s="34">
        <v>15.2677102573463</v>
      </c>
    </row>
    <row r="80" spans="2:17" x14ac:dyDescent="0.25">
      <c r="B80" s="31" t="s">
        <v>247</v>
      </c>
      <c r="C80" s="34">
        <f t="shared" ref="C80:M80" si="3">AVERAGE(C77:C79)</f>
        <v>28.51439627393297</v>
      </c>
      <c r="D80" s="34">
        <f t="shared" si="3"/>
        <v>55.422600211227568</v>
      </c>
      <c r="E80" s="34">
        <f t="shared" si="3"/>
        <v>25.477878570006599</v>
      </c>
      <c r="F80" s="34">
        <f t="shared" si="3"/>
        <v>25.740852581400464</v>
      </c>
      <c r="G80" s="34">
        <f t="shared" si="3"/>
        <v>30.172654305364535</v>
      </c>
      <c r="H80" s="34">
        <f t="shared" si="3"/>
        <v>20.700334984257267</v>
      </c>
      <c r="I80" s="34">
        <f t="shared" si="3"/>
        <v>17.909766944181868</v>
      </c>
      <c r="J80" s="34">
        <f t="shared" si="3"/>
        <v>41.023233298966602</v>
      </c>
      <c r="K80" s="34">
        <f t="shared" si="3"/>
        <v>48.953276285713763</v>
      </c>
      <c r="L80" s="34">
        <f t="shared" si="3"/>
        <v>42.76425918078953</v>
      </c>
      <c r="M80" s="34">
        <f t="shared" si="3"/>
        <v>16.317252415598766</v>
      </c>
    </row>
    <row r="81" spans="3:13" x14ac:dyDescent="0.25">
      <c r="C81" s="34">
        <v>30.58</v>
      </c>
      <c r="D81" s="34">
        <v>60.92</v>
      </c>
      <c r="E81" s="34">
        <v>19.940000000000001</v>
      </c>
      <c r="F81" s="34">
        <v>14.62</v>
      </c>
      <c r="G81" s="34">
        <v>27.92</v>
      </c>
      <c r="H81" s="34">
        <v>23.93</v>
      </c>
      <c r="I81" s="34">
        <v>18.61</v>
      </c>
      <c r="J81" s="34">
        <v>45.2</v>
      </c>
      <c r="K81" s="34">
        <v>55.25</v>
      </c>
      <c r="L81" s="34">
        <v>30.58</v>
      </c>
      <c r="M81" s="34">
        <v>19.940000000000001</v>
      </c>
    </row>
  </sheetData>
  <mergeCells count="14">
    <mergeCell ref="B2:I2"/>
    <mergeCell ref="E6:F6"/>
    <mergeCell ref="H6:I6"/>
    <mergeCell ref="B8:C8"/>
    <mergeCell ref="B14:I14"/>
    <mergeCell ref="B56:M56"/>
    <mergeCell ref="B60:B61"/>
    <mergeCell ref="B66:B67"/>
    <mergeCell ref="B72:B73"/>
    <mergeCell ref="E26:I26"/>
    <mergeCell ref="B28:J28"/>
    <mergeCell ref="E40:J40"/>
    <mergeCell ref="B42:L42"/>
    <mergeCell ref="E54:L54"/>
  </mergeCells>
  <dataValidations count="10">
    <dataValidation type="list" operator="equal" allowBlank="1" sqref="I16:I25" xr:uid="{00000000-0002-0000-0400-000000000000}">
      <formula1>"Dry,Wet"</formula1>
      <formula2>0</formula2>
    </dataValidation>
    <dataValidation type="list" operator="equal" allowBlank="1" sqref="G44:G53" xr:uid="{00000000-0002-0000-0400-000001000000}">
      <formula1>"Extra Soft,Soft,Medium,Hard,Rain"</formula1>
      <formula2>0</formula2>
    </dataValidation>
    <dataValidation type="list" operator="equal" allowBlank="1" sqref="F44:F53" xr:uid="{00000000-0002-0000-0400-000002000000}">
      <formula1>"Pipirelli,Yokomama,Dunnolop,Badyear,Michelini,Bridgerock"</formula1>
      <formula2>0</formula2>
    </dataValidation>
    <dataValidation type="list" operator="equal" allowBlank="1" sqref="D44:D53" xr:uid="{00000000-0002-0000-0400-000003000000}">
      <formula1>"Very high,High,Medium,Low,Very low"</formula1>
      <formula2>0</formula2>
    </dataValidation>
    <dataValidation operator="equal" allowBlank="1" showInputMessage="1" promptTitle="Formula" prompt="(x1 - x2)(x1 - x3)(x2 – x3)" sqref="F7" xr:uid="{00000000-0002-0000-0400-000004000000}">
      <formula1>0</formula1>
      <formula2>0</formula2>
    </dataValidation>
    <dataValidation operator="equal" allowBlank="1" showInputMessage="1" promptTitle="Formula" prompt="(x3 * (y2 - y1) + x2 * (y1 - y3) + x1 * (y3 - y2)) / denom " sqref="F8" xr:uid="{00000000-0002-0000-0400-000005000000}">
      <formula1>0</formula1>
      <formula2>0</formula2>
    </dataValidation>
    <dataValidation operator="equal" allowBlank="1" showInputMessage="1" promptTitle="Formula" prompt="(x3^2 * (y1 - y2) + x2^2 * (y3 - y1) + x1^2 * (y2 - y3)) / denom " sqref="F9" xr:uid="{00000000-0002-0000-0400-000006000000}">
      <formula1>0</formula1>
      <formula2>0</formula2>
    </dataValidation>
    <dataValidation operator="equal" allowBlank="1" showInputMessage="1" promptTitle="Formula" prompt="(x2 * x3 * (x2 - x3) * y1 + x3 * x1 * (x3 - x1) * y2 + x1 * x2 * (x1 - x2) * y3) / denom " sqref="F10" xr:uid="{00000000-0002-0000-0400-000007000000}">
      <formula1>0</formula1>
      <formula2>0</formula2>
    </dataValidation>
    <dataValidation operator="equal" allowBlank="1" showInputMessage="1" promptTitle="Formula" prompt="-B / (2*A)" sqref="F11" xr:uid="{00000000-0002-0000-0400-000008000000}">
      <formula1>0</formula1>
      <formula2>0</formula2>
    </dataValidation>
    <dataValidation operator="equal" allowBlank="1" showInputMessage="1" promptTitle="Formula" prompt="C - B*B / (4*A)" sqref="F12" xr:uid="{00000000-0002-0000-0400-000009000000}">
      <formula1>0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Roman,Navadno"&amp;12&amp;A</oddHeader>
    <oddFooter>&amp;C&amp;"Times New Roman,Navadno"&amp;12Página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"/>
  <sheetViews>
    <sheetView workbookViewId="0"/>
  </sheetViews>
  <sheetFormatPr baseColWidth="10" defaultColWidth="9.109375" defaultRowHeight="13.2" x14ac:dyDescent="0.25"/>
  <cols>
    <col min="1" max="1025" width="8.6640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Setup&amp;WS</vt:lpstr>
      <vt:lpstr>Tyre&amp;Fuel</vt:lpstr>
      <vt:lpstr>Tracks</vt:lpstr>
      <vt:lpstr>Tracks save</vt:lpstr>
      <vt:lpstr>Tables</vt:lpstr>
      <vt:lpstr>ReverseCalc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Joël Becane</cp:lastModifiedBy>
  <cp:revision>0</cp:revision>
  <dcterms:created xsi:type="dcterms:W3CDTF">2013-04-26T10:46:47Z</dcterms:created>
  <dcterms:modified xsi:type="dcterms:W3CDTF">2022-02-13T18:27:30Z</dcterms:modified>
</cp:coreProperties>
</file>