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jects\CNES\Saber\"/>
    </mc:Choice>
  </mc:AlternateContent>
  <bookViews>
    <workbookView xWindow="0" yWindow="0" windowWidth="28800" windowHeight="11400" activeTab="1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Cover_Loss" localSheetId="1">Sheet2!$G$45</definedName>
    <definedName name="EoL">[1]Definition!$B$12</definedName>
    <definedName name="EoL_2">[1]Definition!$B$13</definedName>
    <definedName name="EoL2_date">[1]Definition!$B$15</definedName>
    <definedName name="fluence1">[1]Solar_Cell!$A$23</definedName>
    <definedName name="Global_Loss0_Factor" localSheetId="1">Sheet2!$I$7</definedName>
    <definedName name="Gound_Loss" localSheetId="1">Sheet2!$I$40</definedName>
    <definedName name="idosis1y">Sheet2!$C$71</definedName>
    <definedName name="launch_date">[1]Definition!$B$11</definedName>
    <definedName name="pointing_error" localSheetId="1">Sheet2!$G$50</definedName>
    <definedName name="random_failure" localSheetId="1">Sheet2!$F$50</definedName>
    <definedName name="uvm" localSheetId="1">Sheet2!$E$50</definedName>
    <definedName name="vdosis1y">Sheet2!$B$71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3" l="1"/>
  <c r="B13" i="3"/>
  <c r="C12" i="3"/>
  <c r="C11" i="3"/>
  <c r="C10" i="3"/>
  <c r="C9" i="3"/>
  <c r="C8" i="3"/>
  <c r="C7" i="3"/>
  <c r="C6" i="3"/>
  <c r="C5" i="3"/>
  <c r="C4" i="3"/>
  <c r="C3" i="3"/>
  <c r="B3" i="3"/>
  <c r="C13" i="2"/>
  <c r="D13" i="2" s="1"/>
  <c r="E13" i="2" s="1"/>
  <c r="F13" i="2" s="1"/>
  <c r="C14" i="2"/>
  <c r="C12" i="2"/>
  <c r="D12" i="2" s="1"/>
  <c r="E12" i="2" s="1"/>
  <c r="F12" i="2" s="1"/>
  <c r="C11" i="2"/>
  <c r="D11" i="2" s="1"/>
  <c r="E11" i="2" s="1"/>
  <c r="F11" i="2" s="1"/>
  <c r="D10" i="2"/>
  <c r="E10" i="2" s="1"/>
  <c r="F10" i="2" s="1"/>
  <c r="B10" i="2"/>
  <c r="D9" i="2"/>
  <c r="E9" i="2" s="1"/>
  <c r="F9" i="2" s="1"/>
  <c r="B9" i="2"/>
  <c r="D8" i="2"/>
  <c r="E8" i="2" s="1"/>
  <c r="F8" i="2" s="1"/>
  <c r="B8" i="2"/>
  <c r="D7" i="2"/>
  <c r="E7" i="2" s="1"/>
  <c r="F7" i="2" s="1"/>
  <c r="B7" i="2"/>
  <c r="C15" i="1"/>
  <c r="D15" i="1" s="1"/>
  <c r="B15" i="1"/>
  <c r="C14" i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7" i="1"/>
  <c r="D7" i="1" s="1"/>
  <c r="C6" i="1"/>
  <c r="D6" i="1" s="1"/>
  <c r="C5" i="1"/>
  <c r="D5" i="1" s="1"/>
  <c r="C4" i="1"/>
  <c r="D4" i="1" s="1"/>
  <c r="C3" i="1"/>
  <c r="B3" i="1"/>
  <c r="B12" i="2" l="1"/>
  <c r="B11" i="2"/>
  <c r="B13" i="2"/>
  <c r="G10" i="2"/>
  <c r="H10" i="2"/>
  <c r="G11" i="2"/>
  <c r="H11" i="2"/>
  <c r="G12" i="2"/>
  <c r="H12" i="2"/>
  <c r="H13" i="2"/>
  <c r="I13" i="2" s="1"/>
  <c r="G13" i="2"/>
  <c r="G7" i="2"/>
  <c r="H7" i="2"/>
  <c r="I7" i="2" s="1"/>
  <c r="H9" i="2"/>
  <c r="G9" i="2"/>
  <c r="H8" i="2"/>
  <c r="G8" i="2"/>
  <c r="B14" i="2"/>
  <c r="D14" i="2"/>
  <c r="E14" i="2" s="1"/>
  <c r="F14" i="2" s="1"/>
  <c r="I9" i="2" l="1"/>
  <c r="I12" i="2"/>
  <c r="H14" i="2"/>
  <c r="G14" i="2"/>
  <c r="I11" i="2"/>
  <c r="I10" i="2"/>
  <c r="I8" i="2"/>
  <c r="I14" i="2" l="1"/>
</calcChain>
</file>

<file path=xl/sharedStrings.xml><?xml version="1.0" encoding="utf-8"?>
<sst xmlns="http://schemas.openxmlformats.org/spreadsheetml/2006/main" count="54" uniqueCount="33">
  <si>
    <t>Comment</t>
  </si>
  <si>
    <t>Date</t>
  </si>
  <si>
    <t>years</t>
  </si>
  <si>
    <t>Life Loss (%)</t>
  </si>
  <si>
    <t>Launch</t>
  </si>
  <si>
    <t>3 years</t>
  </si>
  <si>
    <t>eclipse</t>
  </si>
  <si>
    <t>zoom POM</t>
  </si>
  <si>
    <t>OCM4</t>
  </si>
  <si>
    <t>zoom modif VLIMIT</t>
  </si>
  <si>
    <t>modif R2&amp;R1</t>
  </si>
  <si>
    <t>zoom pics VFEMMED</t>
  </si>
  <si>
    <t>EOL 2</t>
  </si>
  <si>
    <t>uvm factor</t>
  </si>
  <si>
    <t>uvm (%)</t>
  </si>
  <si>
    <t>Life Loss Factor</t>
  </si>
  <si>
    <t>Global Loss Factor</t>
  </si>
  <si>
    <t>Global Loss (%)</t>
  </si>
  <si>
    <t>BoL</t>
  </si>
  <si>
    <t>EoL</t>
  </si>
  <si>
    <t>EoL2</t>
  </si>
  <si>
    <t>Launch date</t>
  </si>
  <si>
    <t>Mission Duration (years)</t>
  </si>
  <si>
    <t>Mission  Duration 2 (years)</t>
  </si>
  <si>
    <t>fading recal</t>
  </si>
  <si>
    <t>∆Ri/Ri recal</t>
  </si>
  <si>
    <t>∆Rs/Rs recal</t>
  </si>
  <si>
    <t>∆Rt/Rt recal</t>
  </si>
  <si>
    <t>∆Ct/Ct recal</t>
  </si>
  <si>
    <t>∆Rd/Rd recal</t>
  </si>
  <si>
    <t>∆Cd/Cd recal</t>
  </si>
  <si>
    <t>∆Rw/Rw recal</t>
  </si>
  <si>
    <t>Y+3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</si>
</sst>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/yyyy\ hh:mm:ss"/>
    <numFmt numFmtId="165" formatCode="0.000"/>
    <numFmt numFmtId="166" formatCode="0.0000"/>
    <numFmt numFmtId="167" formatCode="dd/mm/yyyy\ hh:mm:ss;@"/>
  </numFmts>
  <fonts count="5" x14ac:knownFonts="1">
    <font>
      <sz val="11"/>
      <color rgb="FF293A5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293A56"/>
      <name val="Calibri"/>
      <family val="2"/>
      <scheme val="minor"/>
    </font>
    <font>
      <b/>
      <sz val="11"/>
      <color rgb="FF293A56"/>
      <name val="Calibri"/>
      <family val="2"/>
      <scheme val="minor"/>
    </font>
    <font>
      <b/>
      <sz val="14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7931E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949CAA"/>
        <bgColor indexed="64"/>
      </patternFill>
    </fill>
    <fill>
      <patternFill patternType="solid">
        <fgColor rgb="FF293A56"/>
        <bgColor indexed="64"/>
      </patternFill>
    </fill>
    <fill>
      <patternFill patternType="solid">
        <fgColor rgb="FFCC330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double">
        <color indexed="55"/>
      </bottom>
      <diagonal/>
    </border>
  </borders>
  <cellStyleXfs count="5">
    <xf numFmtId="0" fontId="0" fillId="3" borderId="0"/>
    <xf numFmtId="0" fontId="2" fillId="2" borderId="1" applyNumberFormat="0" applyBorder="0">
      <protection locked="0"/>
    </xf>
    <xf numFmtId="0" fontId="1" fillId="5" borderId="4" applyNumberFormat="0" applyBorder="0" applyAlignment="0"/>
    <xf numFmtId="0" fontId="4" fillId="6" borderId="5">
      <alignment horizontal="left" vertical="center"/>
    </xf>
    <xf numFmtId="0" fontId="3" fillId="4" borderId="3" applyNumberFormat="0" applyBorder="0" applyAlignment="0"/>
  </cellStyleXfs>
  <cellXfs count="18">
    <xf numFmtId="0" fontId="0" fillId="3" borderId="0" xfId="0"/>
    <xf numFmtId="0" fontId="0" fillId="3" borderId="0" xfId="0" applyAlignment="1">
      <alignment horizontal="center"/>
    </xf>
    <xf numFmtId="164" fontId="2" fillId="2" borderId="0" xfId="1" applyNumberFormat="1" applyBorder="1" applyAlignment="1">
      <alignment horizontal="center"/>
      <protection locked="0"/>
    </xf>
    <xf numFmtId="164" fontId="0" fillId="3" borderId="0" xfId="0" applyNumberFormat="1"/>
    <xf numFmtId="0" fontId="2" fillId="2" borderId="0" xfId="1" applyBorder="1" applyAlignment="1">
      <alignment horizontal="center"/>
      <protection locked="0"/>
    </xf>
    <xf numFmtId="165" fontId="2" fillId="2" borderId="0" xfId="1" applyNumberFormat="1" applyBorder="1" applyAlignment="1">
      <alignment horizontal="center"/>
      <protection locked="0"/>
    </xf>
    <xf numFmtId="0" fontId="2" fillId="2" borderId="0" xfId="1" applyBorder="1" applyAlignment="1">
      <alignment horizontal="left"/>
      <protection locked="0"/>
    </xf>
    <xf numFmtId="166" fontId="0" fillId="3" borderId="0" xfId="0" applyNumberFormat="1" applyAlignment="1">
      <alignment horizontal="center"/>
    </xf>
    <xf numFmtId="165" fontId="0" fillId="3" borderId="0" xfId="0" applyNumberFormat="1" applyAlignment="1">
      <alignment horizontal="center"/>
    </xf>
    <xf numFmtId="0" fontId="0" fillId="3" borderId="0" xfId="0" applyFill="1"/>
    <xf numFmtId="0" fontId="3" fillId="4" borderId="0" xfId="4" applyBorder="1" applyAlignment="1">
      <alignment horizontal="center" wrapText="1"/>
    </xf>
    <xf numFmtId="0" fontId="0" fillId="3" borderId="0" xfId="0" applyAlignment="1">
      <alignment horizontal="center" wrapText="1"/>
    </xf>
    <xf numFmtId="167" fontId="0" fillId="3" borderId="0" xfId="0" applyNumberFormat="1"/>
    <xf numFmtId="0" fontId="2" fillId="2" borderId="0" xfId="1" applyBorder="1" applyAlignment="1">
      <protection locked="0"/>
    </xf>
    <xf numFmtId="167" fontId="2" fillId="2" borderId="0" xfId="1" applyNumberFormat="1" applyBorder="1" applyAlignment="1">
      <protection locked="0"/>
    </xf>
    <xf numFmtId="164" fontId="2" fillId="2" borderId="2" xfId="1" applyNumberFormat="1" applyBorder="1" applyAlignment="1">
      <alignment horizontal="right"/>
      <protection locked="0"/>
    </xf>
    <xf numFmtId="0" fontId="2" fillId="2" borderId="2" xfId="1" applyBorder="1" applyAlignment="1">
      <alignment horizontal="right"/>
      <protection locked="0"/>
    </xf>
    <xf numFmtId="0" fontId="3" fillId="4" borderId="2" xfId="4" applyBorder="1"/>
  </cellXfs>
  <cellStyles count="5">
    <cellStyle name="IDM edit cell" xfId="1"/>
    <cellStyle name="IDM main header" xfId="2"/>
    <cellStyle name="IDM sheet header" xfId="3"/>
    <cellStyle name="IDM sub header" xfId="4"/>
    <cellStyle name="Normal" xfId="0" builtinId="0" customBuiltin="1"/>
  </cellStyles>
  <dxfs count="23">
    <dxf>
      <alignment horizontal="center" vertical="bottom" textRotation="0" wrapText="0" indent="0" justifyLastLine="0" shrinkToFit="0" readingOrder="0"/>
    </dxf>
    <dxf>
      <numFmt numFmtId="167" formatCode="dd/mm/yyyy\ hh:mm:ss;@"/>
    </dxf>
    <dxf>
      <numFmt numFmtId="167" formatCode="dd/mm/yyyy\ hh:mm:ss;@"/>
    </dxf>
    <dxf>
      <alignment horizontal="center" vertical="bottom" textRotation="0" wrapText="1" indent="0" justifyLastLine="0" shrinkToFit="0" readingOrder="0"/>
    </dxf>
    <dxf>
      <numFmt numFmtId="165" formatCode="0.000"/>
      <alignment horizontal="center" vertical="bottom" textRotation="0" wrapText="0" indent="0" justifyLastLine="0" shrinkToFit="0" readingOrder="0"/>
    </dxf>
    <dxf>
      <numFmt numFmtId="166" formatCode="0.00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dd/mm/yyyy\ hh:mm:ss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0"/>
    </dxf>
    <dxf>
      <numFmt numFmtId="164" formatCode="dd/mm/yyyy\ hh:mm:ss"/>
      <alignment horizontal="center" vertical="bottom" textRotation="0" wrapText="0" indent="0" justifyLastLine="0" shrinkToFit="0" readingOrder="0"/>
    </dxf>
    <dxf>
      <numFmt numFmtId="164" formatCode="dd/mm/yyyy\ hh:mm:ss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color rgb="FF293A56"/>
      </font>
      <fill>
        <patternFill>
          <bgColor rgb="FF949CAA"/>
        </patternFill>
      </fill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thin">
          <color theme="0"/>
        </vertical>
        <horizontal style="thin">
          <color theme="0"/>
        </horizontal>
      </border>
    </dxf>
    <dxf>
      <font>
        <color rgb="FF293A56"/>
      </font>
      <fill>
        <patternFill>
          <bgColor rgb="FFEAEAEA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IDM-Style table" pivot="0" count="2">
      <tableStyleElement type="wholeTable" dxfId="22"/>
      <tableStyleElement type="headerRow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ds_smos_v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data"/>
      <sheetName val="Definition"/>
      <sheetName val="Solar_Cell"/>
      <sheetName val="Solar_Array"/>
      <sheetName val="Flows"/>
      <sheetName val="SA_Therm"/>
      <sheetName val="Regulator"/>
      <sheetName val="Bat_Cell"/>
      <sheetName val="Battery"/>
      <sheetName val="Psat"/>
      <sheetName val="Harness"/>
      <sheetName val="Margins"/>
      <sheetName val="Ground_monitoring"/>
      <sheetName val="FDIR"/>
      <sheetName val="DR"/>
    </sheetNames>
    <sheetDataSet>
      <sheetData sheetId="0"/>
      <sheetData sheetId="1">
        <row r="11">
          <cell r="B11">
            <v>40119</v>
          </cell>
        </row>
        <row r="12">
          <cell r="B12">
            <v>10</v>
          </cell>
        </row>
        <row r="13">
          <cell r="B13">
            <v>13</v>
          </cell>
        </row>
        <row r="15">
          <cell r="B15">
            <v>44867</v>
          </cell>
        </row>
      </sheetData>
      <sheetData sheetId="2">
        <row r="23">
          <cell r="A23">
            <v>100000000000000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ables/table1.xml><?xml version="1.0" encoding="utf-8"?>
<table xmlns="http://schemas.openxmlformats.org/spreadsheetml/2006/main" id="2" name="SA_Life_Loss_recal" displayName="SA_Life_Loss_recal" ref="A2:D15" totalsRowShown="0" headerRowDxfId="20" dataDxfId="19" dataCellStyle="IDM edit cell">
  <tableColumns count="4">
    <tableColumn id="5" name="Comment" dataDxfId="18" dataCellStyle="IDM edit cell"/>
    <tableColumn id="1" name="Date" dataDxfId="17" dataCellStyle="IDM edit cell"/>
    <tableColumn id="2" name="years" dataDxfId="16" dataCellStyle="IDM edit cell">
      <calculatedColumnFormula>YEARFRAC(launch_date,SA_Life_Loss_recal[[#This Row],[Date]])</calculatedColumnFormula>
    </tableColumn>
    <tableColumn id="3" name="Life Loss (%)" dataDxfId="15" dataCellStyle="IDM edit cell"/>
  </tableColumns>
  <tableStyleInfo name="IDM-Style table" showFirstColumn="0" showLastColumn="0" showRowStripes="1" showColumnStripes="0"/>
</table>
</file>

<file path=xl/tables/table2.xml><?xml version="1.0" encoding="utf-8"?>
<table xmlns="http://schemas.openxmlformats.org/spreadsheetml/2006/main" id="3" name="SA_Global_Loss" displayName="SA_Global_Loss" ref="A6:I14" totalsRowShown="0" headerRowDxfId="14" dataDxfId="13">
  <tableColumns count="9">
    <tableColumn id="1" name="Comment" dataDxfId="12" dataCellStyle="IDM edit cell"/>
    <tableColumn id="11" name="Date" dataDxfId="11" dataCellStyle="Normal">
      <calculatedColumnFormula>DATE(YEAR(launch_date)+SA_Global_Loss[[#This Row],[years]],MONTH(launch_date),DAY(launch_date))</calculatedColumnFormula>
    </tableColumn>
    <tableColumn id="2" name="years" dataDxfId="10" dataCellStyle="IDM edit cell">
      <calculatedColumnFormula>#REF!</calculatedColumnFormula>
    </tableColumn>
    <tableColumn id="3" name="uvm factor" dataDxfId="9">
      <calculatedColumnFormula>(1+C7*uvm/100)</calculatedColumnFormula>
    </tableColumn>
    <tableColumn id="4" name="uvm (%)" dataDxfId="8">
      <calculatedColumnFormula>(SA_Global_Loss[[#This Row],[uvm factor]]-1)*100</calculatedColumnFormula>
    </tableColumn>
    <tableColumn id="5" name="Life Loss (%)" dataDxfId="7">
      <calculatedColumnFormula>SA_Global_Loss[[#This Row],[uvm (%)]]+random_failure+pointing_error</calculatedColumnFormula>
    </tableColumn>
    <tableColumn id="6" name="Life Loss Factor" dataDxfId="6">
      <calculatedColumnFormula>1+SA_Global_Loss[[#This Row],[Life Loss (%)]]/100</calculatedColumnFormula>
    </tableColumn>
    <tableColumn id="7" name="Global Loss Factor" dataDxfId="5">
      <calculatedColumnFormula>1-(ABS(Cover_Loss)+SQRT(Gound_Loss^2+SA_Global_Loss[[#This Row],[Life Loss (%)]]^2))/100</calculatedColumnFormula>
    </tableColumn>
    <tableColumn id="8" name="Global Loss (%)" dataDxfId="4">
      <calculatedColumnFormula>(H7-1)*100</calculatedColumnFormula>
    </tableColumn>
  </tableColumns>
  <tableStyleInfo name="IDM-Style table" showFirstColumn="0" showLastColumn="0" showRowStripes="1" showColumnStripes="0"/>
</table>
</file>

<file path=xl/tables/table3.xml><?xml version="1.0" encoding="utf-8"?>
<table xmlns="http://schemas.openxmlformats.org/spreadsheetml/2006/main" id="4" name="bat_ageing_recal" displayName="bat_ageing_recal" ref="A2:K13" totalsRowShown="0" headerRowDxfId="3">
  <tableColumns count="11">
    <tableColumn id="9" name="Comment" dataDxfId="2"/>
    <tableColumn id="11" name="Date" dataDxfId="1"/>
    <tableColumn id="8" name="years" dataDxfId="0">
      <calculatedColumnFormula>YEARFRAC(launch_date,bat_ageing_recal[[#This Row],[Date]])</calculatedColumnFormula>
    </tableColumn>
    <tableColumn id="2" name="fading recal"/>
    <tableColumn id="3" name="∆Ri/Ri recal"/>
    <tableColumn id="4" name="∆Rs/Rs recal"/>
    <tableColumn id="5" name="∆Rt/Rt recal"/>
    <tableColumn id="7" name="∆Ct/Ct recal"/>
    <tableColumn id="6" name="∆Rd/Rd recal"/>
    <tableColumn id="1" name="∆Cd/Cd recal"/>
    <tableColumn id="10" name="∆Rw/Rw recal"/>
  </tableColumns>
  <tableStyleInfo name="IDM-Style table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activeCell="C4" sqref="C4"/>
    </sheetView>
  </sheetViews>
  <sheetFormatPr defaultRowHeight="15" x14ac:dyDescent="0.25"/>
  <cols>
    <col min="1" max="1" width="15.42578125" customWidth="1"/>
    <col min="2" max="2" width="19.42578125" customWidth="1"/>
    <col min="4" max="4" width="18" customWidth="1"/>
  </cols>
  <sheetData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2" t="s">
        <v>4</v>
      </c>
      <c r="B3" s="3">
        <f>launch_date</f>
        <v>40119</v>
      </c>
      <c r="C3" s="1">
        <f>YEARFRAC(launch_date,SA_Life_Loss_recal[[#This Row],[Date]])</f>
        <v>0</v>
      </c>
      <c r="D3" s="4">
        <v>0</v>
      </c>
    </row>
    <row r="4" spans="1:4" x14ac:dyDescent="0.25">
      <c r="A4" s="2" t="s">
        <v>5</v>
      </c>
      <c r="B4" s="2">
        <v>41279</v>
      </c>
      <c r="C4" s="1">
        <f>YEARFRAC(launch_date,SA_Life_Loss_recal[[#This Row],[Date]])</f>
        <v>3.1749999999999998</v>
      </c>
      <c r="D4" s="5">
        <f>-SA_Life_Loss_recal[[#This Row],[years]]*0.1</f>
        <v>-0.3175</v>
      </c>
    </row>
    <row r="5" spans="1:4" x14ac:dyDescent="0.25">
      <c r="A5" s="2" t="s">
        <v>6</v>
      </c>
      <c r="B5" s="2">
        <v>42083</v>
      </c>
      <c r="C5" s="1">
        <f>YEARFRAC(launch_date,SA_Life_Loss_recal[[#This Row],[Date]])</f>
        <v>5.3833333333333337</v>
      </c>
      <c r="D5" s="5">
        <f>-SA_Life_Loss_recal[[#This Row],[years]]*0.1</f>
        <v>-0.53833333333333344</v>
      </c>
    </row>
    <row r="6" spans="1:4" x14ac:dyDescent="0.25">
      <c r="A6" s="2" t="s">
        <v>6</v>
      </c>
      <c r="B6" s="2">
        <v>42614</v>
      </c>
      <c r="C6" s="1">
        <f>YEARFRAC(launch_date,SA_Life_Loss_recal[[#This Row],[Date]])</f>
        <v>6.8305555555555557</v>
      </c>
      <c r="D6" s="5">
        <f>-SA_Life_Loss_recal[[#This Row],[years]]*0.1</f>
        <v>-0.68305555555555564</v>
      </c>
    </row>
    <row r="7" spans="1:4" x14ac:dyDescent="0.25">
      <c r="A7" s="2" t="s">
        <v>7</v>
      </c>
      <c r="B7" s="2">
        <v>43785</v>
      </c>
      <c r="C7" s="1">
        <f>YEARFRAC(launch_date,SA_Life_Loss_recal[[#This Row],[Date]])</f>
        <v>10.03888888888889</v>
      </c>
      <c r="D7" s="5">
        <f>-SA_Life_Loss_recal[[#This Row],[years]]*0.1</f>
        <v>-1.0038888888888891</v>
      </c>
    </row>
    <row r="8" spans="1:4" x14ac:dyDescent="0.25">
      <c r="A8" s="2" t="s">
        <v>7</v>
      </c>
      <c r="B8" s="2">
        <v>43967</v>
      </c>
      <c r="C8" s="1">
        <f>YEARFRAC(launch_date,SA_Life_Loss_recal[[#This Row],[Date]])</f>
        <v>10.53888888888889</v>
      </c>
      <c r="D8" s="5">
        <f>-SA_Life_Loss_recal[[#This Row],[years]]*0.1</f>
        <v>-1.0538888888888891</v>
      </c>
    </row>
    <row r="9" spans="1:4" x14ac:dyDescent="0.25">
      <c r="A9" s="2" t="s">
        <v>8</v>
      </c>
      <c r="B9" s="2">
        <v>44084</v>
      </c>
      <c r="C9" s="1">
        <f>YEARFRAC(launch_date,SA_Life_Loss_recal[[#This Row],[Date]])</f>
        <v>10.855555555555556</v>
      </c>
      <c r="D9" s="5">
        <f>-SA_Life_Loss_recal[[#This Row],[years]]*0.1</f>
        <v>-1.0855555555555556</v>
      </c>
    </row>
    <row r="10" spans="1:4" x14ac:dyDescent="0.25">
      <c r="A10" s="2" t="s">
        <v>9</v>
      </c>
      <c r="B10" s="2">
        <v>44153</v>
      </c>
      <c r="C10" s="1">
        <f>YEARFRAC(launch_date,SA_Life_Loss_recal[[#This Row],[Date]])</f>
        <v>11.044444444444444</v>
      </c>
      <c r="D10" s="5">
        <f>-SA_Life_Loss_recal[[#This Row],[years]]*0.1</f>
        <v>-1.1044444444444446</v>
      </c>
    </row>
    <row r="11" spans="1:4" x14ac:dyDescent="0.25">
      <c r="A11" s="2" t="s">
        <v>10</v>
      </c>
      <c r="B11" s="2">
        <v>44182</v>
      </c>
      <c r="C11" s="1">
        <f>YEARFRAC(launch_date,SA_Life_Loss_recal[[#This Row],[Date]])</f>
        <v>11.125</v>
      </c>
      <c r="D11" s="5">
        <f>-SA_Life_Loss_recal[[#This Row],[years]]*0.1</f>
        <v>-1.1125</v>
      </c>
    </row>
    <row r="12" spans="1:4" x14ac:dyDescent="0.25">
      <c r="A12" s="2" t="s">
        <v>11</v>
      </c>
      <c r="B12" s="2">
        <v>44202</v>
      </c>
      <c r="C12" s="1">
        <f>YEARFRAC(launch_date,SA_Life_Loss_recal[[#This Row],[Date]])</f>
        <v>11.177777777777777</v>
      </c>
      <c r="D12" s="5">
        <f>-SA_Life_Loss_recal[[#This Row],[years]]*0.1</f>
        <v>-1.1177777777777778</v>
      </c>
    </row>
    <row r="13" spans="1:4" x14ac:dyDescent="0.25">
      <c r="A13" s="2" t="s">
        <v>7</v>
      </c>
      <c r="B13" s="2">
        <v>44330</v>
      </c>
      <c r="C13" s="1">
        <f>YEARFRAC(launch_date,SA_Life_Loss_recal[[#This Row],[Date]])</f>
        <v>11.533333333333333</v>
      </c>
      <c r="D13" s="5">
        <f>-SA_Life_Loss_recal[[#This Row],[years]]*0.1</f>
        <v>-1.1533333333333333</v>
      </c>
    </row>
    <row r="14" spans="1:4" x14ac:dyDescent="0.25">
      <c r="A14" s="2" t="s">
        <v>6</v>
      </c>
      <c r="B14" s="2">
        <v>44357</v>
      </c>
      <c r="C14" s="1">
        <f>YEARFRAC(launch_date,SA_Life_Loss_recal[[#This Row],[Date]])</f>
        <v>11.605555555555556</v>
      </c>
      <c r="D14" s="5">
        <f>-SA_Life_Loss_recal[[#This Row],[years]]*0.1</f>
        <v>-1.1605555555555556</v>
      </c>
    </row>
    <row r="15" spans="1:4" x14ac:dyDescent="0.25">
      <c r="A15" s="2" t="s">
        <v>12</v>
      </c>
      <c r="B15" s="3">
        <f>EoL2_date</f>
        <v>44867</v>
      </c>
      <c r="C15" s="1">
        <f>YEARFRAC(launch_date,SA_Life_Loss_recal[[#This Row],[Date]])</f>
        <v>13</v>
      </c>
      <c r="D15" s="5">
        <f>-SA_Life_Loss_recal[[#This Row],[years]]*0.1</f>
        <v>-1.3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tabSelected="1" workbookViewId="0"/>
  </sheetViews>
  <sheetFormatPr defaultRowHeight="15" x14ac:dyDescent="0.25"/>
  <cols>
    <col min="1" max="1" width="31.42578125" customWidth="1"/>
    <col min="2" max="2" width="18.5703125" bestFit="1" customWidth="1"/>
    <col min="3" max="3" width="7.7109375" bestFit="1" customWidth="1"/>
    <col min="4" max="4" width="10.42578125" bestFit="1" customWidth="1"/>
    <col min="5" max="5" width="8.28515625" bestFit="1" customWidth="1"/>
    <col min="6" max="6" width="11.85546875" bestFit="1" customWidth="1"/>
    <col min="7" max="7" width="14.42578125" bestFit="1" customWidth="1"/>
    <col min="8" max="8" width="17" bestFit="1" customWidth="1"/>
    <col min="9" max="9" width="14.5703125" bestFit="1" customWidth="1"/>
    <col min="10" max="10" width="13.28515625" bestFit="1" customWidth="1"/>
    <col min="11" max="11" width="10.7109375" bestFit="1" customWidth="1"/>
  </cols>
  <sheetData>
    <row r="2" spans="1:9" s="9" customFormat="1" x14ac:dyDescent="0.25">
      <c r="A2" s="17" t="s">
        <v>21</v>
      </c>
      <c r="B2" s="15">
        <v>40119</v>
      </c>
    </row>
    <row r="3" spans="1:9" s="9" customFormat="1" x14ac:dyDescent="0.25">
      <c r="A3" s="17" t="s">
        <v>22</v>
      </c>
      <c r="B3" s="16">
        <v>10</v>
      </c>
    </row>
    <row r="4" spans="1:9" s="9" customFormat="1" x14ac:dyDescent="0.25">
      <c r="A4" s="17" t="s">
        <v>23</v>
      </c>
      <c r="B4" s="16">
        <v>13</v>
      </c>
    </row>
    <row r="6" spans="1:9" x14ac:dyDescent="0.25">
      <c r="A6" s="1" t="s">
        <v>0</v>
      </c>
      <c r="B6" s="1" t="s">
        <v>1</v>
      </c>
      <c r="C6" s="1" t="s">
        <v>2</v>
      </c>
      <c r="D6" s="1" t="s">
        <v>13</v>
      </c>
      <c r="E6" s="1" t="s">
        <v>14</v>
      </c>
      <c r="F6" s="1" t="s">
        <v>3</v>
      </c>
      <c r="G6" s="1" t="s">
        <v>15</v>
      </c>
      <c r="H6" s="1" t="s">
        <v>16</v>
      </c>
      <c r="I6" s="1" t="s">
        <v>17</v>
      </c>
    </row>
    <row r="7" spans="1:9" x14ac:dyDescent="0.25">
      <c r="A7" s="6" t="s">
        <v>18</v>
      </c>
      <c r="B7" s="3">
        <f>DATE(YEAR(launch_date)+SA_Global_Loss[[#This Row],[years]],MONTH(launch_date),DAY(launch_date))</f>
        <v>40119</v>
      </c>
      <c r="C7" s="1">
        <v>0</v>
      </c>
      <c r="D7" s="1">
        <f>(1+SA_Global_Loss[[#This Row],[years]]*uvm/100)</f>
        <v>1</v>
      </c>
      <c r="E7" s="1">
        <f>(SA_Global_Loss[[#This Row],[uvm factor]]-1)*100</f>
        <v>0</v>
      </c>
      <c r="F7" s="1">
        <f>SA_Global_Loss[[#This Row],[uvm (%)]]+random_failure+pointing_error</f>
        <v>0</v>
      </c>
      <c r="G7" s="1">
        <f>1+SA_Global_Loss[[#This Row],[Life Loss (%)]]/100</f>
        <v>1</v>
      </c>
      <c r="H7" s="7">
        <f>1-(ABS(Cover_Loss)+SQRT(Gound_Loss^2+SA_Global_Loss[[#This Row],[Life Loss (%)]]^2))/100</f>
        <v>1</v>
      </c>
      <c r="I7" s="8">
        <f t="shared" ref="I7:I14" si="0">(H7-1)*100</f>
        <v>0</v>
      </c>
    </row>
    <row r="8" spans="1:9" x14ac:dyDescent="0.25">
      <c r="A8" s="6"/>
      <c r="B8" s="3">
        <f>DATE(YEAR(launch_date)+SA_Global_Loss[[#This Row],[years]],MONTH(launch_date),DAY(launch_date))</f>
        <v>40849</v>
      </c>
      <c r="C8" s="4">
        <v>2</v>
      </c>
      <c r="D8" s="8">
        <f>(1+SA_Global_Loss[[#This Row],[years]]*uvm/100)</f>
        <v>1</v>
      </c>
      <c r="E8" s="8">
        <f>(SA_Global_Loss[[#This Row],[uvm factor]]-1)*100</f>
        <v>0</v>
      </c>
      <c r="F8" s="8">
        <f>SA_Global_Loss[[#This Row],[uvm (%)]]+random_failure+pointing_error</f>
        <v>0</v>
      </c>
      <c r="G8" s="8">
        <f>1+SA_Global_Loss[[#This Row],[Life Loss (%)]]/100</f>
        <v>1</v>
      </c>
      <c r="H8" s="7">
        <f>1-(ABS(Cover_Loss)+SQRT(Gound_Loss^2+SA_Global_Loss[[#This Row],[Life Loss (%)]]^2))/100</f>
        <v>1</v>
      </c>
      <c r="I8" s="8">
        <f t="shared" si="0"/>
        <v>0</v>
      </c>
    </row>
    <row r="9" spans="1:9" x14ac:dyDescent="0.25">
      <c r="A9" s="6"/>
      <c r="B9" s="3">
        <f>DATE(YEAR(launch_date)+SA_Global_Loss[[#This Row],[years]],MONTH(launch_date),DAY(launch_date))</f>
        <v>41580</v>
      </c>
      <c r="C9" s="4">
        <v>4</v>
      </c>
      <c r="D9" s="8">
        <f>(1+SA_Global_Loss[[#This Row],[years]]*uvm/100)</f>
        <v>1</v>
      </c>
      <c r="E9" s="8">
        <f>(SA_Global_Loss[[#This Row],[uvm factor]]-1)*100</f>
        <v>0</v>
      </c>
      <c r="F9" s="8">
        <f>SA_Global_Loss[[#This Row],[uvm (%)]]+random_failure+pointing_error</f>
        <v>0</v>
      </c>
      <c r="G9" s="8">
        <f>1+SA_Global_Loss[[#This Row],[Life Loss (%)]]/100</f>
        <v>1</v>
      </c>
      <c r="H9" s="7">
        <f>1-(ABS(Cover_Loss)+SQRT(Gound_Loss^2+SA_Global_Loss[[#This Row],[Life Loss (%)]]^2))/100</f>
        <v>1</v>
      </c>
      <c r="I9" s="8">
        <f t="shared" si="0"/>
        <v>0</v>
      </c>
    </row>
    <row r="10" spans="1:9" x14ac:dyDescent="0.25">
      <c r="A10" s="6"/>
      <c r="B10" s="3">
        <f>DATE(YEAR(launch_date)+SA_Global_Loss[[#This Row],[years]],MONTH(launch_date),DAY(launch_date))</f>
        <v>41945</v>
      </c>
      <c r="C10" s="4">
        <v>5</v>
      </c>
      <c r="D10" s="8">
        <f>(1+SA_Global_Loss[[#This Row],[years]]*uvm/100)</f>
        <v>1</v>
      </c>
      <c r="E10" s="8">
        <f>(SA_Global_Loss[[#This Row],[uvm factor]]-1)*100</f>
        <v>0</v>
      </c>
      <c r="F10" s="8">
        <f>SA_Global_Loss[[#This Row],[uvm (%)]]+random_failure+pointing_error</f>
        <v>0</v>
      </c>
      <c r="G10" s="8">
        <f>1+SA_Global_Loss[[#This Row],[Life Loss (%)]]/100</f>
        <v>1</v>
      </c>
      <c r="H10" s="7">
        <f>1-(ABS(Cover_Loss)+SQRT(Gound_Loss^2+SA_Global_Loss[[#This Row],[Life Loss (%)]]^2))/100</f>
        <v>1</v>
      </c>
      <c r="I10" s="8">
        <f t="shared" si="0"/>
        <v>0</v>
      </c>
    </row>
    <row r="11" spans="1:9" x14ac:dyDescent="0.25">
      <c r="A11" s="6" t="s">
        <v>19</v>
      </c>
      <c r="B11" s="3">
        <f>DATE(YEAR(launch_date)+SA_Global_Loss[[#This Row],[years]],MONTH(launch_date),DAY(launch_date))</f>
        <v>43771</v>
      </c>
      <c r="C11" s="4">
        <f>EoL</f>
        <v>10</v>
      </c>
      <c r="D11" s="8">
        <f>(1+SA_Global_Loss[[#This Row],[years]]*uvm/100)</f>
        <v>1</v>
      </c>
      <c r="E11" s="8">
        <f>(SA_Global_Loss[[#This Row],[uvm factor]]-1)*100</f>
        <v>0</v>
      </c>
      <c r="F11" s="8">
        <f>SA_Global_Loss[[#This Row],[uvm (%)]]+random_failure+pointing_error</f>
        <v>0</v>
      </c>
      <c r="G11" s="8">
        <f>1+SA_Global_Loss[[#This Row],[Life Loss (%)]]/100</f>
        <v>1</v>
      </c>
      <c r="H11" s="7">
        <f>1-(ABS(Cover_Loss)+SQRT(Gound_Loss^2+SA_Global_Loss[[#This Row],[Life Loss (%)]]^2))/100</f>
        <v>1</v>
      </c>
      <c r="I11" s="8">
        <f t="shared" si="0"/>
        <v>0</v>
      </c>
    </row>
    <row r="12" spans="1:9" x14ac:dyDescent="0.25">
      <c r="A12" s="6" t="s">
        <v>20</v>
      </c>
      <c r="B12" s="3">
        <f>DATE(YEAR(launch_date)+SA_Global_Loss[[#This Row],[years]],MONTH(launch_date),DAY(launch_date))</f>
        <v>44867</v>
      </c>
      <c r="C12" s="1">
        <f>EoL_2</f>
        <v>13</v>
      </c>
      <c r="D12" s="8">
        <f>(1+C12*uvm/100)</f>
        <v>1</v>
      </c>
      <c r="E12" s="8">
        <f>(SA_Global_Loss[[#This Row],[uvm factor]]-1)*100</f>
        <v>0</v>
      </c>
      <c r="F12" s="8">
        <f>SA_Global_Loss[[#This Row],[uvm (%)]]+random_failure+pointing_error</f>
        <v>0</v>
      </c>
      <c r="G12" s="8">
        <f>1+SA_Global_Loss[[#This Row],[Life Loss (%)]]/100</f>
        <v>1</v>
      </c>
      <c r="H12" s="7">
        <f>1-(ABS(Cover_Loss)+SQRT(Gound_Loss^2+SA_Global_Loss[[#This Row],[Life Loss (%)]]^2))/100</f>
        <v>1</v>
      </c>
      <c r="I12" s="8">
        <f>(H12-1)*100</f>
        <v>0</v>
      </c>
    </row>
    <row r="13" spans="1:9" x14ac:dyDescent="0.25">
      <c r="A13" s="6"/>
      <c r="B13" s="3">
        <f>DATE(YEAR(launch_date)+SA_Global_Loss[[#This Row],[years]],MONTH(launch_date),DAY(launch_date))</f>
        <v>41215</v>
      </c>
      <c r="C13" s="1">
        <f>100000000000000/26700000000000</f>
        <v>3.7453183520599249</v>
      </c>
      <c r="D13" s="8">
        <f>(1+C13*uvm/100)</f>
        <v>1</v>
      </c>
      <c r="E13" s="8">
        <f>(SA_Global_Loss[[#This Row],[uvm factor]]-1)*100</f>
        <v>0</v>
      </c>
      <c r="F13" s="8">
        <f>SA_Global_Loss[[#This Row],[uvm (%)]]+random_failure+pointing_error</f>
        <v>0</v>
      </c>
      <c r="G13" s="8">
        <f>1+SA_Global_Loss[[#This Row],[Life Loss (%)]]/100</f>
        <v>1</v>
      </c>
      <c r="H13" s="7">
        <f>1-(ABS(Cover_Loss)+SQRT(Gound_Loss^2+SA_Global_Loss[[#This Row],[Life Loss (%)]]^2))/100</f>
        <v>1</v>
      </c>
      <c r="I13" s="8">
        <f>(H13-1)*100</f>
        <v>0</v>
      </c>
    </row>
    <row r="14" spans="1:9" x14ac:dyDescent="0.25">
      <c r="A14" s="6"/>
      <c r="B14" s="3">
        <f>DATE(YEAR(launch_date)+SA_Global_Loss[[#This Row],[years]],MONTH(launch_date),DAY(launch_date))</f>
        <v>41215</v>
      </c>
      <c r="C14" s="1">
        <f>100000000000000/26700000000000</f>
        <v>3.7453183520599249</v>
      </c>
      <c r="D14" s="8">
        <f>(1+SA_Global_Loss[[#This Row],[years]]*uvm/100)</f>
        <v>1</v>
      </c>
      <c r="E14" s="8">
        <f>(SA_Global_Loss[[#This Row],[uvm factor]]-1)*100</f>
        <v>0</v>
      </c>
      <c r="F14" s="8">
        <f>SA_Global_Loss[[#This Row],[uvm (%)]]+random_failure+pointing_error</f>
        <v>0</v>
      </c>
      <c r="G14" s="8">
        <f>1+SA_Global_Loss[[#This Row],[Life Loss (%)]]/100</f>
        <v>1</v>
      </c>
      <c r="H14" s="7">
        <f>1-(ABS(Cover_Loss)+SQRT(Gound_Loss^2+SA_Global_Loss[[#This Row],[Life Loss (%)]]^2))/100</f>
        <v>1</v>
      </c>
      <c r="I14" s="8">
        <f t="shared" si="0"/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workbookViewId="0">
      <selection activeCell="N20" sqref="N20"/>
    </sheetView>
  </sheetViews>
  <sheetFormatPr defaultRowHeight="15" x14ac:dyDescent="0.25"/>
  <cols>
    <col min="1" max="1" width="11.140625" customWidth="1"/>
    <col min="2" max="2" width="18.5703125" bestFit="1" customWidth="1"/>
  </cols>
  <sheetData>
    <row r="2" spans="1:11" ht="30" x14ac:dyDescent="0.25">
      <c r="A2" s="10" t="s">
        <v>0</v>
      </c>
      <c r="B2" s="11" t="s">
        <v>1</v>
      </c>
      <c r="C2" s="11" t="s">
        <v>2</v>
      </c>
      <c r="D2" s="11" t="s">
        <v>24</v>
      </c>
      <c r="E2" s="11" t="s">
        <v>25</v>
      </c>
      <c r="F2" s="11" t="s">
        <v>26</v>
      </c>
      <c r="G2" s="11" t="s">
        <v>27</v>
      </c>
      <c r="H2" s="11" t="s">
        <v>28</v>
      </c>
      <c r="I2" s="11" t="s">
        <v>29</v>
      </c>
      <c r="J2" s="11" t="s">
        <v>30</v>
      </c>
      <c r="K2" s="11" t="s">
        <v>31</v>
      </c>
    </row>
    <row r="3" spans="1:11" x14ac:dyDescent="0.25">
      <c r="A3" t="s">
        <v>4</v>
      </c>
      <c r="B3" s="12">
        <f>launch_date</f>
        <v>40119</v>
      </c>
      <c r="C3">
        <f>YEARFRAC(launch_date,bat_ageing_recal[[#This Row],[Date]])</f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 x14ac:dyDescent="0.25">
      <c r="A4" s="13" t="s">
        <v>32</v>
      </c>
      <c r="B4" s="14">
        <v>41279</v>
      </c>
      <c r="C4" s="8">
        <f>YEARFRAC(launch_date,bat_ageing_recal[[#This Row],[Date]])</f>
        <v>3.1749999999999998</v>
      </c>
      <c r="D4" s="13">
        <v>5.3</v>
      </c>
      <c r="E4" s="13">
        <v>43</v>
      </c>
      <c r="F4" s="13">
        <v>43</v>
      </c>
      <c r="G4" s="13">
        <v>47.300000000000004</v>
      </c>
      <c r="H4" s="13">
        <v>47.300000000000004</v>
      </c>
      <c r="I4" s="13">
        <v>51.6</v>
      </c>
      <c r="J4" s="13">
        <v>51.6</v>
      </c>
      <c r="K4" s="13">
        <v>43</v>
      </c>
    </row>
    <row r="5" spans="1:11" x14ac:dyDescent="0.25">
      <c r="A5" s="13" t="s">
        <v>7</v>
      </c>
      <c r="B5" s="14">
        <v>43785</v>
      </c>
      <c r="C5" s="8">
        <f>YEARFRAC(launch_date,bat_ageing_recal[[#This Row],[Date]])</f>
        <v>10.03888888888889</v>
      </c>
      <c r="D5" s="13">
        <v>16.7</v>
      </c>
      <c r="E5" s="13">
        <v>137</v>
      </c>
      <c r="F5" s="13">
        <v>137</v>
      </c>
      <c r="G5" s="13">
        <v>150.70000000000002</v>
      </c>
      <c r="H5" s="13">
        <v>150.70000000000002</v>
      </c>
      <c r="I5" s="13">
        <v>164.4</v>
      </c>
      <c r="J5" s="13">
        <v>164.4</v>
      </c>
      <c r="K5" s="13">
        <v>137</v>
      </c>
    </row>
    <row r="6" spans="1:11" x14ac:dyDescent="0.25">
      <c r="A6" s="13" t="s">
        <v>7</v>
      </c>
      <c r="B6" s="14">
        <v>43967</v>
      </c>
      <c r="C6" s="8">
        <f>YEARFRAC(launch_date,bat_ageing_recal[[#This Row],[Date]])</f>
        <v>10.53888888888889</v>
      </c>
      <c r="D6" s="13">
        <v>17.5</v>
      </c>
      <c r="E6" s="13">
        <v>144</v>
      </c>
      <c r="F6" s="13">
        <v>144</v>
      </c>
      <c r="G6" s="13">
        <v>158.4</v>
      </c>
      <c r="H6" s="13">
        <v>158.4</v>
      </c>
      <c r="I6" s="13">
        <v>172.79999999999998</v>
      </c>
      <c r="J6" s="13">
        <v>172.79999999999998</v>
      </c>
      <c r="K6" s="13">
        <v>144</v>
      </c>
    </row>
    <row r="7" spans="1:11" x14ac:dyDescent="0.25">
      <c r="A7" s="13" t="s">
        <v>8</v>
      </c>
      <c r="B7" s="14">
        <v>44084</v>
      </c>
      <c r="C7" s="8">
        <f>YEARFRAC(launch_date,bat_ageing_recal[[#This Row],[Date]])</f>
        <v>10.855555555555556</v>
      </c>
      <c r="D7" s="13">
        <v>18.100000000000001</v>
      </c>
      <c r="E7" s="13">
        <v>149</v>
      </c>
      <c r="F7" s="13">
        <v>149</v>
      </c>
      <c r="G7" s="13">
        <v>163.9</v>
      </c>
      <c r="H7" s="13">
        <v>163.9</v>
      </c>
      <c r="I7" s="13">
        <v>178.79999999999998</v>
      </c>
      <c r="J7" s="13">
        <v>178.79999999999998</v>
      </c>
      <c r="K7" s="13">
        <v>149</v>
      </c>
    </row>
    <row r="8" spans="1:11" x14ac:dyDescent="0.25">
      <c r="A8" s="13" t="s">
        <v>9</v>
      </c>
      <c r="B8" s="14">
        <v>44153</v>
      </c>
      <c r="C8" s="8">
        <f>YEARFRAC(launch_date,bat_ageing_recal[[#This Row],[Date]])</f>
        <v>11.044444444444444</v>
      </c>
      <c r="D8" s="13">
        <v>18.3</v>
      </c>
      <c r="E8" s="13">
        <v>151</v>
      </c>
      <c r="F8" s="13">
        <v>151</v>
      </c>
      <c r="G8" s="13">
        <v>166.10000000000002</v>
      </c>
      <c r="H8" s="13">
        <v>166.10000000000002</v>
      </c>
      <c r="I8" s="13">
        <v>181.2</v>
      </c>
      <c r="J8" s="13">
        <v>181.2</v>
      </c>
      <c r="K8" s="13">
        <v>151</v>
      </c>
    </row>
    <row r="9" spans="1:11" x14ac:dyDescent="0.25">
      <c r="A9" s="13" t="s">
        <v>10</v>
      </c>
      <c r="B9" s="14">
        <v>44182</v>
      </c>
      <c r="C9" s="8">
        <f>YEARFRAC(launch_date,bat_ageing_recal[[#This Row],[Date]])</f>
        <v>11.125</v>
      </c>
      <c r="D9" s="13">
        <v>18.5</v>
      </c>
      <c r="E9" s="13">
        <v>152</v>
      </c>
      <c r="F9" s="13">
        <v>152</v>
      </c>
      <c r="G9" s="13">
        <v>167.20000000000002</v>
      </c>
      <c r="H9" s="13">
        <v>167.20000000000002</v>
      </c>
      <c r="I9" s="13">
        <v>182.4</v>
      </c>
      <c r="J9" s="13">
        <v>182.4</v>
      </c>
      <c r="K9" s="13">
        <v>152</v>
      </c>
    </row>
    <row r="10" spans="1:11" x14ac:dyDescent="0.25">
      <c r="A10" s="13" t="s">
        <v>11</v>
      </c>
      <c r="B10" s="14">
        <v>44202</v>
      </c>
      <c r="C10" s="8">
        <f>YEARFRAC(launch_date,bat_ageing_recal[[#This Row],[Date]])</f>
        <v>11.177777777777777</v>
      </c>
      <c r="D10" s="13">
        <v>18.600000000000001</v>
      </c>
      <c r="E10" s="13">
        <v>153</v>
      </c>
      <c r="F10" s="13">
        <v>153</v>
      </c>
      <c r="G10" s="13">
        <v>168.3</v>
      </c>
      <c r="H10" s="13">
        <v>168.3</v>
      </c>
      <c r="I10" s="13">
        <v>183.6</v>
      </c>
      <c r="J10" s="13">
        <v>183.6</v>
      </c>
      <c r="K10" s="13">
        <v>153</v>
      </c>
    </row>
    <row r="11" spans="1:11" x14ac:dyDescent="0.25">
      <c r="A11" s="13" t="s">
        <v>7</v>
      </c>
      <c r="B11" s="14">
        <v>44330</v>
      </c>
      <c r="C11" s="8">
        <f>YEARFRAC(launch_date,bat_ageing_recal[[#This Row],[Date]])</f>
        <v>11.533333333333333</v>
      </c>
      <c r="D11" s="13">
        <v>19.2</v>
      </c>
      <c r="E11" s="13">
        <v>158</v>
      </c>
      <c r="F11" s="13">
        <v>158</v>
      </c>
      <c r="G11" s="13">
        <v>173.8</v>
      </c>
      <c r="H11" s="13">
        <v>173.8</v>
      </c>
      <c r="I11" s="13">
        <v>189.6</v>
      </c>
      <c r="J11" s="13">
        <v>189.6</v>
      </c>
      <c r="K11" s="13">
        <v>158</v>
      </c>
    </row>
    <row r="12" spans="1:11" x14ac:dyDescent="0.25">
      <c r="A12" s="13" t="s">
        <v>6</v>
      </c>
      <c r="B12" s="14">
        <v>44357</v>
      </c>
      <c r="C12" s="8">
        <f>YEARFRAC(launch_date,bat_ageing_recal[[#This Row],[Date]])</f>
        <v>11.605555555555556</v>
      </c>
      <c r="D12" s="13">
        <v>19.600000000000001</v>
      </c>
      <c r="E12" s="13">
        <v>160</v>
      </c>
      <c r="F12" s="13">
        <v>160</v>
      </c>
      <c r="G12" s="13">
        <v>176</v>
      </c>
      <c r="H12" s="13">
        <v>176</v>
      </c>
      <c r="I12" s="13">
        <v>192</v>
      </c>
      <c r="J12" s="13">
        <v>192</v>
      </c>
      <c r="K12" s="13">
        <v>160</v>
      </c>
    </row>
    <row r="13" spans="1:11" x14ac:dyDescent="0.25">
      <c r="A13" t="s">
        <v>12</v>
      </c>
      <c r="B13" s="12">
        <f>EoL2_date</f>
        <v>44867</v>
      </c>
      <c r="C13" s="8">
        <f>YEARFRAC(launch_date,bat_ageing_recal[[#This Row],[Date]])</f>
        <v>13</v>
      </c>
      <c r="D13" s="13">
        <v>23</v>
      </c>
      <c r="E13" s="13">
        <v>162</v>
      </c>
      <c r="F13" s="13">
        <v>162</v>
      </c>
      <c r="G13" s="13">
        <v>178.20000000000002</v>
      </c>
      <c r="H13" s="13">
        <v>178.20000000000002</v>
      </c>
      <c r="I13" s="13">
        <v>194.4</v>
      </c>
      <c r="J13" s="13">
        <v>194.4</v>
      </c>
      <c r="K13" s="13">
        <v>162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Sheet1</vt:lpstr>
      <vt:lpstr>Sheet2</vt:lpstr>
      <vt:lpstr>Sheet3</vt:lpstr>
      <vt:lpstr>Sheet2!Cover_Loss</vt:lpstr>
      <vt:lpstr>Sheet2!Global_Loss0_Factor</vt:lpstr>
      <vt:lpstr>Sheet2!Gound_Loss</vt:lpstr>
      <vt:lpstr>idosis1y</vt:lpstr>
      <vt:lpstr>Sheet2!pointing_error</vt:lpstr>
      <vt:lpstr>Sheet2!random_failure</vt:lpstr>
      <vt:lpstr>Sheet2!uvm</vt:lpstr>
      <vt:lpstr>vdosis1y</vt:lpstr>
    </vt:vector>
  </TitlesOfParts>
  <Company>Clever-Age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CHAFFAROD</dc:creator>
  <cp:lastModifiedBy>Guillaume CHAFFAROD</cp:lastModifiedBy>
  <dcterms:created xsi:type="dcterms:W3CDTF">2021-11-23T16:16:16Z</dcterms:created>
  <dcterms:modified xsi:type="dcterms:W3CDTF">2021-11-23T16:24:19Z</dcterms:modified>
</cp:coreProperties>
</file>