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45" yWindow="15" windowWidth="10410" windowHeight="7065" tabRatio="584"/>
  </bookViews>
  <sheets>
    <sheet name="Comptes" sheetId="1" r:id="rId1"/>
  </sheets>
  <externalReferences>
    <externalReference r:id="rId2"/>
  </externalReferences>
  <definedNames>
    <definedName name="_xlnm._FilterDatabase" localSheetId="0" hidden="1">Comptes!$A$83:$AE$217</definedName>
    <definedName name="_xlnm.Print_Area" localSheetId="0">Comptes!$A$1:$AJ$994</definedName>
  </definedNames>
  <calcPr calcId="145621"/>
</workbook>
</file>

<file path=xl/calcChain.xml><?xml version="1.0" encoding="utf-8"?>
<calcChain xmlns="http://schemas.openxmlformats.org/spreadsheetml/2006/main">
  <c r="E206" i="1" l="1"/>
  <c r="E302" i="1"/>
  <c r="E89" i="1"/>
  <c r="E142" i="1"/>
  <c r="AN527" i="1"/>
  <c r="AN529" i="1"/>
  <c r="AN528" i="1"/>
  <c r="E195" i="1"/>
  <c r="E196" i="1"/>
  <c r="E193" i="1"/>
  <c r="D89" i="1"/>
  <c r="C89" i="1"/>
  <c r="D99" i="1"/>
  <c r="C99" i="1"/>
  <c r="E131" i="1"/>
  <c r="D131" i="1"/>
  <c r="C131" i="1"/>
  <c r="E149" i="1"/>
  <c r="E150" i="1"/>
  <c r="D150" i="1"/>
  <c r="C150" i="1"/>
  <c r="A150" i="1"/>
  <c r="AN492" i="1" l="1"/>
  <c r="AN474" i="1"/>
  <c r="AN333" i="1"/>
  <c r="AN14" i="1"/>
  <c r="AN13" i="1"/>
  <c r="AN285" i="1"/>
  <c r="AN310" i="1"/>
  <c r="AN236" i="1"/>
  <c r="AP285" i="1"/>
  <c r="AM285" i="1"/>
  <c r="AO285" i="1"/>
  <c r="A285" i="1"/>
  <c r="D285" i="1"/>
  <c r="E285" i="1"/>
  <c r="AN259" i="1"/>
  <c r="D250" i="1"/>
  <c r="A250" i="1"/>
  <c r="AN334" i="1"/>
  <c r="AN494" i="1"/>
  <c r="AN15" i="1"/>
  <c r="E170" i="1"/>
  <c r="E494" i="1"/>
  <c r="A170" i="1"/>
  <c r="C170" i="1"/>
  <c r="D170" i="1"/>
  <c r="AO300" i="1"/>
  <c r="AO303" i="1"/>
  <c r="AO298" i="1"/>
  <c r="AO278" i="1"/>
  <c r="AO275" i="1"/>
  <c r="AO267" i="1"/>
  <c r="AO255" i="1"/>
  <c r="AO232" i="1"/>
  <c r="AO223" i="1"/>
  <c r="AO206" i="1"/>
  <c r="AO197" i="1"/>
  <c r="AO194" i="1"/>
  <c r="AO192" i="1"/>
  <c r="AO188" i="1"/>
  <c r="AO181" i="1"/>
  <c r="AO177" i="1"/>
  <c r="AO167" i="1"/>
  <c r="AO148" i="1"/>
  <c r="AO139" i="1"/>
  <c r="AO120" i="1"/>
  <c r="AO119" i="1"/>
  <c r="AO94" i="1"/>
  <c r="AO93" i="1"/>
  <c r="AO85" i="1"/>
  <c r="AO83" i="1"/>
  <c r="AJ147" i="1" l="1"/>
  <c r="AJ146" i="1"/>
  <c r="AJ132" i="1"/>
  <c r="AJ133" i="1"/>
  <c r="AJ92" i="1"/>
  <c r="AJ154" i="1"/>
  <c r="AJ153" i="1"/>
  <c r="AJ152" i="1"/>
  <c r="AE153" i="1"/>
  <c r="AN638" i="1"/>
  <c r="AN637" i="1" s="1"/>
  <c r="AN636" i="1"/>
  <c r="AN634" i="1" s="1"/>
  <c r="AN633" i="1"/>
  <c r="AN632" i="1"/>
  <c r="AN630" i="1" s="1"/>
  <c r="AN628" i="1"/>
  <c r="AN627" i="1"/>
  <c r="AN624" i="1"/>
  <c r="AN623" i="1" s="1"/>
  <c r="AN621" i="1"/>
  <c r="AN620" i="1"/>
  <c r="AN618" i="1"/>
  <c r="AN617" i="1"/>
  <c r="AN616" i="1" s="1"/>
  <c r="AN615" i="1" s="1"/>
  <c r="AN613" i="1"/>
  <c r="AN611" i="1"/>
  <c r="AN605" i="1"/>
  <c r="AN604" i="1" s="1"/>
  <c r="AN602" i="1" s="1"/>
  <c r="AN601" i="1"/>
  <c r="AN600" i="1"/>
  <c r="AN599" i="1"/>
  <c r="AN597" i="1"/>
  <c r="AN596" i="1"/>
  <c r="AN595" i="1"/>
  <c r="AN594" i="1"/>
  <c r="AN592" i="1"/>
  <c r="AN591" i="1"/>
  <c r="AN590" i="1"/>
  <c r="AN589" i="1"/>
  <c r="AN587" i="1"/>
  <c r="AN586" i="1"/>
  <c r="AN585" i="1"/>
  <c r="AN582" i="1"/>
  <c r="AN581" i="1"/>
  <c r="AN580" i="1"/>
  <c r="AN578" i="1"/>
  <c r="AN576" i="1"/>
  <c r="AN575" i="1"/>
  <c r="AN574" i="1" s="1"/>
  <c r="AN571" i="1"/>
  <c r="AN569" i="1" s="1"/>
  <c r="AN568" i="1"/>
  <c r="AN564" i="1"/>
  <c r="AN562" i="1"/>
  <c r="AN561" i="1"/>
  <c r="AN560" i="1"/>
  <c r="AN558" i="1"/>
  <c r="AN557" i="1"/>
  <c r="AN556" i="1"/>
  <c r="AN555" i="1"/>
  <c r="AN554" i="1"/>
  <c r="AN552" i="1"/>
  <c r="AN551" i="1" s="1"/>
  <c r="AN550" i="1"/>
  <c r="AN549" i="1"/>
  <c r="AN548" i="1"/>
  <c r="AN546" i="1"/>
  <c r="AN545" i="1" s="1"/>
  <c r="AN543" i="1"/>
  <c r="AN542" i="1"/>
  <c r="AN540" i="1"/>
  <c r="AN539" i="1"/>
  <c r="AN538" i="1" s="1"/>
  <c r="AN536" i="1"/>
  <c r="AN535" i="1"/>
  <c r="AN534" i="1" s="1"/>
  <c r="AN533" i="1"/>
  <c r="AN532" i="1"/>
  <c r="AN530" i="1"/>
  <c r="AN526" i="1"/>
  <c r="AN525" i="1"/>
  <c r="AN522" i="1"/>
  <c r="AN521" i="1" s="1"/>
  <c r="AN519" i="1"/>
  <c r="AN518" i="1"/>
  <c r="AN517" i="1" s="1"/>
  <c r="AN516" i="1"/>
  <c r="AN515" i="1"/>
  <c r="AN514" i="1" s="1"/>
  <c r="AN513" i="1"/>
  <c r="AN511" i="1"/>
  <c r="AN510" i="1"/>
  <c r="AN509" i="1" s="1"/>
  <c r="AN508" i="1"/>
  <c r="AN507" i="1"/>
  <c r="AN506" i="1"/>
  <c r="AN505" i="1"/>
  <c r="AN504" i="1" s="1"/>
  <c r="AN503" i="1"/>
  <c r="AN500" i="1"/>
  <c r="AN498" i="1"/>
  <c r="AN493" i="1"/>
  <c r="AN491" i="1"/>
  <c r="AN490" i="1"/>
  <c r="AN489" i="1" s="1"/>
  <c r="AN488" i="1"/>
  <c r="AN487" i="1"/>
  <c r="AN486" i="1" s="1"/>
  <c r="AN485" i="1"/>
  <c r="AN484" i="1" s="1"/>
  <c r="AN483" i="1"/>
  <c r="AN482" i="1"/>
  <c r="AN481" i="1"/>
  <c r="AN480" i="1"/>
  <c r="AN478" i="1"/>
  <c r="AN477" i="1"/>
  <c r="AN476" i="1"/>
  <c r="AN475" i="1"/>
  <c r="AN473" i="1"/>
  <c r="AN471" i="1"/>
  <c r="AN470" i="1"/>
  <c r="AN469" i="1" s="1"/>
  <c r="AN468" i="1"/>
  <c r="AN467" i="1"/>
  <c r="AN466" i="1"/>
  <c r="AN465" i="1"/>
  <c r="AN464" i="1"/>
  <c r="AN463" i="1"/>
  <c r="AN462" i="1"/>
  <c r="AN460" i="1"/>
  <c r="AN458" i="1"/>
  <c r="AN457" i="1"/>
  <c r="AN456" i="1" s="1"/>
  <c r="AN455" i="1"/>
  <c r="AN454" i="1"/>
  <c r="AN447" i="1"/>
  <c r="AN446" i="1"/>
  <c r="AN445" i="1"/>
  <c r="AN442" i="1"/>
  <c r="AN441" i="1"/>
  <c r="AN440" i="1"/>
  <c r="AN439" i="1" s="1"/>
  <c r="AN437" i="1"/>
  <c r="AN436" i="1"/>
  <c r="AN435" i="1"/>
  <c r="AN434" i="1"/>
  <c r="AN431" i="1"/>
  <c r="AN426" i="1" s="1"/>
  <c r="AN425" i="1"/>
  <c r="AN424" i="1"/>
  <c r="AN421" i="1"/>
  <c r="AN420" i="1"/>
  <c r="AN418" i="1"/>
  <c r="AN417" i="1"/>
  <c r="AN415" i="1"/>
  <c r="AN414" i="1"/>
  <c r="AN413" i="1"/>
  <c r="AN412" i="1"/>
  <c r="AN409" i="1"/>
  <c r="AN408" i="1"/>
  <c r="AN407" i="1" s="1"/>
  <c r="AN406" i="1"/>
  <c r="AN405" i="1"/>
  <c r="AN404" i="1"/>
  <c r="AN403" i="1"/>
  <c r="AN401" i="1"/>
  <c r="AN400" i="1" s="1"/>
  <c r="AN399" i="1"/>
  <c r="AN398" i="1" s="1"/>
  <c r="AN397" i="1"/>
  <c r="AN396" i="1"/>
  <c r="AN395" i="1" s="1"/>
  <c r="AN393" i="1"/>
  <c r="AN392" i="1"/>
  <c r="AN391" i="1"/>
  <c r="AN389" i="1"/>
  <c r="AN387" i="1"/>
  <c r="AN384" i="1"/>
  <c r="AN381" i="1"/>
  <c r="AN379" i="1"/>
  <c r="AN374" i="1"/>
  <c r="AN373" i="1"/>
  <c r="AN370" i="1"/>
  <c r="AN369" i="1"/>
  <c r="AN367" i="1"/>
  <c r="AN365" i="1"/>
  <c r="AN363" i="1"/>
  <c r="AN43" i="1"/>
  <c r="AN42" i="1"/>
  <c r="AN41" i="1"/>
  <c r="AN40" i="1"/>
  <c r="AN39" i="1"/>
  <c r="AN33" i="1"/>
  <c r="AN31" i="1"/>
  <c r="AN30" i="1"/>
  <c r="AN29" i="1"/>
  <c r="AN28" i="1"/>
  <c r="AN27" i="1"/>
  <c r="AN26" i="1"/>
  <c r="AN25" i="1"/>
  <c r="AN24" i="1"/>
  <c r="AN23" i="1"/>
  <c r="AN21" i="1"/>
  <c r="AN20" i="1"/>
  <c r="AN19" i="1"/>
  <c r="AN18" i="1"/>
  <c r="AN17" i="1"/>
  <c r="AN16" i="1"/>
  <c r="AN12" i="1"/>
  <c r="AN11" i="1"/>
  <c r="AN10" i="1"/>
  <c r="AN9" i="1"/>
  <c r="AN8" i="1"/>
  <c r="AN7" i="1"/>
  <c r="AN6" i="1"/>
  <c r="AN4" i="1"/>
  <c r="AN356" i="1"/>
  <c r="AO356" i="1" s="1"/>
  <c r="AN355" i="1"/>
  <c r="AN354" i="1"/>
  <c r="AO354" i="1" s="1"/>
  <c r="AN353" i="1"/>
  <c r="AN351" i="1"/>
  <c r="AO351" i="1" s="1"/>
  <c r="AN349" i="1"/>
  <c r="AO349" i="1" s="1"/>
  <c r="AN348" i="1"/>
  <c r="AN347" i="1"/>
  <c r="AN346" i="1"/>
  <c r="AN345" i="1"/>
  <c r="AO345" i="1" s="1"/>
  <c r="AN344" i="1"/>
  <c r="AN343" i="1"/>
  <c r="AO343" i="1" s="1"/>
  <c r="AN341" i="1"/>
  <c r="AO341" i="1" s="1"/>
  <c r="AN340" i="1"/>
  <c r="AO340" i="1" s="1"/>
  <c r="AN338" i="1"/>
  <c r="AO338" i="1" s="1"/>
  <c r="AN337" i="1"/>
  <c r="AN336" i="1"/>
  <c r="AO336" i="1" s="1"/>
  <c r="AN335" i="1"/>
  <c r="AO335" i="1" s="1"/>
  <c r="AO334" i="1"/>
  <c r="AN331" i="1"/>
  <c r="AO331" i="1" s="1"/>
  <c r="AN330" i="1"/>
  <c r="AN329" i="1"/>
  <c r="AO329" i="1" s="1"/>
  <c r="AN328" i="1"/>
  <c r="AN327" i="1"/>
  <c r="AO327" i="1" s="1"/>
  <c r="AN326" i="1"/>
  <c r="AO326" i="1" s="1"/>
  <c r="AN325" i="1"/>
  <c r="AN323" i="1"/>
  <c r="AN292" i="1"/>
  <c r="AN451" i="1" s="1"/>
  <c r="AO325" i="1" l="1"/>
  <c r="AN368" i="1"/>
  <c r="AN390" i="1"/>
  <c r="AN411" i="1"/>
  <c r="AN416" i="1"/>
  <c r="AN423" i="1"/>
  <c r="AN422" i="1" s="1"/>
  <c r="AN433" i="1"/>
  <c r="AN432" i="1" s="1"/>
  <c r="AO344" i="1"/>
  <c r="AO353" i="1"/>
  <c r="AN371" i="1"/>
  <c r="AN377" i="1"/>
  <c r="AN443" i="1"/>
  <c r="AN453" i="1"/>
  <c r="AN461" i="1"/>
  <c r="AN531" i="1"/>
  <c r="AN563" i="1"/>
  <c r="AN593" i="1"/>
  <c r="AN629" i="1"/>
  <c r="AN626" i="1" s="1"/>
  <c r="AN512" i="1"/>
  <c r="AN598" i="1"/>
  <c r="AN577" i="1"/>
  <c r="AN520" i="1"/>
  <c r="AO337" i="1"/>
  <c r="AN502" i="1"/>
  <c r="AN501" i="1" s="1"/>
  <c r="AT501" i="1" s="1"/>
  <c r="AO347" i="1"/>
  <c r="AN584" i="1"/>
  <c r="AN544" i="1"/>
  <c r="AT544" i="1" s="1"/>
  <c r="AO346" i="1"/>
  <c r="AO348" i="1"/>
  <c r="AO330" i="1"/>
  <c r="AO328" i="1"/>
  <c r="AN385" i="1"/>
  <c r="AT385" i="1" s="1"/>
  <c r="AN459" i="1"/>
  <c r="AN479" i="1"/>
  <c r="AN583" i="1"/>
  <c r="AO323" i="1"/>
  <c r="AS797" i="1"/>
  <c r="AT797" i="1" s="1"/>
  <c r="AV640" i="1"/>
  <c r="AT637" i="1"/>
  <c r="AT634" i="1"/>
  <c r="AV629" i="1"/>
  <c r="AV626" i="1"/>
  <c r="AV623" i="1"/>
  <c r="AT623" i="1"/>
  <c r="AV622" i="1"/>
  <c r="AV615" i="1"/>
  <c r="AT615" i="1"/>
  <c r="AT609" i="1"/>
  <c r="AT608" i="1"/>
  <c r="AV607" i="1"/>
  <c r="AT604" i="1"/>
  <c r="AT603" i="1"/>
  <c r="AV602" i="1"/>
  <c r="AT602" i="1"/>
  <c r="AV601" i="1"/>
  <c r="AV600" i="1"/>
  <c r="AV599" i="1"/>
  <c r="AV583" i="1"/>
  <c r="AT583" i="1"/>
  <c r="AV577" i="1"/>
  <c r="AT577" i="1"/>
  <c r="AV544" i="1"/>
  <c r="AV543" i="1"/>
  <c r="AV540" i="1"/>
  <c r="AV538" i="1"/>
  <c r="AT538" i="1"/>
  <c r="AV537" i="1"/>
  <c r="AT534" i="1"/>
  <c r="AT533" i="1"/>
  <c r="AT532" i="1"/>
  <c r="AV531" i="1"/>
  <c r="AT531" i="1"/>
  <c r="AV530" i="1"/>
  <c r="AT530" i="1"/>
  <c r="AV520" i="1"/>
  <c r="AT520" i="1"/>
  <c r="AV519" i="1"/>
  <c r="AV518" i="1"/>
  <c r="AV512" i="1"/>
  <c r="AT512" i="1"/>
  <c r="AV509" i="1"/>
  <c r="AV504" i="1"/>
  <c r="AV503" i="1"/>
  <c r="AV502" i="1"/>
  <c r="AV501" i="1"/>
  <c r="AV493" i="1"/>
  <c r="AV492" i="1"/>
  <c r="AT492" i="1"/>
  <c r="AV489" i="1"/>
  <c r="AV479" i="1"/>
  <c r="AV440" i="1"/>
  <c r="AV439" i="1"/>
  <c r="AV438" i="1"/>
  <c r="AV436" i="1"/>
  <c r="AV432" i="1"/>
  <c r="AV431" i="1"/>
  <c r="AV430" i="1"/>
  <c r="AV429" i="1"/>
  <c r="AV428" i="1"/>
  <c r="AV427" i="1"/>
  <c r="AV426" i="1"/>
  <c r="AV425" i="1"/>
  <c r="AV424" i="1"/>
  <c r="AV421" i="1"/>
  <c r="AV420" i="1"/>
  <c r="AV419" i="1"/>
  <c r="AV418" i="1"/>
  <c r="AV417" i="1"/>
  <c r="AV416" i="1"/>
  <c r="AV415" i="1"/>
  <c r="AV414" i="1"/>
  <c r="AV413" i="1"/>
  <c r="AV412" i="1"/>
  <c r="AV411" i="1"/>
  <c r="AV410" i="1"/>
  <c r="AV409" i="1"/>
  <c r="AV408" i="1"/>
  <c r="AV407" i="1"/>
  <c r="AV402" i="1"/>
  <c r="AV400" i="1"/>
  <c r="AT400" i="1"/>
  <c r="AV398" i="1"/>
  <c r="AT398" i="1"/>
  <c r="AV395" i="1"/>
  <c r="AT395" i="1"/>
  <c r="AV394" i="1"/>
  <c r="AV393" i="1"/>
  <c r="AV389" i="1"/>
  <c r="AV385" i="1"/>
  <c r="AV377" i="1"/>
  <c r="AT377" i="1"/>
  <c r="AV371" i="1"/>
  <c r="AT371" i="1"/>
  <c r="AV368" i="1"/>
  <c r="AT368" i="1"/>
  <c r="AV364" i="1"/>
  <c r="AV363" i="1"/>
  <c r="AT363" i="1"/>
  <c r="AV362" i="1"/>
  <c r="AT356" i="1"/>
  <c r="AS356" i="1"/>
  <c r="AS355" i="1"/>
  <c r="AS354" i="1"/>
  <c r="AT354" i="1" s="1"/>
  <c r="AS353" i="1"/>
  <c r="AT353" i="1" s="1"/>
  <c r="AS351" i="1"/>
  <c r="AS349" i="1"/>
  <c r="AS348" i="1"/>
  <c r="AS347" i="1"/>
  <c r="AS346" i="1"/>
  <c r="AS345" i="1"/>
  <c r="AS343" i="1"/>
  <c r="AS341" i="1"/>
  <c r="AS340" i="1"/>
  <c r="AS338" i="1"/>
  <c r="AS337" i="1"/>
  <c r="AS336" i="1"/>
  <c r="AS335" i="1"/>
  <c r="AS334" i="1"/>
  <c r="AS331" i="1"/>
  <c r="AS330" i="1"/>
  <c r="AS329" i="1"/>
  <c r="AS328" i="1"/>
  <c r="AS327" i="1"/>
  <c r="AS325" i="1"/>
  <c r="AS323" i="1"/>
  <c r="AS315" i="1"/>
  <c r="AR315" i="1"/>
  <c r="AS310" i="1"/>
  <c r="AR310" i="1"/>
  <c r="AU306" i="1"/>
  <c r="AT306" i="1"/>
  <c r="AU305" i="1"/>
  <c r="AT305" i="1"/>
  <c r="AT304" i="1"/>
  <c r="AT303" i="1"/>
  <c r="AT302" i="1"/>
  <c r="AU301" i="1"/>
  <c r="AU300" i="1"/>
  <c r="AT300" i="1"/>
  <c r="AU299" i="1"/>
  <c r="AT299" i="1"/>
  <c r="AT298" i="1"/>
  <c r="AU297" i="1"/>
  <c r="AT297" i="1"/>
  <c r="AS293" i="1"/>
  <c r="AS350" i="1" s="1"/>
  <c r="AR293" i="1"/>
  <c r="AS291" i="1"/>
  <c r="AR291" i="1"/>
  <c r="AS290" i="1"/>
  <c r="AR290" i="1"/>
  <c r="AS289" i="1"/>
  <c r="AR289" i="1"/>
  <c r="AS288" i="1"/>
  <c r="AR288" i="1"/>
  <c r="AS287" i="1"/>
  <c r="AS13" i="1" s="1"/>
  <c r="AR287" i="1"/>
  <c r="AS286" i="1"/>
  <c r="AS294" i="1" s="1"/>
  <c r="AR286" i="1"/>
  <c r="AS282" i="1"/>
  <c r="AR282" i="1"/>
  <c r="AU278" i="1"/>
  <c r="AT278" i="1"/>
  <c r="AU276" i="1"/>
  <c r="AT276" i="1"/>
  <c r="AT275" i="1"/>
  <c r="AT274" i="1"/>
  <c r="AS271" i="1"/>
  <c r="AR271" i="1"/>
  <c r="AU267" i="1"/>
  <c r="AT267" i="1"/>
  <c r="AU264" i="1"/>
  <c r="AT264" i="1"/>
  <c r="AU263" i="1"/>
  <c r="AT263" i="1"/>
  <c r="AT262" i="1"/>
  <c r="AS259" i="1"/>
  <c r="AR259" i="1"/>
  <c r="AU255" i="1"/>
  <c r="AT255" i="1"/>
  <c r="AU253" i="1"/>
  <c r="AT253" i="1"/>
  <c r="AU252" i="1"/>
  <c r="AT252" i="1"/>
  <c r="AT251" i="1"/>
  <c r="AS247" i="1"/>
  <c r="AR247" i="1"/>
  <c r="AU243" i="1"/>
  <c r="AT243" i="1"/>
  <c r="AU241" i="1"/>
  <c r="AT241" i="1"/>
  <c r="AU240" i="1"/>
  <c r="AT240" i="1"/>
  <c r="AU239" i="1"/>
  <c r="AT239" i="1"/>
  <c r="AS236" i="1"/>
  <c r="AR236" i="1"/>
  <c r="AU232" i="1"/>
  <c r="AT232" i="1"/>
  <c r="AU230" i="1"/>
  <c r="AT230" i="1"/>
  <c r="AU229" i="1"/>
  <c r="AT229" i="1"/>
  <c r="AU228" i="1"/>
  <c r="AT228" i="1"/>
  <c r="AS224" i="1"/>
  <c r="AR224" i="1"/>
  <c r="AT223" i="1"/>
  <c r="AR219" i="1"/>
  <c r="AV217" i="1"/>
  <c r="AV214" i="1"/>
  <c r="AV213" i="1"/>
  <c r="AV212" i="1"/>
  <c r="AV211" i="1"/>
  <c r="AV210" i="1"/>
  <c r="AU210" i="1"/>
  <c r="AT210" i="1"/>
  <c r="AV209" i="1"/>
  <c r="AV208" i="1"/>
  <c r="AU208" i="1"/>
  <c r="AT208" i="1"/>
  <c r="AV207" i="1"/>
  <c r="AV206" i="1"/>
  <c r="AU206" i="1"/>
  <c r="AT206" i="1"/>
  <c r="AV205" i="1"/>
  <c r="AU205" i="1"/>
  <c r="AT205" i="1"/>
  <c r="AV204" i="1"/>
  <c r="AU204" i="1"/>
  <c r="AV203" i="1"/>
  <c r="AU203" i="1"/>
  <c r="AT203" i="1"/>
  <c r="AV202" i="1"/>
  <c r="AV201" i="1"/>
  <c r="AU201" i="1"/>
  <c r="AV200" i="1"/>
  <c r="AV199" i="1"/>
  <c r="AU199" i="1"/>
  <c r="AT199" i="1"/>
  <c r="AV198" i="1"/>
  <c r="AU198" i="1"/>
  <c r="AT198" i="1"/>
  <c r="AV197" i="1"/>
  <c r="AU197" i="1"/>
  <c r="AT197" i="1"/>
  <c r="AV196" i="1"/>
  <c r="AU196" i="1"/>
  <c r="AV193" i="1"/>
  <c r="AU193" i="1"/>
  <c r="AT193" i="1"/>
  <c r="AV192" i="1"/>
  <c r="AU192" i="1"/>
  <c r="AT192" i="1"/>
  <c r="AV191" i="1"/>
  <c r="AU191" i="1"/>
  <c r="AT191" i="1"/>
  <c r="AV190" i="1"/>
  <c r="AU190" i="1"/>
  <c r="AT190" i="1"/>
  <c r="AV188" i="1"/>
  <c r="AU188" i="1"/>
  <c r="AT188" i="1"/>
  <c r="AV187" i="1"/>
  <c r="AV186" i="1"/>
  <c r="AV185" i="1"/>
  <c r="AU185" i="1"/>
  <c r="AV182" i="1"/>
  <c r="AU182" i="1"/>
  <c r="AT182" i="1"/>
  <c r="AV181" i="1"/>
  <c r="AU181" i="1"/>
  <c r="AT181" i="1"/>
  <c r="AV180" i="1"/>
  <c r="AV179" i="1"/>
  <c r="AV178" i="1"/>
  <c r="AV177" i="1"/>
  <c r="AU177" i="1"/>
  <c r="AT177" i="1"/>
  <c r="AV176" i="1"/>
  <c r="AU176" i="1"/>
  <c r="AT176" i="1"/>
  <c r="AV175" i="1"/>
  <c r="AU175" i="1"/>
  <c r="AT175" i="1"/>
  <c r="AV173" i="1"/>
  <c r="AU173" i="1"/>
  <c r="AT173" i="1"/>
  <c r="AV172" i="1"/>
  <c r="AV171" i="1"/>
  <c r="AV169" i="1"/>
  <c r="AU169" i="1"/>
  <c r="AT169" i="1"/>
  <c r="AS168" i="1"/>
  <c r="AU168" i="1" s="1"/>
  <c r="AV167" i="1"/>
  <c r="AU167" i="1"/>
  <c r="AT167" i="1"/>
  <c r="AV166" i="1"/>
  <c r="AV165" i="1"/>
  <c r="AV164" i="1"/>
  <c r="AV163" i="1"/>
  <c r="AV162" i="1"/>
  <c r="AU162" i="1"/>
  <c r="AT162" i="1"/>
  <c r="AU161" i="1"/>
  <c r="AT161" i="1"/>
  <c r="AV160" i="1"/>
  <c r="AV159" i="1"/>
  <c r="AV158" i="1"/>
  <c r="AV157" i="1"/>
  <c r="AV156" i="1"/>
  <c r="AV155" i="1"/>
  <c r="AV154" i="1"/>
  <c r="AU154" i="1"/>
  <c r="AV153" i="1"/>
  <c r="AU153" i="1"/>
  <c r="AV152" i="1"/>
  <c r="AU152" i="1"/>
  <c r="AV151" i="1"/>
  <c r="AV149" i="1"/>
  <c r="AU149" i="1"/>
  <c r="AT149" i="1"/>
  <c r="AV148" i="1"/>
  <c r="AU148" i="1"/>
  <c r="AT148" i="1"/>
  <c r="AV147" i="1"/>
  <c r="AV146" i="1"/>
  <c r="AV145" i="1"/>
  <c r="AV144" i="1"/>
  <c r="AU144" i="1"/>
  <c r="AV143" i="1"/>
  <c r="AU143" i="1"/>
  <c r="AV142" i="1"/>
  <c r="AU142" i="1"/>
  <c r="AT142" i="1"/>
  <c r="AV141" i="1"/>
  <c r="AV140" i="1"/>
  <c r="AV139" i="1"/>
  <c r="AU139" i="1"/>
  <c r="AT139" i="1"/>
  <c r="AV138" i="1"/>
  <c r="AV137" i="1"/>
  <c r="AU137" i="1"/>
  <c r="AT137" i="1"/>
  <c r="AV136" i="1"/>
  <c r="AV135" i="1"/>
  <c r="AV134" i="1"/>
  <c r="AU134" i="1"/>
  <c r="AT134" i="1"/>
  <c r="AV133" i="1"/>
  <c r="AV132" i="1"/>
  <c r="AV130" i="1"/>
  <c r="AV129" i="1"/>
  <c r="AU129" i="1"/>
  <c r="AV128" i="1"/>
  <c r="AU128" i="1"/>
  <c r="AV127" i="1"/>
  <c r="AU127" i="1"/>
  <c r="AT127" i="1"/>
  <c r="AV126" i="1"/>
  <c r="AV125" i="1"/>
  <c r="AU125" i="1"/>
  <c r="AT125" i="1"/>
  <c r="AV124" i="1"/>
  <c r="AU124" i="1"/>
  <c r="AV123" i="1"/>
  <c r="AU123" i="1"/>
  <c r="AT123" i="1"/>
  <c r="AV122" i="1"/>
  <c r="AU122" i="1"/>
  <c r="AT122" i="1"/>
  <c r="AV121" i="1"/>
  <c r="AU121" i="1"/>
  <c r="AT121" i="1"/>
  <c r="AV120" i="1"/>
  <c r="AU120" i="1"/>
  <c r="AT120" i="1"/>
  <c r="AV119" i="1"/>
  <c r="AU119" i="1"/>
  <c r="AT119" i="1"/>
  <c r="AV118" i="1"/>
  <c r="AU118" i="1"/>
  <c r="AT118" i="1"/>
  <c r="AV117" i="1"/>
  <c r="AV116" i="1"/>
  <c r="AV115" i="1"/>
  <c r="AT115" i="1"/>
  <c r="AV114" i="1"/>
  <c r="AU114" i="1"/>
  <c r="AV110" i="1"/>
  <c r="AU110" i="1"/>
  <c r="AT110" i="1"/>
  <c r="AV109" i="1"/>
  <c r="AU109" i="1"/>
  <c r="AT109" i="1"/>
  <c r="AV108" i="1"/>
  <c r="AU108" i="1"/>
  <c r="AT108" i="1"/>
  <c r="AV107" i="1"/>
  <c r="AV106" i="1"/>
  <c r="AV105" i="1"/>
  <c r="AV104" i="1"/>
  <c r="AU104" i="1"/>
  <c r="AT104" i="1"/>
  <c r="AV103" i="1"/>
  <c r="AV102" i="1"/>
  <c r="AV101" i="1"/>
  <c r="AV100" i="1"/>
  <c r="AU100" i="1"/>
  <c r="AT100" i="1"/>
  <c r="AV98" i="1"/>
  <c r="AV97" i="1"/>
  <c r="AV96" i="1"/>
  <c r="AV95" i="1"/>
  <c r="AV94" i="1"/>
  <c r="AU94" i="1"/>
  <c r="AT94" i="1"/>
  <c r="AV93" i="1"/>
  <c r="AU93" i="1"/>
  <c r="AT93" i="1"/>
  <c r="AV92" i="1"/>
  <c r="AV91" i="1"/>
  <c r="AU91" i="1"/>
  <c r="AT91" i="1"/>
  <c r="AV90" i="1"/>
  <c r="AV88" i="1"/>
  <c r="AV87" i="1"/>
  <c r="AV86" i="1"/>
  <c r="AU86" i="1"/>
  <c r="AT86" i="1"/>
  <c r="AV85" i="1"/>
  <c r="AU85" i="1"/>
  <c r="AT85" i="1"/>
  <c r="AV84" i="1"/>
  <c r="AU84" i="1"/>
  <c r="AT84" i="1"/>
  <c r="AV83" i="1"/>
  <c r="AU83" i="1"/>
  <c r="AT83" i="1"/>
  <c r="AS75" i="1"/>
  <c r="AR75" i="1"/>
  <c r="AU74" i="1"/>
  <c r="AU73" i="1"/>
  <c r="AU72" i="1"/>
  <c r="AU68" i="1"/>
  <c r="AS64" i="1"/>
  <c r="AS76" i="1" s="1"/>
  <c r="AR64" i="1"/>
  <c r="AR76" i="1" s="1"/>
  <c r="AU61" i="1"/>
  <c r="AU50" i="1"/>
  <c r="AS45" i="1"/>
  <c r="AR45" i="1"/>
  <c r="AU38" i="1"/>
  <c r="AT38" i="1"/>
  <c r="AS33" i="1"/>
  <c r="AR33" i="1"/>
  <c r="AS32" i="1"/>
  <c r="AR32" i="1"/>
  <c r="AS31" i="1"/>
  <c r="AR31" i="1"/>
  <c r="AS30" i="1"/>
  <c r="AT30" i="1" s="1"/>
  <c r="AR30" i="1"/>
  <c r="AS29" i="1"/>
  <c r="AU29" i="1" s="1"/>
  <c r="AR29" i="1"/>
  <c r="AT28" i="1"/>
  <c r="AS28" i="1"/>
  <c r="AR28" i="1"/>
  <c r="AS27" i="1"/>
  <c r="AR27" i="1"/>
  <c r="AS26" i="1"/>
  <c r="AR26" i="1"/>
  <c r="AS25" i="1"/>
  <c r="AR25" i="1"/>
  <c r="AU25" i="1" s="1"/>
  <c r="AS24" i="1"/>
  <c r="AT24" i="1" s="1"/>
  <c r="AR24" i="1"/>
  <c r="AS23" i="1"/>
  <c r="AR23" i="1"/>
  <c r="AS22" i="1"/>
  <c r="AR22" i="1"/>
  <c r="AS21" i="1"/>
  <c r="AR21" i="1"/>
  <c r="AS20" i="1"/>
  <c r="AR20" i="1"/>
  <c r="AS19" i="1"/>
  <c r="AR19" i="1"/>
  <c r="AS18" i="1"/>
  <c r="AR18" i="1"/>
  <c r="AS17" i="1"/>
  <c r="AT17" i="1" s="1"/>
  <c r="AR17" i="1"/>
  <c r="AS16" i="1"/>
  <c r="AR16" i="1"/>
  <c r="AS15" i="1"/>
  <c r="AR15" i="1"/>
  <c r="AS14" i="1"/>
  <c r="AR14" i="1"/>
  <c r="AR13" i="1"/>
  <c r="AS12" i="1"/>
  <c r="AU12" i="1" s="1"/>
  <c r="AR12" i="1"/>
  <c r="AS11" i="1"/>
  <c r="AR11" i="1"/>
  <c r="AS10" i="1"/>
  <c r="AR10" i="1"/>
  <c r="AT9" i="1"/>
  <c r="AS9" i="1"/>
  <c r="AR9" i="1"/>
  <c r="AS8" i="1"/>
  <c r="AR8" i="1"/>
  <c r="AS7" i="1"/>
  <c r="AR7" i="1"/>
  <c r="AS6" i="1"/>
  <c r="AT6" i="1" s="1"/>
  <c r="AR6" i="1"/>
  <c r="AS5" i="1"/>
  <c r="AR5" i="1"/>
  <c r="AS4" i="1"/>
  <c r="AT4" i="1" s="1"/>
  <c r="AR4" i="1"/>
  <c r="AJ83" i="1"/>
  <c r="AJ85" i="1"/>
  <c r="AJ94" i="1"/>
  <c r="AJ93" i="1"/>
  <c r="AJ120" i="1"/>
  <c r="AJ119" i="1"/>
  <c r="AJ177" i="1"/>
  <c r="AJ182" i="1"/>
  <c r="AJ181" i="1"/>
  <c r="AJ188" i="1"/>
  <c r="AJ192" i="1"/>
  <c r="AJ193" i="1"/>
  <c r="AJ197" i="1"/>
  <c r="AJ206" i="1"/>
  <c r="AJ208" i="1"/>
  <c r="AJ223" i="1"/>
  <c r="AJ275" i="1"/>
  <c r="AJ300" i="1"/>
  <c r="AJ303" i="1"/>
  <c r="AU26" i="1" l="1"/>
  <c r="AU31" i="1"/>
  <c r="AU45" i="1"/>
  <c r="AU287" i="1"/>
  <c r="AU288" i="1"/>
  <c r="AN622" i="1"/>
  <c r="AT622" i="1" s="1"/>
  <c r="AT626" i="1"/>
  <c r="AR65" i="1"/>
  <c r="AS77" i="1"/>
  <c r="AT168" i="1"/>
  <c r="AT350" i="1"/>
  <c r="AS34" i="1"/>
  <c r="AV5" i="1" s="1"/>
  <c r="AU9" i="1"/>
  <c r="AT12" i="1"/>
  <c r="AU15" i="1"/>
  <c r="AU17" i="1"/>
  <c r="AU19" i="1"/>
  <c r="AU20" i="1"/>
  <c r="AU23" i="1"/>
  <c r="AT26" i="1"/>
  <c r="AU27" i="1"/>
  <c r="AU30" i="1"/>
  <c r="AR77" i="1"/>
  <c r="AV168" i="1"/>
  <c r="AU259" i="1"/>
  <c r="AT343" i="1"/>
  <c r="AT346" i="1"/>
  <c r="AT348" i="1"/>
  <c r="AT351" i="1"/>
  <c r="AT502" i="1"/>
  <c r="AN537" i="1"/>
  <c r="AT537" i="1" s="1"/>
  <c r="AU6" i="1"/>
  <c r="AU310" i="1"/>
  <c r="AR294" i="1"/>
  <c r="AR317" i="1" s="1"/>
  <c r="AU290" i="1"/>
  <c r="AR34" i="1"/>
  <c r="AR46" i="1" s="1"/>
  <c r="AR47" i="1" s="1"/>
  <c r="AU14" i="1"/>
  <c r="AT358" i="1"/>
  <c r="AV30" i="1"/>
  <c r="AV21" i="1"/>
  <c r="AV14" i="1"/>
  <c r="AS46" i="1"/>
  <c r="AS47" i="1" s="1"/>
  <c r="AV28" i="1"/>
  <c r="AV9" i="1"/>
  <c r="AV4" i="1"/>
  <c r="AV13" i="1"/>
  <c r="AV19" i="1"/>
  <c r="AU77" i="1"/>
  <c r="AU5" i="1"/>
  <c r="AU8" i="1"/>
  <c r="AU11" i="1"/>
  <c r="AU13" i="1"/>
  <c r="AU4" i="1"/>
  <c r="AT8" i="1"/>
  <c r="AT11" i="1"/>
  <c r="AT15" i="1"/>
  <c r="AU24" i="1"/>
  <c r="AT25" i="1"/>
  <c r="AU28" i="1"/>
  <c r="AV29" i="1"/>
  <c r="AT29" i="1"/>
  <c r="AS65" i="1"/>
  <c r="AU64" i="1"/>
  <c r="AU75" i="1"/>
  <c r="AT325" i="1"/>
  <c r="AT328" i="1"/>
  <c r="AT330" i="1"/>
  <c r="AT334" i="1"/>
  <c r="AT336" i="1"/>
  <c r="AT338" i="1"/>
  <c r="AT341" i="1"/>
  <c r="AT345" i="1"/>
  <c r="AT347" i="1"/>
  <c r="AT349" i="1"/>
  <c r="AU22" i="1"/>
  <c r="AV27" i="1"/>
  <c r="AT27" i="1"/>
  <c r="AV31" i="1"/>
  <c r="AT31" i="1"/>
  <c r="AU76" i="1"/>
  <c r="AT323" i="1"/>
  <c r="AT327" i="1"/>
  <c r="AT329" i="1"/>
  <c r="AT331" i="1"/>
  <c r="AT335" i="1"/>
  <c r="AT337" i="1"/>
  <c r="AT340" i="1"/>
  <c r="AS219" i="1"/>
  <c r="AU236" i="1"/>
  <c r="AU247" i="1"/>
  <c r="AU271" i="1"/>
  <c r="AU282" i="1"/>
  <c r="AS324" i="1"/>
  <c r="AT324" i="1" s="1"/>
  <c r="AS332" i="1"/>
  <c r="AT332" i="1" s="1"/>
  <c r="AS333" i="1"/>
  <c r="AT333" i="1" s="1"/>
  <c r="AS342" i="1"/>
  <c r="AT342" i="1" s="1"/>
  <c r="AS344" i="1"/>
  <c r="AT344" i="1" s="1"/>
  <c r="AS795" i="1"/>
  <c r="AS796" i="1"/>
  <c r="AR66" i="1"/>
  <c r="AU286" i="1"/>
  <c r="AO609" i="1"/>
  <c r="AO608" i="1"/>
  <c r="AJ609" i="1"/>
  <c r="AJ608" i="1"/>
  <c r="AO603" i="1"/>
  <c r="AJ603" i="1"/>
  <c r="AO306" i="1"/>
  <c r="AO305" i="1"/>
  <c r="AO304" i="1"/>
  <c r="AO302" i="1"/>
  <c r="AJ306" i="1"/>
  <c r="AJ305" i="1"/>
  <c r="AJ304" i="1"/>
  <c r="AJ302" i="1"/>
  <c r="AO299" i="1"/>
  <c r="AO297" i="1"/>
  <c r="AJ299" i="1"/>
  <c r="AJ297" i="1"/>
  <c r="AJ278" i="1"/>
  <c r="AO276" i="1"/>
  <c r="AO274" i="1"/>
  <c r="AJ276" i="1"/>
  <c r="AJ274" i="1"/>
  <c r="AJ267" i="1"/>
  <c r="AO264" i="1"/>
  <c r="AO263" i="1"/>
  <c r="AO262" i="1"/>
  <c r="AJ264" i="1"/>
  <c r="AJ263" i="1"/>
  <c r="AJ262" i="1"/>
  <c r="AO253" i="1"/>
  <c r="AO252" i="1"/>
  <c r="AO251" i="1"/>
  <c r="AJ255" i="1"/>
  <c r="AJ253" i="1"/>
  <c r="AJ252" i="1"/>
  <c r="AJ251" i="1"/>
  <c r="AO243" i="1"/>
  <c r="AO241" i="1"/>
  <c r="AO240" i="1"/>
  <c r="AO239" i="1"/>
  <c r="AJ243" i="1"/>
  <c r="AJ241" i="1"/>
  <c r="AJ240" i="1"/>
  <c r="AJ239" i="1"/>
  <c r="AJ232" i="1"/>
  <c r="AO230" i="1"/>
  <c r="AO229" i="1"/>
  <c r="AO228" i="1"/>
  <c r="AJ230" i="1"/>
  <c r="AJ229" i="1"/>
  <c r="AJ228" i="1"/>
  <c r="AJ210" i="1"/>
  <c r="AO210" i="1"/>
  <c r="AO208" i="1"/>
  <c r="AO205" i="1"/>
  <c r="AJ205" i="1"/>
  <c r="AO203" i="1"/>
  <c r="AJ203" i="1"/>
  <c r="AO199" i="1"/>
  <c r="AO198" i="1"/>
  <c r="AJ199" i="1"/>
  <c r="AJ198" i="1"/>
  <c r="AO193" i="1"/>
  <c r="AO191" i="1"/>
  <c r="AO190" i="1"/>
  <c r="AJ191" i="1"/>
  <c r="AJ190" i="1"/>
  <c r="AO182" i="1"/>
  <c r="AO176" i="1"/>
  <c r="AO175" i="1"/>
  <c r="AJ176" i="1"/>
  <c r="AJ175" i="1"/>
  <c r="AO173" i="1"/>
  <c r="AJ173" i="1"/>
  <c r="AO169" i="1"/>
  <c r="AJ169" i="1"/>
  <c r="AJ167" i="1"/>
  <c r="AO162" i="1"/>
  <c r="AO161" i="1"/>
  <c r="AJ162" i="1"/>
  <c r="AJ161" i="1"/>
  <c r="AO149" i="1"/>
  <c r="AJ149" i="1"/>
  <c r="AJ148" i="1"/>
  <c r="AJ142" i="1"/>
  <c r="AO142" i="1"/>
  <c r="AJ139" i="1"/>
  <c r="AO137" i="1"/>
  <c r="AJ137" i="1"/>
  <c r="AO134" i="1"/>
  <c r="AJ134" i="1"/>
  <c r="AO127" i="1"/>
  <c r="AJ127" i="1"/>
  <c r="AO125" i="1"/>
  <c r="AJ125" i="1"/>
  <c r="AO123" i="1"/>
  <c r="AO122" i="1"/>
  <c r="AO121" i="1"/>
  <c r="AO118" i="1"/>
  <c r="AJ123" i="1"/>
  <c r="AJ122" i="1"/>
  <c r="AJ121" i="1"/>
  <c r="AJ118" i="1"/>
  <c r="AO115" i="1"/>
  <c r="AJ115" i="1"/>
  <c r="AO110" i="1"/>
  <c r="AO109" i="1"/>
  <c r="AO108" i="1"/>
  <c r="AJ110" i="1"/>
  <c r="AJ109" i="1"/>
  <c r="AJ108" i="1"/>
  <c r="AJ104" i="1"/>
  <c r="AO104" i="1"/>
  <c r="AO100" i="1"/>
  <c r="AJ100" i="1"/>
  <c r="AO91" i="1"/>
  <c r="AJ91" i="1"/>
  <c r="AO86" i="1"/>
  <c r="AO84" i="1"/>
  <c r="AJ86" i="1"/>
  <c r="AJ84" i="1"/>
  <c r="AV23" i="1" l="1"/>
  <c r="AV22" i="1"/>
  <c r="AV25" i="1"/>
  <c r="AV15" i="1"/>
  <c r="AV20" i="1"/>
  <c r="AV18" i="1"/>
  <c r="AV8" i="1"/>
  <c r="AV6" i="1"/>
  <c r="AV24" i="1"/>
  <c r="AS35" i="1"/>
  <c r="AS36" i="1" s="1"/>
  <c r="AV12" i="1"/>
  <c r="AV17" i="1"/>
  <c r="AV26" i="1"/>
  <c r="AV33" i="1"/>
  <c r="AU34" i="1"/>
  <c r="AV11" i="1"/>
  <c r="AU294" i="1"/>
  <c r="AR35" i="1"/>
  <c r="AR36" i="1" s="1"/>
  <c r="AU36" i="1" s="1"/>
  <c r="AT795" i="1"/>
  <c r="AS794" i="1"/>
  <c r="AS317" i="1"/>
  <c r="AU219" i="1"/>
  <c r="AV161" i="1"/>
  <c r="AS66" i="1"/>
  <c r="AU66" i="1" s="1"/>
  <c r="AU65" i="1"/>
  <c r="AT796" i="1"/>
  <c r="AU47" i="1"/>
  <c r="AT794" i="1" l="1"/>
  <c r="AT799" i="1" s="1"/>
  <c r="AS799" i="1"/>
  <c r="AU317" i="1"/>
  <c r="AS319" i="1"/>
  <c r="AI290" i="1" l="1"/>
  <c r="AI397" i="1"/>
  <c r="AH397" i="1"/>
  <c r="AD397" i="1"/>
  <c r="AC397" i="1"/>
  <c r="Y397" i="1"/>
  <c r="T397" i="1"/>
  <c r="O397" i="1"/>
  <c r="L397" i="1"/>
  <c r="J397" i="1"/>
  <c r="I397" i="1"/>
  <c r="H397" i="1"/>
  <c r="G397" i="1"/>
  <c r="F397" i="1"/>
  <c r="E397" i="1"/>
  <c r="AI396" i="1"/>
  <c r="AI395" i="1" s="1"/>
  <c r="AH396" i="1"/>
  <c r="AD396" i="1"/>
  <c r="AD395" i="1" s="1"/>
  <c r="AC396" i="1"/>
  <c r="Y396" i="1"/>
  <c r="Y395" i="1" s="1"/>
  <c r="T396" i="1"/>
  <c r="T395" i="1" s="1"/>
  <c r="O396" i="1"/>
  <c r="O395" i="1" s="1"/>
  <c r="L396" i="1"/>
  <c r="L395" i="1" s="1"/>
  <c r="J396" i="1"/>
  <c r="J395" i="1" s="1"/>
  <c r="I396" i="1"/>
  <c r="I395" i="1" s="1"/>
  <c r="H396" i="1"/>
  <c r="H395" i="1" s="1"/>
  <c r="G396" i="1"/>
  <c r="G395" i="1" s="1"/>
  <c r="F396" i="1"/>
  <c r="F395" i="1" s="1"/>
  <c r="E396" i="1"/>
  <c r="AI452" i="1" l="1"/>
  <c r="AO395" i="1"/>
  <c r="AJ395" i="1"/>
  <c r="G464" i="1"/>
  <c r="H464" i="1"/>
  <c r="I464" i="1"/>
  <c r="J464" i="1"/>
  <c r="K464" i="1"/>
  <c r="L464" i="1"/>
  <c r="M464" i="1"/>
  <c r="N464" i="1"/>
  <c r="O464" i="1"/>
  <c r="P464" i="1"/>
  <c r="Q464" i="1"/>
  <c r="R464" i="1"/>
  <c r="S464" i="1"/>
  <c r="T464" i="1"/>
  <c r="U464" i="1"/>
  <c r="V464" i="1"/>
  <c r="W464" i="1"/>
  <c r="X464" i="1"/>
  <c r="Y464" i="1"/>
  <c r="Z464" i="1"/>
  <c r="AA464" i="1"/>
  <c r="AB464" i="1"/>
  <c r="AC464" i="1"/>
  <c r="AD464" i="1"/>
  <c r="AE464" i="1"/>
  <c r="AF464" i="1"/>
  <c r="AG464" i="1"/>
  <c r="AH464" i="1"/>
  <c r="AI464" i="1"/>
  <c r="G465" i="1"/>
  <c r="H465" i="1"/>
  <c r="I465" i="1"/>
  <c r="J465" i="1"/>
  <c r="K465" i="1"/>
  <c r="L465" i="1"/>
  <c r="M465" i="1"/>
  <c r="N465" i="1"/>
  <c r="O465" i="1"/>
  <c r="P465" i="1"/>
  <c r="S465" i="1"/>
  <c r="T465" i="1"/>
  <c r="U465" i="1"/>
  <c r="X465" i="1"/>
  <c r="Y465" i="1"/>
  <c r="Z465" i="1"/>
  <c r="AA465" i="1"/>
  <c r="AC465" i="1"/>
  <c r="AD465" i="1"/>
  <c r="AE465" i="1"/>
  <c r="AF465" i="1"/>
  <c r="AH465" i="1"/>
  <c r="AI465" i="1"/>
  <c r="F465" i="1"/>
  <c r="F464" i="1"/>
  <c r="E464" i="1"/>
  <c r="E465" i="1"/>
  <c r="AI463" i="1"/>
  <c r="AH463" i="1"/>
  <c r="AD463" i="1"/>
  <c r="AC463" i="1"/>
  <c r="Y463" i="1"/>
  <c r="T463" i="1"/>
  <c r="O463" i="1"/>
  <c r="L463" i="1"/>
  <c r="J463" i="1"/>
  <c r="I463" i="1"/>
  <c r="H463" i="1"/>
  <c r="G463" i="1"/>
  <c r="F463" i="1"/>
  <c r="E463" i="1"/>
  <c r="AI8" i="1" l="1"/>
  <c r="AI9" i="1"/>
  <c r="AI7" i="1"/>
  <c r="AI326" i="1"/>
  <c r="AJ326" i="1" s="1"/>
  <c r="AI328" i="1"/>
  <c r="AJ328" i="1" s="1"/>
  <c r="AI374" i="1"/>
  <c r="AI43" i="1"/>
  <c r="AI42" i="1"/>
  <c r="AI41" i="1"/>
  <c r="AI40" i="1"/>
  <c r="AI39" i="1"/>
  <c r="AI356" i="1"/>
  <c r="AJ356" i="1" s="1"/>
  <c r="AI355" i="1"/>
  <c r="AI354" i="1"/>
  <c r="AI353" i="1"/>
  <c r="AI351" i="1"/>
  <c r="AI349" i="1"/>
  <c r="AI348" i="1"/>
  <c r="AI347" i="1"/>
  <c r="AI346" i="1"/>
  <c r="AI345" i="1"/>
  <c r="AI344" i="1"/>
  <c r="AI343" i="1"/>
  <c r="AI341" i="1"/>
  <c r="AI340" i="1"/>
  <c r="AI338" i="1"/>
  <c r="AI337" i="1"/>
  <c r="AI336" i="1"/>
  <c r="AI335" i="1"/>
  <c r="AI334" i="1"/>
  <c r="AI331" i="1"/>
  <c r="AI330" i="1"/>
  <c r="AI329" i="1"/>
  <c r="AI327" i="1"/>
  <c r="AI325" i="1"/>
  <c r="AI323" i="1"/>
  <c r="AJ354" i="1"/>
  <c r="A89" i="1"/>
  <c r="AI292" i="1"/>
  <c r="AI451" i="1" s="1"/>
  <c r="A292" i="1"/>
  <c r="A280" i="1"/>
  <c r="A269" i="1"/>
  <c r="A257" i="1"/>
  <c r="A245" i="1"/>
  <c r="A234" i="1"/>
  <c r="AL194" i="1"/>
  <c r="A99" i="1"/>
  <c r="AO8" i="1" l="1"/>
  <c r="AJ327" i="1"/>
  <c r="AO9" i="1"/>
  <c r="AJ353" i="1"/>
  <c r="O70" i="1" l="1"/>
  <c r="N70" i="1"/>
  <c r="O64" i="1"/>
  <c r="N64" i="1"/>
  <c r="L64" i="1"/>
  <c r="H34" i="1"/>
  <c r="A60" i="1"/>
  <c r="AN797" i="1" l="1"/>
  <c r="AO797" i="1" s="1"/>
  <c r="AI797" i="1"/>
  <c r="AJ797" i="1" s="1"/>
  <c r="AD797" i="1"/>
  <c r="AE797" i="1" s="1"/>
  <c r="Y797" i="1"/>
  <c r="Z797" i="1" s="1"/>
  <c r="T797" i="1"/>
  <c r="U797" i="1" s="1"/>
  <c r="O797" i="1"/>
  <c r="P797" i="1" s="1"/>
  <c r="L797" i="1"/>
  <c r="M797" i="1" s="1"/>
  <c r="J797" i="1"/>
  <c r="K797" i="1" s="1"/>
  <c r="I797" i="1"/>
  <c r="H797" i="1"/>
  <c r="G797" i="1"/>
  <c r="F797" i="1"/>
  <c r="AC788" i="1"/>
  <c r="AE798" i="1" s="1"/>
  <c r="E787" i="1"/>
  <c r="D787" i="1"/>
  <c r="AS787" i="1" s="1"/>
  <c r="E786" i="1"/>
  <c r="D786" i="1"/>
  <c r="AS786" i="1" s="1"/>
  <c r="D785" i="1"/>
  <c r="AS785" i="1" s="1"/>
  <c r="E784" i="1"/>
  <c r="D784" i="1"/>
  <c r="AS784" i="1" s="1"/>
  <c r="AD751" i="1"/>
  <c r="AD750" i="1"/>
  <c r="AD740" i="1"/>
  <c r="AD656" i="1"/>
  <c r="AI638" i="1"/>
  <c r="AH638" i="1"/>
  <c r="AD638" i="1"/>
  <c r="AC638" i="1"/>
  <c r="Y638" i="1"/>
  <c r="Y637" i="1" s="1"/>
  <c r="U638" i="1"/>
  <c r="T638" i="1"/>
  <c r="T637" i="1" s="1"/>
  <c r="Z637" i="1" s="1"/>
  <c r="P638" i="1"/>
  <c r="O638" i="1"/>
  <c r="O637" i="1" s="1"/>
  <c r="M638" i="1"/>
  <c r="L638" i="1"/>
  <c r="K638" i="1"/>
  <c r="J638" i="1"/>
  <c r="J637" i="1" s="1"/>
  <c r="K637" i="1" s="1"/>
  <c r="I638" i="1"/>
  <c r="H638" i="1"/>
  <c r="H637" i="1" s="1"/>
  <c r="G638" i="1"/>
  <c r="F638" i="1"/>
  <c r="F637" i="1" s="1"/>
  <c r="E638" i="1"/>
  <c r="AI637" i="1"/>
  <c r="AH637" i="1"/>
  <c r="AD637" i="1"/>
  <c r="AE637" i="1" s="1"/>
  <c r="AC637" i="1"/>
  <c r="L637" i="1"/>
  <c r="I637" i="1"/>
  <c r="G637" i="1"/>
  <c r="AI636" i="1"/>
  <c r="AH636" i="1"/>
  <c r="AD636" i="1"/>
  <c r="AC636" i="1"/>
  <c r="AC634" i="1" s="1"/>
  <c r="Y636" i="1"/>
  <c r="Y634" i="1" s="1"/>
  <c r="T636" i="1"/>
  <c r="T634" i="1" s="1"/>
  <c r="O636" i="1"/>
  <c r="O634" i="1" s="1"/>
  <c r="L636" i="1"/>
  <c r="L634" i="1" s="1"/>
  <c r="J636" i="1"/>
  <c r="I636" i="1"/>
  <c r="I634" i="1" s="1"/>
  <c r="H636" i="1"/>
  <c r="G636" i="1"/>
  <c r="G634" i="1" s="1"/>
  <c r="F636" i="1"/>
  <c r="E636" i="1"/>
  <c r="AI634" i="1"/>
  <c r="AH634" i="1"/>
  <c r="AD634" i="1"/>
  <c r="AE634" i="1" s="1"/>
  <c r="J634" i="1"/>
  <c r="P634" i="1" s="1"/>
  <c r="H634" i="1"/>
  <c r="F634" i="1"/>
  <c r="AI633" i="1"/>
  <c r="AH633" i="1"/>
  <c r="AD633" i="1"/>
  <c r="AC633" i="1"/>
  <c r="Y633" i="1"/>
  <c r="T633" i="1"/>
  <c r="O633" i="1"/>
  <c r="L633" i="1"/>
  <c r="J633" i="1"/>
  <c r="I633" i="1"/>
  <c r="H633" i="1"/>
  <c r="G633" i="1"/>
  <c r="F633" i="1"/>
  <c r="E633" i="1"/>
  <c r="AI632" i="1"/>
  <c r="AI630" i="1" s="1"/>
  <c r="AI629" i="1" s="1"/>
  <c r="AH632" i="1"/>
  <c r="AD632" i="1"/>
  <c r="AD736" i="1" s="1"/>
  <c r="AC632" i="1"/>
  <c r="Y632" i="1"/>
  <c r="Y630" i="1" s="1"/>
  <c r="Y629" i="1" s="1"/>
  <c r="T632" i="1"/>
  <c r="T630" i="1" s="1"/>
  <c r="T629" i="1" s="1"/>
  <c r="O632" i="1"/>
  <c r="O630" i="1" s="1"/>
  <c r="O629" i="1" s="1"/>
  <c r="L632" i="1"/>
  <c r="L630" i="1" s="1"/>
  <c r="L629" i="1" s="1"/>
  <c r="J632" i="1"/>
  <c r="J630" i="1" s="1"/>
  <c r="J629" i="1" s="1"/>
  <c r="I632" i="1"/>
  <c r="I630" i="1" s="1"/>
  <c r="I629" i="1" s="1"/>
  <c r="H632" i="1"/>
  <c r="H630" i="1" s="1"/>
  <c r="H629" i="1" s="1"/>
  <c r="G632" i="1"/>
  <c r="G630" i="1" s="1"/>
  <c r="G629" i="1" s="1"/>
  <c r="F632" i="1"/>
  <c r="F630" i="1" s="1"/>
  <c r="F629" i="1" s="1"/>
  <c r="AH630" i="1"/>
  <c r="AH629" i="1" s="1"/>
  <c r="AH626" i="1" s="1"/>
  <c r="AD630" i="1"/>
  <c r="AC630" i="1"/>
  <c r="AC629" i="1" s="1"/>
  <c r="AC626" i="1" s="1"/>
  <c r="P630" i="1"/>
  <c r="M630" i="1"/>
  <c r="K630" i="1"/>
  <c r="E630" i="1"/>
  <c r="AD629" i="1"/>
  <c r="AI628" i="1"/>
  <c r="AH628" i="1"/>
  <c r="AD628" i="1"/>
  <c r="AC628" i="1"/>
  <c r="Y628" i="1"/>
  <c r="U628" i="1"/>
  <c r="T628" i="1"/>
  <c r="P628" i="1"/>
  <c r="O628" i="1"/>
  <c r="M628" i="1"/>
  <c r="L628" i="1"/>
  <c r="K628" i="1"/>
  <c r="J628" i="1"/>
  <c r="I628" i="1"/>
  <c r="H628" i="1"/>
  <c r="G628" i="1"/>
  <c r="F628" i="1"/>
  <c r="E628" i="1"/>
  <c r="AI627" i="1"/>
  <c r="AH627" i="1"/>
  <c r="AD627" i="1"/>
  <c r="AD626" i="1" s="1"/>
  <c r="AC627" i="1"/>
  <c r="Y627" i="1"/>
  <c r="T627" i="1"/>
  <c r="O627" i="1"/>
  <c r="L627" i="1"/>
  <c r="J627" i="1"/>
  <c r="I627" i="1"/>
  <c r="H627" i="1"/>
  <c r="G627" i="1"/>
  <c r="G626" i="1" s="1"/>
  <c r="F627" i="1"/>
  <c r="E627" i="1"/>
  <c r="AI624" i="1"/>
  <c r="AH624" i="1"/>
  <c r="AD624" i="1"/>
  <c r="AC624" i="1"/>
  <c r="AC623" i="1" s="1"/>
  <c r="Y624" i="1"/>
  <c r="Y623" i="1" s="1"/>
  <c r="T624" i="1"/>
  <c r="T623" i="1" s="1"/>
  <c r="P624" i="1"/>
  <c r="O624" i="1"/>
  <c r="O623" i="1" s="1"/>
  <c r="M624" i="1"/>
  <c r="L624" i="1"/>
  <c r="L623" i="1" s="1"/>
  <c r="K624" i="1"/>
  <c r="J624" i="1"/>
  <c r="J623" i="1" s="1"/>
  <c r="I624" i="1"/>
  <c r="H624" i="1"/>
  <c r="H623" i="1" s="1"/>
  <c r="G624" i="1"/>
  <c r="G623" i="1" s="1"/>
  <c r="F624" i="1"/>
  <c r="F623" i="1" s="1"/>
  <c r="E624" i="1"/>
  <c r="AI623" i="1"/>
  <c r="AH623" i="1"/>
  <c r="AD623" i="1"/>
  <c r="I623" i="1"/>
  <c r="AI621" i="1"/>
  <c r="AH621" i="1"/>
  <c r="AD621" i="1"/>
  <c r="AC621" i="1"/>
  <c r="Y621" i="1"/>
  <c r="T621" i="1"/>
  <c r="O621" i="1"/>
  <c r="L621" i="1"/>
  <c r="J621" i="1"/>
  <c r="I621" i="1"/>
  <c r="H621" i="1"/>
  <c r="G621" i="1"/>
  <c r="F621" i="1"/>
  <c r="E621" i="1"/>
  <c r="AI620" i="1"/>
  <c r="AH620" i="1"/>
  <c r="AD620" i="1"/>
  <c r="AC620" i="1"/>
  <c r="Y620" i="1"/>
  <c r="T620" i="1"/>
  <c r="P620" i="1"/>
  <c r="O620" i="1"/>
  <c r="M620" i="1"/>
  <c r="L620" i="1"/>
  <c r="K620" i="1"/>
  <c r="J620" i="1"/>
  <c r="I620" i="1"/>
  <c r="H620" i="1"/>
  <c r="G620" i="1"/>
  <c r="F620" i="1"/>
  <c r="E620" i="1"/>
  <c r="AI618" i="1"/>
  <c r="AH618" i="1"/>
  <c r="AD618" i="1"/>
  <c r="AC618" i="1"/>
  <c r="Y618" i="1"/>
  <c r="U618" i="1"/>
  <c r="T618" i="1"/>
  <c r="O618" i="1"/>
  <c r="M618" i="1"/>
  <c r="L618" i="1"/>
  <c r="K618" i="1"/>
  <c r="J618" i="1"/>
  <c r="I618" i="1"/>
  <c r="H618" i="1"/>
  <c r="G618" i="1"/>
  <c r="F618" i="1"/>
  <c r="E618" i="1"/>
  <c r="AI617" i="1"/>
  <c r="AH617" i="1"/>
  <c r="AD617" i="1"/>
  <c r="AC617" i="1"/>
  <c r="Y617" i="1"/>
  <c r="T617" i="1"/>
  <c r="T616" i="1" s="1"/>
  <c r="T615" i="1" s="1"/>
  <c r="O617" i="1"/>
  <c r="O616" i="1" s="1"/>
  <c r="L617" i="1"/>
  <c r="J617" i="1"/>
  <c r="J616" i="1" s="1"/>
  <c r="I617" i="1"/>
  <c r="I616" i="1" s="1"/>
  <c r="H617" i="1"/>
  <c r="H616" i="1" s="1"/>
  <c r="G617" i="1"/>
  <c r="G616" i="1" s="1"/>
  <c r="F617" i="1"/>
  <c r="F616" i="1" s="1"/>
  <c r="E617" i="1"/>
  <c r="AC616" i="1"/>
  <c r="AC615" i="1" s="1"/>
  <c r="P614" i="1"/>
  <c r="AI613" i="1"/>
  <c r="AH613" i="1"/>
  <c r="AD613" i="1"/>
  <c r="AC613" i="1"/>
  <c r="Y613" i="1"/>
  <c r="T613" i="1"/>
  <c r="O613" i="1"/>
  <c r="L613" i="1"/>
  <c r="J613" i="1"/>
  <c r="I613" i="1"/>
  <c r="H613" i="1"/>
  <c r="G613" i="1"/>
  <c r="F613" i="1"/>
  <c r="E613" i="1"/>
  <c r="AH612" i="1"/>
  <c r="AC612" i="1"/>
  <c r="E612" i="1"/>
  <c r="AI611" i="1"/>
  <c r="AH611" i="1"/>
  <c r="AD611" i="1"/>
  <c r="AC611" i="1"/>
  <c r="Y611" i="1"/>
  <c r="U611" i="1"/>
  <c r="T611" i="1"/>
  <c r="P611" i="1"/>
  <c r="O611" i="1"/>
  <c r="M611" i="1"/>
  <c r="L611" i="1"/>
  <c r="K611" i="1"/>
  <c r="J611" i="1"/>
  <c r="I611" i="1"/>
  <c r="H611" i="1"/>
  <c r="G611" i="1"/>
  <c r="F611" i="1"/>
  <c r="E611" i="1"/>
  <c r="AE609" i="1"/>
  <c r="Z609" i="1"/>
  <c r="P609" i="1"/>
  <c r="AE608" i="1"/>
  <c r="Z608" i="1"/>
  <c r="P608" i="1"/>
  <c r="AI605" i="1"/>
  <c r="AH605" i="1"/>
  <c r="AD605" i="1"/>
  <c r="AC605" i="1"/>
  <c r="Y605" i="1"/>
  <c r="T605" i="1"/>
  <c r="O605" i="1"/>
  <c r="M605" i="1"/>
  <c r="L605" i="1"/>
  <c r="K605" i="1"/>
  <c r="J605" i="1"/>
  <c r="I605" i="1"/>
  <c r="I604" i="1" s="1"/>
  <c r="H605" i="1"/>
  <c r="G605" i="1"/>
  <c r="G604" i="1" s="1"/>
  <c r="F605" i="1"/>
  <c r="E605" i="1"/>
  <c r="AI604" i="1"/>
  <c r="AH604" i="1"/>
  <c r="AH602" i="1" s="1"/>
  <c r="AD604" i="1"/>
  <c r="AC604" i="1"/>
  <c r="AC602" i="1" s="1"/>
  <c r="Y604" i="1"/>
  <c r="T604" i="1"/>
  <c r="O604" i="1"/>
  <c r="L604" i="1"/>
  <c r="L602" i="1" s="1"/>
  <c r="J604" i="1"/>
  <c r="H604" i="1"/>
  <c r="H602" i="1" s="1"/>
  <c r="F604" i="1"/>
  <c r="AI602" i="1"/>
  <c r="AD602" i="1"/>
  <c r="O602" i="1"/>
  <c r="J602" i="1"/>
  <c r="F602" i="1"/>
  <c r="AI601" i="1"/>
  <c r="AH601" i="1"/>
  <c r="AD601" i="1"/>
  <c r="AC601" i="1"/>
  <c r="Y601" i="1"/>
  <c r="U601" i="1"/>
  <c r="T601" i="1"/>
  <c r="P601" i="1"/>
  <c r="O601" i="1"/>
  <c r="M601" i="1"/>
  <c r="L601" i="1"/>
  <c r="K601" i="1"/>
  <c r="J601" i="1"/>
  <c r="I601" i="1"/>
  <c r="H601" i="1"/>
  <c r="G601" i="1"/>
  <c r="F601" i="1"/>
  <c r="E601" i="1"/>
  <c r="AI600" i="1"/>
  <c r="AH600" i="1"/>
  <c r="AD600" i="1"/>
  <c r="AC600" i="1"/>
  <c r="Y600" i="1"/>
  <c r="T600" i="1"/>
  <c r="O600" i="1"/>
  <c r="L600" i="1"/>
  <c r="J600" i="1"/>
  <c r="I600" i="1"/>
  <c r="H600" i="1"/>
  <c r="G600" i="1"/>
  <c r="F600" i="1"/>
  <c r="E600" i="1"/>
  <c r="AI599" i="1"/>
  <c r="AH599" i="1"/>
  <c r="AD599" i="1"/>
  <c r="AC599" i="1"/>
  <c r="Y599" i="1"/>
  <c r="T599" i="1"/>
  <c r="T598" i="1" s="1"/>
  <c r="O599" i="1"/>
  <c r="L599" i="1"/>
  <c r="J599" i="1"/>
  <c r="I599" i="1"/>
  <c r="I598" i="1" s="1"/>
  <c r="H599" i="1"/>
  <c r="G599" i="1"/>
  <c r="F599" i="1"/>
  <c r="E599" i="1"/>
  <c r="AI597" i="1"/>
  <c r="AH597" i="1"/>
  <c r="AD597" i="1"/>
  <c r="AC597" i="1"/>
  <c r="Y597" i="1"/>
  <c r="T597" i="1"/>
  <c r="P597" i="1"/>
  <c r="O597" i="1"/>
  <c r="M597" i="1"/>
  <c r="L597" i="1"/>
  <c r="K597" i="1"/>
  <c r="J597" i="1"/>
  <c r="I597" i="1"/>
  <c r="H597" i="1"/>
  <c r="G597" i="1"/>
  <c r="F597" i="1"/>
  <c r="E597" i="1"/>
  <c r="AI596" i="1"/>
  <c r="AH596" i="1"/>
  <c r="AD596" i="1"/>
  <c r="AC596" i="1"/>
  <c r="Y596" i="1"/>
  <c r="U596" i="1"/>
  <c r="T596" i="1"/>
  <c r="P596" i="1"/>
  <c r="O596" i="1"/>
  <c r="M596" i="1"/>
  <c r="L596" i="1"/>
  <c r="K596" i="1"/>
  <c r="J596" i="1"/>
  <c r="I596" i="1"/>
  <c r="H596" i="1"/>
  <c r="G596" i="1"/>
  <c r="F596" i="1"/>
  <c r="E596" i="1"/>
  <c r="AI595" i="1"/>
  <c r="AH595" i="1"/>
  <c r="AD595" i="1"/>
  <c r="AD698" i="1" s="1"/>
  <c r="AC595" i="1"/>
  <c r="Y595" i="1"/>
  <c r="T595" i="1"/>
  <c r="O595" i="1"/>
  <c r="L595" i="1"/>
  <c r="J595" i="1"/>
  <c r="I595" i="1"/>
  <c r="H595" i="1"/>
  <c r="G595" i="1"/>
  <c r="F595" i="1"/>
  <c r="E595" i="1"/>
  <c r="AI594" i="1"/>
  <c r="AH594" i="1"/>
  <c r="AD594" i="1"/>
  <c r="AC594" i="1"/>
  <c r="Y594" i="1"/>
  <c r="U594" i="1"/>
  <c r="T594" i="1"/>
  <c r="T593" i="1" s="1"/>
  <c r="P594" i="1"/>
  <c r="O594" i="1"/>
  <c r="O593" i="1" s="1"/>
  <c r="M594" i="1"/>
  <c r="L594" i="1"/>
  <c r="L593" i="1" s="1"/>
  <c r="K594" i="1"/>
  <c r="J594" i="1"/>
  <c r="J593" i="1" s="1"/>
  <c r="I594" i="1"/>
  <c r="H594" i="1"/>
  <c r="G594" i="1"/>
  <c r="F594" i="1"/>
  <c r="E594" i="1"/>
  <c r="AI593" i="1"/>
  <c r="AH593" i="1"/>
  <c r="AD593" i="1"/>
  <c r="AC593" i="1"/>
  <c r="Y593" i="1"/>
  <c r="I593" i="1"/>
  <c r="H593" i="1"/>
  <c r="G593" i="1"/>
  <c r="F593" i="1"/>
  <c r="AI592" i="1"/>
  <c r="AH592" i="1"/>
  <c r="AC592" i="1"/>
  <c r="AI591" i="1"/>
  <c r="AI590" i="1" s="1"/>
  <c r="AH591" i="1"/>
  <c r="AC591" i="1"/>
  <c r="Y591" i="1"/>
  <c r="Y590" i="1" s="1"/>
  <c r="T591" i="1"/>
  <c r="T590" i="1" s="1"/>
  <c r="O591" i="1"/>
  <c r="O590" i="1" s="1"/>
  <c r="L591" i="1"/>
  <c r="L590" i="1" s="1"/>
  <c r="J591" i="1"/>
  <c r="J590" i="1" s="1"/>
  <c r="I591" i="1"/>
  <c r="I590" i="1" s="1"/>
  <c r="H591" i="1"/>
  <c r="H590" i="1" s="1"/>
  <c r="G591" i="1"/>
  <c r="G590" i="1" s="1"/>
  <c r="F591" i="1"/>
  <c r="F590" i="1" s="1"/>
  <c r="E591" i="1"/>
  <c r="AI589" i="1"/>
  <c r="AH589" i="1"/>
  <c r="AD589" i="1"/>
  <c r="AD696" i="1" s="1"/>
  <c r="AC589" i="1"/>
  <c r="Y589" i="1"/>
  <c r="T589" i="1"/>
  <c r="O589" i="1"/>
  <c r="L589" i="1"/>
  <c r="J589" i="1"/>
  <c r="I589" i="1"/>
  <c r="H589" i="1"/>
  <c r="G589" i="1"/>
  <c r="F589" i="1"/>
  <c r="E589" i="1"/>
  <c r="AI587" i="1"/>
  <c r="AH587" i="1"/>
  <c r="AD587" i="1"/>
  <c r="AC587" i="1"/>
  <c r="Y587" i="1"/>
  <c r="U587" i="1"/>
  <c r="T587" i="1"/>
  <c r="P587" i="1"/>
  <c r="O587" i="1"/>
  <c r="M587" i="1"/>
  <c r="L587" i="1"/>
  <c r="K587" i="1"/>
  <c r="J587" i="1"/>
  <c r="I587" i="1"/>
  <c r="H587" i="1"/>
  <c r="G587" i="1"/>
  <c r="F587" i="1"/>
  <c r="E587" i="1"/>
  <c r="AI586" i="1"/>
  <c r="AH586" i="1"/>
  <c r="AD586" i="1"/>
  <c r="AC586" i="1"/>
  <c r="Y586" i="1"/>
  <c r="U586" i="1"/>
  <c r="T586" i="1"/>
  <c r="P586" i="1"/>
  <c r="O586" i="1"/>
  <c r="M586" i="1"/>
  <c r="L586" i="1"/>
  <c r="K586" i="1"/>
  <c r="J586" i="1"/>
  <c r="I586" i="1"/>
  <c r="H586" i="1"/>
  <c r="G586" i="1"/>
  <c r="F586" i="1"/>
  <c r="E586" i="1"/>
  <c r="AI585" i="1"/>
  <c r="AH585" i="1"/>
  <c r="AD585" i="1"/>
  <c r="AC585" i="1"/>
  <c r="Y585" i="1"/>
  <c r="T585" i="1"/>
  <c r="O585" i="1"/>
  <c r="O584" i="1" s="1"/>
  <c r="L585" i="1"/>
  <c r="J585" i="1"/>
  <c r="J584" i="1" s="1"/>
  <c r="I585" i="1"/>
  <c r="I584" i="1" s="1"/>
  <c r="H585" i="1"/>
  <c r="G585" i="1"/>
  <c r="G584" i="1" s="1"/>
  <c r="F585" i="1"/>
  <c r="F584" i="1" s="1"/>
  <c r="E585" i="1"/>
  <c r="AI584" i="1"/>
  <c r="AH584" i="1"/>
  <c r="AD584" i="1"/>
  <c r="AC584" i="1"/>
  <c r="Y584" i="1"/>
  <c r="H584" i="1"/>
  <c r="AI582" i="1"/>
  <c r="AH582" i="1"/>
  <c r="AD582" i="1"/>
  <c r="AD695" i="1" s="1"/>
  <c r="AC582" i="1"/>
  <c r="Y582" i="1"/>
  <c r="T582" i="1"/>
  <c r="O582" i="1"/>
  <c r="L582" i="1"/>
  <c r="J582" i="1"/>
  <c r="I582" i="1"/>
  <c r="H582" i="1"/>
  <c r="G582" i="1"/>
  <c r="F582" i="1"/>
  <c r="E582" i="1"/>
  <c r="AI581" i="1"/>
  <c r="AH581" i="1"/>
  <c r="AD581" i="1"/>
  <c r="AC581" i="1"/>
  <c r="Y581" i="1"/>
  <c r="U581" i="1"/>
  <c r="T581" i="1"/>
  <c r="P581" i="1"/>
  <c r="O581" i="1"/>
  <c r="M581" i="1"/>
  <c r="L581" i="1"/>
  <c r="K581" i="1"/>
  <c r="J581" i="1"/>
  <c r="I581" i="1"/>
  <c r="H581" i="1"/>
  <c r="G581" i="1"/>
  <c r="F581" i="1"/>
  <c r="E581" i="1"/>
  <c r="AI580" i="1"/>
  <c r="AH580" i="1"/>
  <c r="AD580" i="1"/>
  <c r="AC580" i="1"/>
  <c r="Y580" i="1"/>
  <c r="T580" i="1"/>
  <c r="O580" i="1"/>
  <c r="L580" i="1"/>
  <c r="J580" i="1"/>
  <c r="I580" i="1"/>
  <c r="H580" i="1"/>
  <c r="G580" i="1"/>
  <c r="F580" i="1"/>
  <c r="E580" i="1"/>
  <c r="AI578" i="1"/>
  <c r="AI577" i="1" s="1"/>
  <c r="AH578" i="1"/>
  <c r="AD578" i="1"/>
  <c r="AC578" i="1"/>
  <c r="Y578" i="1"/>
  <c r="U578" i="1"/>
  <c r="T578" i="1"/>
  <c r="P578" i="1"/>
  <c r="O578" i="1"/>
  <c r="O577" i="1" s="1"/>
  <c r="M578" i="1"/>
  <c r="L578" i="1"/>
  <c r="K578" i="1"/>
  <c r="J578" i="1"/>
  <c r="J577" i="1" s="1"/>
  <c r="I578" i="1"/>
  <c r="H578" i="1"/>
  <c r="H577" i="1" s="1"/>
  <c r="G578" i="1"/>
  <c r="G577" i="1" s="1"/>
  <c r="F578" i="1"/>
  <c r="F577" i="1" s="1"/>
  <c r="E578" i="1"/>
  <c r="AH577" i="1"/>
  <c r="AD577" i="1"/>
  <c r="AC577" i="1"/>
  <c r="Y577" i="1"/>
  <c r="I577" i="1"/>
  <c r="AI576" i="1"/>
  <c r="AH576" i="1"/>
  <c r="AD576" i="1"/>
  <c r="AC576" i="1"/>
  <c r="Y576" i="1"/>
  <c r="U576" i="1"/>
  <c r="T576" i="1"/>
  <c r="P576" i="1"/>
  <c r="O576" i="1"/>
  <c r="M576" i="1"/>
  <c r="L576" i="1"/>
  <c r="K576" i="1"/>
  <c r="J576" i="1"/>
  <c r="I576" i="1"/>
  <c r="H576" i="1"/>
  <c r="G576" i="1"/>
  <c r="F576" i="1"/>
  <c r="E576" i="1"/>
  <c r="AI575" i="1"/>
  <c r="AH575" i="1"/>
  <c r="AD575" i="1"/>
  <c r="AD694" i="1" s="1"/>
  <c r="AC575" i="1"/>
  <c r="Y575" i="1"/>
  <c r="Y574" i="1" s="1"/>
  <c r="U575" i="1"/>
  <c r="T575" i="1"/>
  <c r="T574" i="1" s="1"/>
  <c r="P575" i="1"/>
  <c r="O575" i="1"/>
  <c r="O574" i="1" s="1"/>
  <c r="M575" i="1"/>
  <c r="L575" i="1"/>
  <c r="L574" i="1" s="1"/>
  <c r="K575" i="1"/>
  <c r="J575" i="1"/>
  <c r="J574" i="1" s="1"/>
  <c r="I575" i="1"/>
  <c r="H575" i="1"/>
  <c r="H574" i="1" s="1"/>
  <c r="G575" i="1"/>
  <c r="F575" i="1"/>
  <c r="F574" i="1" s="1"/>
  <c r="E575" i="1"/>
  <c r="AI574" i="1"/>
  <c r="AH574" i="1"/>
  <c r="AC574" i="1"/>
  <c r="I574" i="1"/>
  <c r="G574" i="1"/>
  <c r="AI571" i="1"/>
  <c r="AH571" i="1"/>
  <c r="AD571" i="1"/>
  <c r="AC571" i="1"/>
  <c r="Y571" i="1"/>
  <c r="T571" i="1"/>
  <c r="O571" i="1"/>
  <c r="L571" i="1"/>
  <c r="J571" i="1"/>
  <c r="I571" i="1"/>
  <c r="H571" i="1"/>
  <c r="G571" i="1"/>
  <c r="F571" i="1"/>
  <c r="E571" i="1"/>
  <c r="AI569" i="1"/>
  <c r="AH569" i="1"/>
  <c r="AD569" i="1"/>
  <c r="AC569" i="1"/>
  <c r="Y569" i="1"/>
  <c r="T569" i="1"/>
  <c r="O569" i="1"/>
  <c r="L569" i="1"/>
  <c r="J569" i="1"/>
  <c r="I569" i="1"/>
  <c r="H569" i="1"/>
  <c r="G569" i="1"/>
  <c r="F569" i="1"/>
  <c r="AI568" i="1"/>
  <c r="AH568" i="1"/>
  <c r="AD568" i="1"/>
  <c r="AD693" i="1" s="1"/>
  <c r="AC568" i="1"/>
  <c r="Y568" i="1"/>
  <c r="U568" i="1"/>
  <c r="T568" i="1"/>
  <c r="P568" i="1"/>
  <c r="O568" i="1"/>
  <c r="M568" i="1"/>
  <c r="L568" i="1"/>
  <c r="K568" i="1"/>
  <c r="J568" i="1"/>
  <c r="I568" i="1"/>
  <c r="H568" i="1"/>
  <c r="G568" i="1"/>
  <c r="F568" i="1"/>
  <c r="E568" i="1"/>
  <c r="AI564" i="1"/>
  <c r="AH564" i="1"/>
  <c r="AD564" i="1"/>
  <c r="AD563" i="1" s="1"/>
  <c r="AC564" i="1"/>
  <c r="AC563" i="1" s="1"/>
  <c r="Y564" i="1"/>
  <c r="U564" i="1"/>
  <c r="T564" i="1"/>
  <c r="T563" i="1" s="1"/>
  <c r="P564" i="1"/>
  <c r="O564" i="1"/>
  <c r="M564" i="1"/>
  <c r="L564" i="1"/>
  <c r="L563" i="1" s="1"/>
  <c r="K564" i="1"/>
  <c r="J564" i="1"/>
  <c r="I564" i="1"/>
  <c r="I563" i="1" s="1"/>
  <c r="H564" i="1"/>
  <c r="H563" i="1" s="1"/>
  <c r="G564" i="1"/>
  <c r="G563" i="1" s="1"/>
  <c r="F564" i="1"/>
  <c r="F563" i="1" s="1"/>
  <c r="E564" i="1"/>
  <c r="AI563" i="1"/>
  <c r="AH563" i="1"/>
  <c r="Y563" i="1"/>
  <c r="O563" i="1"/>
  <c r="J563" i="1"/>
  <c r="AI562" i="1"/>
  <c r="AH562" i="1"/>
  <c r="AD562" i="1"/>
  <c r="AD692" i="1" s="1"/>
  <c r="AC562" i="1"/>
  <c r="Y562" i="1"/>
  <c r="T562" i="1"/>
  <c r="O562" i="1"/>
  <c r="L562" i="1"/>
  <c r="J562" i="1"/>
  <c r="I562" i="1"/>
  <c r="H562" i="1"/>
  <c r="G562" i="1"/>
  <c r="F562" i="1"/>
  <c r="E562" i="1"/>
  <c r="AI561" i="1"/>
  <c r="AH561" i="1"/>
  <c r="AD561" i="1"/>
  <c r="AC561" i="1"/>
  <c r="Y561" i="1"/>
  <c r="U561" i="1"/>
  <c r="T561" i="1"/>
  <c r="P561" i="1"/>
  <c r="O561" i="1"/>
  <c r="M561" i="1"/>
  <c r="L561" i="1"/>
  <c r="K561" i="1"/>
  <c r="J561" i="1"/>
  <c r="I561" i="1"/>
  <c r="H561" i="1"/>
  <c r="G561" i="1"/>
  <c r="F561" i="1"/>
  <c r="E561" i="1"/>
  <c r="AI560" i="1"/>
  <c r="AH560" i="1"/>
  <c r="AD560" i="1"/>
  <c r="AC560" i="1"/>
  <c r="Y560" i="1"/>
  <c r="T560" i="1"/>
  <c r="O560" i="1"/>
  <c r="L560" i="1"/>
  <c r="J560" i="1"/>
  <c r="I560" i="1"/>
  <c r="H560" i="1"/>
  <c r="G560" i="1"/>
  <c r="F560" i="1"/>
  <c r="E560" i="1"/>
  <c r="AI558" i="1"/>
  <c r="AH558" i="1"/>
  <c r="AD558" i="1"/>
  <c r="AC558" i="1"/>
  <c r="Y558" i="1"/>
  <c r="Y557" i="1" s="1"/>
  <c r="T558" i="1"/>
  <c r="O558" i="1"/>
  <c r="L558" i="1"/>
  <c r="J558" i="1"/>
  <c r="J557" i="1" s="1"/>
  <c r="I558" i="1"/>
  <c r="H558" i="1"/>
  <c r="H557" i="1" s="1"/>
  <c r="G558" i="1"/>
  <c r="F558" i="1"/>
  <c r="F557" i="1" s="1"/>
  <c r="E558" i="1"/>
  <c r="AI557" i="1"/>
  <c r="AH557" i="1"/>
  <c r="AD557" i="1"/>
  <c r="O557" i="1"/>
  <c r="I557" i="1"/>
  <c r="G557" i="1"/>
  <c r="AI556" i="1"/>
  <c r="AH556" i="1"/>
  <c r="AD556" i="1"/>
  <c r="AD691" i="1" s="1"/>
  <c r="AC556" i="1"/>
  <c r="Y556" i="1"/>
  <c r="T556" i="1"/>
  <c r="O556" i="1"/>
  <c r="L556" i="1"/>
  <c r="J556" i="1"/>
  <c r="I556" i="1"/>
  <c r="H556" i="1"/>
  <c r="G556" i="1"/>
  <c r="F556" i="1"/>
  <c r="E556" i="1"/>
  <c r="AI555" i="1"/>
  <c r="AH555" i="1"/>
  <c r="AD555" i="1"/>
  <c r="AC555" i="1"/>
  <c r="Y555" i="1"/>
  <c r="U555" i="1"/>
  <c r="T555" i="1"/>
  <c r="P555" i="1"/>
  <c r="O555" i="1"/>
  <c r="M555" i="1"/>
  <c r="L555" i="1"/>
  <c r="K555" i="1"/>
  <c r="J555" i="1"/>
  <c r="I555" i="1"/>
  <c r="H555" i="1"/>
  <c r="G555" i="1"/>
  <c r="F555" i="1"/>
  <c r="E555" i="1"/>
  <c r="AI554" i="1"/>
  <c r="AH554" i="1"/>
  <c r="AD554" i="1"/>
  <c r="AC554" i="1"/>
  <c r="Y554" i="1"/>
  <c r="T554" i="1"/>
  <c r="O554" i="1"/>
  <c r="L554" i="1"/>
  <c r="J554" i="1"/>
  <c r="I554" i="1"/>
  <c r="H554" i="1"/>
  <c r="G554" i="1"/>
  <c r="F554" i="1"/>
  <c r="E554" i="1"/>
  <c r="AI552" i="1"/>
  <c r="AH552" i="1"/>
  <c r="AD552" i="1"/>
  <c r="AC552" i="1"/>
  <c r="Y552" i="1"/>
  <c r="T552" i="1"/>
  <c r="O552" i="1"/>
  <c r="O551" i="1" s="1"/>
  <c r="L552" i="1"/>
  <c r="J552" i="1"/>
  <c r="J551" i="1" s="1"/>
  <c r="I552" i="1"/>
  <c r="H552" i="1"/>
  <c r="G552" i="1"/>
  <c r="F552" i="1"/>
  <c r="E552" i="1"/>
  <c r="AI551" i="1"/>
  <c r="AH551" i="1"/>
  <c r="AD551" i="1"/>
  <c r="AC551" i="1"/>
  <c r="Y551" i="1"/>
  <c r="I551" i="1"/>
  <c r="H551" i="1"/>
  <c r="G551" i="1"/>
  <c r="F551" i="1"/>
  <c r="AI550" i="1"/>
  <c r="AH550" i="1"/>
  <c r="AD550" i="1"/>
  <c r="AD690" i="1" s="1"/>
  <c r="AC550" i="1"/>
  <c r="Y550" i="1"/>
  <c r="U550" i="1"/>
  <c r="T550" i="1"/>
  <c r="P550" i="1"/>
  <c r="O550" i="1"/>
  <c r="M550" i="1"/>
  <c r="L550" i="1"/>
  <c r="K550" i="1"/>
  <c r="J550" i="1"/>
  <c r="I550" i="1"/>
  <c r="H550" i="1"/>
  <c r="G550" i="1"/>
  <c r="F550" i="1"/>
  <c r="E550" i="1"/>
  <c r="AI549" i="1"/>
  <c r="AH549" i="1"/>
  <c r="AD549" i="1"/>
  <c r="AC549" i="1"/>
  <c r="Y549" i="1"/>
  <c r="U549" i="1"/>
  <c r="T549" i="1"/>
  <c r="P549" i="1"/>
  <c r="O549" i="1"/>
  <c r="M549" i="1"/>
  <c r="L549" i="1"/>
  <c r="K549" i="1"/>
  <c r="J549" i="1"/>
  <c r="I549" i="1"/>
  <c r="H549" i="1"/>
  <c r="G549" i="1"/>
  <c r="F549" i="1"/>
  <c r="E549" i="1"/>
  <c r="AI548" i="1"/>
  <c r="AH548" i="1"/>
  <c r="AD548" i="1"/>
  <c r="AC548" i="1"/>
  <c r="Y548" i="1"/>
  <c r="T548" i="1"/>
  <c r="O548" i="1"/>
  <c r="L548" i="1"/>
  <c r="J548" i="1"/>
  <c r="I548" i="1"/>
  <c r="H548" i="1"/>
  <c r="G548" i="1"/>
  <c r="F548" i="1"/>
  <c r="E548" i="1"/>
  <c r="AI546" i="1"/>
  <c r="AH546" i="1"/>
  <c r="AD546" i="1"/>
  <c r="AD545" i="1" s="1"/>
  <c r="AC546" i="1"/>
  <c r="AC545" i="1" s="1"/>
  <c r="Y546" i="1"/>
  <c r="U546" i="1"/>
  <c r="T546" i="1"/>
  <c r="P546" i="1"/>
  <c r="O546" i="1"/>
  <c r="M546" i="1"/>
  <c r="L546" i="1"/>
  <c r="K546" i="1"/>
  <c r="J546" i="1"/>
  <c r="I546" i="1"/>
  <c r="I545" i="1" s="1"/>
  <c r="I544" i="1" s="1"/>
  <c r="H546" i="1"/>
  <c r="G546" i="1"/>
  <c r="G545" i="1" s="1"/>
  <c r="G544" i="1" s="1"/>
  <c r="F546" i="1"/>
  <c r="E546" i="1"/>
  <c r="AI545" i="1"/>
  <c r="AH545" i="1"/>
  <c r="AH544" i="1" s="1"/>
  <c r="Y545" i="1"/>
  <c r="O545" i="1"/>
  <c r="J545" i="1"/>
  <c r="H545" i="1"/>
  <c r="F545" i="1"/>
  <c r="AI543" i="1"/>
  <c r="AH543" i="1"/>
  <c r="AD543" i="1"/>
  <c r="AD689" i="1" s="1"/>
  <c r="AC543" i="1"/>
  <c r="Y543" i="1"/>
  <c r="T543" i="1"/>
  <c r="O543" i="1"/>
  <c r="L543" i="1"/>
  <c r="J543" i="1"/>
  <c r="I543" i="1"/>
  <c r="H543" i="1"/>
  <c r="G543" i="1"/>
  <c r="F543" i="1"/>
  <c r="E543" i="1"/>
  <c r="AI542" i="1"/>
  <c r="AH542" i="1"/>
  <c r="AD542" i="1"/>
  <c r="AC542" i="1"/>
  <c r="Y542" i="1"/>
  <c r="T542" i="1"/>
  <c r="P542" i="1"/>
  <c r="O542" i="1"/>
  <c r="M542" i="1"/>
  <c r="L542" i="1"/>
  <c r="K542" i="1"/>
  <c r="J542" i="1"/>
  <c r="I542" i="1"/>
  <c r="H542" i="1"/>
  <c r="G542" i="1"/>
  <c r="F542" i="1"/>
  <c r="E542" i="1"/>
  <c r="P541" i="1"/>
  <c r="M541" i="1"/>
  <c r="K541" i="1"/>
  <c r="E541" i="1"/>
  <c r="AI540" i="1"/>
  <c r="AH540" i="1"/>
  <c r="AD540" i="1"/>
  <c r="AC540" i="1"/>
  <c r="Y540" i="1"/>
  <c r="T540" i="1"/>
  <c r="O540" i="1"/>
  <c r="L540" i="1"/>
  <c r="J540" i="1"/>
  <c r="I540" i="1"/>
  <c r="H540" i="1"/>
  <c r="G540" i="1"/>
  <c r="F540" i="1"/>
  <c r="E540" i="1"/>
  <c r="AI539" i="1"/>
  <c r="AH539" i="1"/>
  <c r="AH538" i="1" s="1"/>
  <c r="AD539" i="1"/>
  <c r="AC539" i="1"/>
  <c r="AC538" i="1" s="1"/>
  <c r="Y539" i="1"/>
  <c r="T539" i="1"/>
  <c r="T538" i="1" s="1"/>
  <c r="O539" i="1"/>
  <c r="L539" i="1"/>
  <c r="L538" i="1" s="1"/>
  <c r="J539" i="1"/>
  <c r="I539" i="1"/>
  <c r="I538" i="1" s="1"/>
  <c r="H539" i="1"/>
  <c r="G539" i="1"/>
  <c r="G538" i="1" s="1"/>
  <c r="F539" i="1"/>
  <c r="E539" i="1"/>
  <c r="AI536" i="1"/>
  <c r="AH536" i="1"/>
  <c r="AD536" i="1"/>
  <c r="AC536" i="1"/>
  <c r="Y536" i="1"/>
  <c r="T536" i="1"/>
  <c r="O536" i="1"/>
  <c r="L536" i="1"/>
  <c r="J536" i="1"/>
  <c r="I536" i="1"/>
  <c r="H536" i="1"/>
  <c r="G536" i="1"/>
  <c r="F536" i="1"/>
  <c r="E536" i="1"/>
  <c r="AI535" i="1"/>
  <c r="AH535" i="1"/>
  <c r="AD535" i="1"/>
  <c r="AC535" i="1"/>
  <c r="AC534" i="1" s="1"/>
  <c r="Y535" i="1"/>
  <c r="Y534" i="1" s="1"/>
  <c r="T535" i="1"/>
  <c r="T534" i="1" s="1"/>
  <c r="O535" i="1"/>
  <c r="O534" i="1" s="1"/>
  <c r="L535" i="1"/>
  <c r="L534" i="1" s="1"/>
  <c r="J535" i="1"/>
  <c r="J534" i="1" s="1"/>
  <c r="I535" i="1"/>
  <c r="I534" i="1" s="1"/>
  <c r="H535" i="1"/>
  <c r="H534" i="1" s="1"/>
  <c r="G535" i="1"/>
  <c r="G534" i="1" s="1"/>
  <c r="F535" i="1"/>
  <c r="F534" i="1" s="1"/>
  <c r="E535" i="1"/>
  <c r="AI534" i="1"/>
  <c r="AH534" i="1"/>
  <c r="AD534" i="1"/>
  <c r="AI533" i="1"/>
  <c r="AH533" i="1"/>
  <c r="AD533" i="1"/>
  <c r="AC533" i="1"/>
  <c r="Y533" i="1"/>
  <c r="T533" i="1"/>
  <c r="O533" i="1"/>
  <c r="L533" i="1"/>
  <c r="J533" i="1"/>
  <c r="I533" i="1"/>
  <c r="H533" i="1"/>
  <c r="G533" i="1"/>
  <c r="F533" i="1"/>
  <c r="E533" i="1"/>
  <c r="AI532" i="1"/>
  <c r="AH532" i="1"/>
  <c r="AD532" i="1"/>
  <c r="AC532" i="1"/>
  <c r="Y532" i="1"/>
  <c r="AE532" i="1" s="1"/>
  <c r="T532" i="1"/>
  <c r="O532" i="1"/>
  <c r="L532" i="1"/>
  <c r="J532" i="1"/>
  <c r="I532" i="1"/>
  <c r="H532" i="1"/>
  <c r="G532" i="1"/>
  <c r="F532" i="1"/>
  <c r="E532" i="1"/>
  <c r="AH531" i="1"/>
  <c r="AI530" i="1"/>
  <c r="AH530" i="1"/>
  <c r="AD530" i="1"/>
  <c r="AC530" i="1"/>
  <c r="Y530" i="1"/>
  <c r="T530" i="1"/>
  <c r="O530" i="1"/>
  <c r="L530" i="1"/>
  <c r="J530" i="1"/>
  <c r="I530" i="1"/>
  <c r="H530" i="1"/>
  <c r="G530" i="1"/>
  <c r="F530" i="1"/>
  <c r="E530" i="1"/>
  <c r="AI527" i="1"/>
  <c r="AH527" i="1"/>
  <c r="AD527" i="1"/>
  <c r="AC527" i="1"/>
  <c r="Y527" i="1"/>
  <c r="T527" i="1"/>
  <c r="P527" i="1"/>
  <c r="O527" i="1"/>
  <c r="M527" i="1"/>
  <c r="L527" i="1"/>
  <c r="K527" i="1"/>
  <c r="J527" i="1"/>
  <c r="I527" i="1"/>
  <c r="H527" i="1"/>
  <c r="G527" i="1"/>
  <c r="F527" i="1"/>
  <c r="E527" i="1"/>
  <c r="AI526" i="1"/>
  <c r="AH526" i="1"/>
  <c r="AD526" i="1"/>
  <c r="AC526" i="1"/>
  <c r="Y526" i="1"/>
  <c r="T526" i="1"/>
  <c r="O526" i="1"/>
  <c r="L526" i="1"/>
  <c r="J526" i="1"/>
  <c r="I526" i="1"/>
  <c r="H526" i="1"/>
  <c r="G526" i="1"/>
  <c r="F526" i="1"/>
  <c r="E526" i="1"/>
  <c r="AI525" i="1"/>
  <c r="AH525" i="1"/>
  <c r="AD525" i="1"/>
  <c r="AC525" i="1"/>
  <c r="Y525" i="1"/>
  <c r="T525" i="1"/>
  <c r="O525" i="1"/>
  <c r="L525" i="1"/>
  <c r="J525" i="1"/>
  <c r="I525" i="1"/>
  <c r="H525" i="1"/>
  <c r="G525" i="1"/>
  <c r="F525" i="1"/>
  <c r="E525" i="1"/>
  <c r="E524" i="1"/>
  <c r="E523" i="1"/>
  <c r="AI522" i="1"/>
  <c r="AH522" i="1"/>
  <c r="AD522" i="1"/>
  <c r="AD521" i="1" s="1"/>
  <c r="AC522" i="1"/>
  <c r="AC521" i="1" s="1"/>
  <c r="Y522" i="1"/>
  <c r="T522" i="1"/>
  <c r="T521" i="1" s="1"/>
  <c r="T520" i="1" s="1"/>
  <c r="O522" i="1"/>
  <c r="L522" i="1"/>
  <c r="L521" i="1" s="1"/>
  <c r="L520" i="1" s="1"/>
  <c r="J522" i="1"/>
  <c r="I522" i="1"/>
  <c r="I521" i="1" s="1"/>
  <c r="I520" i="1" s="1"/>
  <c r="H522" i="1"/>
  <c r="G522" i="1"/>
  <c r="G521" i="1" s="1"/>
  <c r="G520" i="1" s="1"/>
  <c r="F522" i="1"/>
  <c r="E522" i="1"/>
  <c r="AI521" i="1"/>
  <c r="AH521" i="1"/>
  <c r="AH520" i="1" s="1"/>
  <c r="Y521" i="1"/>
  <c r="Y520" i="1" s="1"/>
  <c r="U521" i="1"/>
  <c r="P521" i="1"/>
  <c r="O521" i="1"/>
  <c r="O520" i="1" s="1"/>
  <c r="M521" i="1"/>
  <c r="K521" i="1"/>
  <c r="J521" i="1"/>
  <c r="J520" i="1" s="1"/>
  <c r="H521" i="1"/>
  <c r="F521" i="1"/>
  <c r="F520" i="1" s="1"/>
  <c r="AI519" i="1"/>
  <c r="AH519" i="1"/>
  <c r="AD519" i="1"/>
  <c r="AC519" i="1"/>
  <c r="Y519" i="1"/>
  <c r="U519" i="1"/>
  <c r="T519" i="1"/>
  <c r="P519" i="1"/>
  <c r="O519" i="1"/>
  <c r="M519" i="1"/>
  <c r="L519" i="1"/>
  <c r="K519" i="1"/>
  <c r="J519" i="1"/>
  <c r="I519" i="1"/>
  <c r="H519" i="1"/>
  <c r="G519" i="1"/>
  <c r="F519" i="1"/>
  <c r="E519" i="1"/>
  <c r="AI518" i="1"/>
  <c r="AH518" i="1"/>
  <c r="AD518" i="1"/>
  <c r="AC518" i="1"/>
  <c r="Y518" i="1"/>
  <c r="U518" i="1"/>
  <c r="T518" i="1"/>
  <c r="T517" i="1" s="1"/>
  <c r="P518" i="1"/>
  <c r="O518" i="1"/>
  <c r="O517" i="1" s="1"/>
  <c r="M518" i="1"/>
  <c r="L518" i="1"/>
  <c r="L517" i="1" s="1"/>
  <c r="K518" i="1"/>
  <c r="J518" i="1"/>
  <c r="I518" i="1"/>
  <c r="H518" i="1"/>
  <c r="G518" i="1"/>
  <c r="F518" i="1"/>
  <c r="E518" i="1"/>
  <c r="AI517" i="1"/>
  <c r="AI516" i="1"/>
  <c r="AH516" i="1"/>
  <c r="AD516" i="1"/>
  <c r="AC516" i="1"/>
  <c r="Y516" i="1"/>
  <c r="T516" i="1"/>
  <c r="O516" i="1"/>
  <c r="L516" i="1"/>
  <c r="J516" i="1"/>
  <c r="I516" i="1"/>
  <c r="H516" i="1"/>
  <c r="G516" i="1"/>
  <c r="F516" i="1"/>
  <c r="E516" i="1"/>
  <c r="AI515" i="1"/>
  <c r="AH515" i="1"/>
  <c r="AD515" i="1"/>
  <c r="AC515" i="1"/>
  <c r="Y515" i="1"/>
  <c r="T515" i="1"/>
  <c r="O515" i="1"/>
  <c r="M515" i="1"/>
  <c r="L515" i="1"/>
  <c r="L514" i="1" s="1"/>
  <c r="K515" i="1"/>
  <c r="J515" i="1"/>
  <c r="I515" i="1"/>
  <c r="H515" i="1"/>
  <c r="G515" i="1"/>
  <c r="F515" i="1"/>
  <c r="E515" i="1"/>
  <c r="AI514" i="1"/>
  <c r="AH514" i="1"/>
  <c r="AD514" i="1"/>
  <c r="AC514" i="1"/>
  <c r="Y514" i="1"/>
  <c r="T514" i="1"/>
  <c r="O514" i="1"/>
  <c r="J514" i="1"/>
  <c r="I514" i="1"/>
  <c r="H514" i="1"/>
  <c r="G514" i="1"/>
  <c r="F514" i="1"/>
  <c r="AI513" i="1"/>
  <c r="AH513" i="1"/>
  <c r="AD513" i="1"/>
  <c r="AC513" i="1"/>
  <c r="Y513" i="1"/>
  <c r="T513" i="1"/>
  <c r="U513" i="1" s="1"/>
  <c r="O513" i="1"/>
  <c r="P513" i="1" s="1"/>
  <c r="L513" i="1"/>
  <c r="M513" i="1" s="1"/>
  <c r="J513" i="1"/>
  <c r="K513" i="1" s="1"/>
  <c r="I513" i="1"/>
  <c r="H513" i="1"/>
  <c r="G513" i="1"/>
  <c r="F513" i="1"/>
  <c r="AI511" i="1"/>
  <c r="AH511" i="1"/>
  <c r="AD511" i="1"/>
  <c r="AC511" i="1"/>
  <c r="Y511" i="1"/>
  <c r="U511" i="1"/>
  <c r="T511" i="1"/>
  <c r="O511" i="1"/>
  <c r="M511" i="1"/>
  <c r="L511" i="1"/>
  <c r="K511" i="1"/>
  <c r="J511" i="1"/>
  <c r="I511" i="1"/>
  <c r="H511" i="1"/>
  <c r="G511" i="1"/>
  <c r="F511" i="1"/>
  <c r="E511" i="1"/>
  <c r="AI510" i="1"/>
  <c r="AI509" i="1" s="1"/>
  <c r="AH510" i="1"/>
  <c r="AD510" i="1"/>
  <c r="AC510" i="1"/>
  <c r="AC509" i="1" s="1"/>
  <c r="Y510" i="1"/>
  <c r="T510" i="1"/>
  <c r="T509" i="1" s="1"/>
  <c r="O510" i="1"/>
  <c r="L510" i="1"/>
  <c r="L509" i="1" s="1"/>
  <c r="J510" i="1"/>
  <c r="J509" i="1" s="1"/>
  <c r="I510" i="1"/>
  <c r="I509" i="1" s="1"/>
  <c r="H510" i="1"/>
  <c r="H509" i="1" s="1"/>
  <c r="G510" i="1"/>
  <c r="G509" i="1" s="1"/>
  <c r="F510" i="1"/>
  <c r="E510" i="1"/>
  <c r="O509" i="1"/>
  <c r="F509" i="1"/>
  <c r="AH508" i="1"/>
  <c r="AC508" i="1"/>
  <c r="Y508" i="1"/>
  <c r="U508" i="1"/>
  <c r="T508" i="1"/>
  <c r="P508" i="1"/>
  <c r="O508" i="1"/>
  <c r="M508" i="1"/>
  <c r="L508" i="1"/>
  <c r="K508" i="1"/>
  <c r="J508" i="1"/>
  <c r="I508" i="1"/>
  <c r="H508" i="1"/>
  <c r="G508" i="1"/>
  <c r="F508" i="1"/>
  <c r="E508" i="1"/>
  <c r="AI507" i="1"/>
  <c r="AH507" i="1"/>
  <c r="AD507" i="1"/>
  <c r="AC507" i="1"/>
  <c r="Y507" i="1"/>
  <c r="U507" i="1"/>
  <c r="T507" i="1"/>
  <c r="P507" i="1"/>
  <c r="O507" i="1"/>
  <c r="M507" i="1"/>
  <c r="L507" i="1"/>
  <c r="K507" i="1"/>
  <c r="J507" i="1"/>
  <c r="I507" i="1"/>
  <c r="H507" i="1"/>
  <c r="G507" i="1"/>
  <c r="F507" i="1"/>
  <c r="E507" i="1"/>
  <c r="AI506" i="1"/>
  <c r="AH506" i="1"/>
  <c r="AD506" i="1"/>
  <c r="AC506" i="1"/>
  <c r="Y506" i="1"/>
  <c r="U506" i="1"/>
  <c r="T506" i="1"/>
  <c r="O506" i="1"/>
  <c r="M506" i="1"/>
  <c r="L506" i="1"/>
  <c r="K506" i="1"/>
  <c r="J506" i="1"/>
  <c r="I506" i="1"/>
  <c r="H506" i="1"/>
  <c r="G506" i="1"/>
  <c r="F506" i="1"/>
  <c r="E506" i="1"/>
  <c r="AI505" i="1"/>
  <c r="AH505" i="1"/>
  <c r="AD505" i="1"/>
  <c r="AC505" i="1"/>
  <c r="Y505" i="1"/>
  <c r="T505" i="1"/>
  <c r="T504" i="1" s="1"/>
  <c r="O505" i="1"/>
  <c r="L505" i="1"/>
  <c r="J505" i="1"/>
  <c r="I505" i="1"/>
  <c r="H505" i="1"/>
  <c r="G505" i="1"/>
  <c r="F505" i="1"/>
  <c r="E505" i="1"/>
  <c r="AI503" i="1"/>
  <c r="AH503" i="1"/>
  <c r="AD503" i="1"/>
  <c r="AC503" i="1"/>
  <c r="Y503" i="1"/>
  <c r="T503" i="1"/>
  <c r="O503" i="1"/>
  <c r="L503" i="1"/>
  <c r="J503" i="1"/>
  <c r="I503" i="1"/>
  <c r="H503" i="1"/>
  <c r="G503" i="1"/>
  <c r="F503" i="1"/>
  <c r="E503" i="1"/>
  <c r="AI500" i="1"/>
  <c r="AH500" i="1"/>
  <c r="AD500" i="1"/>
  <c r="AD746" i="1" s="1"/>
  <c r="AC500" i="1"/>
  <c r="Y500" i="1"/>
  <c r="T500" i="1"/>
  <c r="O500" i="1"/>
  <c r="L500" i="1"/>
  <c r="J500" i="1"/>
  <c r="I500" i="1"/>
  <c r="H500" i="1"/>
  <c r="G500" i="1"/>
  <c r="F500" i="1"/>
  <c r="E500" i="1"/>
  <c r="AC499" i="1"/>
  <c r="E499" i="1"/>
  <c r="AI498" i="1"/>
  <c r="AH498" i="1"/>
  <c r="AD498" i="1"/>
  <c r="AD744" i="1" s="1"/>
  <c r="AC498" i="1"/>
  <c r="AC497" i="1" s="1"/>
  <c r="AC496" i="1" s="1"/>
  <c r="AC495" i="1" s="1"/>
  <c r="Y498" i="1"/>
  <c r="T498" i="1"/>
  <c r="O498" i="1"/>
  <c r="L498" i="1"/>
  <c r="J498" i="1"/>
  <c r="I498" i="1"/>
  <c r="H498" i="1"/>
  <c r="G498" i="1"/>
  <c r="F498" i="1"/>
  <c r="E498" i="1"/>
  <c r="AI493" i="1"/>
  <c r="AI492" i="1" s="1"/>
  <c r="AH493" i="1"/>
  <c r="AH492" i="1" s="1"/>
  <c r="AD493" i="1"/>
  <c r="AC493" i="1"/>
  <c r="AC492" i="1" s="1"/>
  <c r="Y493" i="1"/>
  <c r="Y492" i="1" s="1"/>
  <c r="T493" i="1"/>
  <c r="O493" i="1"/>
  <c r="O492" i="1" s="1"/>
  <c r="L493" i="1"/>
  <c r="L492" i="1" s="1"/>
  <c r="J493" i="1"/>
  <c r="J492" i="1" s="1"/>
  <c r="I493" i="1"/>
  <c r="I492" i="1" s="1"/>
  <c r="H493" i="1"/>
  <c r="H492" i="1" s="1"/>
  <c r="G493" i="1"/>
  <c r="F493" i="1"/>
  <c r="F492" i="1" s="1"/>
  <c r="E493" i="1"/>
  <c r="AD492" i="1"/>
  <c r="G492" i="1"/>
  <c r="AI491" i="1"/>
  <c r="AH491" i="1"/>
  <c r="AD491" i="1"/>
  <c r="AC491" i="1"/>
  <c r="Y491" i="1"/>
  <c r="T491" i="1"/>
  <c r="O491" i="1"/>
  <c r="L491" i="1"/>
  <c r="J491" i="1"/>
  <c r="I491" i="1"/>
  <c r="H491" i="1"/>
  <c r="G491" i="1"/>
  <c r="F491" i="1"/>
  <c r="E491" i="1"/>
  <c r="AI490" i="1"/>
  <c r="AH490" i="1"/>
  <c r="AH489" i="1" s="1"/>
  <c r="AD490" i="1"/>
  <c r="AC490" i="1"/>
  <c r="AC489" i="1" s="1"/>
  <c r="Y490" i="1"/>
  <c r="U490" i="1"/>
  <c r="T490" i="1"/>
  <c r="P490" i="1"/>
  <c r="O490" i="1"/>
  <c r="M490" i="1"/>
  <c r="L490" i="1"/>
  <c r="K490" i="1"/>
  <c r="J490" i="1"/>
  <c r="I490" i="1"/>
  <c r="I489" i="1" s="1"/>
  <c r="H490" i="1"/>
  <c r="G490" i="1"/>
  <c r="G489" i="1" s="1"/>
  <c r="F490" i="1"/>
  <c r="E490" i="1"/>
  <c r="AI489" i="1"/>
  <c r="AI488" i="1"/>
  <c r="AH488" i="1"/>
  <c r="AD488" i="1"/>
  <c r="AC488" i="1"/>
  <c r="Y488" i="1"/>
  <c r="U488" i="1"/>
  <c r="T488" i="1"/>
  <c r="P488" i="1"/>
  <c r="O488" i="1"/>
  <c r="M488" i="1"/>
  <c r="L488" i="1"/>
  <c r="K488" i="1"/>
  <c r="J488" i="1"/>
  <c r="I488" i="1"/>
  <c r="H488" i="1"/>
  <c r="G488" i="1"/>
  <c r="F488" i="1"/>
  <c r="E488" i="1"/>
  <c r="AI487" i="1"/>
  <c r="AH487" i="1"/>
  <c r="AH486" i="1" s="1"/>
  <c r="AD487" i="1"/>
  <c r="AC487" i="1"/>
  <c r="Y487" i="1"/>
  <c r="T487" i="1"/>
  <c r="O487" i="1"/>
  <c r="L487" i="1"/>
  <c r="J487" i="1"/>
  <c r="I487" i="1"/>
  <c r="I486" i="1" s="1"/>
  <c r="H487" i="1"/>
  <c r="G487" i="1"/>
  <c r="G486" i="1" s="1"/>
  <c r="F487" i="1"/>
  <c r="E487" i="1"/>
  <c r="AD486" i="1"/>
  <c r="Y486" i="1"/>
  <c r="O486" i="1"/>
  <c r="J486" i="1"/>
  <c r="H486" i="1"/>
  <c r="F486" i="1"/>
  <c r="AI485" i="1"/>
  <c r="AH485" i="1"/>
  <c r="AD485" i="1"/>
  <c r="AC485" i="1"/>
  <c r="Y485" i="1"/>
  <c r="T485" i="1"/>
  <c r="O485" i="1"/>
  <c r="L485" i="1"/>
  <c r="J485" i="1"/>
  <c r="I485" i="1"/>
  <c r="H485" i="1"/>
  <c r="G485" i="1"/>
  <c r="F485" i="1"/>
  <c r="E485" i="1"/>
  <c r="AI484" i="1"/>
  <c r="AH484" i="1"/>
  <c r="AD484" i="1"/>
  <c r="AC484" i="1"/>
  <c r="Y484" i="1"/>
  <c r="T484" i="1"/>
  <c r="O484" i="1"/>
  <c r="L484" i="1"/>
  <c r="J484" i="1"/>
  <c r="I484" i="1"/>
  <c r="H484" i="1"/>
  <c r="G484" i="1"/>
  <c r="F484" i="1"/>
  <c r="AI483" i="1"/>
  <c r="AH483" i="1"/>
  <c r="AD483" i="1"/>
  <c r="AC483" i="1"/>
  <c r="Y483" i="1"/>
  <c r="T483" i="1"/>
  <c r="O483" i="1"/>
  <c r="L483" i="1"/>
  <c r="J483" i="1"/>
  <c r="I483" i="1"/>
  <c r="H483" i="1"/>
  <c r="G483" i="1"/>
  <c r="F483" i="1"/>
  <c r="E483" i="1"/>
  <c r="AI482" i="1"/>
  <c r="AI481" i="1" s="1"/>
  <c r="AH482" i="1"/>
  <c r="AH481" i="1" s="1"/>
  <c r="AD482" i="1"/>
  <c r="AC482" i="1"/>
  <c r="AC481" i="1" s="1"/>
  <c r="Y482" i="1"/>
  <c r="U482" i="1"/>
  <c r="T482" i="1"/>
  <c r="P482" i="1"/>
  <c r="O482" i="1"/>
  <c r="M482" i="1"/>
  <c r="L482" i="1"/>
  <c r="K482" i="1"/>
  <c r="J482" i="1"/>
  <c r="J481" i="1" s="1"/>
  <c r="I482" i="1"/>
  <c r="H482" i="1"/>
  <c r="H481" i="1" s="1"/>
  <c r="G482" i="1"/>
  <c r="F482" i="1"/>
  <c r="F481" i="1" s="1"/>
  <c r="E482" i="1"/>
  <c r="Y481" i="1"/>
  <c r="I481" i="1"/>
  <c r="G481" i="1"/>
  <c r="AI480" i="1"/>
  <c r="AH480" i="1"/>
  <c r="AD480" i="1"/>
  <c r="AC480" i="1"/>
  <c r="Y480" i="1"/>
  <c r="T480" i="1"/>
  <c r="O480" i="1"/>
  <c r="L480" i="1"/>
  <c r="J480" i="1"/>
  <c r="I480" i="1"/>
  <c r="H480" i="1"/>
  <c r="G480" i="1"/>
  <c r="F480" i="1"/>
  <c r="E480" i="1"/>
  <c r="AI478" i="1"/>
  <c r="AH478" i="1"/>
  <c r="AD478" i="1"/>
  <c r="AC478" i="1"/>
  <c r="Y478" i="1"/>
  <c r="U478" i="1"/>
  <c r="T478" i="1"/>
  <c r="P478" i="1"/>
  <c r="O478" i="1"/>
  <c r="M478" i="1"/>
  <c r="L478" i="1"/>
  <c r="K478" i="1"/>
  <c r="J478" i="1"/>
  <c r="I478" i="1"/>
  <c r="H478" i="1"/>
  <c r="G478" i="1"/>
  <c r="F478" i="1"/>
  <c r="E478" i="1"/>
  <c r="AI477" i="1"/>
  <c r="AH477" i="1"/>
  <c r="AD477" i="1"/>
  <c r="AC477" i="1"/>
  <c r="Y477" i="1"/>
  <c r="U477" i="1"/>
  <c r="T477" i="1"/>
  <c r="P477" i="1"/>
  <c r="O477" i="1"/>
  <c r="M477" i="1"/>
  <c r="L477" i="1"/>
  <c r="K477" i="1"/>
  <c r="J477" i="1"/>
  <c r="I477" i="1"/>
  <c r="H477" i="1"/>
  <c r="G477" i="1"/>
  <c r="F477" i="1"/>
  <c r="E477" i="1"/>
  <c r="AI476" i="1"/>
  <c r="AH476" i="1"/>
  <c r="AD476" i="1"/>
  <c r="AC476" i="1"/>
  <c r="Y476" i="1"/>
  <c r="U476" i="1"/>
  <c r="T476" i="1"/>
  <c r="P476" i="1"/>
  <c r="O476" i="1"/>
  <c r="M476" i="1"/>
  <c r="L476" i="1"/>
  <c r="K476" i="1"/>
  <c r="J476" i="1"/>
  <c r="I476" i="1"/>
  <c r="H476" i="1"/>
  <c r="G476" i="1"/>
  <c r="F476" i="1"/>
  <c r="E476" i="1"/>
  <c r="AI475" i="1"/>
  <c r="AH475" i="1"/>
  <c r="AD475" i="1"/>
  <c r="AC475" i="1"/>
  <c r="Y475" i="1"/>
  <c r="U475" i="1"/>
  <c r="T475" i="1"/>
  <c r="P475" i="1"/>
  <c r="O475" i="1"/>
  <c r="M475" i="1"/>
  <c r="L475" i="1"/>
  <c r="K475" i="1"/>
  <c r="J475" i="1"/>
  <c r="I475" i="1"/>
  <c r="H475" i="1"/>
  <c r="G475" i="1"/>
  <c r="F475" i="1"/>
  <c r="E475" i="1"/>
  <c r="AI474" i="1"/>
  <c r="AH474" i="1"/>
  <c r="AD474" i="1"/>
  <c r="AD473" i="1" s="1"/>
  <c r="AC474" i="1"/>
  <c r="AC473" i="1" s="1"/>
  <c r="Y474" i="1"/>
  <c r="T474" i="1"/>
  <c r="O474" i="1"/>
  <c r="O473" i="1" s="1"/>
  <c r="L474" i="1"/>
  <c r="J474" i="1"/>
  <c r="I474" i="1"/>
  <c r="H474" i="1"/>
  <c r="H473" i="1" s="1"/>
  <c r="G474" i="1"/>
  <c r="F474" i="1"/>
  <c r="F473" i="1" s="1"/>
  <c r="E474" i="1"/>
  <c r="AI473" i="1"/>
  <c r="Y473" i="1"/>
  <c r="J473" i="1"/>
  <c r="AI471" i="1"/>
  <c r="AI470" i="1" s="1"/>
  <c r="AI469" i="1" s="1"/>
  <c r="AH471" i="1"/>
  <c r="AH470" i="1" s="1"/>
  <c r="AH469" i="1" s="1"/>
  <c r="AD471" i="1"/>
  <c r="AD470" i="1" s="1"/>
  <c r="AD469" i="1" s="1"/>
  <c r="AC471" i="1"/>
  <c r="AC470" i="1" s="1"/>
  <c r="AC469" i="1" s="1"/>
  <c r="Y471" i="1"/>
  <c r="Y470" i="1" s="1"/>
  <c r="Y469" i="1" s="1"/>
  <c r="T471" i="1"/>
  <c r="T470" i="1" s="1"/>
  <c r="O471" i="1"/>
  <c r="O470" i="1" s="1"/>
  <c r="O469" i="1" s="1"/>
  <c r="L471" i="1"/>
  <c r="L470" i="1" s="1"/>
  <c r="L469" i="1" s="1"/>
  <c r="J471" i="1"/>
  <c r="J470" i="1" s="1"/>
  <c r="J469" i="1" s="1"/>
  <c r="I471" i="1"/>
  <c r="I470" i="1" s="1"/>
  <c r="H471" i="1"/>
  <c r="H470" i="1" s="1"/>
  <c r="H469" i="1" s="1"/>
  <c r="G471" i="1"/>
  <c r="G470" i="1" s="1"/>
  <c r="G469" i="1" s="1"/>
  <c r="F471" i="1"/>
  <c r="F470" i="1" s="1"/>
  <c r="F469" i="1" s="1"/>
  <c r="E470" i="1"/>
  <c r="T469" i="1"/>
  <c r="I469" i="1"/>
  <c r="AI468" i="1"/>
  <c r="AH468" i="1"/>
  <c r="AD468" i="1"/>
  <c r="AC468" i="1"/>
  <c r="Y468" i="1"/>
  <c r="T468" i="1"/>
  <c r="O468" i="1"/>
  <c r="L468" i="1"/>
  <c r="J468" i="1"/>
  <c r="I468" i="1"/>
  <c r="H468" i="1"/>
  <c r="G468" i="1"/>
  <c r="F468" i="1"/>
  <c r="E468" i="1"/>
  <c r="AI467" i="1"/>
  <c r="AH467" i="1"/>
  <c r="AD467" i="1"/>
  <c r="AC467" i="1"/>
  <c r="Y467" i="1"/>
  <c r="T467" i="1"/>
  <c r="O467" i="1"/>
  <c r="L467" i="1"/>
  <c r="J467" i="1"/>
  <c r="I467" i="1"/>
  <c r="H467" i="1"/>
  <c r="G467" i="1"/>
  <c r="F467" i="1"/>
  <c r="E467" i="1"/>
  <c r="AI466" i="1"/>
  <c r="AH466" i="1"/>
  <c r="AD466" i="1"/>
  <c r="AC466" i="1"/>
  <c r="Y466" i="1"/>
  <c r="T466" i="1"/>
  <c r="O466" i="1"/>
  <c r="L466" i="1"/>
  <c r="J466" i="1"/>
  <c r="I466" i="1"/>
  <c r="H466" i="1"/>
  <c r="G466" i="1"/>
  <c r="F466" i="1"/>
  <c r="E466" i="1"/>
  <c r="AI462" i="1"/>
  <c r="AH462" i="1"/>
  <c r="AD462" i="1"/>
  <c r="AC462" i="1"/>
  <c r="Y462" i="1"/>
  <c r="T462" i="1"/>
  <c r="O462" i="1"/>
  <c r="L462" i="1"/>
  <c r="J462" i="1"/>
  <c r="I462" i="1"/>
  <c r="H462" i="1"/>
  <c r="G462" i="1"/>
  <c r="F462" i="1"/>
  <c r="E462" i="1"/>
  <c r="AI461" i="1"/>
  <c r="AH461" i="1"/>
  <c r="AD461" i="1"/>
  <c r="AC461" i="1"/>
  <c r="Y461" i="1"/>
  <c r="T461" i="1"/>
  <c r="O461" i="1"/>
  <c r="L461" i="1"/>
  <c r="J461" i="1"/>
  <c r="I461" i="1"/>
  <c r="H461" i="1"/>
  <c r="G461" i="1"/>
  <c r="F461" i="1"/>
  <c r="AI460" i="1"/>
  <c r="AH460" i="1"/>
  <c r="AD460" i="1"/>
  <c r="AC460" i="1"/>
  <c r="Y460" i="1"/>
  <c r="U460" i="1"/>
  <c r="T460" i="1"/>
  <c r="P460" i="1"/>
  <c r="O460" i="1"/>
  <c r="M460" i="1"/>
  <c r="L460" i="1"/>
  <c r="K460" i="1"/>
  <c r="J460" i="1"/>
  <c r="I460" i="1"/>
  <c r="H460" i="1"/>
  <c r="G460" i="1"/>
  <c r="F460" i="1"/>
  <c r="E460" i="1"/>
  <c r="T459" i="1"/>
  <c r="AI458" i="1"/>
  <c r="AH458" i="1"/>
  <c r="AD458" i="1"/>
  <c r="AC458" i="1"/>
  <c r="Y458" i="1"/>
  <c r="U458" i="1"/>
  <c r="T458" i="1"/>
  <c r="P458" i="1"/>
  <c r="O458" i="1"/>
  <c r="M458" i="1"/>
  <c r="L458" i="1"/>
  <c r="K458" i="1"/>
  <c r="J458" i="1"/>
  <c r="I458" i="1"/>
  <c r="H458" i="1"/>
  <c r="G458" i="1"/>
  <c r="F458" i="1"/>
  <c r="E458" i="1"/>
  <c r="AI457" i="1"/>
  <c r="AH457" i="1"/>
  <c r="AD457" i="1"/>
  <c r="AC457" i="1"/>
  <c r="Y457" i="1"/>
  <c r="Y456" i="1" s="1"/>
  <c r="U457" i="1"/>
  <c r="T457" i="1"/>
  <c r="T456" i="1" s="1"/>
  <c r="P457" i="1"/>
  <c r="O457" i="1"/>
  <c r="O456" i="1" s="1"/>
  <c r="M457" i="1"/>
  <c r="L457" i="1"/>
  <c r="L456" i="1" s="1"/>
  <c r="K457" i="1"/>
  <c r="J457" i="1"/>
  <c r="J456" i="1" s="1"/>
  <c r="I457" i="1"/>
  <c r="I456" i="1" s="1"/>
  <c r="H457" i="1"/>
  <c r="H456" i="1" s="1"/>
  <c r="G457" i="1"/>
  <c r="G456" i="1" s="1"/>
  <c r="F457" i="1"/>
  <c r="F456" i="1" s="1"/>
  <c r="E457" i="1"/>
  <c r="AI456" i="1"/>
  <c r="AH456" i="1"/>
  <c r="AD456" i="1"/>
  <c r="AC456" i="1"/>
  <c r="U456" i="1"/>
  <c r="P456" i="1"/>
  <c r="M456" i="1"/>
  <c r="K456" i="1"/>
  <c r="E456" i="1"/>
  <c r="AI455" i="1"/>
  <c r="AH455" i="1"/>
  <c r="AD455" i="1"/>
  <c r="AC455" i="1"/>
  <c r="Y455" i="1"/>
  <c r="T455" i="1"/>
  <c r="O455" i="1"/>
  <c r="L455" i="1"/>
  <c r="J455" i="1"/>
  <c r="I455" i="1"/>
  <c r="H455" i="1"/>
  <c r="G455" i="1"/>
  <c r="F455" i="1"/>
  <c r="E455" i="1"/>
  <c r="AI454" i="1"/>
  <c r="AH454" i="1"/>
  <c r="AD454" i="1"/>
  <c r="AC454" i="1"/>
  <c r="Y454" i="1"/>
  <c r="T454" i="1"/>
  <c r="O454" i="1"/>
  <c r="L454" i="1"/>
  <c r="J454" i="1"/>
  <c r="I454" i="1"/>
  <c r="H454" i="1"/>
  <c r="G454" i="1"/>
  <c r="F454" i="1"/>
  <c r="E454" i="1"/>
  <c r="E452" i="1"/>
  <c r="E449" i="1"/>
  <c r="AI447" i="1"/>
  <c r="AH447" i="1"/>
  <c r="AD447" i="1"/>
  <c r="AC447" i="1"/>
  <c r="Y447" i="1"/>
  <c r="T447" i="1"/>
  <c r="O447" i="1"/>
  <c r="L447" i="1"/>
  <c r="J447" i="1"/>
  <c r="I447" i="1"/>
  <c r="H447" i="1"/>
  <c r="G447" i="1"/>
  <c r="F447" i="1"/>
  <c r="E447" i="1"/>
  <c r="AI446" i="1"/>
  <c r="AH446" i="1"/>
  <c r="AD446" i="1"/>
  <c r="AC446" i="1"/>
  <c r="Y446" i="1"/>
  <c r="T446" i="1"/>
  <c r="O446" i="1"/>
  <c r="L446" i="1"/>
  <c r="J446" i="1"/>
  <c r="I446" i="1"/>
  <c r="H446" i="1"/>
  <c r="G446" i="1"/>
  <c r="F446" i="1"/>
  <c r="E446" i="1"/>
  <c r="AI445" i="1"/>
  <c r="AH445" i="1"/>
  <c r="AD445" i="1"/>
  <c r="AC445" i="1"/>
  <c r="AC443" i="1" s="1"/>
  <c r="Y445" i="1"/>
  <c r="Y443" i="1" s="1"/>
  <c r="T445" i="1"/>
  <c r="T443" i="1" s="1"/>
  <c r="O445" i="1"/>
  <c r="L445" i="1"/>
  <c r="L443" i="1" s="1"/>
  <c r="J445" i="1"/>
  <c r="J443" i="1" s="1"/>
  <c r="I445" i="1"/>
  <c r="I443" i="1" s="1"/>
  <c r="H445" i="1"/>
  <c r="G445" i="1"/>
  <c r="G443" i="1" s="1"/>
  <c r="F445" i="1"/>
  <c r="F443" i="1" s="1"/>
  <c r="E445" i="1"/>
  <c r="AI443" i="1"/>
  <c r="AH443" i="1"/>
  <c r="AD443" i="1"/>
  <c r="O443" i="1"/>
  <c r="H443" i="1"/>
  <c r="AI442" i="1"/>
  <c r="AH442" i="1"/>
  <c r="AD442" i="1"/>
  <c r="AD659" i="1" s="1"/>
  <c r="AC442" i="1"/>
  <c r="Y442" i="1"/>
  <c r="T442" i="1"/>
  <c r="O442" i="1"/>
  <c r="L442" i="1"/>
  <c r="J442" i="1"/>
  <c r="I442" i="1"/>
  <c r="H442" i="1"/>
  <c r="G442" i="1"/>
  <c r="F442" i="1"/>
  <c r="E442" i="1"/>
  <c r="AI441" i="1"/>
  <c r="AH441" i="1"/>
  <c r="AD441" i="1"/>
  <c r="AC441" i="1"/>
  <c r="Y441" i="1"/>
  <c r="T441" i="1"/>
  <c r="O441" i="1"/>
  <c r="L441" i="1"/>
  <c r="J441" i="1"/>
  <c r="I441" i="1"/>
  <c r="H441" i="1"/>
  <c r="G441" i="1"/>
  <c r="F441" i="1"/>
  <c r="E441" i="1"/>
  <c r="AI440" i="1"/>
  <c r="AI439" i="1" s="1"/>
  <c r="AH440" i="1"/>
  <c r="AD440" i="1"/>
  <c r="AC440" i="1"/>
  <c r="Y440" i="1"/>
  <c r="T440" i="1"/>
  <c r="O440" i="1"/>
  <c r="L440" i="1"/>
  <c r="J440" i="1"/>
  <c r="J439" i="1" s="1"/>
  <c r="I440" i="1"/>
  <c r="H440" i="1"/>
  <c r="G440" i="1"/>
  <c r="F440" i="1"/>
  <c r="F439" i="1" s="1"/>
  <c r="E440" i="1"/>
  <c r="AI437" i="1"/>
  <c r="AH437" i="1"/>
  <c r="AD437" i="1"/>
  <c r="AD755" i="1" s="1"/>
  <c r="AC437" i="1"/>
  <c r="Y437" i="1"/>
  <c r="T437" i="1"/>
  <c r="O437" i="1"/>
  <c r="L437" i="1"/>
  <c r="J437" i="1"/>
  <c r="I437" i="1"/>
  <c r="H437" i="1"/>
  <c r="G437" i="1"/>
  <c r="F437" i="1"/>
  <c r="E437" i="1"/>
  <c r="AI436" i="1"/>
  <c r="AH436" i="1"/>
  <c r="AD436" i="1"/>
  <c r="AC436" i="1"/>
  <c r="Y436" i="1"/>
  <c r="T436" i="1"/>
  <c r="O436" i="1"/>
  <c r="L436" i="1"/>
  <c r="J436" i="1"/>
  <c r="I436" i="1"/>
  <c r="H436" i="1"/>
  <c r="G436" i="1"/>
  <c r="F436" i="1"/>
  <c r="E436" i="1"/>
  <c r="AI435" i="1"/>
  <c r="AH435" i="1"/>
  <c r="AD435" i="1"/>
  <c r="AC435" i="1"/>
  <c r="Y435" i="1"/>
  <c r="U435" i="1"/>
  <c r="T435" i="1"/>
  <c r="P435" i="1"/>
  <c r="O435" i="1"/>
  <c r="M435" i="1"/>
  <c r="L435" i="1"/>
  <c r="K435" i="1"/>
  <c r="J435" i="1"/>
  <c r="I435" i="1"/>
  <c r="H435" i="1"/>
  <c r="G435" i="1"/>
  <c r="F435" i="1"/>
  <c r="E435" i="1"/>
  <c r="AI434" i="1"/>
  <c r="AH434" i="1"/>
  <c r="AD434" i="1"/>
  <c r="AD741" i="1" s="1"/>
  <c r="AC434" i="1"/>
  <c r="Y434" i="1"/>
  <c r="Y433" i="1" s="1"/>
  <c r="T434" i="1"/>
  <c r="O434" i="1"/>
  <c r="O433" i="1" s="1"/>
  <c r="O432" i="1" s="1"/>
  <c r="L434" i="1"/>
  <c r="J434" i="1"/>
  <c r="J433" i="1" s="1"/>
  <c r="I434" i="1"/>
  <c r="I433" i="1" s="1"/>
  <c r="I432" i="1" s="1"/>
  <c r="H434" i="1"/>
  <c r="G434" i="1"/>
  <c r="G433" i="1" s="1"/>
  <c r="F434" i="1"/>
  <c r="F433" i="1" s="1"/>
  <c r="E434" i="1"/>
  <c r="AI433" i="1"/>
  <c r="AH433" i="1"/>
  <c r="AH432" i="1" s="1"/>
  <c r="AD433" i="1"/>
  <c r="H433" i="1"/>
  <c r="AI431" i="1"/>
  <c r="AI426" i="1" s="1"/>
  <c r="AH431" i="1"/>
  <c r="AH426" i="1" s="1"/>
  <c r="AD431" i="1"/>
  <c r="AC431" i="1"/>
  <c r="AC426" i="1" s="1"/>
  <c r="Y431" i="1"/>
  <c r="U431" i="1"/>
  <c r="T431" i="1"/>
  <c r="P431" i="1"/>
  <c r="O431" i="1"/>
  <c r="M431" i="1"/>
  <c r="L431" i="1"/>
  <c r="K431" i="1"/>
  <c r="J431" i="1"/>
  <c r="I431" i="1"/>
  <c r="I426" i="1" s="1"/>
  <c r="H431" i="1"/>
  <c r="G431" i="1"/>
  <c r="G426" i="1" s="1"/>
  <c r="F431" i="1"/>
  <c r="E431" i="1"/>
  <c r="AD426" i="1"/>
  <c r="Y426" i="1"/>
  <c r="T426" i="1"/>
  <c r="O426" i="1"/>
  <c r="L426" i="1"/>
  <c r="J426" i="1"/>
  <c r="H426" i="1"/>
  <c r="F426" i="1"/>
  <c r="AI425" i="1"/>
  <c r="AH425" i="1"/>
  <c r="AD425" i="1"/>
  <c r="AC425" i="1"/>
  <c r="Y425" i="1"/>
  <c r="T425" i="1"/>
  <c r="O425" i="1"/>
  <c r="L425" i="1"/>
  <c r="J425" i="1"/>
  <c r="I425" i="1"/>
  <c r="H425" i="1"/>
  <c r="G425" i="1"/>
  <c r="F425" i="1"/>
  <c r="E425" i="1"/>
  <c r="AI424" i="1"/>
  <c r="AH424" i="1"/>
  <c r="AD424" i="1"/>
  <c r="AC424" i="1"/>
  <c r="Y424" i="1"/>
  <c r="T424" i="1"/>
  <c r="O424" i="1"/>
  <c r="L424" i="1"/>
  <c r="J424" i="1"/>
  <c r="I424" i="1"/>
  <c r="H424" i="1"/>
  <c r="G424" i="1"/>
  <c r="F424" i="1"/>
  <c r="E424" i="1"/>
  <c r="H423" i="1"/>
  <c r="H422" i="1" s="1"/>
  <c r="AI421" i="1"/>
  <c r="AH421" i="1"/>
  <c r="AD421" i="1"/>
  <c r="AC421" i="1"/>
  <c r="Y421" i="1"/>
  <c r="T421" i="1"/>
  <c r="O421" i="1"/>
  <c r="L421" i="1"/>
  <c r="J421" i="1"/>
  <c r="I421" i="1"/>
  <c r="H421" i="1"/>
  <c r="G421" i="1"/>
  <c r="F421" i="1"/>
  <c r="E421" i="1"/>
  <c r="AI420" i="1"/>
  <c r="AH420" i="1"/>
  <c r="AD420" i="1"/>
  <c r="AC420" i="1"/>
  <c r="Y420" i="1"/>
  <c r="T420" i="1"/>
  <c r="O420" i="1"/>
  <c r="L420" i="1"/>
  <c r="J420" i="1"/>
  <c r="I420" i="1"/>
  <c r="H420" i="1"/>
  <c r="G420" i="1"/>
  <c r="F420" i="1"/>
  <c r="E420" i="1"/>
  <c r="AI418" i="1"/>
  <c r="AH418" i="1"/>
  <c r="AD418" i="1"/>
  <c r="AC418" i="1"/>
  <c r="Y418" i="1"/>
  <c r="T418" i="1"/>
  <c r="O418" i="1"/>
  <c r="L418" i="1"/>
  <c r="J418" i="1"/>
  <c r="I418" i="1"/>
  <c r="H418" i="1"/>
  <c r="G418" i="1"/>
  <c r="F418" i="1"/>
  <c r="E418" i="1"/>
  <c r="AI417" i="1"/>
  <c r="AH417" i="1"/>
  <c r="AD417" i="1"/>
  <c r="AD416" i="1" s="1"/>
  <c r="AC417" i="1"/>
  <c r="Y417" i="1"/>
  <c r="U417" i="1"/>
  <c r="T417" i="1"/>
  <c r="T416" i="1" s="1"/>
  <c r="P417" i="1"/>
  <c r="O417" i="1"/>
  <c r="O416" i="1" s="1"/>
  <c r="M417" i="1"/>
  <c r="L417" i="1"/>
  <c r="L416" i="1" s="1"/>
  <c r="K417" i="1"/>
  <c r="J417" i="1"/>
  <c r="J416" i="1" s="1"/>
  <c r="I417" i="1"/>
  <c r="H417" i="1"/>
  <c r="H416" i="1" s="1"/>
  <c r="G417" i="1"/>
  <c r="F417" i="1"/>
  <c r="F416" i="1" s="1"/>
  <c r="E417" i="1"/>
  <c r="G416" i="1"/>
  <c r="AI415" i="1"/>
  <c r="AH415" i="1"/>
  <c r="AD415" i="1"/>
  <c r="AC415" i="1"/>
  <c r="Y415" i="1"/>
  <c r="T415" i="1"/>
  <c r="O415" i="1"/>
  <c r="L415" i="1"/>
  <c r="J415" i="1"/>
  <c r="I415" i="1"/>
  <c r="H415" i="1"/>
  <c r="G415" i="1"/>
  <c r="F415" i="1"/>
  <c r="E415" i="1"/>
  <c r="AI414" i="1"/>
  <c r="AH414" i="1"/>
  <c r="AD414" i="1"/>
  <c r="AC414" i="1"/>
  <c r="Y414" i="1"/>
  <c r="T414" i="1"/>
  <c r="O414" i="1"/>
  <c r="L414" i="1"/>
  <c r="J414" i="1"/>
  <c r="I414" i="1"/>
  <c r="H414" i="1"/>
  <c r="G414" i="1"/>
  <c r="F414" i="1"/>
  <c r="E414" i="1"/>
  <c r="AI413" i="1"/>
  <c r="AH413" i="1"/>
  <c r="AD413" i="1"/>
  <c r="AC413" i="1"/>
  <c r="Y413" i="1"/>
  <c r="T413" i="1"/>
  <c r="O413" i="1"/>
  <c r="L413" i="1"/>
  <c r="J413" i="1"/>
  <c r="I413" i="1"/>
  <c r="H413" i="1"/>
  <c r="G413" i="1"/>
  <c r="F413" i="1"/>
  <c r="E413" i="1"/>
  <c r="AI412" i="1"/>
  <c r="AH412" i="1"/>
  <c r="AH411" i="1" s="1"/>
  <c r="AD412" i="1"/>
  <c r="AC412" i="1"/>
  <c r="Y412" i="1"/>
  <c r="T412" i="1"/>
  <c r="T411" i="1" s="1"/>
  <c r="O412" i="1"/>
  <c r="L412" i="1"/>
  <c r="J412" i="1"/>
  <c r="I412" i="1"/>
  <c r="H412" i="1"/>
  <c r="G412" i="1"/>
  <c r="F412" i="1"/>
  <c r="E412" i="1"/>
  <c r="E410" i="1"/>
  <c r="AI409" i="1"/>
  <c r="AH409" i="1"/>
  <c r="AD409" i="1"/>
  <c r="AC409" i="1"/>
  <c r="Y409" i="1"/>
  <c r="T409" i="1"/>
  <c r="L409" i="1"/>
  <c r="J409" i="1"/>
  <c r="I409" i="1"/>
  <c r="H409" i="1"/>
  <c r="G409" i="1"/>
  <c r="F409" i="1"/>
  <c r="E409" i="1"/>
  <c r="AI408" i="1"/>
  <c r="AH408" i="1"/>
  <c r="AD408" i="1"/>
  <c r="AC408" i="1"/>
  <c r="Y408" i="1"/>
  <c r="T408" i="1"/>
  <c r="O408" i="1"/>
  <c r="L408" i="1"/>
  <c r="L407" i="1" s="1"/>
  <c r="J408" i="1"/>
  <c r="I408" i="1"/>
  <c r="I407" i="1" s="1"/>
  <c r="H408" i="1"/>
  <c r="G408" i="1"/>
  <c r="G407" i="1" s="1"/>
  <c r="F408" i="1"/>
  <c r="E408" i="1"/>
  <c r="AI407" i="1"/>
  <c r="Y407" i="1"/>
  <c r="AI406" i="1"/>
  <c r="AH406" i="1"/>
  <c r="AD406" i="1"/>
  <c r="AD658" i="1" s="1"/>
  <c r="AC406" i="1"/>
  <c r="Y406" i="1"/>
  <c r="AE406" i="1" s="1"/>
  <c r="T406" i="1"/>
  <c r="O406" i="1"/>
  <c r="L406" i="1"/>
  <c r="J406" i="1"/>
  <c r="I406" i="1"/>
  <c r="H406" i="1"/>
  <c r="G406" i="1"/>
  <c r="F406" i="1"/>
  <c r="E406" i="1"/>
  <c r="AI405" i="1"/>
  <c r="AH405" i="1"/>
  <c r="AD405" i="1"/>
  <c r="AC405" i="1"/>
  <c r="Y405" i="1"/>
  <c r="U405" i="1"/>
  <c r="T405" i="1"/>
  <c r="P405" i="1"/>
  <c r="O405" i="1"/>
  <c r="M405" i="1"/>
  <c r="L405" i="1"/>
  <c r="K405" i="1"/>
  <c r="J405" i="1"/>
  <c r="I405" i="1"/>
  <c r="H405" i="1"/>
  <c r="G405" i="1"/>
  <c r="F405" i="1"/>
  <c r="E405" i="1"/>
  <c r="AI404" i="1"/>
  <c r="AH404" i="1"/>
  <c r="AD404" i="1"/>
  <c r="AC404" i="1"/>
  <c r="AC403" i="1" s="1"/>
  <c r="Y404" i="1"/>
  <c r="Y403" i="1" s="1"/>
  <c r="T404" i="1"/>
  <c r="O404" i="1"/>
  <c r="O403" i="1" s="1"/>
  <c r="L404" i="1"/>
  <c r="J404" i="1"/>
  <c r="J403" i="1" s="1"/>
  <c r="I404" i="1"/>
  <c r="I403" i="1" s="1"/>
  <c r="H404" i="1"/>
  <c r="H403" i="1" s="1"/>
  <c r="G404" i="1"/>
  <c r="G403" i="1" s="1"/>
  <c r="F404" i="1"/>
  <c r="F403" i="1" s="1"/>
  <c r="E404" i="1"/>
  <c r="AI403" i="1"/>
  <c r="AH403" i="1"/>
  <c r="AD403" i="1"/>
  <c r="AI401" i="1"/>
  <c r="AI400" i="1" s="1"/>
  <c r="AH401" i="1"/>
  <c r="AH400" i="1" s="1"/>
  <c r="AD401" i="1"/>
  <c r="AC401" i="1"/>
  <c r="AC400" i="1" s="1"/>
  <c r="Y401" i="1"/>
  <c r="T401" i="1"/>
  <c r="T400" i="1" s="1"/>
  <c r="O401" i="1"/>
  <c r="O400" i="1" s="1"/>
  <c r="L401" i="1"/>
  <c r="L400" i="1" s="1"/>
  <c r="J401" i="1"/>
  <c r="I401" i="1"/>
  <c r="I400" i="1" s="1"/>
  <c r="H401" i="1"/>
  <c r="G401" i="1"/>
  <c r="G400" i="1" s="1"/>
  <c r="F401" i="1"/>
  <c r="E401" i="1"/>
  <c r="AD400" i="1"/>
  <c r="Y400" i="1"/>
  <c r="J400" i="1"/>
  <c r="H400" i="1"/>
  <c r="F400" i="1"/>
  <c r="AI399" i="1"/>
  <c r="AI398" i="1" s="1"/>
  <c r="AH399" i="1"/>
  <c r="AH398" i="1" s="1"/>
  <c r="AD399" i="1"/>
  <c r="AC399" i="1"/>
  <c r="AC398" i="1" s="1"/>
  <c r="Y399" i="1"/>
  <c r="Y398" i="1" s="1"/>
  <c r="T399" i="1"/>
  <c r="T398" i="1" s="1"/>
  <c r="O399" i="1"/>
  <c r="L399" i="1"/>
  <c r="L398" i="1" s="1"/>
  <c r="J399" i="1"/>
  <c r="J398" i="1" s="1"/>
  <c r="I399" i="1"/>
  <c r="I398" i="1" s="1"/>
  <c r="H399" i="1"/>
  <c r="G399" i="1"/>
  <c r="G398" i="1" s="1"/>
  <c r="F399" i="1"/>
  <c r="F398" i="1" s="1"/>
  <c r="E399" i="1"/>
  <c r="AD398" i="1"/>
  <c r="O398" i="1"/>
  <c r="H398" i="1"/>
  <c r="AH395" i="1"/>
  <c r="AC395" i="1"/>
  <c r="AI393" i="1"/>
  <c r="AH393" i="1"/>
  <c r="AD393" i="1"/>
  <c r="AC393" i="1"/>
  <c r="Y393" i="1"/>
  <c r="T393" i="1"/>
  <c r="O393" i="1"/>
  <c r="L393" i="1"/>
  <c r="J393" i="1"/>
  <c r="I393" i="1"/>
  <c r="H393" i="1"/>
  <c r="G393" i="1"/>
  <c r="F393" i="1"/>
  <c r="AI392" i="1"/>
  <c r="AH392" i="1"/>
  <c r="AD392" i="1"/>
  <c r="AD754" i="1" s="1"/>
  <c r="AC392" i="1"/>
  <c r="Y392" i="1"/>
  <c r="U392" i="1"/>
  <c r="T392" i="1"/>
  <c r="P392" i="1"/>
  <c r="O392" i="1"/>
  <c r="M392" i="1"/>
  <c r="L392" i="1"/>
  <c r="K392" i="1"/>
  <c r="J392" i="1"/>
  <c r="I392" i="1"/>
  <c r="H392" i="1"/>
  <c r="G392" i="1"/>
  <c r="F392" i="1"/>
  <c r="E392" i="1"/>
  <c r="AI391" i="1"/>
  <c r="AH391" i="1"/>
  <c r="AD391" i="1"/>
  <c r="AD753" i="1" s="1"/>
  <c r="AD752" i="1" s="1"/>
  <c r="AC391" i="1"/>
  <c r="AC390" i="1" s="1"/>
  <c r="Y391" i="1"/>
  <c r="Y390" i="1" s="1"/>
  <c r="U391" i="1"/>
  <c r="T391" i="1"/>
  <c r="T390" i="1" s="1"/>
  <c r="P391" i="1"/>
  <c r="O391" i="1"/>
  <c r="O390" i="1" s="1"/>
  <c r="M391" i="1"/>
  <c r="L391" i="1"/>
  <c r="L390" i="1" s="1"/>
  <c r="K391" i="1"/>
  <c r="J391" i="1"/>
  <c r="J390" i="1" s="1"/>
  <c r="I391" i="1"/>
  <c r="I390" i="1" s="1"/>
  <c r="H391" i="1"/>
  <c r="H390" i="1" s="1"/>
  <c r="G391" i="1"/>
  <c r="G390" i="1" s="1"/>
  <c r="F391" i="1"/>
  <c r="F390" i="1" s="1"/>
  <c r="E391" i="1"/>
  <c r="AI390" i="1"/>
  <c r="AH390" i="1"/>
  <c r="AD390" i="1"/>
  <c r="AI389" i="1"/>
  <c r="AH389" i="1"/>
  <c r="AD389" i="1"/>
  <c r="AD732" i="1" s="1"/>
  <c r="AC389" i="1"/>
  <c r="Y389" i="1"/>
  <c r="AE389" i="1" s="1"/>
  <c r="T389" i="1"/>
  <c r="O389" i="1"/>
  <c r="L389" i="1"/>
  <c r="J389" i="1"/>
  <c r="I389" i="1"/>
  <c r="H389" i="1"/>
  <c r="G389" i="1"/>
  <c r="F389" i="1"/>
  <c r="E389" i="1"/>
  <c r="AI387" i="1"/>
  <c r="AH387" i="1"/>
  <c r="AD387" i="1"/>
  <c r="AD657" i="1" s="1"/>
  <c r="AC387" i="1"/>
  <c r="Y387" i="1"/>
  <c r="T387" i="1"/>
  <c r="O387" i="1"/>
  <c r="L387" i="1"/>
  <c r="J387" i="1"/>
  <c r="I387" i="1"/>
  <c r="H387" i="1"/>
  <c r="G387" i="1"/>
  <c r="F387" i="1"/>
  <c r="E387" i="1"/>
  <c r="AI384" i="1"/>
  <c r="AH384" i="1"/>
  <c r="AD384" i="1"/>
  <c r="AC384" i="1"/>
  <c r="Y384" i="1"/>
  <c r="U384" i="1"/>
  <c r="T384" i="1"/>
  <c r="P384" i="1"/>
  <c r="O384" i="1"/>
  <c r="M384" i="1"/>
  <c r="L384" i="1"/>
  <c r="K384" i="1"/>
  <c r="J384" i="1"/>
  <c r="I384" i="1"/>
  <c r="H384" i="1"/>
  <c r="G384" i="1"/>
  <c r="F384" i="1"/>
  <c r="E384" i="1"/>
  <c r="AI381" i="1"/>
  <c r="AH381" i="1"/>
  <c r="AD381" i="1"/>
  <c r="AC381" i="1"/>
  <c r="Y381" i="1"/>
  <c r="U381" i="1"/>
  <c r="T381" i="1"/>
  <c r="O381" i="1"/>
  <c r="M381" i="1"/>
  <c r="L381" i="1"/>
  <c r="K381" i="1"/>
  <c r="J381" i="1"/>
  <c r="I381" i="1"/>
  <c r="H381" i="1"/>
  <c r="G381" i="1"/>
  <c r="F381" i="1"/>
  <c r="E381" i="1"/>
  <c r="AI379" i="1"/>
  <c r="AI377" i="1" s="1"/>
  <c r="AH379" i="1"/>
  <c r="AD379" i="1"/>
  <c r="AD686" i="1" s="1"/>
  <c r="AC379" i="1"/>
  <c r="Y379" i="1"/>
  <c r="T379" i="1"/>
  <c r="O379" i="1"/>
  <c r="O377" i="1" s="1"/>
  <c r="L379" i="1"/>
  <c r="J379" i="1"/>
  <c r="J377" i="1" s="1"/>
  <c r="I379" i="1"/>
  <c r="H379" i="1"/>
  <c r="H377" i="1" s="1"/>
  <c r="G379" i="1"/>
  <c r="F379" i="1"/>
  <c r="F377" i="1" s="1"/>
  <c r="E379" i="1"/>
  <c r="AH374" i="1"/>
  <c r="AD374" i="1"/>
  <c r="AD685" i="1" s="1"/>
  <c r="AC374" i="1"/>
  <c r="Y374" i="1"/>
  <c r="T374" i="1"/>
  <c r="O374" i="1"/>
  <c r="L374" i="1"/>
  <c r="J374" i="1"/>
  <c r="I374" i="1"/>
  <c r="H374" i="1"/>
  <c r="G374" i="1"/>
  <c r="F374" i="1"/>
  <c r="E374" i="1"/>
  <c r="AI373" i="1"/>
  <c r="AH373" i="1"/>
  <c r="AH371" i="1" s="1"/>
  <c r="AD373" i="1"/>
  <c r="AC373" i="1"/>
  <c r="AC371" i="1" s="1"/>
  <c r="Y373" i="1"/>
  <c r="Y371" i="1" s="1"/>
  <c r="T373" i="1"/>
  <c r="T371" i="1" s="1"/>
  <c r="L373" i="1"/>
  <c r="J373" i="1"/>
  <c r="I373" i="1"/>
  <c r="H373" i="1"/>
  <c r="G373" i="1"/>
  <c r="F373" i="1"/>
  <c r="E373" i="1"/>
  <c r="AI371" i="1"/>
  <c r="AD371" i="1"/>
  <c r="AI370" i="1"/>
  <c r="AH370" i="1"/>
  <c r="AD370" i="1"/>
  <c r="AC370" i="1"/>
  <c r="Y370" i="1"/>
  <c r="T370" i="1"/>
  <c r="O370" i="1"/>
  <c r="L370" i="1"/>
  <c r="J370" i="1"/>
  <c r="I370" i="1"/>
  <c r="H370" i="1"/>
  <c r="G370" i="1"/>
  <c r="F370" i="1"/>
  <c r="E370" i="1"/>
  <c r="AI369" i="1"/>
  <c r="AI368" i="1" s="1"/>
  <c r="AH369" i="1"/>
  <c r="AH368" i="1" s="1"/>
  <c r="AD369" i="1"/>
  <c r="AD368" i="1" s="1"/>
  <c r="AC369" i="1"/>
  <c r="AC368" i="1" s="1"/>
  <c r="Y369" i="1"/>
  <c r="Y368" i="1" s="1"/>
  <c r="T369" i="1"/>
  <c r="T368" i="1" s="1"/>
  <c r="O369" i="1"/>
  <c r="L369" i="1"/>
  <c r="L368" i="1" s="1"/>
  <c r="J369" i="1"/>
  <c r="J368" i="1" s="1"/>
  <c r="I369" i="1"/>
  <c r="I368" i="1" s="1"/>
  <c r="H369" i="1"/>
  <c r="H368" i="1" s="1"/>
  <c r="G369" i="1"/>
  <c r="G368" i="1" s="1"/>
  <c r="F369" i="1"/>
  <c r="F368" i="1" s="1"/>
  <c r="E369" i="1"/>
  <c r="AI367" i="1"/>
  <c r="AH367" i="1"/>
  <c r="AD367" i="1"/>
  <c r="AC367" i="1"/>
  <c r="Y367" i="1"/>
  <c r="T367" i="1"/>
  <c r="O367" i="1"/>
  <c r="L367" i="1"/>
  <c r="J367" i="1"/>
  <c r="I367" i="1"/>
  <c r="H367" i="1"/>
  <c r="G367" i="1"/>
  <c r="F367" i="1"/>
  <c r="E367" i="1"/>
  <c r="E366" i="1"/>
  <c r="AI365" i="1"/>
  <c r="AH365" i="1"/>
  <c r="AD365" i="1"/>
  <c r="AC365" i="1"/>
  <c r="Y365" i="1"/>
  <c r="T365" i="1"/>
  <c r="O365" i="1"/>
  <c r="L365" i="1"/>
  <c r="J365" i="1"/>
  <c r="I365" i="1"/>
  <c r="H365" i="1"/>
  <c r="G365" i="1"/>
  <c r="F365" i="1"/>
  <c r="E365" i="1"/>
  <c r="AI363" i="1"/>
  <c r="AH363" i="1"/>
  <c r="AD363" i="1"/>
  <c r="AC363" i="1"/>
  <c r="Y363" i="1"/>
  <c r="T363" i="1"/>
  <c r="O363" i="1"/>
  <c r="L363" i="1"/>
  <c r="J363" i="1"/>
  <c r="I363" i="1"/>
  <c r="H363" i="1"/>
  <c r="G363" i="1"/>
  <c r="F363" i="1"/>
  <c r="AD356" i="1"/>
  <c r="Y356" i="1"/>
  <c r="Z356" i="1" s="1"/>
  <c r="T356" i="1"/>
  <c r="U356" i="1" s="1"/>
  <c r="O356" i="1"/>
  <c r="P356" i="1" s="1"/>
  <c r="L356" i="1"/>
  <c r="M356" i="1" s="1"/>
  <c r="J356" i="1"/>
  <c r="K356" i="1" s="1"/>
  <c r="I356" i="1"/>
  <c r="H356" i="1"/>
  <c r="G356" i="1"/>
  <c r="F356" i="1"/>
  <c r="E356" i="1"/>
  <c r="A356" i="1"/>
  <c r="AD355" i="1"/>
  <c r="Y355" i="1"/>
  <c r="T355" i="1"/>
  <c r="O355" i="1"/>
  <c r="P355" i="1" s="1"/>
  <c r="L355" i="1"/>
  <c r="J355" i="1"/>
  <c r="I355" i="1"/>
  <c r="H355" i="1"/>
  <c r="G355" i="1"/>
  <c r="F355" i="1"/>
  <c r="E355" i="1"/>
  <c r="A355" i="1"/>
  <c r="AD354" i="1"/>
  <c r="Y354" i="1"/>
  <c r="Z354" i="1" s="1"/>
  <c r="T354" i="1"/>
  <c r="U354" i="1" s="1"/>
  <c r="O354" i="1"/>
  <c r="P354" i="1" s="1"/>
  <c r="L354" i="1"/>
  <c r="M354" i="1" s="1"/>
  <c r="J354" i="1"/>
  <c r="K354" i="1" s="1"/>
  <c r="I354" i="1"/>
  <c r="H354" i="1"/>
  <c r="G354" i="1"/>
  <c r="F354" i="1"/>
  <c r="E354" i="1"/>
  <c r="A354" i="1"/>
  <c r="AD353" i="1"/>
  <c r="Y353" i="1"/>
  <c r="Z353" i="1" s="1"/>
  <c r="T353" i="1"/>
  <c r="U353" i="1" s="1"/>
  <c r="O353" i="1"/>
  <c r="P353" i="1" s="1"/>
  <c r="L353" i="1"/>
  <c r="M353" i="1" s="1"/>
  <c r="J353" i="1"/>
  <c r="K353" i="1" s="1"/>
  <c r="I353" i="1"/>
  <c r="H353" i="1"/>
  <c r="G353" i="1"/>
  <c r="F353" i="1"/>
  <c r="E353" i="1"/>
  <c r="A353" i="1"/>
  <c r="AD351" i="1"/>
  <c r="Y351" i="1"/>
  <c r="Z351" i="1" s="1"/>
  <c r="T351" i="1"/>
  <c r="U351" i="1" s="1"/>
  <c r="O351" i="1"/>
  <c r="P351" i="1" s="1"/>
  <c r="L351" i="1"/>
  <c r="M351" i="1" s="1"/>
  <c r="J351" i="1"/>
  <c r="K351" i="1" s="1"/>
  <c r="I351" i="1"/>
  <c r="H351" i="1"/>
  <c r="G351" i="1"/>
  <c r="F351" i="1"/>
  <c r="E351" i="1"/>
  <c r="A351" i="1"/>
  <c r="E350" i="1"/>
  <c r="A350" i="1"/>
  <c r="AD349" i="1"/>
  <c r="Y349" i="1"/>
  <c r="Z349" i="1" s="1"/>
  <c r="T349" i="1"/>
  <c r="U349" i="1" s="1"/>
  <c r="O349" i="1"/>
  <c r="P349" i="1" s="1"/>
  <c r="L349" i="1"/>
  <c r="M349" i="1" s="1"/>
  <c r="J349" i="1"/>
  <c r="K349" i="1" s="1"/>
  <c r="I349" i="1"/>
  <c r="H349" i="1"/>
  <c r="G349" i="1"/>
  <c r="F349" i="1"/>
  <c r="E349" i="1"/>
  <c r="A349" i="1"/>
  <c r="Y348" i="1"/>
  <c r="Z348" i="1" s="1"/>
  <c r="T348" i="1"/>
  <c r="U348" i="1" s="1"/>
  <c r="O348" i="1"/>
  <c r="P348" i="1" s="1"/>
  <c r="L348" i="1"/>
  <c r="M348" i="1" s="1"/>
  <c r="J348" i="1"/>
  <c r="K348" i="1" s="1"/>
  <c r="I348" i="1"/>
  <c r="H348" i="1"/>
  <c r="G348" i="1"/>
  <c r="F348" i="1"/>
  <c r="E348" i="1"/>
  <c r="A348" i="1"/>
  <c r="AD347" i="1"/>
  <c r="Y347" i="1"/>
  <c r="E577" i="1" s="1"/>
  <c r="T347" i="1"/>
  <c r="U347" i="1" s="1"/>
  <c r="O347" i="1"/>
  <c r="P347" i="1" s="1"/>
  <c r="L347" i="1"/>
  <c r="M347" i="1" s="1"/>
  <c r="J347" i="1"/>
  <c r="K347" i="1" s="1"/>
  <c r="I347" i="1"/>
  <c r="H347" i="1"/>
  <c r="G347" i="1"/>
  <c r="F347" i="1"/>
  <c r="E347" i="1"/>
  <c r="A347" i="1"/>
  <c r="AD346" i="1"/>
  <c r="Y346" i="1"/>
  <c r="Z346" i="1" s="1"/>
  <c r="T346" i="1"/>
  <c r="U346" i="1" s="1"/>
  <c r="O346" i="1"/>
  <c r="P346" i="1" s="1"/>
  <c r="L346" i="1"/>
  <c r="M346" i="1" s="1"/>
  <c r="J346" i="1"/>
  <c r="K346" i="1" s="1"/>
  <c r="I346" i="1"/>
  <c r="H346" i="1"/>
  <c r="G346" i="1"/>
  <c r="F346" i="1"/>
  <c r="E346" i="1"/>
  <c r="A346" i="1"/>
  <c r="AD345" i="1"/>
  <c r="Y345" i="1"/>
  <c r="Z345" i="1" s="1"/>
  <c r="T345" i="1"/>
  <c r="U345" i="1" s="1"/>
  <c r="O345" i="1"/>
  <c r="P345" i="1" s="1"/>
  <c r="L345" i="1"/>
  <c r="M345" i="1" s="1"/>
  <c r="J345" i="1"/>
  <c r="K345" i="1" s="1"/>
  <c r="I345" i="1"/>
  <c r="H345" i="1"/>
  <c r="G345" i="1"/>
  <c r="F345" i="1"/>
  <c r="E345" i="1"/>
  <c r="A345" i="1"/>
  <c r="AD344" i="1"/>
  <c r="Y344" i="1"/>
  <c r="Z344" i="1" s="1"/>
  <c r="T344" i="1"/>
  <c r="U344" i="1" s="1"/>
  <c r="O344" i="1"/>
  <c r="P344" i="1" s="1"/>
  <c r="L344" i="1"/>
  <c r="M344" i="1" s="1"/>
  <c r="J344" i="1"/>
  <c r="K344" i="1" s="1"/>
  <c r="I344" i="1"/>
  <c r="H344" i="1"/>
  <c r="G344" i="1"/>
  <c r="F344" i="1"/>
  <c r="E344" i="1"/>
  <c r="A344" i="1"/>
  <c r="AD343" i="1"/>
  <c r="Y343" i="1"/>
  <c r="Z343" i="1" s="1"/>
  <c r="T343" i="1"/>
  <c r="U343" i="1" s="1"/>
  <c r="O343" i="1"/>
  <c r="P343" i="1" s="1"/>
  <c r="L343" i="1"/>
  <c r="M343" i="1" s="1"/>
  <c r="J343" i="1"/>
  <c r="K343" i="1" s="1"/>
  <c r="I343" i="1"/>
  <c r="H343" i="1"/>
  <c r="G343" i="1"/>
  <c r="F343" i="1"/>
  <c r="E343" i="1"/>
  <c r="A343" i="1"/>
  <c r="E342" i="1"/>
  <c r="A342" i="1"/>
  <c r="AD341" i="1"/>
  <c r="Y341" i="1"/>
  <c r="Z341" i="1" s="1"/>
  <c r="T341" i="1"/>
  <c r="U341" i="1" s="1"/>
  <c r="O341" i="1"/>
  <c r="P341" i="1" s="1"/>
  <c r="L341" i="1"/>
  <c r="M341" i="1" s="1"/>
  <c r="J341" i="1"/>
  <c r="K341" i="1" s="1"/>
  <c r="I341" i="1"/>
  <c r="H341" i="1"/>
  <c r="G341" i="1"/>
  <c r="F341" i="1"/>
  <c r="E341" i="1"/>
  <c r="A341" i="1"/>
  <c r="AD340" i="1"/>
  <c r="Y340" i="1"/>
  <c r="Z340" i="1" s="1"/>
  <c r="T340" i="1"/>
  <c r="U514" i="1" s="1"/>
  <c r="O340" i="1"/>
  <c r="P514" i="1" s="1"/>
  <c r="L340" i="1"/>
  <c r="J340" i="1"/>
  <c r="K514" i="1" s="1"/>
  <c r="I340" i="1"/>
  <c r="H340" i="1"/>
  <c r="G340" i="1"/>
  <c r="F340" i="1"/>
  <c r="E340" i="1"/>
  <c r="A340" i="1"/>
  <c r="E339" i="1"/>
  <c r="A339" i="1"/>
  <c r="AD338" i="1"/>
  <c r="Y338" i="1"/>
  <c r="Z338" i="1" s="1"/>
  <c r="T338" i="1"/>
  <c r="U338" i="1" s="1"/>
  <c r="O338" i="1"/>
  <c r="P509" i="1" s="1"/>
  <c r="L338" i="1"/>
  <c r="M509" i="1" s="1"/>
  <c r="J338" i="1"/>
  <c r="I338" i="1"/>
  <c r="H338" i="1"/>
  <c r="G338" i="1"/>
  <c r="F338" i="1"/>
  <c r="E338" i="1"/>
  <c r="A338" i="1"/>
  <c r="AD337" i="1"/>
  <c r="Y337" i="1"/>
  <c r="Z337" i="1" s="1"/>
  <c r="T337" i="1"/>
  <c r="U337" i="1" s="1"/>
  <c r="O337" i="1"/>
  <c r="P337" i="1" s="1"/>
  <c r="L337" i="1"/>
  <c r="M337" i="1" s="1"/>
  <c r="J337" i="1"/>
  <c r="K337" i="1" s="1"/>
  <c r="I337" i="1"/>
  <c r="H337" i="1"/>
  <c r="G337" i="1"/>
  <c r="F337" i="1"/>
  <c r="E337" i="1"/>
  <c r="A337" i="1"/>
  <c r="AD336" i="1"/>
  <c r="Y336" i="1"/>
  <c r="Z336" i="1" s="1"/>
  <c r="T336" i="1"/>
  <c r="U336" i="1" s="1"/>
  <c r="O336" i="1"/>
  <c r="P503" i="1" s="1"/>
  <c r="L336" i="1"/>
  <c r="M503" i="1" s="1"/>
  <c r="J336" i="1"/>
  <c r="K503" i="1" s="1"/>
  <c r="I336" i="1"/>
  <c r="H336" i="1"/>
  <c r="G336" i="1"/>
  <c r="F336" i="1"/>
  <c r="E336" i="1"/>
  <c r="A336" i="1"/>
  <c r="AD335" i="1"/>
  <c r="Y335" i="1"/>
  <c r="Z335" i="1" s="1"/>
  <c r="T335" i="1"/>
  <c r="U335" i="1" s="1"/>
  <c r="O335" i="1"/>
  <c r="P335" i="1" s="1"/>
  <c r="L335" i="1"/>
  <c r="M335" i="1" s="1"/>
  <c r="J335" i="1"/>
  <c r="K335" i="1" s="1"/>
  <c r="I335" i="1"/>
  <c r="H335" i="1"/>
  <c r="G335" i="1"/>
  <c r="F335" i="1"/>
  <c r="E335" i="1"/>
  <c r="A335" i="1"/>
  <c r="AD334" i="1"/>
  <c r="Y334" i="1"/>
  <c r="Z334" i="1" s="1"/>
  <c r="T334" i="1"/>
  <c r="U334" i="1" s="1"/>
  <c r="O334" i="1"/>
  <c r="P334" i="1" s="1"/>
  <c r="L334" i="1"/>
  <c r="M334" i="1" s="1"/>
  <c r="J334" i="1"/>
  <c r="K334" i="1" s="1"/>
  <c r="I334" i="1"/>
  <c r="H334" i="1"/>
  <c r="G334" i="1"/>
  <c r="F334" i="1"/>
  <c r="E334" i="1"/>
  <c r="A334" i="1"/>
  <c r="E333" i="1"/>
  <c r="A333" i="1"/>
  <c r="E332" i="1"/>
  <c r="A332" i="1"/>
  <c r="AD331" i="1"/>
  <c r="Y331" i="1"/>
  <c r="Z331" i="1" s="1"/>
  <c r="T331" i="1"/>
  <c r="U331" i="1" s="1"/>
  <c r="O331" i="1"/>
  <c r="P331" i="1" s="1"/>
  <c r="L331" i="1"/>
  <c r="M331" i="1" s="1"/>
  <c r="J331" i="1"/>
  <c r="K331" i="1" s="1"/>
  <c r="I331" i="1"/>
  <c r="H331" i="1"/>
  <c r="G331" i="1"/>
  <c r="F331" i="1"/>
  <c r="E331" i="1"/>
  <c r="A331" i="1"/>
  <c r="AD330" i="1"/>
  <c r="Y330" i="1"/>
  <c r="Z330" i="1" s="1"/>
  <c r="T330" i="1"/>
  <c r="U330" i="1" s="1"/>
  <c r="O330" i="1"/>
  <c r="P330" i="1" s="1"/>
  <c r="L330" i="1"/>
  <c r="M330" i="1" s="1"/>
  <c r="J330" i="1"/>
  <c r="K330" i="1" s="1"/>
  <c r="I330" i="1"/>
  <c r="H330" i="1"/>
  <c r="G330" i="1"/>
  <c r="F330" i="1"/>
  <c r="E330" i="1"/>
  <c r="A330" i="1"/>
  <c r="AD329" i="1"/>
  <c r="Y329" i="1"/>
  <c r="E395" i="1" s="1"/>
  <c r="T329" i="1"/>
  <c r="U329" i="1" s="1"/>
  <c r="O329" i="1"/>
  <c r="P329" i="1" s="1"/>
  <c r="L329" i="1"/>
  <c r="M329" i="1" s="1"/>
  <c r="J329" i="1"/>
  <c r="K329" i="1" s="1"/>
  <c r="I329" i="1"/>
  <c r="H329" i="1"/>
  <c r="G329" i="1"/>
  <c r="F329" i="1"/>
  <c r="E329" i="1"/>
  <c r="A329" i="1"/>
  <c r="AD328" i="1"/>
  <c r="Y328" i="1"/>
  <c r="Z328" i="1" s="1"/>
  <c r="T328" i="1"/>
  <c r="U328" i="1" s="1"/>
  <c r="L328" i="1"/>
  <c r="M328" i="1" s="1"/>
  <c r="J328" i="1"/>
  <c r="K328" i="1" s="1"/>
  <c r="I328" i="1"/>
  <c r="H328" i="1"/>
  <c r="G328" i="1"/>
  <c r="F328" i="1"/>
  <c r="E328" i="1"/>
  <c r="A328" i="1"/>
  <c r="AD327" i="1"/>
  <c r="Y327" i="1"/>
  <c r="Z327" i="1" s="1"/>
  <c r="T327" i="1"/>
  <c r="U327" i="1" s="1"/>
  <c r="O327" i="1"/>
  <c r="P327" i="1" s="1"/>
  <c r="L327" i="1"/>
  <c r="M327" i="1" s="1"/>
  <c r="J327" i="1"/>
  <c r="K327" i="1" s="1"/>
  <c r="I327" i="1"/>
  <c r="H327" i="1"/>
  <c r="G327" i="1"/>
  <c r="F327" i="1"/>
  <c r="E327" i="1"/>
  <c r="A327" i="1"/>
  <c r="E326" i="1"/>
  <c r="A326" i="1"/>
  <c r="AD325" i="1"/>
  <c r="Y325" i="1"/>
  <c r="Z325" i="1" s="1"/>
  <c r="T325" i="1"/>
  <c r="U325" i="1" s="1"/>
  <c r="O325" i="1"/>
  <c r="P325" i="1" s="1"/>
  <c r="L325" i="1"/>
  <c r="M325" i="1" s="1"/>
  <c r="J325" i="1"/>
  <c r="K325" i="1" s="1"/>
  <c r="I325" i="1"/>
  <c r="H325" i="1"/>
  <c r="G325" i="1"/>
  <c r="F325" i="1"/>
  <c r="E325" i="1"/>
  <c r="A325" i="1"/>
  <c r="E324" i="1"/>
  <c r="A324" i="1"/>
  <c r="AD323" i="1"/>
  <c r="Y323" i="1"/>
  <c r="T323" i="1"/>
  <c r="O323" i="1"/>
  <c r="L323" i="1"/>
  <c r="J323" i="1"/>
  <c r="I323" i="1"/>
  <c r="H323" i="1"/>
  <c r="G323" i="1"/>
  <c r="F323" i="1"/>
  <c r="E323" i="1"/>
  <c r="A323" i="1"/>
  <c r="AN315" i="1"/>
  <c r="AM315" i="1"/>
  <c r="AI315" i="1"/>
  <c r="AH315" i="1"/>
  <c r="AD315" i="1"/>
  <c r="AC315" i="1"/>
  <c r="Y315" i="1"/>
  <c r="AE315" i="1" s="1"/>
  <c r="X315" i="1"/>
  <c r="T315" i="1"/>
  <c r="S315" i="1"/>
  <c r="O315" i="1"/>
  <c r="N315" i="1"/>
  <c r="L315" i="1"/>
  <c r="K315" i="1"/>
  <c r="J315" i="1"/>
  <c r="I315" i="1"/>
  <c r="H315" i="1"/>
  <c r="G315" i="1"/>
  <c r="F315" i="1"/>
  <c r="AM310" i="1"/>
  <c r="AI310" i="1"/>
  <c r="AH310" i="1"/>
  <c r="AD310" i="1"/>
  <c r="AC310" i="1"/>
  <c r="Y310" i="1"/>
  <c r="Y796" i="1" s="1"/>
  <c r="X310" i="1"/>
  <c r="T310" i="1"/>
  <c r="T796" i="1" s="1"/>
  <c r="S310" i="1"/>
  <c r="N310" i="1"/>
  <c r="L310" i="1"/>
  <c r="L796" i="1" s="1"/>
  <c r="K310" i="1"/>
  <c r="J310" i="1"/>
  <c r="J796" i="1" s="1"/>
  <c r="I310" i="1"/>
  <c r="I796" i="1" s="1"/>
  <c r="I786" i="1" s="1"/>
  <c r="H310" i="1"/>
  <c r="H796" i="1" s="1"/>
  <c r="H786" i="1" s="1"/>
  <c r="G310" i="1"/>
  <c r="G796" i="1" s="1"/>
  <c r="G786" i="1" s="1"/>
  <c r="F310" i="1"/>
  <c r="F796" i="1" s="1"/>
  <c r="F786" i="1" s="1"/>
  <c r="V309" i="1"/>
  <c r="Q309" i="1"/>
  <c r="E309" i="1"/>
  <c r="D309" i="1"/>
  <c r="A309" i="1"/>
  <c r="E308" i="1"/>
  <c r="D308" i="1"/>
  <c r="A308" i="1"/>
  <c r="E307" i="1"/>
  <c r="D307" i="1"/>
  <c r="A307" i="1"/>
  <c r="AP306" i="1"/>
  <c r="AK306" i="1"/>
  <c r="AF306" i="1"/>
  <c r="AE306" i="1"/>
  <c r="AA306" i="1"/>
  <c r="Z306" i="1"/>
  <c r="V306" i="1"/>
  <c r="U306" i="1"/>
  <c r="Q306" i="1"/>
  <c r="P306" i="1"/>
  <c r="E306" i="1"/>
  <c r="D306" i="1"/>
  <c r="A306" i="1"/>
  <c r="AP305" i="1"/>
  <c r="AK305" i="1"/>
  <c r="AF305" i="1"/>
  <c r="AE305" i="1"/>
  <c r="AA305" i="1"/>
  <c r="Z305" i="1"/>
  <c r="V305" i="1"/>
  <c r="Q305" i="1"/>
  <c r="P305" i="1"/>
  <c r="M305" i="1"/>
  <c r="E305" i="1"/>
  <c r="D305" i="1"/>
  <c r="A305" i="1"/>
  <c r="E304" i="1"/>
  <c r="D304" i="1"/>
  <c r="A304" i="1"/>
  <c r="O303" i="1"/>
  <c r="O409" i="1" s="1"/>
  <c r="O407" i="1" s="1"/>
  <c r="E303" i="1"/>
  <c r="D303" i="1"/>
  <c r="A303" i="1"/>
  <c r="AE302" i="1"/>
  <c r="Z302" i="1"/>
  <c r="V302" i="1"/>
  <c r="Q302" i="1"/>
  <c r="D302" i="1"/>
  <c r="A302" i="1"/>
  <c r="AP301" i="1"/>
  <c r="AK301" i="1"/>
  <c r="AF301" i="1"/>
  <c r="AE301" i="1"/>
  <c r="AA301" i="1"/>
  <c r="Z301" i="1"/>
  <c r="V301" i="1"/>
  <c r="U301" i="1"/>
  <c r="Q301" i="1"/>
  <c r="P301" i="1"/>
  <c r="E301" i="1"/>
  <c r="D301" i="1"/>
  <c r="A301" i="1"/>
  <c r="AP300" i="1"/>
  <c r="AK300" i="1"/>
  <c r="AF300" i="1"/>
  <c r="AE300" i="1"/>
  <c r="AA300" i="1"/>
  <c r="Z300" i="1"/>
  <c r="V300" i="1"/>
  <c r="O300" i="1"/>
  <c r="O373" i="1" s="1"/>
  <c r="O371" i="1" s="1"/>
  <c r="E300" i="1"/>
  <c r="D300" i="1"/>
  <c r="A300" i="1"/>
  <c r="AP299" i="1"/>
  <c r="AK299" i="1"/>
  <c r="AF299" i="1"/>
  <c r="AE299" i="1"/>
  <c r="AA299" i="1"/>
  <c r="Z299" i="1"/>
  <c r="V299" i="1"/>
  <c r="U299" i="1"/>
  <c r="Q299" i="1"/>
  <c r="P299" i="1"/>
  <c r="M299" i="1"/>
  <c r="E299" i="1"/>
  <c r="D299" i="1"/>
  <c r="A299" i="1"/>
  <c r="E298" i="1"/>
  <c r="D298" i="1"/>
  <c r="A298" i="1"/>
  <c r="AP297" i="1"/>
  <c r="AK297" i="1"/>
  <c r="AF297" i="1"/>
  <c r="AE297" i="1"/>
  <c r="AA297" i="1"/>
  <c r="Z297" i="1"/>
  <c r="V297" i="1"/>
  <c r="U297" i="1"/>
  <c r="Q297" i="1"/>
  <c r="P297" i="1"/>
  <c r="M297" i="1"/>
  <c r="E297" i="1"/>
  <c r="D297" i="1"/>
  <c r="A297" i="1"/>
  <c r="AN293" i="1"/>
  <c r="AM293" i="1"/>
  <c r="AI293" i="1"/>
  <c r="AD293" i="1"/>
  <c r="AD612" i="1" s="1"/>
  <c r="AD610" i="1" s="1"/>
  <c r="Y293" i="1"/>
  <c r="Y612" i="1" s="1"/>
  <c r="Y610" i="1" s="1"/>
  <c r="T293" i="1"/>
  <c r="T612" i="1" s="1"/>
  <c r="T610" i="1" s="1"/>
  <c r="O293" i="1"/>
  <c r="O612" i="1" s="1"/>
  <c r="O610" i="1" s="1"/>
  <c r="L293" i="1"/>
  <c r="L612" i="1" s="1"/>
  <c r="L610" i="1" s="1"/>
  <c r="J293" i="1"/>
  <c r="J612" i="1" s="1"/>
  <c r="J610" i="1" s="1"/>
  <c r="I293" i="1"/>
  <c r="I612" i="1" s="1"/>
  <c r="I610" i="1" s="1"/>
  <c r="H293" i="1"/>
  <c r="H612" i="1" s="1"/>
  <c r="H610" i="1" s="1"/>
  <c r="G293" i="1"/>
  <c r="G612" i="1" s="1"/>
  <c r="G610" i="1" s="1"/>
  <c r="F293" i="1"/>
  <c r="F612" i="1" s="1"/>
  <c r="F610" i="1" s="1"/>
  <c r="E293" i="1"/>
  <c r="D293" i="1"/>
  <c r="A293" i="1"/>
  <c r="AN291" i="1"/>
  <c r="AM291" i="1"/>
  <c r="AI291" i="1"/>
  <c r="AI612" i="1" s="1"/>
  <c r="AD291" i="1"/>
  <c r="AC291" i="1"/>
  <c r="Y291" i="1"/>
  <c r="Y342" i="1" s="1"/>
  <c r="Z342" i="1" s="1"/>
  <c r="T291" i="1"/>
  <c r="T342" i="1" s="1"/>
  <c r="U342" i="1" s="1"/>
  <c r="O291" i="1"/>
  <c r="O342" i="1" s="1"/>
  <c r="P342" i="1" s="1"/>
  <c r="L291" i="1"/>
  <c r="L342" i="1" s="1"/>
  <c r="M342" i="1" s="1"/>
  <c r="J291" i="1"/>
  <c r="J342" i="1" s="1"/>
  <c r="K342" i="1" s="1"/>
  <c r="I291" i="1"/>
  <c r="I342" i="1" s="1"/>
  <c r="H291" i="1"/>
  <c r="H342" i="1" s="1"/>
  <c r="G291" i="1"/>
  <c r="G342" i="1" s="1"/>
  <c r="F291" i="1"/>
  <c r="F342" i="1" s="1"/>
  <c r="E291" i="1"/>
  <c r="D291" i="1"/>
  <c r="A291" i="1"/>
  <c r="AN290" i="1"/>
  <c r="AM290" i="1"/>
  <c r="AH290" i="1"/>
  <c r="AH452" i="1" s="1"/>
  <c r="AD290" i="1"/>
  <c r="AC290" i="1"/>
  <c r="AC452" i="1" s="1"/>
  <c r="Y290" i="1"/>
  <c r="Y452" i="1" s="1"/>
  <c r="X290" i="1"/>
  <c r="T290" i="1"/>
  <c r="T452" i="1" s="1"/>
  <c r="S290" i="1"/>
  <c r="O290" i="1"/>
  <c r="O452" i="1" s="1"/>
  <c r="N290" i="1"/>
  <c r="L290" i="1"/>
  <c r="L452" i="1" s="1"/>
  <c r="K290" i="1"/>
  <c r="J290" i="1"/>
  <c r="J452" i="1" s="1"/>
  <c r="I290" i="1"/>
  <c r="I452" i="1" s="1"/>
  <c r="H290" i="1"/>
  <c r="H452" i="1" s="1"/>
  <c r="G290" i="1"/>
  <c r="G452" i="1" s="1"/>
  <c r="F290" i="1"/>
  <c r="F452" i="1" s="1"/>
  <c r="E290" i="1"/>
  <c r="D290" i="1"/>
  <c r="A290" i="1"/>
  <c r="AN289" i="1"/>
  <c r="AN449" i="1" s="1"/>
  <c r="AM289" i="1"/>
  <c r="AI289" i="1"/>
  <c r="AI449" i="1" s="1"/>
  <c r="AH289" i="1"/>
  <c r="AH449" i="1" s="1"/>
  <c r="AH448" i="1" s="1"/>
  <c r="AD289" i="1"/>
  <c r="AD449" i="1" s="1"/>
  <c r="AC289" i="1"/>
  <c r="AC449" i="1" s="1"/>
  <c r="AC448" i="1" s="1"/>
  <c r="Y289" i="1"/>
  <c r="Y449" i="1" s="1"/>
  <c r="X289" i="1"/>
  <c r="T289" i="1"/>
  <c r="T449" i="1" s="1"/>
  <c r="S289" i="1"/>
  <c r="O289" i="1"/>
  <c r="O449" i="1" s="1"/>
  <c r="N289" i="1"/>
  <c r="L289" i="1"/>
  <c r="L449" i="1" s="1"/>
  <c r="L448" i="1" s="1"/>
  <c r="K289" i="1"/>
  <c r="J289" i="1"/>
  <c r="J449" i="1" s="1"/>
  <c r="J448" i="1" s="1"/>
  <c r="I289" i="1"/>
  <c r="I449" i="1" s="1"/>
  <c r="I448" i="1" s="1"/>
  <c r="H289" i="1"/>
  <c r="H449" i="1" s="1"/>
  <c r="H448" i="1" s="1"/>
  <c r="G289" i="1"/>
  <c r="G449" i="1" s="1"/>
  <c r="G448" i="1" s="1"/>
  <c r="F289" i="1"/>
  <c r="F449" i="1" s="1"/>
  <c r="F448" i="1" s="1"/>
  <c r="E289" i="1"/>
  <c r="D289" i="1"/>
  <c r="A289" i="1"/>
  <c r="AN288" i="1"/>
  <c r="AN410" i="1" s="1"/>
  <c r="AN402" i="1" s="1"/>
  <c r="AM288" i="1"/>
  <c r="AI288" i="1"/>
  <c r="AH288" i="1"/>
  <c r="AH410" i="1" s="1"/>
  <c r="AD288" i="1"/>
  <c r="AD410" i="1" s="1"/>
  <c r="AC288" i="1"/>
  <c r="AC410" i="1" s="1"/>
  <c r="Y288" i="1"/>
  <c r="Y410" i="1" s="1"/>
  <c r="X288" i="1"/>
  <c r="T288" i="1"/>
  <c r="T410" i="1" s="1"/>
  <c r="S288" i="1"/>
  <c r="O288" i="1"/>
  <c r="O410" i="1" s="1"/>
  <c r="N288" i="1"/>
  <c r="L288" i="1"/>
  <c r="L410" i="1" s="1"/>
  <c r="K288" i="1"/>
  <c r="J288" i="1"/>
  <c r="J410" i="1" s="1"/>
  <c r="I288" i="1"/>
  <c r="I410" i="1" s="1"/>
  <c r="H288" i="1"/>
  <c r="H410" i="1" s="1"/>
  <c r="G288" i="1"/>
  <c r="G410" i="1" s="1"/>
  <c r="F288" i="1"/>
  <c r="F410" i="1" s="1"/>
  <c r="E288" i="1"/>
  <c r="D288" i="1"/>
  <c r="A288" i="1"/>
  <c r="AN287" i="1"/>
  <c r="AM287" i="1"/>
  <c r="AI287" i="1"/>
  <c r="AH287" i="1"/>
  <c r="AH499" i="1" s="1"/>
  <c r="AH497" i="1" s="1"/>
  <c r="AH496" i="1" s="1"/>
  <c r="AH495" i="1" s="1"/>
  <c r="AD287" i="1"/>
  <c r="AD499" i="1" s="1"/>
  <c r="Y287" i="1"/>
  <c r="Y499" i="1" s="1"/>
  <c r="Y497" i="1" s="1"/>
  <c r="Y496" i="1" s="1"/>
  <c r="Y495" i="1" s="1"/>
  <c r="X287" i="1"/>
  <c r="T287" i="1"/>
  <c r="T499" i="1" s="1"/>
  <c r="T497" i="1" s="1"/>
  <c r="T496" i="1" s="1"/>
  <c r="T495" i="1" s="1"/>
  <c r="S287" i="1"/>
  <c r="O287" i="1"/>
  <c r="O499" i="1" s="1"/>
  <c r="O497" i="1" s="1"/>
  <c r="O496" i="1" s="1"/>
  <c r="O495" i="1" s="1"/>
  <c r="N287" i="1"/>
  <c r="L287" i="1"/>
  <c r="L499" i="1" s="1"/>
  <c r="L497" i="1" s="1"/>
  <c r="L496" i="1" s="1"/>
  <c r="L495" i="1" s="1"/>
  <c r="K287" i="1"/>
  <c r="J287" i="1"/>
  <c r="J499" i="1" s="1"/>
  <c r="J497" i="1" s="1"/>
  <c r="J496" i="1" s="1"/>
  <c r="J495" i="1" s="1"/>
  <c r="I287" i="1"/>
  <c r="I499" i="1" s="1"/>
  <c r="I497" i="1" s="1"/>
  <c r="I496" i="1" s="1"/>
  <c r="I495" i="1" s="1"/>
  <c r="H287" i="1"/>
  <c r="H499" i="1" s="1"/>
  <c r="H497" i="1" s="1"/>
  <c r="H496" i="1" s="1"/>
  <c r="H495" i="1" s="1"/>
  <c r="G287" i="1"/>
  <c r="G499" i="1" s="1"/>
  <c r="G497" i="1" s="1"/>
  <c r="G496" i="1" s="1"/>
  <c r="G495" i="1" s="1"/>
  <c r="F287" i="1"/>
  <c r="F499" i="1" s="1"/>
  <c r="F497" i="1" s="1"/>
  <c r="F496" i="1" s="1"/>
  <c r="F495" i="1" s="1"/>
  <c r="D287" i="1"/>
  <c r="A287" i="1"/>
  <c r="AN286" i="1"/>
  <c r="AM286" i="1"/>
  <c r="AM5" i="1" s="1"/>
  <c r="AI286" i="1"/>
  <c r="AH286" i="1"/>
  <c r="AH366" i="1" s="1"/>
  <c r="AH364" i="1" s="1"/>
  <c r="AD286" i="1"/>
  <c r="AD366" i="1" s="1"/>
  <c r="AC286" i="1"/>
  <c r="AC366" i="1" s="1"/>
  <c r="AC364" i="1" s="1"/>
  <c r="Y286" i="1"/>
  <c r="Y366" i="1" s="1"/>
  <c r="Y364" i="1" s="1"/>
  <c r="X286" i="1"/>
  <c r="T286" i="1"/>
  <c r="T366" i="1" s="1"/>
  <c r="T364" i="1" s="1"/>
  <c r="S286" i="1"/>
  <c r="O286" i="1"/>
  <c r="O366" i="1" s="1"/>
  <c r="O364" i="1" s="1"/>
  <c r="N286" i="1"/>
  <c r="L286" i="1"/>
  <c r="L366" i="1" s="1"/>
  <c r="L364" i="1" s="1"/>
  <c r="K286" i="1"/>
  <c r="J286" i="1"/>
  <c r="J366" i="1" s="1"/>
  <c r="J364" i="1" s="1"/>
  <c r="I286" i="1"/>
  <c r="I366" i="1" s="1"/>
  <c r="I364" i="1" s="1"/>
  <c r="H286" i="1"/>
  <c r="H366" i="1" s="1"/>
  <c r="H364" i="1" s="1"/>
  <c r="G286" i="1"/>
  <c r="G366" i="1" s="1"/>
  <c r="G364" i="1" s="1"/>
  <c r="F286" i="1"/>
  <c r="F366" i="1" s="1"/>
  <c r="F364" i="1" s="1"/>
  <c r="E286" i="1"/>
  <c r="D286" i="1"/>
  <c r="A286" i="1"/>
  <c r="AN282" i="1"/>
  <c r="AM282" i="1"/>
  <c r="AI282" i="1"/>
  <c r="AH282" i="1"/>
  <c r="AD282" i="1"/>
  <c r="AC282" i="1"/>
  <c r="Y282" i="1"/>
  <c r="X282" i="1"/>
  <c r="T282" i="1"/>
  <c r="S282" i="1"/>
  <c r="O282" i="1"/>
  <c r="N282" i="1"/>
  <c r="L282" i="1"/>
  <c r="K282" i="1"/>
  <c r="J282" i="1"/>
  <c r="I282" i="1"/>
  <c r="H282" i="1"/>
  <c r="G282" i="1"/>
  <c r="F282" i="1"/>
  <c r="D281" i="1"/>
  <c r="A281" i="1"/>
  <c r="D279" i="1"/>
  <c r="A279" i="1"/>
  <c r="AP278" i="1"/>
  <c r="AK278" i="1"/>
  <c r="AF278" i="1"/>
  <c r="AE278" i="1"/>
  <c r="AA278" i="1"/>
  <c r="Z278" i="1"/>
  <c r="V278" i="1"/>
  <c r="Q278" i="1"/>
  <c r="D278" i="1"/>
  <c r="A278" i="1"/>
  <c r="V277" i="1"/>
  <c r="Q277" i="1"/>
  <c r="D277" i="1"/>
  <c r="A277" i="1"/>
  <c r="AP276" i="1"/>
  <c r="AK276" i="1"/>
  <c r="AF276" i="1"/>
  <c r="AE276" i="1"/>
  <c r="AA276" i="1"/>
  <c r="Z276" i="1"/>
  <c r="V276" i="1"/>
  <c r="U276" i="1"/>
  <c r="Q276" i="1"/>
  <c r="P276" i="1"/>
  <c r="M276" i="1"/>
  <c r="D276" i="1"/>
  <c r="A276" i="1"/>
  <c r="V275" i="1"/>
  <c r="Q275" i="1"/>
  <c r="D275" i="1"/>
  <c r="A275" i="1"/>
  <c r="AE274" i="1"/>
  <c r="Z274" i="1"/>
  <c r="U274" i="1"/>
  <c r="P274" i="1"/>
  <c r="M274" i="1"/>
  <c r="D274" i="1"/>
  <c r="A274" i="1"/>
  <c r="AN271" i="1"/>
  <c r="AM271" i="1"/>
  <c r="AI271" i="1"/>
  <c r="AH271" i="1"/>
  <c r="AD271" i="1"/>
  <c r="AD795" i="1" s="1"/>
  <c r="AC271" i="1"/>
  <c r="Y271" i="1"/>
  <c r="Y795" i="1" s="1"/>
  <c r="X271" i="1"/>
  <c r="T271" i="1"/>
  <c r="T795" i="1" s="1"/>
  <c r="S271" i="1"/>
  <c r="O271" i="1"/>
  <c r="O795" i="1" s="1"/>
  <c r="N271" i="1"/>
  <c r="L271" i="1"/>
  <c r="L795" i="1" s="1"/>
  <c r="K271" i="1"/>
  <c r="J271" i="1"/>
  <c r="J795" i="1" s="1"/>
  <c r="I271" i="1"/>
  <c r="H271" i="1"/>
  <c r="H795" i="1" s="1"/>
  <c r="H785" i="1" s="1"/>
  <c r="G271" i="1"/>
  <c r="G795" i="1" s="1"/>
  <c r="G785" i="1" s="1"/>
  <c r="F271" i="1"/>
  <c r="F795" i="1" s="1"/>
  <c r="F785" i="1" s="1"/>
  <c r="D270" i="1"/>
  <c r="A270" i="1"/>
  <c r="D268" i="1"/>
  <c r="A268" i="1"/>
  <c r="AP267" i="1"/>
  <c r="AK267" i="1"/>
  <c r="AF267" i="1"/>
  <c r="AA267" i="1"/>
  <c r="Z267" i="1"/>
  <c r="V267" i="1"/>
  <c r="Q267" i="1"/>
  <c r="D267" i="1"/>
  <c r="A267" i="1"/>
  <c r="A266" i="1"/>
  <c r="V265" i="1"/>
  <c r="Q265" i="1"/>
  <c r="D265" i="1"/>
  <c r="A265" i="1"/>
  <c r="AP264" i="1"/>
  <c r="AK264" i="1"/>
  <c r="AF264" i="1"/>
  <c r="AE264" i="1"/>
  <c r="AA264" i="1"/>
  <c r="Z264" i="1"/>
  <c r="V264" i="1"/>
  <c r="U264" i="1"/>
  <c r="Q264" i="1"/>
  <c r="P264" i="1"/>
  <c r="M264" i="1"/>
  <c r="D264" i="1"/>
  <c r="A264" i="1"/>
  <c r="AP263" i="1"/>
  <c r="AK263" i="1"/>
  <c r="AF263" i="1"/>
  <c r="AE263" i="1"/>
  <c r="AA263" i="1"/>
  <c r="Z263" i="1"/>
  <c r="V263" i="1"/>
  <c r="U263" i="1"/>
  <c r="Q263" i="1"/>
  <c r="P263" i="1"/>
  <c r="M263" i="1"/>
  <c r="D263" i="1"/>
  <c r="A263" i="1"/>
  <c r="AE262" i="1"/>
  <c r="Z262" i="1"/>
  <c r="U262" i="1"/>
  <c r="P262" i="1"/>
  <c r="M262" i="1"/>
  <c r="D262" i="1"/>
  <c r="A262" i="1"/>
  <c r="AT259" i="1"/>
  <c r="AM259" i="1"/>
  <c r="AI259" i="1"/>
  <c r="AH259" i="1"/>
  <c r="AD259" i="1"/>
  <c r="AC259" i="1"/>
  <c r="Y259" i="1"/>
  <c r="X259" i="1"/>
  <c r="T259" i="1"/>
  <c r="S259" i="1"/>
  <c r="O259" i="1"/>
  <c r="N259" i="1"/>
  <c r="L259" i="1"/>
  <c r="K259" i="1"/>
  <c r="J259" i="1"/>
  <c r="I259" i="1"/>
  <c r="H259" i="1"/>
  <c r="G259" i="1"/>
  <c r="F259" i="1"/>
  <c r="D258" i="1"/>
  <c r="A258" i="1"/>
  <c r="D256" i="1"/>
  <c r="A256" i="1"/>
  <c r="AP255" i="1"/>
  <c r="AK255" i="1"/>
  <c r="AF255" i="1"/>
  <c r="AE255" i="1"/>
  <c r="AA255" i="1"/>
  <c r="Z255" i="1"/>
  <c r="V255" i="1"/>
  <c r="Q255" i="1"/>
  <c r="D255" i="1"/>
  <c r="A255" i="1"/>
  <c r="V254" i="1"/>
  <c r="Q254" i="1"/>
  <c r="D254" i="1"/>
  <c r="A254" i="1"/>
  <c r="AP253" i="1"/>
  <c r="AK253" i="1"/>
  <c r="AF253" i="1"/>
  <c r="AE253" i="1"/>
  <c r="AA253" i="1"/>
  <c r="Z253" i="1"/>
  <c r="V253" i="1"/>
  <c r="U253" i="1"/>
  <c r="Q253" i="1"/>
  <c r="P253" i="1"/>
  <c r="M253" i="1"/>
  <c r="D253" i="1"/>
  <c r="A253" i="1"/>
  <c r="AP252" i="1"/>
  <c r="AK252" i="1"/>
  <c r="AF252" i="1"/>
  <c r="AE252" i="1"/>
  <c r="AA252" i="1"/>
  <c r="Z252" i="1"/>
  <c r="V252" i="1"/>
  <c r="U252" i="1"/>
  <c r="Q252" i="1"/>
  <c r="P252" i="1"/>
  <c r="M252" i="1"/>
  <c r="D252" i="1"/>
  <c r="A252" i="1"/>
  <c r="AE251" i="1"/>
  <c r="Z251" i="1"/>
  <c r="U251" i="1"/>
  <c r="P251" i="1"/>
  <c r="M251" i="1"/>
  <c r="D251" i="1"/>
  <c r="A251" i="1"/>
  <c r="AN247" i="1"/>
  <c r="AT247" i="1" s="1"/>
  <c r="AM247" i="1"/>
  <c r="AI247" i="1"/>
  <c r="AH247" i="1"/>
  <c r="AD247" i="1"/>
  <c r="AC247" i="1"/>
  <c r="Y247" i="1"/>
  <c r="X247" i="1"/>
  <c r="T247" i="1"/>
  <c r="S247" i="1"/>
  <c r="O247" i="1"/>
  <c r="U248" i="1" s="1"/>
  <c r="N247" i="1"/>
  <c r="L247" i="1"/>
  <c r="K247" i="1"/>
  <c r="J247" i="1"/>
  <c r="I247" i="1"/>
  <c r="H247" i="1"/>
  <c r="G247" i="1"/>
  <c r="F247" i="1"/>
  <c r="D246" i="1"/>
  <c r="A246" i="1"/>
  <c r="D244" i="1"/>
  <c r="A244" i="1"/>
  <c r="AP243" i="1"/>
  <c r="AK243" i="1"/>
  <c r="AF243" i="1"/>
  <c r="AE243" i="1"/>
  <c r="AA243" i="1"/>
  <c r="Z243" i="1"/>
  <c r="V243" i="1"/>
  <c r="Q243" i="1"/>
  <c r="M243" i="1"/>
  <c r="D243" i="1"/>
  <c r="A243" i="1"/>
  <c r="V242" i="1"/>
  <c r="Q242" i="1"/>
  <c r="D242" i="1"/>
  <c r="A242" i="1"/>
  <c r="AP241" i="1"/>
  <c r="AK241" i="1"/>
  <c r="AF241" i="1"/>
  <c r="AE241" i="1"/>
  <c r="AA241" i="1"/>
  <c r="Z241" i="1"/>
  <c r="V241" i="1"/>
  <c r="U241" i="1"/>
  <c r="Q241" i="1"/>
  <c r="P241" i="1"/>
  <c r="M241" i="1"/>
  <c r="D241" i="1"/>
  <c r="A241" i="1"/>
  <c r="AP240" i="1"/>
  <c r="AK240" i="1"/>
  <c r="AF240" i="1"/>
  <c r="AE240" i="1"/>
  <c r="AA240" i="1"/>
  <c r="Z240" i="1"/>
  <c r="V240" i="1"/>
  <c r="U240" i="1"/>
  <c r="Q240" i="1"/>
  <c r="P240" i="1"/>
  <c r="M240" i="1"/>
  <c r="D240" i="1"/>
  <c r="A240" i="1"/>
  <c r="AP239" i="1"/>
  <c r="AK239" i="1"/>
  <c r="AF239" i="1"/>
  <c r="AE239" i="1"/>
  <c r="AA239" i="1"/>
  <c r="Z239" i="1"/>
  <c r="V239" i="1"/>
  <c r="U239" i="1"/>
  <c r="Q239" i="1"/>
  <c r="P239" i="1"/>
  <c r="M239" i="1"/>
  <c r="D239" i="1"/>
  <c r="A239" i="1"/>
  <c r="AT236" i="1"/>
  <c r="AM236" i="1"/>
  <c r="AI236" i="1"/>
  <c r="AH236" i="1"/>
  <c r="AD236" i="1"/>
  <c r="AC236" i="1"/>
  <c r="Y236" i="1"/>
  <c r="X236" i="1"/>
  <c r="T236" i="1"/>
  <c r="S236" i="1"/>
  <c r="O236" i="1"/>
  <c r="N236" i="1"/>
  <c r="L236" i="1"/>
  <c r="K236" i="1"/>
  <c r="J236" i="1"/>
  <c r="I236" i="1"/>
  <c r="H236" i="1"/>
  <c r="G236" i="1"/>
  <c r="F236" i="1"/>
  <c r="D235" i="1"/>
  <c r="A235" i="1"/>
  <c r="D233" i="1"/>
  <c r="A233" i="1"/>
  <c r="AP232" i="1"/>
  <c r="AK232" i="1"/>
  <c r="AF232" i="1"/>
  <c r="AE232" i="1"/>
  <c r="AA232" i="1"/>
  <c r="Z232" i="1"/>
  <c r="V232" i="1"/>
  <c r="Q232" i="1"/>
  <c r="M232" i="1"/>
  <c r="D232" i="1"/>
  <c r="A232" i="1"/>
  <c r="V231" i="1"/>
  <c r="Q231" i="1"/>
  <c r="D231" i="1"/>
  <c r="A231" i="1"/>
  <c r="AP230" i="1"/>
  <c r="AK230" i="1"/>
  <c r="AF230" i="1"/>
  <c r="AE230" i="1"/>
  <c r="AA230" i="1"/>
  <c r="Z230" i="1"/>
  <c r="V230" i="1"/>
  <c r="U230" i="1"/>
  <c r="Q230" i="1"/>
  <c r="P230" i="1"/>
  <c r="M230" i="1"/>
  <c r="D230" i="1"/>
  <c r="A230" i="1"/>
  <c r="AP229" i="1"/>
  <c r="AK229" i="1"/>
  <c r="AF229" i="1"/>
  <c r="AE229" i="1"/>
  <c r="AA229" i="1"/>
  <c r="Z229" i="1"/>
  <c r="V229" i="1"/>
  <c r="U229" i="1"/>
  <c r="Q229" i="1"/>
  <c r="P229" i="1"/>
  <c r="M229" i="1"/>
  <c r="D229" i="1"/>
  <c r="A229" i="1"/>
  <c r="AP228" i="1"/>
  <c r="AK228" i="1"/>
  <c r="AF228" i="1"/>
  <c r="AE228" i="1"/>
  <c r="AA228" i="1"/>
  <c r="Z228" i="1"/>
  <c r="V228" i="1"/>
  <c r="U228" i="1"/>
  <c r="Q228" i="1"/>
  <c r="P228" i="1"/>
  <c r="M228" i="1"/>
  <c r="D228" i="1"/>
  <c r="A228" i="1"/>
  <c r="AN224" i="1"/>
  <c r="AM224" i="1"/>
  <c r="AI224" i="1"/>
  <c r="AH224" i="1"/>
  <c r="AD224" i="1"/>
  <c r="AC224" i="1"/>
  <c r="Y224" i="1"/>
  <c r="X224" i="1"/>
  <c r="T224" i="1"/>
  <c r="S224" i="1"/>
  <c r="Q224" i="1"/>
  <c r="O224" i="1"/>
  <c r="N224" i="1"/>
  <c r="L224" i="1"/>
  <c r="K224" i="1"/>
  <c r="J224" i="1"/>
  <c r="I224" i="1"/>
  <c r="H224" i="1"/>
  <c r="G224" i="1"/>
  <c r="F224" i="1"/>
  <c r="D223" i="1"/>
  <c r="A223" i="1"/>
  <c r="AM219" i="1"/>
  <c r="AH219" i="1"/>
  <c r="AC219" i="1"/>
  <c r="Y219" i="1"/>
  <c r="Y794" i="1" s="1"/>
  <c r="X219" i="1"/>
  <c r="T219" i="1"/>
  <c r="T794" i="1" s="1"/>
  <c r="S219" i="1"/>
  <c r="O219" i="1"/>
  <c r="O794" i="1" s="1"/>
  <c r="N219" i="1"/>
  <c r="L219" i="1"/>
  <c r="L794" i="1" s="1"/>
  <c r="K219" i="1"/>
  <c r="J219" i="1"/>
  <c r="J794" i="1" s="1"/>
  <c r="I219" i="1"/>
  <c r="I794" i="1" s="1"/>
  <c r="H219" i="1"/>
  <c r="H794" i="1" s="1"/>
  <c r="G219" i="1"/>
  <c r="G794" i="1" s="1"/>
  <c r="F219" i="1"/>
  <c r="F794" i="1" s="1"/>
  <c r="W218" i="1"/>
  <c r="R218" i="1"/>
  <c r="AQ217" i="1"/>
  <c r="AL217" i="1"/>
  <c r="AE217" i="1"/>
  <c r="AB217" i="1"/>
  <c r="AE620" i="1" s="1"/>
  <c r="Z217" i="1"/>
  <c r="W217" i="1"/>
  <c r="Z620" i="1" s="1"/>
  <c r="V217" i="1"/>
  <c r="U217" i="1"/>
  <c r="Q217" i="1"/>
  <c r="P217" i="1"/>
  <c r="U620" i="1" s="1"/>
  <c r="E217" i="1"/>
  <c r="D217" i="1"/>
  <c r="C217" i="1"/>
  <c r="A217" i="1"/>
  <c r="E216" i="1"/>
  <c r="D216" i="1"/>
  <c r="C216" i="1"/>
  <c r="A216" i="1"/>
  <c r="E215" i="1"/>
  <c r="D215" i="1"/>
  <c r="C215" i="1"/>
  <c r="A215" i="1"/>
  <c r="AG214" i="1"/>
  <c r="AE214" i="1"/>
  <c r="AB214" i="1"/>
  <c r="AE630" i="1" s="1"/>
  <c r="Z214" i="1"/>
  <c r="W214" i="1"/>
  <c r="Z630" i="1" s="1"/>
  <c r="V214" i="1"/>
  <c r="U214" i="1"/>
  <c r="R214" i="1"/>
  <c r="Q214" i="1"/>
  <c r="P214" i="1"/>
  <c r="U630" i="1" s="1"/>
  <c r="E214" i="1"/>
  <c r="D214" i="1"/>
  <c r="C214" i="1"/>
  <c r="A214" i="1"/>
  <c r="AQ213" i="1"/>
  <c r="AL213" i="1"/>
  <c r="AG213" i="1"/>
  <c r="AB213" i="1"/>
  <c r="AE638" i="1" s="1"/>
  <c r="W213" i="1"/>
  <c r="Z638" i="1" s="1"/>
  <c r="V213" i="1"/>
  <c r="R213" i="1"/>
  <c r="Q213" i="1"/>
  <c r="E213" i="1"/>
  <c r="D213" i="1"/>
  <c r="C213" i="1"/>
  <c r="A213" i="1"/>
  <c r="AQ212" i="1"/>
  <c r="AL212" i="1"/>
  <c r="AG212" i="1"/>
  <c r="AB212" i="1"/>
  <c r="AE628" i="1" s="1"/>
  <c r="W212" i="1"/>
  <c r="Z628" i="1" s="1"/>
  <c r="R212" i="1"/>
  <c r="E212" i="1"/>
  <c r="D212" i="1"/>
  <c r="C212" i="1"/>
  <c r="A212" i="1"/>
  <c r="AQ211" i="1"/>
  <c r="AL211" i="1"/>
  <c r="AG211" i="1"/>
  <c r="AE211" i="1"/>
  <c r="AB211" i="1"/>
  <c r="AE624" i="1" s="1"/>
  <c r="Z211" i="1"/>
  <c r="W211" i="1"/>
  <c r="Z624" i="1" s="1"/>
  <c r="V211" i="1"/>
  <c r="U211" i="1"/>
  <c r="R211" i="1"/>
  <c r="Q211" i="1"/>
  <c r="P211" i="1"/>
  <c r="U624" i="1" s="1"/>
  <c r="E211" i="1"/>
  <c r="D211" i="1"/>
  <c r="C211" i="1"/>
  <c r="A211" i="1"/>
  <c r="AP210" i="1"/>
  <c r="AK210" i="1"/>
  <c r="AF210" i="1"/>
  <c r="AE210" i="1"/>
  <c r="AA210" i="1"/>
  <c r="Z210" i="1"/>
  <c r="V210" i="1"/>
  <c r="U210" i="1"/>
  <c r="Q210" i="1"/>
  <c r="P210" i="1"/>
  <c r="M210" i="1"/>
  <c r="E210" i="1"/>
  <c r="D210" i="1"/>
  <c r="C210" i="1"/>
  <c r="A210" i="1"/>
  <c r="AB209" i="1"/>
  <c r="Z209" i="1"/>
  <c r="V209" i="1"/>
  <c r="U209" i="1"/>
  <c r="Q209" i="1"/>
  <c r="P209" i="1"/>
  <c r="E209" i="1"/>
  <c r="D209" i="1"/>
  <c r="C209" i="1"/>
  <c r="A209" i="1"/>
  <c r="AP208" i="1"/>
  <c r="AK208" i="1"/>
  <c r="AG208" i="1"/>
  <c r="AF208" i="1"/>
  <c r="AE208" i="1"/>
  <c r="AA208" i="1"/>
  <c r="Z208" i="1"/>
  <c r="V208" i="1"/>
  <c r="U208" i="1"/>
  <c r="R208" i="1"/>
  <c r="Q208" i="1"/>
  <c r="P208" i="1"/>
  <c r="M208" i="1"/>
  <c r="E208" i="1"/>
  <c r="D208" i="1"/>
  <c r="C208" i="1"/>
  <c r="A208" i="1"/>
  <c r="AQ207" i="1"/>
  <c r="AL207" i="1"/>
  <c r="AG207" i="1"/>
  <c r="AB207" i="1"/>
  <c r="AE392" i="1" s="1"/>
  <c r="W207" i="1"/>
  <c r="Z392" i="1" s="1"/>
  <c r="R207" i="1"/>
  <c r="E207" i="1"/>
  <c r="D207" i="1"/>
  <c r="C207" i="1"/>
  <c r="A207" i="1"/>
  <c r="AQ206" i="1"/>
  <c r="AP206" i="1"/>
  <c r="AL206" i="1"/>
  <c r="AK206" i="1"/>
  <c r="AG206" i="1"/>
  <c r="AF206" i="1"/>
  <c r="AB206" i="1"/>
  <c r="AE391" i="1" s="1"/>
  <c r="AA206" i="1"/>
  <c r="W206" i="1"/>
  <c r="Z391" i="1" s="1"/>
  <c r="V206" i="1"/>
  <c r="R206" i="1"/>
  <c r="Q206" i="1"/>
  <c r="D206" i="1"/>
  <c r="C206" i="1"/>
  <c r="A206" i="1"/>
  <c r="AP205" i="1"/>
  <c r="AK205" i="1"/>
  <c r="AF205" i="1"/>
  <c r="AE205" i="1"/>
  <c r="AB205" i="1"/>
  <c r="AA205" i="1"/>
  <c r="Z205" i="1"/>
  <c r="V205" i="1"/>
  <c r="U205" i="1"/>
  <c r="Q205" i="1"/>
  <c r="P205" i="1"/>
  <c r="M205" i="1"/>
  <c r="E205" i="1"/>
  <c r="D205" i="1"/>
  <c r="C205" i="1"/>
  <c r="A205" i="1"/>
  <c r="AQ204" i="1"/>
  <c r="AP204" i="1"/>
  <c r="AL204" i="1"/>
  <c r="AK204" i="1"/>
  <c r="AG204" i="1"/>
  <c r="AF204" i="1"/>
  <c r="AB204" i="1"/>
  <c r="AE490" i="1" s="1"/>
  <c r="W204" i="1"/>
  <c r="Z490" i="1" s="1"/>
  <c r="V204" i="1"/>
  <c r="R204" i="1"/>
  <c r="Q204" i="1"/>
  <c r="E204" i="1"/>
  <c r="D204" i="1"/>
  <c r="C204" i="1"/>
  <c r="A204" i="1"/>
  <c r="AP203" i="1"/>
  <c r="AK203" i="1"/>
  <c r="AF203" i="1"/>
  <c r="AE203" i="1"/>
  <c r="AA203" i="1"/>
  <c r="Z203" i="1"/>
  <c r="V203" i="1"/>
  <c r="U203" i="1"/>
  <c r="R203" i="1"/>
  <c r="Q203" i="1"/>
  <c r="P203" i="1"/>
  <c r="M203" i="1"/>
  <c r="E203" i="1"/>
  <c r="D203" i="1"/>
  <c r="C203" i="1"/>
  <c r="A203" i="1"/>
  <c r="AQ202" i="1"/>
  <c r="AL202" i="1"/>
  <c r="AG202" i="1"/>
  <c r="W202" i="1"/>
  <c r="R202" i="1"/>
  <c r="E202" i="1"/>
  <c r="D202" i="1"/>
  <c r="C202" i="1"/>
  <c r="A202" i="1"/>
  <c r="AP201" i="1"/>
  <c r="AL201" i="1"/>
  <c r="AK201" i="1"/>
  <c r="AG201" i="1"/>
  <c r="AF201" i="1"/>
  <c r="AE201" i="1"/>
  <c r="AA201" i="1"/>
  <c r="Z201" i="1"/>
  <c r="W201" i="1"/>
  <c r="V201" i="1"/>
  <c r="U201" i="1"/>
  <c r="Q201" i="1"/>
  <c r="P201" i="1"/>
  <c r="M201" i="1"/>
  <c r="E201" i="1"/>
  <c r="D201" i="1"/>
  <c r="C201" i="1"/>
  <c r="A201" i="1"/>
  <c r="AL200" i="1"/>
  <c r="AG200" i="1"/>
  <c r="AE200" i="1"/>
  <c r="Z200" i="1"/>
  <c r="V200" i="1"/>
  <c r="R200" i="1"/>
  <c r="Q200" i="1"/>
  <c r="E200" i="1"/>
  <c r="D200" i="1"/>
  <c r="C200" i="1"/>
  <c r="A200" i="1"/>
  <c r="AP199" i="1"/>
  <c r="AK199" i="1"/>
  <c r="AF199" i="1"/>
  <c r="AE199" i="1"/>
  <c r="AA199" i="1"/>
  <c r="Z199" i="1"/>
  <c r="V199" i="1"/>
  <c r="U199" i="1"/>
  <c r="Q199" i="1"/>
  <c r="P199" i="1"/>
  <c r="M199" i="1"/>
  <c r="E199" i="1"/>
  <c r="D199" i="1"/>
  <c r="C199" i="1"/>
  <c r="A199" i="1"/>
  <c r="AP198" i="1"/>
  <c r="AK198" i="1"/>
  <c r="AF198" i="1"/>
  <c r="AE198" i="1"/>
  <c r="AA198" i="1"/>
  <c r="Z198" i="1"/>
  <c r="V198" i="1"/>
  <c r="U198" i="1"/>
  <c r="Q198" i="1"/>
  <c r="P198" i="1"/>
  <c r="M198" i="1"/>
  <c r="E198" i="1"/>
  <c r="D198" i="1"/>
  <c r="C198" i="1"/>
  <c r="A198" i="1"/>
  <c r="AQ197" i="1"/>
  <c r="AP197" i="1"/>
  <c r="AL197" i="1"/>
  <c r="AK197" i="1"/>
  <c r="AG197" i="1"/>
  <c r="AF197" i="1"/>
  <c r="AE197" i="1"/>
  <c r="AB197" i="1"/>
  <c r="AA197" i="1"/>
  <c r="Z197" i="1"/>
  <c r="V197" i="1"/>
  <c r="U197" i="1"/>
  <c r="Q197" i="1"/>
  <c r="P197" i="1"/>
  <c r="E197" i="1"/>
  <c r="D197" i="1"/>
  <c r="C197" i="1"/>
  <c r="A197" i="1"/>
  <c r="AQ196" i="1"/>
  <c r="AP196" i="1"/>
  <c r="AL196" i="1"/>
  <c r="AK196" i="1"/>
  <c r="AG196" i="1"/>
  <c r="AF196" i="1"/>
  <c r="AE196" i="1"/>
  <c r="AA196" i="1"/>
  <c r="Z196" i="1"/>
  <c r="V196" i="1"/>
  <c r="U196" i="1"/>
  <c r="R196" i="1"/>
  <c r="Q196" i="1"/>
  <c r="M196" i="1"/>
  <c r="D196" i="1"/>
  <c r="C196" i="1"/>
  <c r="A196" i="1"/>
  <c r="AQ193" i="1"/>
  <c r="AP193" i="1"/>
  <c r="AK193" i="1"/>
  <c r="AG193" i="1"/>
  <c r="AF193" i="1"/>
  <c r="AE193" i="1"/>
  <c r="AB193" i="1"/>
  <c r="AA193" i="1"/>
  <c r="Z193" i="1"/>
  <c r="V193" i="1"/>
  <c r="U193" i="1"/>
  <c r="Q193" i="1"/>
  <c r="P193" i="1"/>
  <c r="M193" i="1"/>
  <c r="D193" i="1"/>
  <c r="C193" i="1"/>
  <c r="A193" i="1"/>
  <c r="AP192" i="1"/>
  <c r="AL192" i="1"/>
  <c r="AK192" i="1"/>
  <c r="AG192" i="1"/>
  <c r="AF192" i="1"/>
  <c r="AB192" i="1"/>
  <c r="AA192" i="1"/>
  <c r="Z192" i="1"/>
  <c r="V192" i="1"/>
  <c r="R192" i="1"/>
  <c r="Q192" i="1"/>
  <c r="E192" i="1"/>
  <c r="D192" i="1"/>
  <c r="C192" i="1"/>
  <c r="A192" i="1"/>
  <c r="AP191" i="1"/>
  <c r="AK191" i="1"/>
  <c r="AF191" i="1"/>
  <c r="AE191" i="1"/>
  <c r="AB191" i="1"/>
  <c r="AA191" i="1"/>
  <c r="Z191" i="1"/>
  <c r="V191" i="1"/>
  <c r="U191" i="1"/>
  <c r="Q191" i="1"/>
  <c r="P191" i="1"/>
  <c r="M191" i="1"/>
  <c r="E191" i="1"/>
  <c r="D191" i="1"/>
  <c r="C191" i="1"/>
  <c r="A191" i="1"/>
  <c r="AP190" i="1"/>
  <c r="AK190" i="1"/>
  <c r="AF190" i="1"/>
  <c r="AE190" i="1"/>
  <c r="AA190" i="1"/>
  <c r="Z190" i="1"/>
  <c r="W190" i="1"/>
  <c r="V190" i="1"/>
  <c r="U190" i="1"/>
  <c r="Q190" i="1"/>
  <c r="P190" i="1"/>
  <c r="M190" i="1"/>
  <c r="E190" i="1"/>
  <c r="D190" i="1"/>
  <c r="C190" i="1"/>
  <c r="A190" i="1"/>
  <c r="E189" i="1"/>
  <c r="D189" i="1"/>
  <c r="C189" i="1"/>
  <c r="A189" i="1"/>
  <c r="AQ188" i="1"/>
  <c r="AP188" i="1"/>
  <c r="AL188" i="1"/>
  <c r="AK188" i="1"/>
  <c r="AG188" i="1"/>
  <c r="AF188" i="1"/>
  <c r="AB188" i="1"/>
  <c r="AE384" i="1" s="1"/>
  <c r="AA188" i="1"/>
  <c r="W188" i="1"/>
  <c r="Z384" i="1" s="1"/>
  <c r="V188" i="1"/>
  <c r="R188" i="1"/>
  <c r="Q188" i="1"/>
  <c r="E188" i="1"/>
  <c r="D188" i="1"/>
  <c r="C188" i="1"/>
  <c r="A188" i="1"/>
  <c r="AQ187" i="1"/>
  <c r="AL187" i="1"/>
  <c r="AB187" i="1"/>
  <c r="Z187" i="1"/>
  <c r="V187" i="1"/>
  <c r="U187" i="1"/>
  <c r="R187" i="1"/>
  <c r="Q187" i="1"/>
  <c r="E187" i="1"/>
  <c r="D187" i="1"/>
  <c r="C187" i="1"/>
  <c r="A187" i="1"/>
  <c r="AQ186" i="1"/>
  <c r="AL186" i="1"/>
  <c r="AB186" i="1"/>
  <c r="AE482" i="1" s="1"/>
  <c r="W186" i="1"/>
  <c r="Z482" i="1" s="1"/>
  <c r="R186" i="1"/>
  <c r="E186" i="1"/>
  <c r="D186" i="1"/>
  <c r="C186" i="1"/>
  <c r="A186" i="1"/>
  <c r="AQ185" i="1"/>
  <c r="AP185" i="1"/>
  <c r="AL185" i="1"/>
  <c r="AK185" i="1"/>
  <c r="AG185" i="1"/>
  <c r="AF185" i="1"/>
  <c r="AB185" i="1"/>
  <c r="AE488" i="1" s="1"/>
  <c r="AA185" i="1"/>
  <c r="W185" i="1"/>
  <c r="Z488" i="1" s="1"/>
  <c r="V185" i="1"/>
  <c r="R185" i="1"/>
  <c r="Q185" i="1"/>
  <c r="E185" i="1"/>
  <c r="D185" i="1"/>
  <c r="C185" i="1"/>
  <c r="A185" i="1"/>
  <c r="E184" i="1"/>
  <c r="D184" i="1"/>
  <c r="C184" i="1"/>
  <c r="A184" i="1"/>
  <c r="E183" i="1"/>
  <c r="D183" i="1"/>
  <c r="C183" i="1"/>
  <c r="A183" i="1"/>
  <c r="AP182" i="1"/>
  <c r="AK182" i="1"/>
  <c r="AG182" i="1"/>
  <c r="AF182" i="1"/>
  <c r="AB182" i="1"/>
  <c r="AE460" i="1" s="1"/>
  <c r="AA182" i="1"/>
  <c r="W182" i="1"/>
  <c r="Z460" i="1" s="1"/>
  <c r="V182" i="1"/>
  <c r="R182" i="1"/>
  <c r="Q182" i="1"/>
  <c r="E182" i="1"/>
  <c r="D182" i="1"/>
  <c r="C182" i="1"/>
  <c r="A182" i="1"/>
  <c r="AQ181" i="1"/>
  <c r="AP181" i="1"/>
  <c r="AL181" i="1"/>
  <c r="AK181" i="1"/>
  <c r="AG181" i="1"/>
  <c r="AF181" i="1"/>
  <c r="AB181" i="1"/>
  <c r="AE417" i="1" s="1"/>
  <c r="AA181" i="1"/>
  <c r="W181" i="1"/>
  <c r="Z417" i="1" s="1"/>
  <c r="V181" i="1"/>
  <c r="R181" i="1"/>
  <c r="Q181" i="1"/>
  <c r="E181" i="1"/>
  <c r="D181" i="1"/>
  <c r="C181" i="1"/>
  <c r="A181" i="1"/>
  <c r="AQ180" i="1"/>
  <c r="AL180" i="1"/>
  <c r="AB180" i="1"/>
  <c r="AE478" i="1" s="1"/>
  <c r="W180" i="1"/>
  <c r="Z478" i="1" s="1"/>
  <c r="R180" i="1"/>
  <c r="E180" i="1"/>
  <c r="D180" i="1"/>
  <c r="C180" i="1"/>
  <c r="A180" i="1"/>
  <c r="AG179" i="1"/>
  <c r="W179" i="1"/>
  <c r="Z431" i="1" s="1"/>
  <c r="R179" i="1"/>
  <c r="E179" i="1"/>
  <c r="D179" i="1"/>
  <c r="C179" i="1"/>
  <c r="A179" i="1"/>
  <c r="AQ178" i="1"/>
  <c r="AL178" i="1"/>
  <c r="AG178" i="1"/>
  <c r="AB178" i="1"/>
  <c r="Z178" i="1"/>
  <c r="V178" i="1"/>
  <c r="R178" i="1"/>
  <c r="Q178" i="1"/>
  <c r="E178" i="1"/>
  <c r="D178" i="1"/>
  <c r="C178" i="1"/>
  <c r="A178" i="1"/>
  <c r="AP177" i="1"/>
  <c r="AL177" i="1"/>
  <c r="AK177" i="1"/>
  <c r="AG177" i="1"/>
  <c r="AF177" i="1"/>
  <c r="AA177" i="1"/>
  <c r="W177" i="1"/>
  <c r="Z435" i="1" s="1"/>
  <c r="V177" i="1"/>
  <c r="Q177" i="1"/>
  <c r="E177" i="1"/>
  <c r="D177" i="1"/>
  <c r="C177" i="1"/>
  <c r="A177" i="1"/>
  <c r="AP176" i="1"/>
  <c r="AK176" i="1"/>
  <c r="AF176" i="1"/>
  <c r="AE176" i="1"/>
  <c r="AB176" i="1"/>
  <c r="AA176" i="1"/>
  <c r="Z176" i="1"/>
  <c r="V176" i="1"/>
  <c r="U176" i="1"/>
  <c r="Q176" i="1"/>
  <c r="P176" i="1"/>
  <c r="M176" i="1"/>
  <c r="E176" i="1"/>
  <c r="D176" i="1"/>
  <c r="C176" i="1"/>
  <c r="A176" i="1"/>
  <c r="AP175" i="1"/>
  <c r="AK175" i="1"/>
  <c r="AF175" i="1"/>
  <c r="AE175" i="1"/>
  <c r="AA175" i="1"/>
  <c r="Z175" i="1"/>
  <c r="W175" i="1"/>
  <c r="V175" i="1"/>
  <c r="U175" i="1"/>
  <c r="Q175" i="1"/>
  <c r="P175" i="1"/>
  <c r="M175" i="1"/>
  <c r="E175" i="1"/>
  <c r="D175" i="1"/>
  <c r="C175" i="1"/>
  <c r="A175" i="1"/>
  <c r="E174" i="1"/>
  <c r="D174" i="1"/>
  <c r="C174" i="1"/>
  <c r="A174" i="1"/>
  <c r="AP173" i="1"/>
  <c r="AK173" i="1"/>
  <c r="AF173" i="1"/>
  <c r="AE173" i="1"/>
  <c r="AA173" i="1"/>
  <c r="Z173" i="1"/>
  <c r="V173" i="1"/>
  <c r="U173" i="1"/>
  <c r="R173" i="1"/>
  <c r="Q173" i="1"/>
  <c r="P173" i="1"/>
  <c r="M173" i="1"/>
  <c r="E173" i="1"/>
  <c r="D173" i="1"/>
  <c r="C173" i="1"/>
  <c r="A173" i="1"/>
  <c r="AQ172" i="1"/>
  <c r="AL172" i="1"/>
  <c r="AG172" i="1"/>
  <c r="AB172" i="1"/>
  <c r="AE618" i="1" s="1"/>
  <c r="W172" i="1"/>
  <c r="Z618" i="1" s="1"/>
  <c r="V172" i="1"/>
  <c r="R172" i="1"/>
  <c r="Q172" i="1"/>
  <c r="M172" i="1"/>
  <c r="P618" i="1" s="1"/>
  <c r="E172" i="1"/>
  <c r="D172" i="1"/>
  <c r="C172" i="1"/>
  <c r="A172" i="1"/>
  <c r="AQ171" i="1"/>
  <c r="AL171" i="1"/>
  <c r="AE171" i="1"/>
  <c r="AB171" i="1"/>
  <c r="Z171" i="1"/>
  <c r="W171" i="1"/>
  <c r="V171" i="1"/>
  <c r="U171" i="1"/>
  <c r="Q171" i="1"/>
  <c r="M171" i="1"/>
  <c r="E171" i="1"/>
  <c r="D171" i="1"/>
  <c r="C171" i="1"/>
  <c r="A171" i="1"/>
  <c r="AP169" i="1"/>
  <c r="AK169" i="1"/>
  <c r="AF169" i="1"/>
  <c r="AE169" i="1"/>
  <c r="AA169" i="1"/>
  <c r="Z169" i="1"/>
  <c r="W169" i="1"/>
  <c r="V169" i="1"/>
  <c r="U169" i="1"/>
  <c r="Q169" i="1"/>
  <c r="P169" i="1"/>
  <c r="M169" i="1"/>
  <c r="E169" i="1"/>
  <c r="D169" i="1"/>
  <c r="C169" i="1"/>
  <c r="A169" i="1"/>
  <c r="AI168" i="1"/>
  <c r="AD168" i="1"/>
  <c r="AD508" i="1" s="1"/>
  <c r="AD504" i="1" s="1"/>
  <c r="AB168" i="1"/>
  <c r="AA168" i="1"/>
  <c r="W168" i="1"/>
  <c r="V168" i="1"/>
  <c r="R168" i="1"/>
  <c r="Q168" i="1"/>
  <c r="E168" i="1"/>
  <c r="D168" i="1"/>
  <c r="C168" i="1"/>
  <c r="A168" i="1"/>
  <c r="AQ167" i="1"/>
  <c r="AP167" i="1"/>
  <c r="AL167" i="1"/>
  <c r="AK167" i="1"/>
  <c r="AF167" i="1"/>
  <c r="AE167" i="1"/>
  <c r="AA167" i="1"/>
  <c r="Z167" i="1"/>
  <c r="W167" i="1"/>
  <c r="V167" i="1"/>
  <c r="U167" i="1"/>
  <c r="Q167" i="1"/>
  <c r="P167" i="1"/>
  <c r="M167" i="1"/>
  <c r="E167" i="1"/>
  <c r="D167" i="1"/>
  <c r="C167" i="1"/>
  <c r="A167" i="1"/>
  <c r="AQ166" i="1"/>
  <c r="AL166" i="1"/>
  <c r="AG166" i="1"/>
  <c r="AB166" i="1"/>
  <c r="Z166" i="1"/>
  <c r="W166" i="1"/>
  <c r="V166" i="1"/>
  <c r="R166" i="1"/>
  <c r="Q166" i="1"/>
  <c r="E166" i="1"/>
  <c r="D166" i="1"/>
  <c r="C166" i="1"/>
  <c r="A166" i="1"/>
  <c r="AQ165" i="1"/>
  <c r="AL165" i="1"/>
  <c r="AG165" i="1"/>
  <c r="AB165" i="1"/>
  <c r="Z165" i="1"/>
  <c r="V165" i="1"/>
  <c r="U165" i="1"/>
  <c r="R165" i="1"/>
  <c r="Q165" i="1"/>
  <c r="E165" i="1"/>
  <c r="D165" i="1"/>
  <c r="C165" i="1"/>
  <c r="A165" i="1"/>
  <c r="AQ164" i="1"/>
  <c r="AL164" i="1"/>
  <c r="AG164" i="1"/>
  <c r="AB164" i="1"/>
  <c r="AE519" i="1" s="1"/>
  <c r="W164" i="1"/>
  <c r="Z519" i="1" s="1"/>
  <c r="V164" i="1"/>
  <c r="R164" i="1"/>
  <c r="Q164" i="1"/>
  <c r="E164" i="1"/>
  <c r="D164" i="1"/>
  <c r="C164" i="1"/>
  <c r="A164" i="1"/>
  <c r="AQ163" i="1"/>
  <c r="AL163" i="1"/>
  <c r="AG163" i="1"/>
  <c r="W163" i="1"/>
  <c r="Z518" i="1" s="1"/>
  <c r="R163" i="1"/>
  <c r="E163" i="1"/>
  <c r="D163" i="1"/>
  <c r="C163" i="1"/>
  <c r="A163" i="1"/>
  <c r="AP162" i="1"/>
  <c r="AK162" i="1"/>
  <c r="AF162" i="1"/>
  <c r="AA162" i="1"/>
  <c r="W162" i="1"/>
  <c r="V162" i="1"/>
  <c r="R162" i="1"/>
  <c r="Q162" i="1"/>
  <c r="P162" i="1"/>
  <c r="U515" i="1" s="1"/>
  <c r="M162" i="1"/>
  <c r="P515" i="1" s="1"/>
  <c r="E162" i="1"/>
  <c r="D162" i="1"/>
  <c r="C162" i="1"/>
  <c r="A162" i="1"/>
  <c r="AP161" i="1"/>
  <c r="AK161" i="1"/>
  <c r="AF161" i="1"/>
  <c r="AE161" i="1"/>
  <c r="AA161" i="1"/>
  <c r="Z161" i="1"/>
  <c r="W161" i="1"/>
  <c r="V161" i="1"/>
  <c r="U161" i="1"/>
  <c r="Q161" i="1"/>
  <c r="P161" i="1"/>
  <c r="M161" i="1"/>
  <c r="E161" i="1"/>
  <c r="D161" i="1"/>
  <c r="C161" i="1"/>
  <c r="A161" i="1"/>
  <c r="AQ160" i="1"/>
  <c r="AL160" i="1"/>
  <c r="AG160" i="1"/>
  <c r="AB160" i="1"/>
  <c r="AE581" i="1" s="1"/>
  <c r="W160" i="1"/>
  <c r="Z581" i="1" s="1"/>
  <c r="V160" i="1"/>
  <c r="Q160" i="1"/>
  <c r="E160" i="1"/>
  <c r="D160" i="1"/>
  <c r="C160" i="1"/>
  <c r="A160" i="1"/>
  <c r="AQ159" i="1"/>
  <c r="AL159" i="1"/>
  <c r="AG159" i="1"/>
  <c r="AB159" i="1"/>
  <c r="AE586" i="1" s="1"/>
  <c r="W159" i="1"/>
  <c r="Z586" i="1" s="1"/>
  <c r="R159" i="1"/>
  <c r="E159" i="1"/>
  <c r="D159" i="1"/>
  <c r="C159" i="1"/>
  <c r="A159" i="1"/>
  <c r="AQ158" i="1"/>
  <c r="AL158" i="1"/>
  <c r="AG158" i="1"/>
  <c r="AB158" i="1"/>
  <c r="AE549" i="1" s="1"/>
  <c r="W158" i="1"/>
  <c r="Z549" i="1" s="1"/>
  <c r="R158" i="1"/>
  <c r="E158" i="1"/>
  <c r="D158" i="1"/>
  <c r="C158" i="1"/>
  <c r="A158" i="1"/>
  <c r="AQ157" i="1"/>
  <c r="AL157" i="1"/>
  <c r="AG157" i="1"/>
  <c r="AB157" i="1"/>
  <c r="AE561" i="1" s="1"/>
  <c r="W157" i="1"/>
  <c r="Z561" i="1" s="1"/>
  <c r="R157" i="1"/>
  <c r="E157" i="1"/>
  <c r="D157" i="1"/>
  <c r="C157" i="1"/>
  <c r="A157" i="1"/>
  <c r="AQ156" i="1"/>
  <c r="AL156" i="1"/>
  <c r="AG156" i="1"/>
  <c r="AB156" i="1"/>
  <c r="AE555" i="1" s="1"/>
  <c r="W156" i="1"/>
  <c r="Z555" i="1" s="1"/>
  <c r="R156" i="1"/>
  <c r="E156" i="1"/>
  <c r="D156" i="1"/>
  <c r="C156" i="1"/>
  <c r="A156" i="1"/>
  <c r="AQ155" i="1"/>
  <c r="AL155" i="1"/>
  <c r="AG155" i="1"/>
  <c r="AB155" i="1"/>
  <c r="W155" i="1"/>
  <c r="R155" i="1"/>
  <c r="E155" i="1"/>
  <c r="D155" i="1"/>
  <c r="C155" i="1"/>
  <c r="A155" i="1"/>
  <c r="AP154" i="1"/>
  <c r="AK154" i="1"/>
  <c r="AF154" i="1"/>
  <c r="AE154" i="1"/>
  <c r="AB154" i="1"/>
  <c r="AA154" i="1"/>
  <c r="Z154" i="1"/>
  <c r="V154" i="1"/>
  <c r="U154" i="1"/>
  <c r="R154" i="1"/>
  <c r="Q154" i="1"/>
  <c r="P154" i="1"/>
  <c r="E154" i="1"/>
  <c r="D154" i="1"/>
  <c r="C154" i="1"/>
  <c r="A154" i="1"/>
  <c r="AP153" i="1"/>
  <c r="AK153" i="1"/>
  <c r="AF153" i="1"/>
  <c r="W153" i="1"/>
  <c r="V153" i="1"/>
  <c r="U153" i="1"/>
  <c r="Q153" i="1"/>
  <c r="P153" i="1"/>
  <c r="E153" i="1"/>
  <c r="D153" i="1"/>
  <c r="C153" i="1"/>
  <c r="A153" i="1"/>
  <c r="AP152" i="1"/>
  <c r="AK152" i="1"/>
  <c r="AF152" i="1"/>
  <c r="AE152" i="1"/>
  <c r="AA152" i="1"/>
  <c r="Z152" i="1"/>
  <c r="W152" i="1"/>
  <c r="V152" i="1"/>
  <c r="U152" i="1"/>
  <c r="Q152" i="1"/>
  <c r="P152" i="1"/>
  <c r="E152" i="1"/>
  <c r="D152" i="1"/>
  <c r="C152" i="1"/>
  <c r="A152" i="1"/>
  <c r="AQ151" i="1"/>
  <c r="AL151" i="1"/>
  <c r="AG151" i="1"/>
  <c r="W151" i="1"/>
  <c r="R151" i="1"/>
  <c r="E151" i="1"/>
  <c r="D151" i="1"/>
  <c r="C151" i="1"/>
  <c r="A151" i="1"/>
  <c r="AP149" i="1"/>
  <c r="AK149" i="1"/>
  <c r="AF149" i="1"/>
  <c r="AB149" i="1"/>
  <c r="AE527" i="1" s="1"/>
  <c r="AA149" i="1"/>
  <c r="Z149" i="1"/>
  <c r="W149" i="1"/>
  <c r="Z527" i="1" s="1"/>
  <c r="V149" i="1"/>
  <c r="U149" i="1"/>
  <c r="R149" i="1"/>
  <c r="Q149" i="1"/>
  <c r="P149" i="1"/>
  <c r="U527" i="1" s="1"/>
  <c r="D149" i="1"/>
  <c r="C149" i="1"/>
  <c r="A149" i="1"/>
  <c r="AP148" i="1"/>
  <c r="AL148" i="1"/>
  <c r="AK148" i="1"/>
  <c r="AF148" i="1"/>
  <c r="AE148" i="1"/>
  <c r="AA148" i="1"/>
  <c r="Z148" i="1"/>
  <c r="W148" i="1"/>
  <c r="V148" i="1"/>
  <c r="R148" i="1"/>
  <c r="Q148" i="1"/>
  <c r="M148" i="1"/>
  <c r="E148" i="1"/>
  <c r="D148" i="1"/>
  <c r="C148" i="1"/>
  <c r="A148" i="1"/>
  <c r="AE147" i="1"/>
  <c r="AB147" i="1"/>
  <c r="Z147" i="1"/>
  <c r="W147" i="1"/>
  <c r="V147" i="1"/>
  <c r="U147" i="1"/>
  <c r="Q147" i="1"/>
  <c r="E147" i="1"/>
  <c r="D147" i="1"/>
  <c r="C147" i="1"/>
  <c r="A147" i="1"/>
  <c r="AE146" i="1"/>
  <c r="Z146" i="1"/>
  <c r="V146" i="1"/>
  <c r="U146" i="1"/>
  <c r="R146" i="1"/>
  <c r="Q146" i="1"/>
  <c r="P146" i="1"/>
  <c r="E146" i="1"/>
  <c r="D146" i="1"/>
  <c r="C146" i="1"/>
  <c r="A146" i="1"/>
  <c r="AQ145" i="1"/>
  <c r="AL145" i="1"/>
  <c r="AG145" i="1"/>
  <c r="AB145" i="1"/>
  <c r="AE587" i="1" s="1"/>
  <c r="W145" i="1"/>
  <c r="Z587" i="1" s="1"/>
  <c r="R145" i="1"/>
  <c r="E145" i="1"/>
  <c r="D145" i="1"/>
  <c r="C145" i="1"/>
  <c r="A145" i="1"/>
  <c r="AQ144" i="1"/>
  <c r="AP144" i="1"/>
  <c r="AK144" i="1"/>
  <c r="AG144" i="1"/>
  <c r="AF144" i="1"/>
  <c r="AB144" i="1"/>
  <c r="AA144" i="1"/>
  <c r="W144" i="1"/>
  <c r="V144" i="1"/>
  <c r="R144" i="1"/>
  <c r="Q144" i="1"/>
  <c r="E144" i="1"/>
  <c r="D144" i="1"/>
  <c r="C144" i="1"/>
  <c r="A144" i="1"/>
  <c r="AP143" i="1"/>
  <c r="AK143" i="1"/>
  <c r="AF143" i="1"/>
  <c r="AB143" i="1"/>
  <c r="V143" i="1"/>
  <c r="U143" i="1"/>
  <c r="R143" i="1"/>
  <c r="Q143" i="1"/>
  <c r="P143" i="1"/>
  <c r="E143" i="1"/>
  <c r="D143" i="1"/>
  <c r="C143" i="1"/>
  <c r="A143" i="1"/>
  <c r="AP142" i="1"/>
  <c r="AK142" i="1"/>
  <c r="AF142" i="1"/>
  <c r="AE142" i="1"/>
  <c r="AB142" i="1"/>
  <c r="AA142" i="1"/>
  <c r="Z142" i="1"/>
  <c r="V142" i="1"/>
  <c r="U142" i="1"/>
  <c r="R142" i="1"/>
  <c r="Q142" i="1"/>
  <c r="P142" i="1"/>
  <c r="M142" i="1"/>
  <c r="D142" i="1"/>
  <c r="C142" i="1"/>
  <c r="A142" i="1"/>
  <c r="AG141" i="1"/>
  <c r="AB141" i="1"/>
  <c r="AE601" i="1" s="1"/>
  <c r="W141" i="1"/>
  <c r="Z601" i="1" s="1"/>
  <c r="V141" i="1"/>
  <c r="Q141" i="1"/>
  <c r="E141" i="1"/>
  <c r="D141" i="1"/>
  <c r="C141" i="1"/>
  <c r="A141" i="1"/>
  <c r="AG140" i="1"/>
  <c r="AB140" i="1"/>
  <c r="AE611" i="1" s="1"/>
  <c r="W140" i="1"/>
  <c r="Z611" i="1" s="1"/>
  <c r="R140" i="1"/>
  <c r="E140" i="1"/>
  <c r="D140" i="1"/>
  <c r="C140" i="1"/>
  <c r="A140" i="1"/>
  <c r="AP139" i="1"/>
  <c r="AL139" i="1"/>
  <c r="AK139" i="1"/>
  <c r="AF139" i="1"/>
  <c r="AE139" i="1"/>
  <c r="AB139" i="1"/>
  <c r="AA139" i="1"/>
  <c r="Z139" i="1"/>
  <c r="V139" i="1"/>
  <c r="R139" i="1"/>
  <c r="Q139" i="1"/>
  <c r="M139" i="1"/>
  <c r="E139" i="1"/>
  <c r="D139" i="1"/>
  <c r="C139" i="1"/>
  <c r="A139" i="1"/>
  <c r="AL138" i="1"/>
  <c r="AB138" i="1"/>
  <c r="AE521" i="1" s="1"/>
  <c r="W138" i="1"/>
  <c r="Z521" i="1" s="1"/>
  <c r="V138" i="1"/>
  <c r="Q138" i="1"/>
  <c r="E138" i="1"/>
  <c r="D138" i="1"/>
  <c r="C138" i="1"/>
  <c r="A138" i="1"/>
  <c r="AP137" i="1"/>
  <c r="AK137" i="1"/>
  <c r="AF137" i="1"/>
  <c r="AA137" i="1"/>
  <c r="W137" i="1"/>
  <c r="Z605" i="1" s="1"/>
  <c r="V137" i="1"/>
  <c r="Q137" i="1"/>
  <c r="P137" i="1"/>
  <c r="U605" i="1" s="1"/>
  <c r="M137" i="1"/>
  <c r="P605" i="1" s="1"/>
  <c r="E137" i="1"/>
  <c r="D137" i="1"/>
  <c r="C137" i="1"/>
  <c r="A137" i="1"/>
  <c r="AL136" i="1"/>
  <c r="AG136" i="1"/>
  <c r="AB136" i="1"/>
  <c r="W136" i="1"/>
  <c r="R136" i="1"/>
  <c r="M136" i="1"/>
  <c r="P506" i="1" s="1"/>
  <c r="E136" i="1"/>
  <c r="D136" i="1"/>
  <c r="C136" i="1"/>
  <c r="A136" i="1"/>
  <c r="AQ135" i="1"/>
  <c r="AL135" i="1"/>
  <c r="AG135" i="1"/>
  <c r="AB135" i="1"/>
  <c r="AE511" i="1" s="1"/>
  <c r="W135" i="1"/>
  <c r="Z511" i="1" s="1"/>
  <c r="R135" i="1"/>
  <c r="M135" i="1"/>
  <c r="P511" i="1" s="1"/>
  <c r="E135" i="1"/>
  <c r="D135" i="1"/>
  <c r="C135" i="1"/>
  <c r="A135" i="1"/>
  <c r="AP134" i="1"/>
  <c r="AK134" i="1"/>
  <c r="AF134" i="1"/>
  <c r="AE134" i="1"/>
  <c r="AA134" i="1"/>
  <c r="Z134" i="1"/>
  <c r="W134" i="1"/>
  <c r="V134" i="1"/>
  <c r="U134" i="1"/>
  <c r="Q134" i="1"/>
  <c r="P134" i="1"/>
  <c r="M134" i="1"/>
  <c r="E134" i="1"/>
  <c r="D134" i="1"/>
  <c r="C134" i="1"/>
  <c r="A134" i="1"/>
  <c r="AE133" i="1"/>
  <c r="Z133" i="1"/>
  <c r="V133" i="1"/>
  <c r="R133" i="1"/>
  <c r="Q133" i="1"/>
  <c r="E133" i="1"/>
  <c r="D133" i="1"/>
  <c r="C133" i="1"/>
  <c r="A133" i="1"/>
  <c r="AQ132" i="1"/>
  <c r="AL132" i="1"/>
  <c r="AG132" i="1"/>
  <c r="AE132" i="1"/>
  <c r="AB132" i="1"/>
  <c r="AE597" i="1" s="1"/>
  <c r="Z132" i="1"/>
  <c r="W132" i="1"/>
  <c r="Z597" i="1" s="1"/>
  <c r="V132" i="1"/>
  <c r="U132" i="1"/>
  <c r="R132" i="1"/>
  <c r="Q132" i="1"/>
  <c r="P132" i="1"/>
  <c r="U597" i="1" s="1"/>
  <c r="E132" i="1"/>
  <c r="D132" i="1"/>
  <c r="C132" i="1"/>
  <c r="A132" i="1"/>
  <c r="AD131" i="1"/>
  <c r="A131" i="1"/>
  <c r="AQ130" i="1"/>
  <c r="AL130" i="1"/>
  <c r="AD130" i="1"/>
  <c r="AD591" i="1" s="1"/>
  <c r="AB130" i="1"/>
  <c r="Z130" i="1"/>
  <c r="W130" i="1"/>
  <c r="V130" i="1"/>
  <c r="U130" i="1"/>
  <c r="Q130" i="1"/>
  <c r="P130" i="1"/>
  <c r="E130" i="1"/>
  <c r="D130" i="1"/>
  <c r="C130" i="1"/>
  <c r="A130" i="1"/>
  <c r="AP129" i="1"/>
  <c r="AK129" i="1"/>
  <c r="AF129" i="1"/>
  <c r="AB129" i="1"/>
  <c r="AE575" i="1" s="1"/>
  <c r="AA129" i="1"/>
  <c r="W129" i="1"/>
  <c r="Z575" i="1" s="1"/>
  <c r="V129" i="1"/>
  <c r="R129" i="1"/>
  <c r="Q129" i="1"/>
  <c r="E129" i="1"/>
  <c r="D129" i="1"/>
  <c r="C129" i="1"/>
  <c r="A129" i="1"/>
  <c r="AP128" i="1"/>
  <c r="AK128" i="1"/>
  <c r="AF128" i="1"/>
  <c r="AE128" i="1"/>
  <c r="AB128" i="1"/>
  <c r="AA128" i="1"/>
  <c r="Z128" i="1"/>
  <c r="V128" i="1"/>
  <c r="U128" i="1"/>
  <c r="R128" i="1"/>
  <c r="Q128" i="1"/>
  <c r="P128" i="1"/>
  <c r="M128" i="1"/>
  <c r="E128" i="1"/>
  <c r="D128" i="1"/>
  <c r="C128" i="1"/>
  <c r="A128" i="1"/>
  <c r="AP127" i="1"/>
  <c r="AK127" i="1"/>
  <c r="AF127" i="1"/>
  <c r="AE127" i="1"/>
  <c r="AA127" i="1"/>
  <c r="Z127" i="1"/>
  <c r="W127" i="1"/>
  <c r="V127" i="1"/>
  <c r="U127" i="1"/>
  <c r="Q127" i="1"/>
  <c r="P127" i="1"/>
  <c r="M127" i="1"/>
  <c r="E127" i="1"/>
  <c r="D127" i="1"/>
  <c r="C127" i="1"/>
  <c r="A127" i="1"/>
  <c r="AQ126" i="1"/>
  <c r="AL126" i="1"/>
  <c r="AG126" i="1"/>
  <c r="AB126" i="1"/>
  <c r="AE550" i="1" s="1"/>
  <c r="W126" i="1"/>
  <c r="Z550" i="1" s="1"/>
  <c r="V126" i="1"/>
  <c r="R126" i="1"/>
  <c r="Q126" i="1"/>
  <c r="E126" i="1"/>
  <c r="D126" i="1"/>
  <c r="C126" i="1"/>
  <c r="A126" i="1"/>
  <c r="AP125" i="1"/>
  <c r="AK125" i="1"/>
  <c r="AF125" i="1"/>
  <c r="AE125" i="1"/>
  <c r="AB125" i="1"/>
  <c r="AA125" i="1"/>
  <c r="Z125" i="1"/>
  <c r="V125" i="1"/>
  <c r="U125" i="1"/>
  <c r="R125" i="1"/>
  <c r="Q125" i="1"/>
  <c r="P125" i="1"/>
  <c r="E125" i="1"/>
  <c r="D125" i="1"/>
  <c r="C125" i="1"/>
  <c r="A125" i="1"/>
  <c r="AQ124" i="1"/>
  <c r="AP124" i="1"/>
  <c r="AL124" i="1"/>
  <c r="AK124" i="1"/>
  <c r="AG124" i="1"/>
  <c r="AF124" i="1"/>
  <c r="AB124" i="1"/>
  <c r="AE568" i="1" s="1"/>
  <c r="AA124" i="1"/>
  <c r="W124" i="1"/>
  <c r="Z568" i="1" s="1"/>
  <c r="V124" i="1"/>
  <c r="R124" i="1"/>
  <c r="Q124" i="1"/>
  <c r="E124" i="1"/>
  <c r="D124" i="1"/>
  <c r="C124" i="1"/>
  <c r="A124" i="1"/>
  <c r="AP123" i="1"/>
  <c r="AK123" i="1"/>
  <c r="AF123" i="1"/>
  <c r="W123" i="1"/>
  <c r="V123" i="1"/>
  <c r="U123" i="1"/>
  <c r="Q123" i="1"/>
  <c r="P123" i="1"/>
  <c r="M123" i="1"/>
  <c r="E123" i="1"/>
  <c r="D123" i="1"/>
  <c r="C123" i="1"/>
  <c r="A123" i="1"/>
  <c r="AQ122" i="1"/>
  <c r="AP122" i="1"/>
  <c r="AL122" i="1"/>
  <c r="AK122" i="1"/>
  <c r="AF122" i="1"/>
  <c r="AE122" i="1"/>
  <c r="AA122" i="1"/>
  <c r="Z122" i="1"/>
  <c r="W122" i="1"/>
  <c r="V122" i="1"/>
  <c r="U122" i="1"/>
  <c r="Q122" i="1"/>
  <c r="P122" i="1"/>
  <c r="M122" i="1"/>
  <c r="E122" i="1"/>
  <c r="D122" i="1"/>
  <c r="C122" i="1"/>
  <c r="A122" i="1"/>
  <c r="AP121" i="1"/>
  <c r="AK121" i="1"/>
  <c r="AF121" i="1"/>
  <c r="AE121" i="1"/>
  <c r="AB121" i="1"/>
  <c r="AA121" i="1"/>
  <c r="Z121" i="1"/>
  <c r="V121" i="1"/>
  <c r="U121" i="1"/>
  <c r="R121" i="1"/>
  <c r="Q121" i="1"/>
  <c r="P121" i="1"/>
  <c r="M121" i="1"/>
  <c r="E121" i="1"/>
  <c r="D121" i="1"/>
  <c r="C121" i="1"/>
  <c r="A121" i="1"/>
  <c r="AQ120" i="1"/>
  <c r="AP120" i="1"/>
  <c r="AL120" i="1"/>
  <c r="AK120" i="1"/>
  <c r="AG120" i="1"/>
  <c r="AF120" i="1"/>
  <c r="AB120" i="1"/>
  <c r="AE546" i="1" s="1"/>
  <c r="AA120" i="1"/>
  <c r="W120" i="1"/>
  <c r="Z546" i="1" s="1"/>
  <c r="V120" i="1"/>
  <c r="R120" i="1"/>
  <c r="Q120" i="1"/>
  <c r="E120" i="1"/>
  <c r="D120" i="1"/>
  <c r="C120" i="1"/>
  <c r="A120" i="1"/>
  <c r="AQ119" i="1"/>
  <c r="AP119" i="1"/>
  <c r="AL119" i="1"/>
  <c r="AK119" i="1"/>
  <c r="AG119" i="1"/>
  <c r="AF119" i="1"/>
  <c r="AB119" i="1"/>
  <c r="AE578" i="1" s="1"/>
  <c r="AA119" i="1"/>
  <c r="W119" i="1"/>
  <c r="Z578" i="1" s="1"/>
  <c r="V119" i="1"/>
  <c r="R119" i="1"/>
  <c r="Q119" i="1"/>
  <c r="E119" i="1"/>
  <c r="D119" i="1"/>
  <c r="C119" i="1"/>
  <c r="A119" i="1"/>
  <c r="AP118" i="1"/>
  <c r="AK118" i="1"/>
  <c r="AF118" i="1"/>
  <c r="AB118" i="1"/>
  <c r="AE594" i="1" s="1"/>
  <c r="AA118" i="1"/>
  <c r="W118" i="1"/>
  <c r="Z594" i="1" s="1"/>
  <c r="V118" i="1"/>
  <c r="R118" i="1"/>
  <c r="Q118" i="1"/>
  <c r="E118" i="1"/>
  <c r="D118" i="1"/>
  <c r="C118" i="1"/>
  <c r="A118" i="1"/>
  <c r="AQ117" i="1"/>
  <c r="AL117" i="1"/>
  <c r="AG117" i="1"/>
  <c r="AB117" i="1"/>
  <c r="AE576" i="1" s="1"/>
  <c r="W117" i="1"/>
  <c r="Z576" i="1" s="1"/>
  <c r="R117" i="1"/>
  <c r="E117" i="1"/>
  <c r="D117" i="1"/>
  <c r="C117" i="1"/>
  <c r="A117" i="1"/>
  <c r="AL116" i="1"/>
  <c r="AG116" i="1"/>
  <c r="AE116" i="1"/>
  <c r="AB116" i="1"/>
  <c r="AE596" i="1" s="1"/>
  <c r="Z116" i="1"/>
  <c r="W116" i="1"/>
  <c r="Z596" i="1" s="1"/>
  <c r="V116" i="1"/>
  <c r="R116" i="1"/>
  <c r="Q116" i="1"/>
  <c r="E116" i="1"/>
  <c r="D116" i="1"/>
  <c r="C116" i="1"/>
  <c r="A116" i="1"/>
  <c r="AB115" i="1"/>
  <c r="R115" i="1"/>
  <c r="E115" i="1"/>
  <c r="D115" i="1"/>
  <c r="C115" i="1"/>
  <c r="A115" i="1"/>
  <c r="AQ114" i="1"/>
  <c r="AP114" i="1"/>
  <c r="AL114" i="1"/>
  <c r="AK114" i="1"/>
  <c r="AG114" i="1"/>
  <c r="AF114" i="1"/>
  <c r="AB114" i="1"/>
  <c r="AE564" i="1" s="1"/>
  <c r="AA114" i="1"/>
  <c r="W114" i="1"/>
  <c r="Z564" i="1" s="1"/>
  <c r="V114" i="1"/>
  <c r="R114" i="1"/>
  <c r="Q114" i="1"/>
  <c r="E114" i="1"/>
  <c r="D114" i="1"/>
  <c r="C114" i="1"/>
  <c r="A114" i="1"/>
  <c r="E113" i="1"/>
  <c r="D113" i="1"/>
  <c r="C113" i="1"/>
  <c r="A113" i="1"/>
  <c r="E112" i="1"/>
  <c r="D112" i="1"/>
  <c r="C112" i="1"/>
  <c r="A112" i="1"/>
  <c r="AG111" i="1"/>
  <c r="E111" i="1"/>
  <c r="D111" i="1"/>
  <c r="C111" i="1"/>
  <c r="A111" i="1"/>
  <c r="AP110" i="1"/>
  <c r="AK110" i="1"/>
  <c r="AF110" i="1"/>
  <c r="AE110" i="1"/>
  <c r="AA110" i="1"/>
  <c r="Z110" i="1"/>
  <c r="W110" i="1"/>
  <c r="V110" i="1"/>
  <c r="U110" i="1"/>
  <c r="Q110" i="1"/>
  <c r="P110" i="1"/>
  <c r="M110" i="1"/>
  <c r="E110" i="1"/>
  <c r="D110" i="1"/>
  <c r="C110" i="1"/>
  <c r="A110" i="1"/>
  <c r="AP109" i="1"/>
  <c r="AK109" i="1"/>
  <c r="AF109" i="1"/>
  <c r="AE109" i="1"/>
  <c r="AB109" i="1"/>
  <c r="AA109" i="1"/>
  <c r="Z109" i="1"/>
  <c r="V109" i="1"/>
  <c r="U109" i="1"/>
  <c r="R109" i="1"/>
  <c r="Q109" i="1"/>
  <c r="P109" i="1"/>
  <c r="M109" i="1"/>
  <c r="E109" i="1"/>
  <c r="D109" i="1"/>
  <c r="C109" i="1"/>
  <c r="A109" i="1"/>
  <c r="AP108" i="1"/>
  <c r="AK108" i="1"/>
  <c r="AF108" i="1"/>
  <c r="AE108" i="1"/>
  <c r="AA108" i="1"/>
  <c r="Z108" i="1"/>
  <c r="W108" i="1"/>
  <c r="V108" i="1"/>
  <c r="U108" i="1"/>
  <c r="Q108" i="1"/>
  <c r="P108" i="1"/>
  <c r="M108" i="1"/>
  <c r="E108" i="1"/>
  <c r="D108" i="1"/>
  <c r="C108" i="1"/>
  <c r="A108" i="1"/>
  <c r="AQ107" i="1"/>
  <c r="AL107" i="1"/>
  <c r="AG107" i="1"/>
  <c r="AB107" i="1"/>
  <c r="Z107" i="1"/>
  <c r="W107" i="1"/>
  <c r="V107" i="1"/>
  <c r="R107" i="1"/>
  <c r="Q107" i="1"/>
  <c r="E107" i="1"/>
  <c r="D107" i="1"/>
  <c r="C107" i="1"/>
  <c r="A107" i="1"/>
  <c r="AQ106" i="1"/>
  <c r="AL106" i="1"/>
  <c r="AG106" i="1"/>
  <c r="AE106" i="1"/>
  <c r="AB106" i="1"/>
  <c r="Z106" i="1"/>
  <c r="W106" i="1"/>
  <c r="V106" i="1"/>
  <c r="U106" i="1"/>
  <c r="Q106" i="1"/>
  <c r="P106" i="1"/>
  <c r="E106" i="1"/>
  <c r="D106" i="1"/>
  <c r="C106" i="1"/>
  <c r="A106" i="1"/>
  <c r="AQ105" i="1"/>
  <c r="AL105" i="1"/>
  <c r="AG105" i="1"/>
  <c r="AB105" i="1"/>
  <c r="AE405" i="1" s="1"/>
  <c r="W105" i="1"/>
  <c r="Z405" i="1" s="1"/>
  <c r="R105" i="1"/>
  <c r="E105" i="1"/>
  <c r="D105" i="1"/>
  <c r="C105" i="1"/>
  <c r="A105" i="1"/>
  <c r="AP104" i="1"/>
  <c r="AK104" i="1"/>
  <c r="AF104" i="1"/>
  <c r="AE104" i="1"/>
  <c r="Z104" i="1"/>
  <c r="V104" i="1"/>
  <c r="U104" i="1"/>
  <c r="R104" i="1"/>
  <c r="Q104" i="1"/>
  <c r="P104" i="1"/>
  <c r="M104" i="1"/>
  <c r="E104" i="1"/>
  <c r="D104" i="1"/>
  <c r="C104" i="1"/>
  <c r="A104" i="1"/>
  <c r="AQ103" i="1"/>
  <c r="AE103" i="1"/>
  <c r="Z103" i="1"/>
  <c r="V103" i="1"/>
  <c r="U103" i="1"/>
  <c r="R103" i="1"/>
  <c r="Q103" i="1"/>
  <c r="E103" i="1"/>
  <c r="D103" i="1"/>
  <c r="C103" i="1"/>
  <c r="A103" i="1"/>
  <c r="AQ102" i="1"/>
  <c r="AL102" i="1"/>
  <c r="AG102" i="1"/>
  <c r="W102" i="1"/>
  <c r="Z476" i="1" s="1"/>
  <c r="R102" i="1"/>
  <c r="E102" i="1"/>
  <c r="D102" i="1"/>
  <c r="C102" i="1"/>
  <c r="A102" i="1"/>
  <c r="AQ101" i="1"/>
  <c r="AL101" i="1"/>
  <c r="AG101" i="1"/>
  <c r="AB101" i="1"/>
  <c r="AE381" i="1" s="1"/>
  <c r="W101" i="1"/>
  <c r="Z381" i="1" s="1"/>
  <c r="R101" i="1"/>
  <c r="M101" i="1"/>
  <c r="P381" i="1" s="1"/>
  <c r="E101" i="1"/>
  <c r="D101" i="1"/>
  <c r="C101" i="1"/>
  <c r="A101" i="1"/>
  <c r="AP100" i="1"/>
  <c r="AK100" i="1"/>
  <c r="AF100" i="1"/>
  <c r="AE100" i="1"/>
  <c r="AB100" i="1"/>
  <c r="AA100" i="1"/>
  <c r="Z100" i="1"/>
  <c r="V100" i="1"/>
  <c r="U100" i="1"/>
  <c r="R100" i="1"/>
  <c r="Q100" i="1"/>
  <c r="P100" i="1"/>
  <c r="M100" i="1"/>
  <c r="E100" i="1"/>
  <c r="D100" i="1"/>
  <c r="C100" i="1"/>
  <c r="A100" i="1"/>
  <c r="AG98" i="1"/>
  <c r="AE98" i="1"/>
  <c r="Z98" i="1"/>
  <c r="V98" i="1"/>
  <c r="R98" i="1"/>
  <c r="Q98" i="1"/>
  <c r="E98" i="1"/>
  <c r="D98" i="1"/>
  <c r="C98" i="1"/>
  <c r="A98" i="1"/>
  <c r="AB97" i="1"/>
  <c r="AE458" i="1" s="1"/>
  <c r="W97" i="1"/>
  <c r="Z458" i="1" s="1"/>
  <c r="R97" i="1"/>
  <c r="E97" i="1"/>
  <c r="D97" i="1"/>
  <c r="C97" i="1"/>
  <c r="A97" i="1"/>
  <c r="AQ96" i="1"/>
  <c r="AL96" i="1"/>
  <c r="AG96" i="1"/>
  <c r="AB96" i="1"/>
  <c r="W96" i="1"/>
  <c r="R96" i="1"/>
  <c r="E96" i="1"/>
  <c r="D96" i="1"/>
  <c r="C96" i="1"/>
  <c r="A96" i="1"/>
  <c r="AQ95" i="1"/>
  <c r="AL95" i="1"/>
  <c r="AB95" i="1"/>
  <c r="Z95" i="1"/>
  <c r="V95" i="1"/>
  <c r="R95" i="1"/>
  <c r="Q95" i="1"/>
  <c r="E95" i="1"/>
  <c r="D95" i="1"/>
  <c r="C95" i="1"/>
  <c r="A95" i="1"/>
  <c r="AQ94" i="1"/>
  <c r="AP94" i="1"/>
  <c r="AL94" i="1"/>
  <c r="AK94" i="1"/>
  <c r="AG94" i="1"/>
  <c r="AF94" i="1"/>
  <c r="AB94" i="1"/>
  <c r="AA94" i="1"/>
  <c r="Z94" i="1"/>
  <c r="W94" i="1"/>
  <c r="V94" i="1"/>
  <c r="U94" i="1"/>
  <c r="Q94" i="1"/>
  <c r="P94" i="1"/>
  <c r="M94" i="1"/>
  <c r="E94" i="1"/>
  <c r="D94" i="1"/>
  <c r="C94" i="1"/>
  <c r="A94" i="1"/>
  <c r="AQ93" i="1"/>
  <c r="AP93" i="1"/>
  <c r="AL93" i="1"/>
  <c r="AK93" i="1"/>
  <c r="AG93" i="1"/>
  <c r="AF93" i="1"/>
  <c r="AE93" i="1"/>
  <c r="AB93" i="1"/>
  <c r="AA93" i="1"/>
  <c r="Z93" i="1"/>
  <c r="V93" i="1"/>
  <c r="U93" i="1"/>
  <c r="R93" i="1"/>
  <c r="Q93" i="1"/>
  <c r="P93" i="1"/>
  <c r="M93" i="1"/>
  <c r="E93" i="1"/>
  <c r="D93" i="1"/>
  <c r="C93" i="1"/>
  <c r="A93" i="1"/>
  <c r="AG92" i="1"/>
  <c r="AE92" i="1"/>
  <c r="AB92" i="1"/>
  <c r="Z92" i="1"/>
  <c r="W92" i="1"/>
  <c r="V92" i="1"/>
  <c r="U92" i="1"/>
  <c r="Q92" i="1"/>
  <c r="P92" i="1"/>
  <c r="E92" i="1"/>
  <c r="D92" i="1"/>
  <c r="C92" i="1"/>
  <c r="A92" i="1"/>
  <c r="AP91" i="1"/>
  <c r="AK91" i="1"/>
  <c r="AF91" i="1"/>
  <c r="AE91" i="1"/>
  <c r="AA91" i="1"/>
  <c r="Z91" i="1"/>
  <c r="W91" i="1"/>
  <c r="V91" i="1"/>
  <c r="U91" i="1"/>
  <c r="Q91" i="1"/>
  <c r="E91" i="1"/>
  <c r="D91" i="1"/>
  <c r="C91" i="1"/>
  <c r="A91" i="1"/>
  <c r="AQ90" i="1"/>
  <c r="AG90" i="1"/>
  <c r="AG465" i="1" s="1"/>
  <c r="AB90" i="1"/>
  <c r="W90" i="1"/>
  <c r="V90" i="1"/>
  <c r="V465" i="1" s="1"/>
  <c r="R90" i="1"/>
  <c r="R465" i="1" s="1"/>
  <c r="Q90" i="1"/>
  <c r="Q465" i="1" s="1"/>
  <c r="D90" i="1"/>
  <c r="C90" i="1"/>
  <c r="A90" i="1"/>
  <c r="AL88" i="1"/>
  <c r="AG88" i="1"/>
  <c r="AB88" i="1"/>
  <c r="AE477" i="1" s="1"/>
  <c r="W88" i="1"/>
  <c r="Z477" i="1" s="1"/>
  <c r="R88" i="1"/>
  <c r="E88" i="1"/>
  <c r="D88" i="1"/>
  <c r="C88" i="1"/>
  <c r="A88" i="1"/>
  <c r="AB87" i="1"/>
  <c r="Z87" i="1"/>
  <c r="W87" i="1"/>
  <c r="V87" i="1"/>
  <c r="R87" i="1"/>
  <c r="Q87" i="1"/>
  <c r="M87" i="1"/>
  <c r="D87" i="1"/>
  <c r="C87" i="1"/>
  <c r="A87" i="1"/>
  <c r="AP86" i="1"/>
  <c r="AK86" i="1"/>
  <c r="AF86" i="1"/>
  <c r="AE86" i="1"/>
  <c r="AB86" i="1"/>
  <c r="AA86" i="1"/>
  <c r="Z86" i="1"/>
  <c r="W86" i="1"/>
  <c r="V86" i="1"/>
  <c r="U86" i="1"/>
  <c r="R86" i="1"/>
  <c r="Q86" i="1"/>
  <c r="E86" i="1"/>
  <c r="D86" i="1"/>
  <c r="C86" i="1"/>
  <c r="A86" i="1"/>
  <c r="AQ85" i="1"/>
  <c r="AP85" i="1"/>
  <c r="AK85" i="1"/>
  <c r="AG85" i="1"/>
  <c r="AF85" i="1"/>
  <c r="AE85" i="1"/>
  <c r="AB85" i="1"/>
  <c r="AA85" i="1"/>
  <c r="Z85" i="1"/>
  <c r="W85" i="1"/>
  <c r="V85" i="1"/>
  <c r="R85" i="1"/>
  <c r="Q85" i="1"/>
  <c r="E85" i="1"/>
  <c r="D85" i="1"/>
  <c r="C85" i="1"/>
  <c r="A85" i="1"/>
  <c r="AP84" i="1"/>
  <c r="AK84" i="1"/>
  <c r="AF84" i="1"/>
  <c r="AE84" i="1"/>
  <c r="AB84" i="1"/>
  <c r="AA84" i="1"/>
  <c r="Z84" i="1"/>
  <c r="W84" i="1"/>
  <c r="V84" i="1"/>
  <c r="U84" i="1"/>
  <c r="R84" i="1"/>
  <c r="Q84" i="1"/>
  <c r="P84" i="1"/>
  <c r="M84" i="1"/>
  <c r="E84" i="1"/>
  <c r="D84" i="1"/>
  <c r="C84" i="1"/>
  <c r="A84" i="1"/>
  <c r="AP83" i="1"/>
  <c r="AL83" i="1"/>
  <c r="AK83" i="1"/>
  <c r="AG83" i="1"/>
  <c r="AF83" i="1"/>
  <c r="AB83" i="1"/>
  <c r="AA83" i="1"/>
  <c r="W83" i="1"/>
  <c r="V83" i="1"/>
  <c r="R83" i="1"/>
  <c r="Q83" i="1"/>
  <c r="E83" i="1"/>
  <c r="D83" i="1"/>
  <c r="C83" i="1"/>
  <c r="A83" i="1"/>
  <c r="E82" i="1"/>
  <c r="D82" i="1"/>
  <c r="C82" i="1"/>
  <c r="A82" i="1"/>
  <c r="AN75" i="1"/>
  <c r="AM75" i="1"/>
  <c r="AI75" i="1"/>
  <c r="AH75" i="1"/>
  <c r="AD75" i="1"/>
  <c r="AC75" i="1"/>
  <c r="Y75" i="1"/>
  <c r="X75" i="1"/>
  <c r="T75" i="1"/>
  <c r="S75" i="1"/>
  <c r="O75" i="1"/>
  <c r="N75" i="1"/>
  <c r="L75" i="1"/>
  <c r="K75" i="1"/>
  <c r="J75" i="1"/>
  <c r="I75" i="1"/>
  <c r="H75" i="1"/>
  <c r="G75" i="1"/>
  <c r="F75" i="1"/>
  <c r="AP74" i="1"/>
  <c r="AK74" i="1"/>
  <c r="AF74" i="1"/>
  <c r="AA74" i="1"/>
  <c r="V74" i="1"/>
  <c r="Q74" i="1"/>
  <c r="AP73" i="1"/>
  <c r="AK73" i="1"/>
  <c r="AF73" i="1"/>
  <c r="AA73" i="1"/>
  <c r="V73" i="1"/>
  <c r="Q73" i="1"/>
  <c r="A73" i="1"/>
  <c r="AP72" i="1"/>
  <c r="AK72" i="1"/>
  <c r="AF72" i="1"/>
  <c r="AA72" i="1"/>
  <c r="V72" i="1"/>
  <c r="Q72" i="1"/>
  <c r="A72" i="1"/>
  <c r="AP68" i="1"/>
  <c r="AK68" i="1"/>
  <c r="AF68" i="1"/>
  <c r="AA68" i="1"/>
  <c r="V68" i="1"/>
  <c r="Q68" i="1"/>
  <c r="A68" i="1"/>
  <c r="AN64" i="1"/>
  <c r="AM64" i="1"/>
  <c r="AI64" i="1"/>
  <c r="AI65" i="1" s="1"/>
  <c r="AH64" i="1"/>
  <c r="AD64" i="1"/>
  <c r="AC64" i="1"/>
  <c r="Y64" i="1"/>
  <c r="X64" i="1"/>
  <c r="T64" i="1"/>
  <c r="U64" i="1" s="1"/>
  <c r="S64" i="1"/>
  <c r="K64" i="1"/>
  <c r="J64" i="1"/>
  <c r="I64" i="1"/>
  <c r="H64" i="1"/>
  <c r="G64" i="1"/>
  <c r="F64" i="1"/>
  <c r="AP61" i="1"/>
  <c r="AK61" i="1"/>
  <c r="AF61" i="1"/>
  <c r="AA61" i="1"/>
  <c r="AP50" i="1"/>
  <c r="AK50" i="1"/>
  <c r="AF50" i="1"/>
  <c r="AA50" i="1"/>
  <c r="V50" i="1"/>
  <c r="Q50" i="1"/>
  <c r="A50" i="1"/>
  <c r="AN45" i="1"/>
  <c r="AT45" i="1" s="1"/>
  <c r="AM45" i="1"/>
  <c r="AI45" i="1"/>
  <c r="AH45" i="1"/>
  <c r="AC45" i="1"/>
  <c r="Y45" i="1"/>
  <c r="X45" i="1"/>
  <c r="T45" i="1"/>
  <c r="S45" i="1"/>
  <c r="O45" i="1"/>
  <c r="N45" i="1"/>
  <c r="L45" i="1"/>
  <c r="K45" i="1"/>
  <c r="J45" i="1"/>
  <c r="I45" i="1"/>
  <c r="H45" i="1"/>
  <c r="G45" i="1"/>
  <c r="F45" i="1"/>
  <c r="AD43" i="1"/>
  <c r="A43" i="1"/>
  <c r="AD42" i="1"/>
  <c r="A42" i="1"/>
  <c r="AD41" i="1"/>
  <c r="A41" i="1"/>
  <c r="AD40" i="1"/>
  <c r="AE354" i="1" s="1"/>
  <c r="Z40" i="1"/>
  <c r="U40" i="1"/>
  <c r="P40" i="1"/>
  <c r="M40" i="1"/>
  <c r="A40" i="1"/>
  <c r="AD39" i="1"/>
  <c r="AE353" i="1" s="1"/>
  <c r="Z39" i="1"/>
  <c r="U39" i="1"/>
  <c r="P39" i="1"/>
  <c r="M39" i="1"/>
  <c r="A39" i="1"/>
  <c r="AP38" i="1"/>
  <c r="AO38" i="1"/>
  <c r="AK38" i="1"/>
  <c r="AJ38" i="1"/>
  <c r="AF38" i="1"/>
  <c r="AE38" i="1"/>
  <c r="AA38" i="1"/>
  <c r="Z38" i="1"/>
  <c r="U38" i="1"/>
  <c r="P38" i="1"/>
  <c r="M38" i="1"/>
  <c r="A38" i="1"/>
  <c r="AH34" i="1"/>
  <c r="AL16" i="1" s="1"/>
  <c r="AC34" i="1"/>
  <c r="Y34" i="1"/>
  <c r="AB20" i="1" s="1"/>
  <c r="X34" i="1"/>
  <c r="T34" i="1"/>
  <c r="W21" i="1" s="1"/>
  <c r="S34" i="1"/>
  <c r="O34" i="1"/>
  <c r="R12" i="1" s="1"/>
  <c r="N34" i="1"/>
  <c r="L34" i="1"/>
  <c r="L35" i="1" s="1"/>
  <c r="K34" i="1"/>
  <c r="J34" i="1"/>
  <c r="J35" i="1" s="1"/>
  <c r="I34" i="1"/>
  <c r="G34" i="1"/>
  <c r="F34" i="1"/>
  <c r="AM33" i="1"/>
  <c r="AI33" i="1"/>
  <c r="AJ351" i="1" s="1"/>
  <c r="AD33" i="1"/>
  <c r="AE351" i="1" s="1"/>
  <c r="M33" i="1"/>
  <c r="A33" i="1"/>
  <c r="AM32" i="1"/>
  <c r="AI32" i="1"/>
  <c r="AD32" i="1"/>
  <c r="A32" i="1"/>
  <c r="AM31" i="1"/>
  <c r="AI31" i="1"/>
  <c r="AD31" i="1"/>
  <c r="AA31" i="1"/>
  <c r="V31" i="1"/>
  <c r="U31" i="1"/>
  <c r="Q31" i="1"/>
  <c r="P31" i="1"/>
  <c r="M31" i="1"/>
  <c r="A31" i="1"/>
  <c r="AM30" i="1"/>
  <c r="AI30" i="1"/>
  <c r="AA30" i="1"/>
  <c r="Z30" i="1"/>
  <c r="V30" i="1"/>
  <c r="U30" i="1"/>
  <c r="Q30" i="1"/>
  <c r="P30" i="1"/>
  <c r="M30" i="1"/>
  <c r="A30" i="1"/>
  <c r="AM29" i="1"/>
  <c r="AI29" i="1"/>
  <c r="AD29" i="1"/>
  <c r="AE347" i="1" s="1"/>
  <c r="AA29" i="1"/>
  <c r="Z29" i="1"/>
  <c r="V29" i="1"/>
  <c r="U29" i="1"/>
  <c r="Q29" i="1"/>
  <c r="P29" i="1"/>
  <c r="M29" i="1"/>
  <c r="A29" i="1"/>
  <c r="AM28" i="1"/>
  <c r="AI28" i="1"/>
  <c r="AD28" i="1"/>
  <c r="AE346" i="1" s="1"/>
  <c r="AA28" i="1"/>
  <c r="Z28" i="1"/>
  <c r="V28" i="1"/>
  <c r="U28" i="1"/>
  <c r="Q28" i="1"/>
  <c r="P28" i="1"/>
  <c r="M28" i="1"/>
  <c r="A28" i="1"/>
  <c r="AM27" i="1"/>
  <c r="AI27" i="1"/>
  <c r="AD27" i="1"/>
  <c r="AE345" i="1" s="1"/>
  <c r="AA27" i="1"/>
  <c r="Z27" i="1"/>
  <c r="V27" i="1"/>
  <c r="U27" i="1"/>
  <c r="Q27" i="1"/>
  <c r="P27" i="1"/>
  <c r="M27" i="1"/>
  <c r="A27" i="1"/>
  <c r="AM26" i="1"/>
  <c r="AI26" i="1"/>
  <c r="AD26" i="1"/>
  <c r="AF26" i="1" s="1"/>
  <c r="AA26" i="1"/>
  <c r="Z26" i="1"/>
  <c r="V26" i="1"/>
  <c r="U26" i="1"/>
  <c r="Q26" i="1"/>
  <c r="P26" i="1"/>
  <c r="M26" i="1"/>
  <c r="A26" i="1"/>
  <c r="AM25" i="1"/>
  <c r="AI25" i="1"/>
  <c r="AD25" i="1"/>
  <c r="AF25" i="1" s="1"/>
  <c r="AA25" i="1"/>
  <c r="Z25" i="1"/>
  <c r="V25" i="1"/>
  <c r="U25" i="1"/>
  <c r="Q25" i="1"/>
  <c r="P25" i="1"/>
  <c r="M25" i="1"/>
  <c r="A25" i="1"/>
  <c r="AM24" i="1"/>
  <c r="AI24" i="1"/>
  <c r="AD24" i="1"/>
  <c r="AA24" i="1"/>
  <c r="Z24" i="1"/>
  <c r="V24" i="1"/>
  <c r="U24" i="1"/>
  <c r="Q24" i="1"/>
  <c r="P24" i="1"/>
  <c r="M24" i="1"/>
  <c r="A24" i="1"/>
  <c r="AM23" i="1"/>
  <c r="AI23" i="1"/>
  <c r="AD23" i="1"/>
  <c r="AE343" i="1" s="1"/>
  <c r="AA23" i="1"/>
  <c r="Z23" i="1"/>
  <c r="V23" i="1"/>
  <c r="U23" i="1"/>
  <c r="Q23" i="1"/>
  <c r="P23" i="1"/>
  <c r="M23" i="1"/>
  <c r="A23" i="1"/>
  <c r="AM22" i="1"/>
  <c r="AA22" i="1"/>
  <c r="Z22" i="1"/>
  <c r="V22" i="1"/>
  <c r="U22" i="1"/>
  <c r="Q22" i="1"/>
  <c r="P22" i="1"/>
  <c r="M22" i="1"/>
  <c r="A22" i="1"/>
  <c r="AM21" i="1"/>
  <c r="AI21" i="1"/>
  <c r="AJ341" i="1" s="1"/>
  <c r="AD21" i="1"/>
  <c r="AE341" i="1" s="1"/>
  <c r="A21" i="1"/>
  <c r="AM20" i="1"/>
  <c r="AI20" i="1"/>
  <c r="AD20" i="1"/>
  <c r="AE340" i="1" s="1"/>
  <c r="AA20" i="1"/>
  <c r="Z20" i="1"/>
  <c r="V20" i="1"/>
  <c r="U20" i="1"/>
  <c r="Q20" i="1"/>
  <c r="P20" i="1"/>
  <c r="M20" i="1"/>
  <c r="A20" i="1"/>
  <c r="AM19" i="1"/>
  <c r="AI19" i="1"/>
  <c r="AD19" i="1"/>
  <c r="AF19" i="1" s="1"/>
  <c r="AA19" i="1"/>
  <c r="Z19" i="1"/>
  <c r="V19" i="1"/>
  <c r="U19" i="1"/>
  <c r="Q19" i="1"/>
  <c r="P19" i="1"/>
  <c r="M19" i="1"/>
  <c r="A19" i="1"/>
  <c r="AM18" i="1"/>
  <c r="AI18" i="1"/>
  <c r="AJ337" i="1" s="1"/>
  <c r="AD18" i="1"/>
  <c r="Z18" i="1"/>
  <c r="P18" i="1"/>
  <c r="M18" i="1"/>
  <c r="A18" i="1"/>
  <c r="AM17" i="1"/>
  <c r="AI17" i="1"/>
  <c r="AD17" i="1"/>
  <c r="AF17" i="1" s="1"/>
  <c r="AA17" i="1"/>
  <c r="Z17" i="1"/>
  <c r="V17" i="1"/>
  <c r="U17" i="1"/>
  <c r="Q17" i="1"/>
  <c r="P17" i="1"/>
  <c r="M17" i="1"/>
  <c r="A17" i="1"/>
  <c r="AM16" i="1"/>
  <c r="AI16" i="1"/>
  <c r="AJ335" i="1" s="1"/>
  <c r="AD16" i="1"/>
  <c r="A16" i="1"/>
  <c r="AM15" i="1"/>
  <c r="AI15" i="1"/>
  <c r="AD15" i="1"/>
  <c r="AF15" i="1" s="1"/>
  <c r="AA15" i="1"/>
  <c r="Z15" i="1"/>
  <c r="V15" i="1"/>
  <c r="U15" i="1"/>
  <c r="Q15" i="1"/>
  <c r="P15" i="1"/>
  <c r="M15" i="1"/>
  <c r="A15" i="1"/>
  <c r="AM14" i="1"/>
  <c r="AD14" i="1"/>
  <c r="AF14" i="1" s="1"/>
  <c r="AA14" i="1"/>
  <c r="Z14" i="1"/>
  <c r="V14" i="1"/>
  <c r="U14" i="1"/>
  <c r="Q14" i="1"/>
  <c r="P14" i="1"/>
  <c r="M14" i="1"/>
  <c r="A14" i="1"/>
  <c r="AM13" i="1"/>
  <c r="AD13" i="1"/>
  <c r="AF13" i="1" s="1"/>
  <c r="AA13" i="1"/>
  <c r="Z13" i="1"/>
  <c r="V13" i="1"/>
  <c r="U13" i="1"/>
  <c r="Q13" i="1"/>
  <c r="P13" i="1"/>
  <c r="M13" i="1"/>
  <c r="A13" i="1"/>
  <c r="AM12" i="1"/>
  <c r="AI12" i="1"/>
  <c r="AD12" i="1"/>
  <c r="AF12" i="1" s="1"/>
  <c r="AA12" i="1"/>
  <c r="Z12" i="1"/>
  <c r="V12" i="1"/>
  <c r="U12" i="1"/>
  <c r="Q12" i="1"/>
  <c r="P12" i="1"/>
  <c r="M12" i="1"/>
  <c r="A12" i="1"/>
  <c r="AM11" i="1"/>
  <c r="AI11" i="1"/>
  <c r="AD11" i="1"/>
  <c r="AF11" i="1" s="1"/>
  <c r="AA11" i="1"/>
  <c r="Z11" i="1"/>
  <c r="V11" i="1"/>
  <c r="U11" i="1"/>
  <c r="Q11" i="1"/>
  <c r="P11" i="1"/>
  <c r="M11" i="1"/>
  <c r="A11" i="1"/>
  <c r="AM10" i="1"/>
  <c r="AL10" i="1"/>
  <c r="AI10" i="1"/>
  <c r="AJ329" i="1" s="1"/>
  <c r="AD10" i="1"/>
  <c r="A10" i="1"/>
  <c r="AM9" i="1"/>
  <c r="AK9" i="1"/>
  <c r="AD9" i="1"/>
  <c r="AB9" i="1"/>
  <c r="AA9" i="1"/>
  <c r="Z9" i="1"/>
  <c r="V9" i="1"/>
  <c r="U9" i="1"/>
  <c r="Q9" i="1"/>
  <c r="P9" i="1"/>
  <c r="M9" i="1"/>
  <c r="A9" i="1"/>
  <c r="AM8" i="1"/>
  <c r="AK8" i="1"/>
  <c r="AD8" i="1"/>
  <c r="AA8" i="1"/>
  <c r="Z8" i="1"/>
  <c r="V8" i="1"/>
  <c r="U8" i="1"/>
  <c r="Q8" i="1"/>
  <c r="P8" i="1"/>
  <c r="M8" i="1"/>
  <c r="A8" i="1"/>
  <c r="AM7" i="1"/>
  <c r="AD7" i="1"/>
  <c r="A7" i="1"/>
  <c r="AM6" i="1"/>
  <c r="AI6" i="1"/>
  <c r="AD6" i="1"/>
  <c r="AF6" i="1" s="1"/>
  <c r="AA6" i="1"/>
  <c r="Z6" i="1"/>
  <c r="V6" i="1"/>
  <c r="U6" i="1"/>
  <c r="Q6" i="1"/>
  <c r="P6" i="1"/>
  <c r="M6" i="1"/>
  <c r="A6" i="1"/>
  <c r="AD5" i="1"/>
  <c r="AF5" i="1" s="1"/>
  <c r="AA5" i="1"/>
  <c r="Z5" i="1"/>
  <c r="V5" i="1"/>
  <c r="U5" i="1"/>
  <c r="Q5" i="1"/>
  <c r="P5" i="1"/>
  <c r="M5" i="1"/>
  <c r="A5" i="1"/>
  <c r="AM4" i="1"/>
  <c r="AI4" i="1"/>
  <c r="AD4" i="1"/>
  <c r="AA4" i="1"/>
  <c r="Z4" i="1"/>
  <c r="V4" i="1"/>
  <c r="U4" i="1"/>
  <c r="Q4" i="1"/>
  <c r="P4" i="1"/>
  <c r="M4" i="1"/>
  <c r="A4" i="1"/>
  <c r="AN294" i="1" l="1"/>
  <c r="U259" i="1"/>
  <c r="AD407" i="1"/>
  <c r="AL7" i="1"/>
  <c r="AL9" i="1"/>
  <c r="AE344" i="1"/>
  <c r="R31" i="1"/>
  <c r="AC520" i="1"/>
  <c r="AJ323" i="1"/>
  <c r="AO4" i="1"/>
  <c r="AJ4" i="1"/>
  <c r="AF8" i="1"/>
  <c r="AJ8" i="1"/>
  <c r="AF9" i="1"/>
  <c r="AJ9" i="1"/>
  <c r="AO12" i="1"/>
  <c r="AJ12" i="1"/>
  <c r="AO17" i="1"/>
  <c r="AJ17" i="1"/>
  <c r="AJ19" i="1"/>
  <c r="AO24" i="1"/>
  <c r="AJ24" i="1"/>
  <c r="AK26" i="1"/>
  <c r="AO26" i="1"/>
  <c r="AJ26" i="1"/>
  <c r="AL33" i="1"/>
  <c r="AD592" i="1"/>
  <c r="AD697" i="1" s="1"/>
  <c r="AJ131" i="1"/>
  <c r="AO168" i="1"/>
  <c r="AJ168" i="1"/>
  <c r="AI219" i="1"/>
  <c r="AA259" i="1"/>
  <c r="K294" i="1"/>
  <c r="M286" i="1"/>
  <c r="AF366" i="1"/>
  <c r="AN452" i="1"/>
  <c r="AT14" i="1"/>
  <c r="AJ363" i="1"/>
  <c r="AO363" i="1"/>
  <c r="G371" i="1"/>
  <c r="AI385" i="1"/>
  <c r="T407" i="1"/>
  <c r="AC407" i="1"/>
  <c r="AH407" i="1"/>
  <c r="AH504" i="1"/>
  <c r="AJ532" i="1"/>
  <c r="AO532" i="1"/>
  <c r="AO533" i="1"/>
  <c r="AJ533" i="1"/>
  <c r="Y538" i="1"/>
  <c r="AD538" i="1"/>
  <c r="AI538" i="1"/>
  <c r="AJ11" i="1"/>
  <c r="AO11" i="1"/>
  <c r="AJ15" i="1"/>
  <c r="AO15" i="1"/>
  <c r="AJ343" i="1"/>
  <c r="AJ23" i="1"/>
  <c r="AK25" i="1"/>
  <c r="AO25" i="1"/>
  <c r="AJ25" i="1"/>
  <c r="AJ224" i="1"/>
  <c r="AO224" i="1"/>
  <c r="AT224" i="1"/>
  <c r="AI410" i="1"/>
  <c r="AJ288" i="1"/>
  <c r="AN448" i="1"/>
  <c r="AN438" i="1" s="1"/>
  <c r="AT438" i="1" s="1"/>
  <c r="AD452" i="1"/>
  <c r="AJ290" i="1"/>
  <c r="AN342" i="1"/>
  <c r="AN612" i="1"/>
  <c r="AN610" i="1" s="1"/>
  <c r="AN22" i="1"/>
  <c r="AO342" i="1" s="1"/>
  <c r="AN350" i="1"/>
  <c r="AN32" i="1"/>
  <c r="AJ315" i="1"/>
  <c r="AO315" i="1"/>
  <c r="AT315" i="1"/>
  <c r="F407" i="1"/>
  <c r="AJ530" i="1"/>
  <c r="AO530" i="1"/>
  <c r="T626" i="1"/>
  <c r="AN499" i="1"/>
  <c r="AN497" i="1" s="1"/>
  <c r="AN496" i="1" s="1"/>
  <c r="AN495" i="1" s="1"/>
  <c r="AT495" i="1" s="1"/>
  <c r="AT13" i="1"/>
  <c r="AN332" i="1"/>
  <c r="AT402" i="1"/>
  <c r="AN5" i="1"/>
  <c r="AT5" i="1" s="1"/>
  <c r="AN324" i="1"/>
  <c r="AN366" i="1"/>
  <c r="AN364" i="1" s="1"/>
  <c r="K509" i="1"/>
  <c r="H520" i="1"/>
  <c r="AO398" i="1"/>
  <c r="AJ398" i="1"/>
  <c r="AJ400" i="1"/>
  <c r="AO400" i="1"/>
  <c r="AO492" i="1"/>
  <c r="AJ492" i="1"/>
  <c r="AO534" i="1"/>
  <c r="AJ534" i="1"/>
  <c r="AI544" i="1"/>
  <c r="AO544" i="1" s="1"/>
  <c r="AO623" i="1"/>
  <c r="AJ623" i="1"/>
  <c r="AO634" i="1"/>
  <c r="AJ634" i="1"/>
  <c r="AO637" i="1"/>
  <c r="AJ637" i="1"/>
  <c r="AN796" i="1"/>
  <c r="AO796" i="1" s="1"/>
  <c r="AT310" i="1"/>
  <c r="AS283" i="1"/>
  <c r="AT282" i="1"/>
  <c r="AN795" i="1"/>
  <c r="AO795" i="1" s="1"/>
  <c r="AT271" i="1"/>
  <c r="AT287" i="1"/>
  <c r="AT288" i="1"/>
  <c r="AO288" i="1"/>
  <c r="AT290" i="1"/>
  <c r="AO290" i="1"/>
  <c r="AT286" i="1"/>
  <c r="AO6" i="1"/>
  <c r="AJ6" i="1"/>
  <c r="AO368" i="1"/>
  <c r="AJ368" i="1"/>
  <c r="AI796" i="1"/>
  <c r="AI786" i="1" s="1"/>
  <c r="AO310" i="1"/>
  <c r="AJ310" i="1"/>
  <c r="AO282" i="1"/>
  <c r="AJ282" i="1"/>
  <c r="AI795" i="1"/>
  <c r="AO271" i="1"/>
  <c r="AJ271" i="1"/>
  <c r="AO259" i="1"/>
  <c r="AJ259" i="1"/>
  <c r="AO247" i="1"/>
  <c r="AJ247" i="1"/>
  <c r="AO287" i="1"/>
  <c r="AJ287" i="1"/>
  <c r="AO236" i="1"/>
  <c r="AJ236" i="1"/>
  <c r="AO286" i="1"/>
  <c r="AJ286" i="1"/>
  <c r="AO45" i="1"/>
  <c r="AJ340" i="1"/>
  <c r="AJ20" i="1"/>
  <c r="AJ349" i="1"/>
  <c r="AO31" i="1"/>
  <c r="AJ31" i="1"/>
  <c r="AO604" i="1"/>
  <c r="AJ604" i="1"/>
  <c r="AJ348" i="1"/>
  <c r="AO30" i="1"/>
  <c r="AJ347" i="1"/>
  <c r="AO29" i="1"/>
  <c r="AJ29" i="1"/>
  <c r="AJ577" i="1"/>
  <c r="AO577" i="1"/>
  <c r="AJ346" i="1"/>
  <c r="AO28" i="1"/>
  <c r="AJ28" i="1"/>
  <c r="AJ345" i="1"/>
  <c r="AJ27" i="1"/>
  <c r="AO27" i="1"/>
  <c r="AJ538" i="1"/>
  <c r="AO538" i="1"/>
  <c r="AI416" i="1"/>
  <c r="AJ371" i="1"/>
  <c r="AO371" i="1"/>
  <c r="AO377" i="1"/>
  <c r="AO385" i="1"/>
  <c r="AO602" i="1"/>
  <c r="AJ602" i="1"/>
  <c r="Z475" i="1"/>
  <c r="W465" i="1"/>
  <c r="AE475" i="1"/>
  <c r="AB465" i="1"/>
  <c r="M290" i="1"/>
  <c r="R199" i="1"/>
  <c r="W209" i="1"/>
  <c r="L489" i="1"/>
  <c r="Y517" i="1"/>
  <c r="H407" i="1"/>
  <c r="J407" i="1"/>
  <c r="AE473" i="1"/>
  <c r="M514" i="1"/>
  <c r="F411" i="1"/>
  <c r="L423" i="1"/>
  <c r="L422" i="1" s="1"/>
  <c r="H432" i="1"/>
  <c r="F432" i="1"/>
  <c r="J432" i="1"/>
  <c r="Y432" i="1"/>
  <c r="I459" i="1"/>
  <c r="L473" i="1"/>
  <c r="T473" i="1"/>
  <c r="G504" i="1"/>
  <c r="G502" i="1" s="1"/>
  <c r="I504" i="1"/>
  <c r="L504" i="1"/>
  <c r="AC504" i="1"/>
  <c r="Y512" i="1"/>
  <c r="AI512" i="1"/>
  <c r="O385" i="1"/>
  <c r="AB6" i="1"/>
  <c r="AL6" i="1"/>
  <c r="AD22" i="1"/>
  <c r="AF22" i="1" s="1"/>
  <c r="R91" i="1"/>
  <c r="AB91" i="1"/>
  <c r="R92" i="1"/>
  <c r="W93" i="1"/>
  <c r="R94" i="1"/>
  <c r="W95" i="1"/>
  <c r="W98" i="1"/>
  <c r="AB98" i="1"/>
  <c r="W100" i="1"/>
  <c r="AB102" i="1"/>
  <c r="AE476" i="1" s="1"/>
  <c r="W103" i="1"/>
  <c r="AB103" i="1"/>
  <c r="W104" i="1"/>
  <c r="AB104" i="1"/>
  <c r="R106" i="1"/>
  <c r="R108" i="1"/>
  <c r="AB108" i="1"/>
  <c r="W109" i="1"/>
  <c r="R110" i="1"/>
  <c r="AB110" i="1"/>
  <c r="W115" i="1"/>
  <c r="W121" i="1"/>
  <c r="R122" i="1"/>
  <c r="AB122" i="1"/>
  <c r="R123" i="1"/>
  <c r="AB123" i="1"/>
  <c r="W125" i="1"/>
  <c r="R127" i="1"/>
  <c r="AB127" i="1"/>
  <c r="W128" i="1"/>
  <c r="R130" i="1"/>
  <c r="W133" i="1"/>
  <c r="AB133" i="1"/>
  <c r="R134" i="1"/>
  <c r="AB134" i="1"/>
  <c r="R137" i="1"/>
  <c r="AB137" i="1"/>
  <c r="AE605" i="1" s="1"/>
  <c r="R138" i="1"/>
  <c r="W139" i="1"/>
  <c r="R141" i="1"/>
  <c r="W142" i="1"/>
  <c r="W143" i="1"/>
  <c r="W146" i="1"/>
  <c r="AB146" i="1"/>
  <c r="R147" i="1"/>
  <c r="AB148" i="1"/>
  <c r="AB151" i="1"/>
  <c r="R152" i="1"/>
  <c r="AB152" i="1"/>
  <c r="R153" i="1"/>
  <c r="AB153" i="1"/>
  <c r="W154" i="1"/>
  <c r="R160" i="1"/>
  <c r="R161" i="1"/>
  <c r="AB161" i="1"/>
  <c r="AB162" i="1"/>
  <c r="AB163" i="1"/>
  <c r="AE518" i="1" s="1"/>
  <c r="W165" i="1"/>
  <c r="R167" i="1"/>
  <c r="AB167" i="1"/>
  <c r="AB173" i="1"/>
  <c r="R176" i="1"/>
  <c r="R191" i="1"/>
  <c r="R193" i="1"/>
  <c r="AB196" i="1"/>
  <c r="R197" i="1"/>
  <c r="W198" i="1"/>
  <c r="AB199" i="1"/>
  <c r="AB203" i="1"/>
  <c r="R205" i="1"/>
  <c r="AB208" i="1"/>
  <c r="W210" i="1"/>
  <c r="AD517" i="1"/>
  <c r="Y385" i="1"/>
  <c r="T439" i="1"/>
  <c r="AI598" i="1"/>
  <c r="AK11" i="1"/>
  <c r="AJ330" i="1"/>
  <c r="AK19" i="1"/>
  <c r="AJ338" i="1"/>
  <c r="AI366" i="1"/>
  <c r="AI324" i="1"/>
  <c r="AI333" i="1"/>
  <c r="AI14" i="1"/>
  <c r="L577" i="1"/>
  <c r="T577" i="1"/>
  <c r="AH590" i="1"/>
  <c r="AC590" i="1"/>
  <c r="F598" i="1"/>
  <c r="F583" i="1" s="1"/>
  <c r="H598" i="1"/>
  <c r="AH610" i="1"/>
  <c r="AK6" i="1"/>
  <c r="AJ325" i="1"/>
  <c r="AK12" i="1"/>
  <c r="AJ331" i="1"/>
  <c r="AK15" i="1"/>
  <c r="AJ334" i="1"/>
  <c r="AK17" i="1"/>
  <c r="AJ336" i="1"/>
  <c r="AK24" i="1"/>
  <c r="AJ344" i="1"/>
  <c r="AI508" i="1"/>
  <c r="AI342" i="1"/>
  <c r="AI22" i="1"/>
  <c r="AI499" i="1"/>
  <c r="AI497" i="1" s="1"/>
  <c r="AI496" i="1" s="1"/>
  <c r="AI495" i="1" s="1"/>
  <c r="AI332" i="1"/>
  <c r="AI610" i="1"/>
  <c r="AI350" i="1"/>
  <c r="AJ350" i="1" s="1"/>
  <c r="T423" i="1"/>
  <c r="T422" i="1" s="1"/>
  <c r="AC423" i="1"/>
  <c r="AC422" i="1" s="1"/>
  <c r="AH423" i="1"/>
  <c r="AH422" i="1" s="1"/>
  <c r="G432" i="1"/>
  <c r="G439" i="1"/>
  <c r="I439" i="1"/>
  <c r="L439" i="1"/>
  <c r="AC439" i="1"/>
  <c r="AH439" i="1"/>
  <c r="H583" i="1"/>
  <c r="AD653" i="1"/>
  <c r="AD622" i="1"/>
  <c r="AI364" i="1"/>
  <c r="AI13" i="1"/>
  <c r="R4" i="1"/>
  <c r="W5" i="1"/>
  <c r="W18" i="1"/>
  <c r="AB18" i="1"/>
  <c r="W22" i="1"/>
  <c r="R23" i="1"/>
  <c r="W24" i="1"/>
  <c r="R25" i="1"/>
  <c r="W26" i="1"/>
  <c r="R27" i="1"/>
  <c r="W28" i="1"/>
  <c r="R29" i="1"/>
  <c r="W30" i="1"/>
  <c r="I35" i="1"/>
  <c r="K46" i="1"/>
  <c r="M45" i="1"/>
  <c r="R169" i="1"/>
  <c r="AB169" i="1"/>
  <c r="R171" i="1"/>
  <c r="W173" i="1"/>
  <c r="R175" i="1"/>
  <c r="AB175" i="1"/>
  <c r="W176" i="1"/>
  <c r="R177" i="1"/>
  <c r="AB177" i="1"/>
  <c r="AE435" i="1" s="1"/>
  <c r="W178" i="1"/>
  <c r="AB179" i="1"/>
  <c r="AE431" i="1" s="1"/>
  <c r="W187" i="1"/>
  <c r="R190" i="1"/>
  <c r="AB190" i="1"/>
  <c r="W191" i="1"/>
  <c r="W192" i="1"/>
  <c r="W193" i="1"/>
  <c r="W196" i="1"/>
  <c r="W197" i="1"/>
  <c r="R198" i="1"/>
  <c r="AB198" i="1"/>
  <c r="W199" i="1"/>
  <c r="W200" i="1"/>
  <c r="AB200" i="1"/>
  <c r="R201" i="1"/>
  <c r="AB201" i="1"/>
  <c r="AB202" i="1"/>
  <c r="W203" i="1"/>
  <c r="W205" i="1"/>
  <c r="W208" i="1"/>
  <c r="R209" i="1"/>
  <c r="R210" i="1"/>
  <c r="AB210" i="1"/>
  <c r="M315" i="1"/>
  <c r="AC453" i="1"/>
  <c r="AH453" i="1"/>
  <c r="AB4" i="1"/>
  <c r="AL4" i="1"/>
  <c r="R6" i="1"/>
  <c r="W8" i="1"/>
  <c r="R9" i="1"/>
  <c r="W11" i="1"/>
  <c r="AB13" i="1"/>
  <c r="AL13" i="1"/>
  <c r="AB15" i="1"/>
  <c r="AL15" i="1"/>
  <c r="AB19" i="1"/>
  <c r="AE20" i="1"/>
  <c r="AP25" i="1"/>
  <c r="AD30" i="1"/>
  <c r="AF30" i="1" s="1"/>
  <c r="F35" i="1"/>
  <c r="N46" i="1"/>
  <c r="S46" i="1"/>
  <c r="X46" i="1"/>
  <c r="X47" i="1" s="1"/>
  <c r="AC46" i="1"/>
  <c r="AC47" i="1" s="1"/>
  <c r="AE40" i="1"/>
  <c r="AA45" i="1"/>
  <c r="I371" i="1"/>
  <c r="L371" i="1"/>
  <c r="AP6" i="1"/>
  <c r="AP9" i="1"/>
  <c r="G35" i="1"/>
  <c r="M46" i="1"/>
  <c r="F65" i="1"/>
  <c r="H65" i="1"/>
  <c r="J65" i="1"/>
  <c r="AK259" i="1"/>
  <c r="AP259" i="1"/>
  <c r="O316" i="1"/>
  <c r="I416" i="1"/>
  <c r="AH416" i="1"/>
  <c r="AC459" i="1"/>
  <c r="AH509" i="1"/>
  <c r="I583" i="1"/>
  <c r="I537" i="1" s="1"/>
  <c r="E623" i="1"/>
  <c r="P363" i="1"/>
  <c r="M371" i="1"/>
  <c r="L403" i="1"/>
  <c r="T403" i="1"/>
  <c r="I411" i="1"/>
  <c r="O423" i="1"/>
  <c r="O422" i="1" s="1"/>
  <c r="Y423" i="1"/>
  <c r="Y422" i="1" s="1"/>
  <c r="AD423" i="1"/>
  <c r="AF423" i="1" s="1"/>
  <c r="J517" i="1"/>
  <c r="J598" i="1"/>
  <c r="J583" i="1" s="1"/>
  <c r="O598" i="1"/>
  <c r="Y598" i="1"/>
  <c r="Y583" i="1" s="1"/>
  <c r="AC610" i="1"/>
  <c r="AC607" i="1" s="1"/>
  <c r="AH622" i="1"/>
  <c r="K317" i="1"/>
  <c r="F385" i="1"/>
  <c r="H385" i="1"/>
  <c r="J385" i="1"/>
  <c r="G423" i="1"/>
  <c r="G422" i="1" s="1"/>
  <c r="I423" i="1"/>
  <c r="I422" i="1" s="1"/>
  <c r="F423" i="1"/>
  <c r="F422" i="1" s="1"/>
  <c r="J423" i="1"/>
  <c r="J422" i="1" s="1"/>
  <c r="F517" i="1"/>
  <c r="F512" i="1" s="1"/>
  <c r="H517" i="1"/>
  <c r="H512" i="1" s="1"/>
  <c r="AI5" i="1"/>
  <c r="AI583" i="1"/>
  <c r="G453" i="1"/>
  <c r="I453" i="1"/>
  <c r="M236" i="1"/>
  <c r="K368" i="1"/>
  <c r="U369" i="1"/>
  <c r="F371" i="1"/>
  <c r="H371" i="1"/>
  <c r="J371" i="1"/>
  <c r="AD377" i="1"/>
  <c r="AJ377" i="1" s="1"/>
  <c r="K530" i="1"/>
  <c r="U532" i="1"/>
  <c r="Z533" i="1"/>
  <c r="U247" i="1"/>
  <c r="P395" i="1"/>
  <c r="H411" i="1"/>
  <c r="H402" i="1" s="1"/>
  <c r="J411" i="1"/>
  <c r="O411" i="1"/>
  <c r="AD411" i="1"/>
  <c r="AI411" i="1"/>
  <c r="G411" i="1"/>
  <c r="L411" i="1"/>
  <c r="AI453" i="1"/>
  <c r="Y509" i="1"/>
  <c r="AD509" i="1"/>
  <c r="O512" i="1"/>
  <c r="G517" i="1"/>
  <c r="G512" i="1" s="1"/>
  <c r="I517" i="1"/>
  <c r="I512" i="1" s="1"/>
  <c r="AC517" i="1"/>
  <c r="AE533" i="1"/>
  <c r="M577" i="1"/>
  <c r="O583" i="1"/>
  <c r="AP15" i="1"/>
  <c r="AE19" i="1"/>
  <c r="AF64" i="1"/>
  <c r="AP64" i="1"/>
  <c r="R217" i="1"/>
  <c r="P237" i="1"/>
  <c r="V236" i="1"/>
  <c r="AA236" i="1"/>
  <c r="AF236" i="1"/>
  <c r="AK236" i="1"/>
  <c r="AP236" i="1"/>
  <c r="AA247" i="1"/>
  <c r="AK247" i="1"/>
  <c r="AP247" i="1"/>
  <c r="U271" i="1"/>
  <c r="AC65" i="1"/>
  <c r="M282" i="1"/>
  <c r="Q300" i="1"/>
  <c r="AD687" i="1"/>
  <c r="AE395" i="1"/>
  <c r="L626" i="1"/>
  <c r="M626" i="1" s="1"/>
  <c r="AE363" i="1"/>
  <c r="Z371" i="1"/>
  <c r="G385" i="1"/>
  <c r="I385" i="1"/>
  <c r="K395" i="1"/>
  <c r="K398" i="1"/>
  <c r="AC411" i="1"/>
  <c r="F453" i="1"/>
  <c r="H453" i="1"/>
  <c r="J453" i="1"/>
  <c r="O453" i="1"/>
  <c r="AE503" i="1"/>
  <c r="AC502" i="1"/>
  <c r="AD512" i="1"/>
  <c r="J512" i="1"/>
  <c r="P512" i="1" s="1"/>
  <c r="L512" i="1"/>
  <c r="T512" i="1"/>
  <c r="U512" i="1" s="1"/>
  <c r="AC512" i="1"/>
  <c r="AH517" i="1"/>
  <c r="AH512" i="1" s="1"/>
  <c r="M533" i="1"/>
  <c r="O544" i="1"/>
  <c r="L545" i="1"/>
  <c r="T545" i="1"/>
  <c r="L551" i="1"/>
  <c r="T551" i="1"/>
  <c r="F544" i="1"/>
  <c r="H544" i="1"/>
  <c r="J544" i="1"/>
  <c r="K544" i="1" s="1"/>
  <c r="Y544" i="1"/>
  <c r="L557" i="1"/>
  <c r="U604" i="1"/>
  <c r="G615" i="1"/>
  <c r="G607" i="1" s="1"/>
  <c r="I615" i="1"/>
  <c r="I607" i="1" s="1"/>
  <c r="L616" i="1"/>
  <c r="L615" i="1" s="1"/>
  <c r="AH616" i="1"/>
  <c r="AH615" i="1" s="1"/>
  <c r="Y616" i="1"/>
  <c r="Y615" i="1" s="1"/>
  <c r="AD616" i="1"/>
  <c r="AD615" i="1" s="1"/>
  <c r="AI616" i="1"/>
  <c r="AI615" i="1" s="1"/>
  <c r="F615" i="1"/>
  <c r="F607" i="1" s="1"/>
  <c r="H615" i="1"/>
  <c r="H607" i="1" s="1"/>
  <c r="J615" i="1"/>
  <c r="K615" i="1" s="1"/>
  <c r="O615" i="1"/>
  <c r="M623" i="1"/>
  <c r="AF365" i="1"/>
  <c r="AF367" i="1"/>
  <c r="AE371" i="1"/>
  <c r="G377" i="1"/>
  <c r="I377" i="1"/>
  <c r="L377" i="1"/>
  <c r="M377" i="1" s="1"/>
  <c r="AH377" i="1"/>
  <c r="Y377" i="1"/>
  <c r="Z395" i="1"/>
  <c r="AE400" i="1"/>
  <c r="P400" i="1"/>
  <c r="AF407" i="1"/>
  <c r="AI423" i="1"/>
  <c r="AI422" i="1" s="1"/>
  <c r="H439" i="1"/>
  <c r="O439" i="1"/>
  <c r="Y439" i="1"/>
  <c r="AE443" i="1"/>
  <c r="AE469" i="1"/>
  <c r="U533" i="1"/>
  <c r="P534" i="1"/>
  <c r="F538" i="1"/>
  <c r="H538" i="1"/>
  <c r="H537" i="1" s="1"/>
  <c r="J538" i="1"/>
  <c r="O538" i="1"/>
  <c r="P577" i="1"/>
  <c r="L584" i="1"/>
  <c r="T584" i="1"/>
  <c r="T583" i="1" s="1"/>
  <c r="G598" i="1"/>
  <c r="G583" i="1" s="1"/>
  <c r="G537" i="1" s="1"/>
  <c r="L598" i="1"/>
  <c r="AC598" i="1"/>
  <c r="AC583" i="1" s="1"/>
  <c r="AH598" i="1"/>
  <c r="AH583" i="1" s="1"/>
  <c r="AH537" i="1" s="1"/>
  <c r="P623" i="1"/>
  <c r="I626" i="1"/>
  <c r="I622" i="1" s="1"/>
  <c r="M34" i="1"/>
  <c r="P34" i="1"/>
  <c r="R30" i="1"/>
  <c r="R28" i="1"/>
  <c r="R26" i="1"/>
  <c r="R24" i="1"/>
  <c r="R22" i="1"/>
  <c r="R21" i="1"/>
  <c r="R18" i="1"/>
  <c r="R17" i="1"/>
  <c r="R14" i="1"/>
  <c r="Y46" i="1"/>
  <c r="AB31" i="1"/>
  <c r="AB30" i="1"/>
  <c r="AB28" i="1"/>
  <c r="AB26" i="1"/>
  <c r="AB24" i="1"/>
  <c r="AB22" i="1"/>
  <c r="AB21" i="1"/>
  <c r="AB17" i="1"/>
  <c r="AB14" i="1"/>
  <c r="AB12" i="1"/>
  <c r="AE349" i="1"/>
  <c r="AF31" i="1"/>
  <c r="T46" i="1"/>
  <c r="V46" i="1" s="1"/>
  <c r="W33" i="1"/>
  <c r="W31" i="1"/>
  <c r="W29" i="1"/>
  <c r="W27" i="1"/>
  <c r="W25" i="1"/>
  <c r="W23" i="1"/>
  <c r="W20" i="1"/>
  <c r="W19" i="1"/>
  <c r="W15" i="1"/>
  <c r="W13" i="1"/>
  <c r="AH46" i="1"/>
  <c r="AH47" i="1" s="1"/>
  <c r="AL30" i="1"/>
  <c r="AL28" i="1"/>
  <c r="AL26" i="1"/>
  <c r="AL24" i="1"/>
  <c r="AL22" i="1"/>
  <c r="AL20" i="1"/>
  <c r="AL19" i="1"/>
  <c r="AL18" i="1"/>
  <c r="AL17" i="1"/>
  <c r="AL14" i="1"/>
  <c r="AL12" i="1"/>
  <c r="L65" i="1"/>
  <c r="M64" i="1"/>
  <c r="W4" i="1"/>
  <c r="AD34" i="1"/>
  <c r="AM34" i="1"/>
  <c r="AM46" i="1" s="1"/>
  <c r="AM47" i="1" s="1"/>
  <c r="R5" i="1"/>
  <c r="AB5" i="1"/>
  <c r="AL5" i="1"/>
  <c r="W6" i="1"/>
  <c r="R8" i="1"/>
  <c r="AB8" i="1"/>
  <c r="AL8" i="1"/>
  <c r="AP8" i="1"/>
  <c r="W9" i="1"/>
  <c r="R11" i="1"/>
  <c r="AB11" i="1"/>
  <c r="AL11" i="1"/>
  <c r="AP11" i="1"/>
  <c r="W12" i="1"/>
  <c r="R13" i="1"/>
  <c r="W14" i="1"/>
  <c r="R15" i="1"/>
  <c r="W17" i="1"/>
  <c r="R19" i="1"/>
  <c r="R20" i="1"/>
  <c r="AL21" i="1"/>
  <c r="AB23" i="1"/>
  <c r="AL23" i="1"/>
  <c r="AB25" i="1"/>
  <c r="AL25" i="1"/>
  <c r="AB27" i="1"/>
  <c r="AL27" i="1"/>
  <c r="AB29" i="1"/>
  <c r="AL29" i="1"/>
  <c r="AL31" i="1"/>
  <c r="AL32" i="1"/>
  <c r="AQ168" i="1"/>
  <c r="AE247" i="1"/>
  <c r="M260" i="1"/>
  <c r="P260" i="1"/>
  <c r="V259" i="1"/>
  <c r="Z259" i="1"/>
  <c r="AF259" i="1"/>
  <c r="U260" i="1"/>
  <c r="Z271" i="1"/>
  <c r="U272" i="1"/>
  <c r="P283" i="1"/>
  <c r="V282" i="1"/>
  <c r="Y283" i="1"/>
  <c r="AF282" i="1"/>
  <c r="AI283" i="1"/>
  <c r="AP282" i="1"/>
  <c r="N294" i="1"/>
  <c r="N317" i="1" s="1"/>
  <c r="S294" i="1"/>
  <c r="S317" i="1" s="1"/>
  <c r="X294" i="1"/>
  <c r="X317" i="1" s="1"/>
  <c r="AM294" i="1"/>
  <c r="AM317" i="1" s="1"/>
  <c r="U287" i="1"/>
  <c r="AP288" i="1"/>
  <c r="O448" i="1"/>
  <c r="T448" i="1"/>
  <c r="Y448" i="1"/>
  <c r="AD448" i="1"/>
  <c r="AI448" i="1"/>
  <c r="M310" i="1"/>
  <c r="M311" i="1"/>
  <c r="M368" i="1"/>
  <c r="K371" i="1"/>
  <c r="K377" i="1"/>
  <c r="T377" i="1"/>
  <c r="AC385" i="1"/>
  <c r="U398" i="1"/>
  <c r="AC416" i="1"/>
  <c r="AP12" i="1"/>
  <c r="AP17" i="1"/>
  <c r="AP19" i="1"/>
  <c r="AP24" i="1"/>
  <c r="AP26" i="1"/>
  <c r="N47" i="1"/>
  <c r="S47" i="1"/>
  <c r="AK45" i="1"/>
  <c r="AP45" i="1"/>
  <c r="G76" i="1"/>
  <c r="I65" i="1"/>
  <c r="K65" i="1"/>
  <c r="Q64" i="1"/>
  <c r="V75" i="1"/>
  <c r="AF75" i="1"/>
  <c r="AP75" i="1"/>
  <c r="AE130" i="1"/>
  <c r="AL168" i="1"/>
  <c r="M237" i="1"/>
  <c r="M248" i="1"/>
  <c r="V247" i="1"/>
  <c r="Z247" i="1"/>
  <c r="AF247" i="1"/>
  <c r="AE259" i="1"/>
  <c r="AE271" i="1"/>
  <c r="M283" i="1"/>
  <c r="Z287" i="1"/>
  <c r="L316" i="1"/>
  <c r="P340" i="1"/>
  <c r="U340" i="1"/>
  <c r="Z347" i="1"/>
  <c r="U363" i="1"/>
  <c r="O368" i="1"/>
  <c r="U368" i="1" s="1"/>
  <c r="U370" i="1"/>
  <c r="AC377" i="1"/>
  <c r="AH385" i="1"/>
  <c r="AH362" i="1" s="1"/>
  <c r="L385" i="1"/>
  <c r="T385" i="1"/>
  <c r="Z385" i="1" s="1"/>
  <c r="M398" i="1"/>
  <c r="K400" i="1"/>
  <c r="Z400" i="1"/>
  <c r="M400" i="1"/>
  <c r="AE403" i="1"/>
  <c r="AE426" i="1"/>
  <c r="AH502" i="1"/>
  <c r="K538" i="1"/>
  <c r="P538" i="1"/>
  <c r="AE538" i="1"/>
  <c r="AD432" i="1"/>
  <c r="AI432" i="1"/>
  <c r="AI402" i="1" s="1"/>
  <c r="L433" i="1"/>
  <c r="L432" i="1" s="1"/>
  <c r="T433" i="1"/>
  <c r="T432" i="1" s="1"/>
  <c r="AE442" i="1"/>
  <c r="AD453" i="1"/>
  <c r="AD459" i="1"/>
  <c r="AH473" i="1"/>
  <c r="AC486" i="1"/>
  <c r="AC479" i="1" s="1"/>
  <c r="M492" i="1"/>
  <c r="I502" i="1"/>
  <c r="Z509" i="1"/>
  <c r="K520" i="1"/>
  <c r="M520" i="1"/>
  <c r="P530" i="1"/>
  <c r="M532" i="1"/>
  <c r="AE534" i="1"/>
  <c r="M538" i="1"/>
  <c r="Z538" i="1"/>
  <c r="L544" i="1"/>
  <c r="M544" i="1" s="1"/>
  <c r="AE577" i="1"/>
  <c r="Z577" i="1"/>
  <c r="U583" i="1"/>
  <c r="P602" i="1"/>
  <c r="M604" i="1"/>
  <c r="G602" i="1"/>
  <c r="M602" i="1" s="1"/>
  <c r="K604" i="1"/>
  <c r="I602" i="1"/>
  <c r="K602" i="1" s="1"/>
  <c r="Z615" i="1"/>
  <c r="AE615" i="1"/>
  <c r="G622" i="1"/>
  <c r="K623" i="1"/>
  <c r="AE623" i="1"/>
  <c r="M637" i="1"/>
  <c r="U637" i="1"/>
  <c r="AC433" i="1"/>
  <c r="AC432" i="1" s="1"/>
  <c r="AF443" i="1"/>
  <c r="L453" i="1"/>
  <c r="T453" i="1"/>
  <c r="AI459" i="1"/>
  <c r="G459" i="1"/>
  <c r="L459" i="1"/>
  <c r="AH459" i="1"/>
  <c r="AF467" i="1"/>
  <c r="G479" i="1"/>
  <c r="I479" i="1"/>
  <c r="AH479" i="1"/>
  <c r="L481" i="1"/>
  <c r="T481" i="1"/>
  <c r="O481" i="1"/>
  <c r="AD481" i="1"/>
  <c r="L486" i="1"/>
  <c r="T486" i="1"/>
  <c r="AI486" i="1"/>
  <c r="AI479" i="1" s="1"/>
  <c r="T489" i="1"/>
  <c r="AD489" i="1"/>
  <c r="K492" i="1"/>
  <c r="Z503" i="1"/>
  <c r="F504" i="1"/>
  <c r="F502" i="1" s="1"/>
  <c r="H504" i="1"/>
  <c r="H502" i="1" s="1"/>
  <c r="J504" i="1"/>
  <c r="J502" i="1" s="1"/>
  <c r="O504" i="1"/>
  <c r="Y504" i="1"/>
  <c r="Y502" i="1" s="1"/>
  <c r="AI520" i="1"/>
  <c r="AD520" i="1"/>
  <c r="AE520" i="1" s="1"/>
  <c r="M530" i="1"/>
  <c r="U530" i="1"/>
  <c r="P532" i="1"/>
  <c r="AI531" i="1"/>
  <c r="F531" i="1"/>
  <c r="H531" i="1"/>
  <c r="P533" i="1"/>
  <c r="G531" i="1"/>
  <c r="I531" i="1"/>
  <c r="AC531" i="1"/>
  <c r="AC557" i="1"/>
  <c r="AC544" i="1" s="1"/>
  <c r="K577" i="1"/>
  <c r="T602" i="1"/>
  <c r="U602" i="1" s="1"/>
  <c r="P604" i="1"/>
  <c r="Z604" i="1"/>
  <c r="Y602" i="1"/>
  <c r="AE602" i="1" s="1"/>
  <c r="U623" i="1"/>
  <c r="T557" i="1"/>
  <c r="T544" i="1" s="1"/>
  <c r="AE604" i="1"/>
  <c r="F626" i="1"/>
  <c r="F622" i="1" s="1"/>
  <c r="H626" i="1"/>
  <c r="H622" i="1" s="1"/>
  <c r="J626" i="1"/>
  <c r="K634" i="1"/>
  <c r="AC622" i="1"/>
  <c r="AI787" i="1"/>
  <c r="AG18" i="1"/>
  <c r="K47" i="1"/>
  <c r="T47" i="1"/>
  <c r="AF34" i="1"/>
  <c r="AG20" i="1"/>
  <c r="AG19" i="1"/>
  <c r="AE34" i="1"/>
  <c r="AK4" i="1"/>
  <c r="AE4" i="1"/>
  <c r="AG4" i="1"/>
  <c r="AP4" i="1"/>
  <c r="AE5" i="1"/>
  <c r="AG5" i="1"/>
  <c r="AE6" i="1"/>
  <c r="AG6" i="1"/>
  <c r="AE8" i="1"/>
  <c r="AG8" i="1"/>
  <c r="AE9" i="1"/>
  <c r="AG9" i="1"/>
  <c r="AE11" i="1"/>
  <c r="AG11" i="1"/>
  <c r="AE12" i="1"/>
  <c r="AG12" i="1"/>
  <c r="AE13" i="1"/>
  <c r="AG13" i="1"/>
  <c r="AE14" i="1"/>
  <c r="AG14" i="1"/>
  <c r="AE15" i="1"/>
  <c r="AG15" i="1"/>
  <c r="AE17" i="1"/>
  <c r="AG17" i="1"/>
  <c r="AE18" i="1"/>
  <c r="AF20" i="1"/>
  <c r="AK20" i="1"/>
  <c r="AG21" i="1"/>
  <c r="AE22" i="1"/>
  <c r="AG22" i="1"/>
  <c r="AE23" i="1"/>
  <c r="AG23" i="1"/>
  <c r="AP23" i="1"/>
  <c r="AE24" i="1"/>
  <c r="AG24" i="1"/>
  <c r="AE25" i="1"/>
  <c r="AG25" i="1"/>
  <c r="AE26" i="1"/>
  <c r="AG26" i="1"/>
  <c r="AE27" i="1"/>
  <c r="AG27" i="1"/>
  <c r="AP27" i="1"/>
  <c r="AE28" i="1"/>
  <c r="AG28" i="1"/>
  <c r="AP28" i="1"/>
  <c r="AE29" i="1"/>
  <c r="AG29" i="1"/>
  <c r="AP29" i="1"/>
  <c r="AE30" i="1"/>
  <c r="AG30" i="1"/>
  <c r="AP30" i="1"/>
  <c r="AG31" i="1"/>
  <c r="AP31" i="1"/>
  <c r="R33" i="1"/>
  <c r="AB33" i="1"/>
  <c r="AG33" i="1"/>
  <c r="U34" i="1"/>
  <c r="Z34" i="1"/>
  <c r="K35" i="1"/>
  <c r="K36" i="1" s="1"/>
  <c r="N35" i="1"/>
  <c r="N36" i="1" s="1"/>
  <c r="S35" i="1"/>
  <c r="S36" i="1" s="1"/>
  <c r="X35" i="1"/>
  <c r="X36" i="1" s="1"/>
  <c r="AC35" i="1"/>
  <c r="AC36" i="1" s="1"/>
  <c r="AH35" i="1"/>
  <c r="AH36" i="1" s="1"/>
  <c r="F36" i="1"/>
  <c r="J36" i="1"/>
  <c r="L36" i="1"/>
  <c r="AE39" i="1"/>
  <c r="P45" i="1"/>
  <c r="U45" i="1"/>
  <c r="Z45" i="1"/>
  <c r="F46" i="1"/>
  <c r="F47" i="1" s="1"/>
  <c r="J46" i="1"/>
  <c r="J47" i="1" s="1"/>
  <c r="L46" i="1"/>
  <c r="L47" i="1" s="1"/>
  <c r="Y47" i="1"/>
  <c r="F66" i="1"/>
  <c r="F76" i="1"/>
  <c r="F77" i="1" s="1"/>
  <c r="H66" i="1"/>
  <c r="H76" i="1"/>
  <c r="H77" i="1" s="1"/>
  <c r="J66" i="1"/>
  <c r="J76" i="1"/>
  <c r="J77" i="1" s="1"/>
  <c r="L66" i="1"/>
  <c r="L76" i="1"/>
  <c r="L77" i="1" s="1"/>
  <c r="N76" i="1"/>
  <c r="T76" i="1"/>
  <c r="T77" i="1" s="1"/>
  <c r="V64" i="1"/>
  <c r="Y76" i="1"/>
  <c r="Y77" i="1" s="1"/>
  <c r="AC66" i="1"/>
  <c r="AC76" i="1"/>
  <c r="AC77" i="1" s="1"/>
  <c r="AI66" i="1"/>
  <c r="AI76" i="1"/>
  <c r="AI77" i="1" s="1"/>
  <c r="AM76" i="1"/>
  <c r="G65" i="1"/>
  <c r="G66" i="1" s="1"/>
  <c r="N65" i="1"/>
  <c r="N66" i="1" s="1"/>
  <c r="T65" i="1"/>
  <c r="Y65" i="1"/>
  <c r="Y66" i="1" s="1"/>
  <c r="AM65" i="1"/>
  <c r="AM66" i="1" s="1"/>
  <c r="P364" i="1"/>
  <c r="U364" i="1"/>
  <c r="Z364" i="1"/>
  <c r="Y362" i="1"/>
  <c r="AE325" i="1"/>
  <c r="AE327" i="1"/>
  <c r="AF4" i="1"/>
  <c r="AP20" i="1"/>
  <c r="AF23" i="1"/>
  <c r="AK23" i="1"/>
  <c r="AF24" i="1"/>
  <c r="AF27" i="1"/>
  <c r="AK27" i="1"/>
  <c r="AF28" i="1"/>
  <c r="AK28" i="1"/>
  <c r="AF29" i="1"/>
  <c r="AK29" i="1"/>
  <c r="AK30" i="1"/>
  <c r="AK31" i="1"/>
  <c r="Q34" i="1"/>
  <c r="V34" i="1"/>
  <c r="AA34" i="1"/>
  <c r="O35" i="1"/>
  <c r="O36" i="1" s="1"/>
  <c r="T35" i="1"/>
  <c r="T36" i="1" s="1"/>
  <c r="Y35" i="1"/>
  <c r="Y36" i="1" s="1"/>
  <c r="G36" i="1"/>
  <c r="I36" i="1"/>
  <c r="Q45" i="1"/>
  <c r="V45" i="1"/>
  <c r="AD45" i="1"/>
  <c r="AJ45" i="1" s="1"/>
  <c r="G46" i="1"/>
  <c r="G47" i="1" s="1"/>
  <c r="I46" i="1"/>
  <c r="I47" i="1" s="1"/>
  <c r="O46" i="1"/>
  <c r="Q46" i="1" s="1"/>
  <c r="U46" i="1"/>
  <c r="I76" i="1"/>
  <c r="I66" i="1"/>
  <c r="K76" i="1"/>
  <c r="K77" i="1" s="1"/>
  <c r="K66" i="1"/>
  <c r="O76" i="1"/>
  <c r="S76" i="1"/>
  <c r="S77" i="1" s="1"/>
  <c r="X76" i="1"/>
  <c r="X65" i="1"/>
  <c r="X66" i="1" s="1"/>
  <c r="AA64" i="1"/>
  <c r="AD76" i="1"/>
  <c r="AD65" i="1"/>
  <c r="AF65" i="1" s="1"/>
  <c r="AH76" i="1"/>
  <c r="AH77" i="1" s="1"/>
  <c r="AH65" i="1"/>
  <c r="AH66" i="1" s="1"/>
  <c r="AK64" i="1"/>
  <c r="AN76" i="1"/>
  <c r="AP76" i="1" s="1"/>
  <c r="AN65" i="1"/>
  <c r="AP65" i="1" s="1"/>
  <c r="O65" i="1"/>
  <c r="S65" i="1"/>
  <c r="S66" i="1" s="1"/>
  <c r="AK65" i="1"/>
  <c r="G77" i="1"/>
  <c r="I77" i="1"/>
  <c r="N77" i="1"/>
  <c r="X77" i="1"/>
  <c r="AM77" i="1"/>
  <c r="K364" i="1"/>
  <c r="M364" i="1"/>
  <c r="L362" i="1"/>
  <c r="AE328" i="1"/>
  <c r="AE329" i="1"/>
  <c r="AE330" i="1"/>
  <c r="AE331" i="1"/>
  <c r="AE334" i="1"/>
  <c r="AE335" i="1"/>
  <c r="AE336" i="1"/>
  <c r="AE337" i="1"/>
  <c r="AE338" i="1"/>
  <c r="AE356" i="1"/>
  <c r="Q75" i="1"/>
  <c r="AA75" i="1"/>
  <c r="AK75" i="1"/>
  <c r="Z457" i="1"/>
  <c r="Z456" i="1"/>
  <c r="AE542" i="1"/>
  <c r="AE541" i="1"/>
  <c r="AF168" i="1"/>
  <c r="AK168" i="1"/>
  <c r="AP168" i="1"/>
  <c r="G799" i="1"/>
  <c r="G784" i="1"/>
  <c r="I784" i="1"/>
  <c r="M219" i="1"/>
  <c r="P794" i="1"/>
  <c r="O784" i="1"/>
  <c r="Q219" i="1"/>
  <c r="T784" i="1"/>
  <c r="T799" i="1"/>
  <c r="U794" i="1"/>
  <c r="V219" i="1"/>
  <c r="Y799" i="1"/>
  <c r="Z794" i="1"/>
  <c r="Y784" i="1"/>
  <c r="AA219" i="1"/>
  <c r="AD219" i="1"/>
  <c r="AG130" i="1" s="1"/>
  <c r="P236" i="1"/>
  <c r="U236" i="1"/>
  <c r="Z236" i="1"/>
  <c r="AE236" i="1"/>
  <c r="U237" i="1"/>
  <c r="M247" i="1"/>
  <c r="Q247" i="1"/>
  <c r="P248" i="1"/>
  <c r="M259" i="1"/>
  <c r="Q259" i="1"/>
  <c r="M271" i="1"/>
  <c r="O785" i="1"/>
  <c r="P795" i="1"/>
  <c r="Q271" i="1"/>
  <c r="U795" i="1"/>
  <c r="T785" i="1"/>
  <c r="V271" i="1"/>
  <c r="Y785" i="1"/>
  <c r="Z795" i="1"/>
  <c r="AA271" i="1"/>
  <c r="AE795" i="1"/>
  <c r="AD785" i="1"/>
  <c r="AF271" i="1"/>
  <c r="AI785" i="1"/>
  <c r="AJ795" i="1"/>
  <c r="AK271" i="1"/>
  <c r="AP271" i="1"/>
  <c r="P272" i="1"/>
  <c r="P282" i="1"/>
  <c r="U282" i="1"/>
  <c r="Z282" i="1"/>
  <c r="AE282" i="1"/>
  <c r="U283" i="1"/>
  <c r="AD283" i="1"/>
  <c r="AN283" i="1"/>
  <c r="P286" i="1"/>
  <c r="Z286" i="1"/>
  <c r="AE286" i="1"/>
  <c r="M287" i="1"/>
  <c r="Q287" i="1"/>
  <c r="V287" i="1"/>
  <c r="AA287" i="1"/>
  <c r="AE287" i="1"/>
  <c r="M288" i="1"/>
  <c r="Q288" i="1"/>
  <c r="V288" i="1"/>
  <c r="AE288" i="1"/>
  <c r="P289" i="1"/>
  <c r="V289" i="1"/>
  <c r="AE448" i="1"/>
  <c r="P290" i="1"/>
  <c r="U290" i="1"/>
  <c r="Z290" i="1"/>
  <c r="AF290" i="1"/>
  <c r="AK290" i="1"/>
  <c r="AP290" i="1"/>
  <c r="L607" i="1"/>
  <c r="M610" i="1"/>
  <c r="U610" i="1"/>
  <c r="T607" i="1"/>
  <c r="AE610" i="1"/>
  <c r="AD607" i="1"/>
  <c r="F294" i="1"/>
  <c r="F317" i="1" s="1"/>
  <c r="F319" i="1" s="1"/>
  <c r="H294" i="1"/>
  <c r="H317" i="1" s="1"/>
  <c r="J294" i="1"/>
  <c r="J317" i="1" s="1"/>
  <c r="J319" i="1" s="1"/>
  <c r="L294" i="1"/>
  <c r="L317" i="1" s="1"/>
  <c r="AC294" i="1"/>
  <c r="AC317" i="1" s="1"/>
  <c r="AI294" i="1"/>
  <c r="P371" i="1"/>
  <c r="U300" i="1"/>
  <c r="J786" i="1"/>
  <c r="K796" i="1"/>
  <c r="M796" i="1"/>
  <c r="L786" i="1"/>
  <c r="Z310" i="1"/>
  <c r="AE310" i="1"/>
  <c r="AK310" i="1"/>
  <c r="AP310" i="1"/>
  <c r="P315" i="1"/>
  <c r="Z315" i="1"/>
  <c r="K323" i="1"/>
  <c r="M323" i="1"/>
  <c r="P323" i="1"/>
  <c r="U323" i="1"/>
  <c r="Z323" i="1"/>
  <c r="AE323" i="1"/>
  <c r="G324" i="1"/>
  <c r="I324" i="1"/>
  <c r="Z329" i="1"/>
  <c r="G332" i="1"/>
  <c r="I332" i="1"/>
  <c r="G333" i="1"/>
  <c r="I333" i="1"/>
  <c r="K336" i="1"/>
  <c r="M336" i="1"/>
  <c r="P336" i="1"/>
  <c r="K338" i="1"/>
  <c r="M338" i="1"/>
  <c r="P338" i="1"/>
  <c r="K340" i="1"/>
  <c r="M340" i="1"/>
  <c r="G350" i="1"/>
  <c r="I350" i="1"/>
  <c r="K363" i="1"/>
  <c r="M363" i="1"/>
  <c r="Z363" i="1"/>
  <c r="AD364" i="1"/>
  <c r="U377" i="1"/>
  <c r="M395" i="1"/>
  <c r="AC402" i="1"/>
  <c r="AD756" i="1"/>
  <c r="P492" i="1"/>
  <c r="K504" i="1"/>
  <c r="P504" i="1"/>
  <c r="O502" i="1"/>
  <c r="Z504" i="1"/>
  <c r="AI504" i="1"/>
  <c r="AE456" i="1"/>
  <c r="AE457" i="1"/>
  <c r="Z541" i="1"/>
  <c r="Z542" i="1"/>
  <c r="AE504" i="1"/>
  <c r="AD502" i="1"/>
  <c r="AG168" i="1"/>
  <c r="F799" i="1"/>
  <c r="F784" i="1"/>
  <c r="H799" i="1"/>
  <c r="H784" i="1"/>
  <c r="J799" i="1"/>
  <c r="K794" i="1"/>
  <c r="J784" i="1"/>
  <c r="L784" i="1"/>
  <c r="L799" i="1"/>
  <c r="M794" i="1"/>
  <c r="P219" i="1"/>
  <c r="U219" i="1"/>
  <c r="Z219" i="1"/>
  <c r="AL205" i="1"/>
  <c r="AN219" i="1"/>
  <c r="Q236" i="1"/>
  <c r="P247" i="1"/>
  <c r="P259" i="1"/>
  <c r="J785" i="1"/>
  <c r="K795" i="1"/>
  <c r="M795" i="1"/>
  <c r="L785" i="1"/>
  <c r="P271" i="1"/>
  <c r="M272" i="1"/>
  <c r="Q282" i="1"/>
  <c r="AA282" i="1"/>
  <c r="AK282" i="1"/>
  <c r="U286" i="1"/>
  <c r="AA286" i="1"/>
  <c r="AF286" i="1"/>
  <c r="AK286" i="1"/>
  <c r="AP286" i="1"/>
  <c r="P287" i="1"/>
  <c r="AD745" i="1"/>
  <c r="AD497" i="1"/>
  <c r="AF287" i="1"/>
  <c r="AK287" i="1"/>
  <c r="AP287" i="1"/>
  <c r="P288" i="1"/>
  <c r="U288" i="1"/>
  <c r="Z288" i="1"/>
  <c r="AE410" i="1"/>
  <c r="AF288" i="1"/>
  <c r="AK288" i="1"/>
  <c r="Q289" i="1"/>
  <c r="Q290" i="1"/>
  <c r="V290" i="1"/>
  <c r="AE290" i="1"/>
  <c r="K610" i="1"/>
  <c r="O607" i="1"/>
  <c r="P610" i="1"/>
  <c r="Y607" i="1"/>
  <c r="Z610" i="1"/>
  <c r="G294" i="1"/>
  <c r="I294" i="1"/>
  <c r="I795" i="1" s="1"/>
  <c r="I785" i="1" s="1"/>
  <c r="O294" i="1"/>
  <c r="T294" i="1"/>
  <c r="Y294" i="1"/>
  <c r="AD294" i="1"/>
  <c r="AH294" i="1"/>
  <c r="O310" i="1"/>
  <c r="U310" i="1" s="1"/>
  <c r="U796" i="1"/>
  <c r="T786" i="1"/>
  <c r="V310" i="1"/>
  <c r="Y786" i="1"/>
  <c r="Z796" i="1"/>
  <c r="AA310" i="1"/>
  <c r="AD796" i="1"/>
  <c r="AD661" i="1"/>
  <c r="AF310" i="1"/>
  <c r="U311" i="1"/>
  <c r="U315" i="1"/>
  <c r="G317" i="1"/>
  <c r="G319" i="1" s="1"/>
  <c r="I317" i="1"/>
  <c r="I319" i="1" s="1"/>
  <c r="O317" i="1"/>
  <c r="O319" i="1" s="1"/>
  <c r="T317" i="1"/>
  <c r="Y317" i="1"/>
  <c r="Y319" i="1" s="1"/>
  <c r="F324" i="1"/>
  <c r="H324" i="1"/>
  <c r="J324" i="1"/>
  <c r="K324" i="1" s="1"/>
  <c r="L324" i="1"/>
  <c r="M324" i="1" s="1"/>
  <c r="O324" i="1"/>
  <c r="P324" i="1" s="1"/>
  <c r="T324" i="1"/>
  <c r="U324" i="1" s="1"/>
  <c r="Y324" i="1"/>
  <c r="Z324" i="1" s="1"/>
  <c r="AD324" i="1"/>
  <c r="AE324" i="1" s="1"/>
  <c r="O328" i="1"/>
  <c r="P328" i="1" s="1"/>
  <c r="F332" i="1"/>
  <c r="H332" i="1"/>
  <c r="J332" i="1"/>
  <c r="K332" i="1" s="1"/>
  <c r="L332" i="1"/>
  <c r="M332" i="1" s="1"/>
  <c r="O332" i="1"/>
  <c r="P332" i="1" s="1"/>
  <c r="T332" i="1"/>
  <c r="U332" i="1" s="1"/>
  <c r="Y332" i="1"/>
  <c r="Z332" i="1" s="1"/>
  <c r="AD332" i="1"/>
  <c r="AE332" i="1" s="1"/>
  <c r="F333" i="1"/>
  <c r="H333" i="1"/>
  <c r="J333" i="1"/>
  <c r="K333" i="1" s="1"/>
  <c r="L333" i="1"/>
  <c r="M333" i="1" s="1"/>
  <c r="O333" i="1"/>
  <c r="P333" i="1" s="1"/>
  <c r="T333" i="1"/>
  <c r="U333" i="1" s="1"/>
  <c r="Y333" i="1"/>
  <c r="Z333" i="1" s="1"/>
  <c r="AD333" i="1"/>
  <c r="AE333" i="1" s="1"/>
  <c r="AD342" i="1"/>
  <c r="AE342" i="1" s="1"/>
  <c r="AD348" i="1"/>
  <c r="AE348" i="1" s="1"/>
  <c r="E604" i="1"/>
  <c r="E602" i="1"/>
  <c r="F350" i="1"/>
  <c r="H350" i="1"/>
  <c r="J350" i="1"/>
  <c r="K350" i="1" s="1"/>
  <c r="L350" i="1"/>
  <c r="M350" i="1" s="1"/>
  <c r="O350" i="1"/>
  <c r="P350" i="1" s="1"/>
  <c r="T350" i="1"/>
  <c r="U350" i="1" s="1"/>
  <c r="Y350" i="1"/>
  <c r="Z350" i="1" s="1"/>
  <c r="AD350" i="1"/>
  <c r="AE350" i="1" s="1"/>
  <c r="U385" i="1"/>
  <c r="P368" i="1"/>
  <c r="Z368" i="1"/>
  <c r="AE368" i="1"/>
  <c r="U371" i="1"/>
  <c r="P377" i="1"/>
  <c r="AE377" i="1"/>
  <c r="AD385" i="1"/>
  <c r="AJ385" i="1" s="1"/>
  <c r="AE387" i="1"/>
  <c r="AD749" i="1"/>
  <c r="U395" i="1"/>
  <c r="P398" i="1"/>
  <c r="Z398" i="1"/>
  <c r="AE398" i="1"/>
  <c r="U400" i="1"/>
  <c r="AE407" i="1"/>
  <c r="Y411" i="1"/>
  <c r="Y416" i="1"/>
  <c r="AE416" i="1" s="1"/>
  <c r="AD439" i="1"/>
  <c r="Y453" i="1"/>
  <c r="AE453" i="1" s="1"/>
  <c r="F459" i="1"/>
  <c r="H459" i="1"/>
  <c r="J459" i="1"/>
  <c r="O459" i="1"/>
  <c r="Y459" i="1"/>
  <c r="G473" i="1"/>
  <c r="I473" i="1"/>
  <c r="F489" i="1"/>
  <c r="F479" i="1" s="1"/>
  <c r="H489" i="1"/>
  <c r="H479" i="1" s="1"/>
  <c r="J489" i="1"/>
  <c r="J479" i="1" s="1"/>
  <c r="O489" i="1"/>
  <c r="Y489" i="1"/>
  <c r="T492" i="1"/>
  <c r="AD743" i="1"/>
  <c r="T502" i="1"/>
  <c r="U509" i="1"/>
  <c r="AE512" i="1"/>
  <c r="AF387" i="1"/>
  <c r="Z492" i="1"/>
  <c r="E492" i="1"/>
  <c r="AE492" i="1"/>
  <c r="U503" i="1"/>
  <c r="M504" i="1"/>
  <c r="L502" i="1"/>
  <c r="U504" i="1"/>
  <c r="M517" i="1"/>
  <c r="U517" i="1"/>
  <c r="M534" i="1"/>
  <c r="Z534" i="1"/>
  <c r="U534" i="1"/>
  <c r="T531" i="1"/>
  <c r="K517" i="1"/>
  <c r="P517" i="1"/>
  <c r="P520" i="1"/>
  <c r="U520" i="1"/>
  <c r="Z520" i="1"/>
  <c r="U544" i="1"/>
  <c r="Z530" i="1"/>
  <c r="AE530" i="1"/>
  <c r="J531" i="1"/>
  <c r="K531" i="1" s="1"/>
  <c r="L531" i="1"/>
  <c r="M531" i="1" s="1"/>
  <c r="O531" i="1"/>
  <c r="Y531" i="1"/>
  <c r="AD531" i="1"/>
  <c r="Z532" i="1"/>
  <c r="U538" i="1"/>
  <c r="AD688" i="1"/>
  <c r="AD574" i="1"/>
  <c r="AD544" i="1" s="1"/>
  <c r="AJ544" i="1" s="1"/>
  <c r="U577" i="1"/>
  <c r="Z602" i="1"/>
  <c r="M615" i="1"/>
  <c r="AD598" i="1"/>
  <c r="O626" i="1"/>
  <c r="Y626" i="1"/>
  <c r="AE626" i="1" s="1"/>
  <c r="AI626" i="1"/>
  <c r="M634" i="1"/>
  <c r="Z634" i="1"/>
  <c r="U634" i="1"/>
  <c r="T622" i="1"/>
  <c r="U615" i="1"/>
  <c r="Z623" i="1"/>
  <c r="AD739" i="1"/>
  <c r="G787" i="1"/>
  <c r="I787" i="1"/>
  <c r="L787" i="1"/>
  <c r="T787" i="1"/>
  <c r="AD787" i="1"/>
  <c r="AN787" i="1"/>
  <c r="AD788" i="1"/>
  <c r="F787" i="1"/>
  <c r="H787" i="1"/>
  <c r="J787" i="1"/>
  <c r="O787" i="1"/>
  <c r="Y787" i="1"/>
  <c r="O402" i="1" l="1"/>
  <c r="AE432" i="1"/>
  <c r="L402" i="1"/>
  <c r="AH402" i="1"/>
  <c r="AE411" i="1"/>
  <c r="F402" i="1"/>
  <c r="I402" i="1"/>
  <c r="AQ214" i="1"/>
  <c r="AQ150" i="1"/>
  <c r="AN317" i="1"/>
  <c r="AN786" i="1"/>
  <c r="AP22" i="1"/>
  <c r="AN785" i="1"/>
  <c r="AP5" i="1"/>
  <c r="V47" i="1"/>
  <c r="AC362" i="1"/>
  <c r="F362" i="1"/>
  <c r="AQ201" i="1"/>
  <c r="AQ205" i="1"/>
  <c r="AQ192" i="1"/>
  <c r="AQ200" i="1"/>
  <c r="AP13" i="1"/>
  <c r="AO332" i="1"/>
  <c r="AN394" i="1"/>
  <c r="AT394" i="1" s="1"/>
  <c r="AQ170" i="1"/>
  <c r="AQ177" i="1"/>
  <c r="AP14" i="1"/>
  <c r="AN34" i="1"/>
  <c r="Z800" i="1"/>
  <c r="Z377" i="1"/>
  <c r="AJ30" i="1"/>
  <c r="AO350" i="1"/>
  <c r="AN607" i="1"/>
  <c r="AT607" i="1" s="1"/>
  <c r="AT610" i="1"/>
  <c r="AT22" i="1"/>
  <c r="I362" i="1"/>
  <c r="AO333" i="1"/>
  <c r="AD590" i="1"/>
  <c r="AD583" i="1" s="1"/>
  <c r="AO324" i="1"/>
  <c r="AN358" i="1"/>
  <c r="AN362" i="1"/>
  <c r="AT364" i="1"/>
  <c r="AQ139" i="1"/>
  <c r="AQ148" i="1"/>
  <c r="AQ136" i="1"/>
  <c r="AQ138" i="1"/>
  <c r="AQ92" i="1"/>
  <c r="AQ116" i="1"/>
  <c r="AQ83" i="1"/>
  <c r="AQ88" i="1"/>
  <c r="O362" i="1"/>
  <c r="G402" i="1"/>
  <c r="T402" i="1"/>
  <c r="AD422" i="1"/>
  <c r="AE422" i="1" s="1"/>
  <c r="AE509" i="1"/>
  <c r="K626" i="1"/>
  <c r="L622" i="1"/>
  <c r="M622" i="1" s="1"/>
  <c r="J622" i="1"/>
  <c r="K622" i="1" s="1"/>
  <c r="H362" i="1"/>
  <c r="T362" i="1"/>
  <c r="Z362" i="1" s="1"/>
  <c r="P385" i="1"/>
  <c r="AO520" i="1"/>
  <c r="AJ520" i="1"/>
  <c r="Z544" i="1"/>
  <c r="AK22" i="1"/>
  <c r="AO22" i="1"/>
  <c r="AJ22" i="1"/>
  <c r="AT294" i="1"/>
  <c r="AS295" i="1"/>
  <c r="AQ147" i="1"/>
  <c r="AQ162" i="1"/>
  <c r="AQ128" i="1"/>
  <c r="AQ134" i="1"/>
  <c r="AT219" i="1"/>
  <c r="AQ210" i="1"/>
  <c r="AQ209" i="1"/>
  <c r="AQ199" i="1"/>
  <c r="AQ198" i="1"/>
  <c r="AQ191" i="1"/>
  <c r="AQ175" i="1"/>
  <c r="AQ154" i="1"/>
  <c r="AQ152" i="1"/>
  <c r="AQ143" i="1"/>
  <c r="AQ142" i="1"/>
  <c r="AQ141" i="1"/>
  <c r="AQ140" i="1"/>
  <c r="AQ137" i="1"/>
  <c r="AQ125" i="1"/>
  <c r="AQ109" i="1"/>
  <c r="AQ108" i="1"/>
  <c r="AQ100" i="1"/>
  <c r="AQ98" i="1"/>
  <c r="AQ208" i="1"/>
  <c r="AQ203" i="1"/>
  <c r="AQ190" i="1"/>
  <c r="AQ182" i="1"/>
  <c r="AQ179" i="1"/>
  <c r="AQ176" i="1"/>
  <c r="AQ173" i="1"/>
  <c r="AQ169" i="1"/>
  <c r="AQ153" i="1"/>
  <c r="AQ149" i="1"/>
  <c r="AQ146" i="1"/>
  <c r="AQ133" i="1"/>
  <c r="AQ129" i="1"/>
  <c r="AQ127" i="1"/>
  <c r="AQ123" i="1"/>
  <c r="AQ121" i="1"/>
  <c r="AQ118" i="1"/>
  <c r="AQ115" i="1"/>
  <c r="AQ110" i="1"/>
  <c r="AQ104" i="1"/>
  <c r="AQ97" i="1"/>
  <c r="AQ91" i="1"/>
  <c r="AQ87" i="1"/>
  <c r="AQ86" i="1"/>
  <c r="AQ84" i="1"/>
  <c r="AQ23" i="1"/>
  <c r="AJ796" i="1"/>
  <c r="AO294" i="1"/>
  <c r="AJ294" i="1"/>
  <c r="AO610" i="1"/>
  <c r="AJ610" i="1"/>
  <c r="AJ615" i="1"/>
  <c r="AO615" i="1"/>
  <c r="AO626" i="1"/>
  <c r="AJ626" i="1"/>
  <c r="AL193" i="1"/>
  <c r="AL195" i="1"/>
  <c r="AK13" i="1"/>
  <c r="AO13" i="1"/>
  <c r="AJ13" i="1"/>
  <c r="AO495" i="1"/>
  <c r="AL147" i="1"/>
  <c r="AL162" i="1"/>
  <c r="AO512" i="1"/>
  <c r="AJ512" i="1"/>
  <c r="AL128" i="1"/>
  <c r="AL134" i="1"/>
  <c r="AI537" i="1"/>
  <c r="AO537" i="1" s="1"/>
  <c r="AO583" i="1"/>
  <c r="AK5" i="1"/>
  <c r="AJ5" i="1"/>
  <c r="AO5" i="1"/>
  <c r="AJ364" i="1"/>
  <c r="AO364" i="1"/>
  <c r="AO402" i="1"/>
  <c r="AL92" i="1"/>
  <c r="AL103" i="1"/>
  <c r="AO219" i="1"/>
  <c r="AJ219" i="1"/>
  <c r="AK14" i="1"/>
  <c r="AO14" i="1"/>
  <c r="AJ14" i="1"/>
  <c r="AO531" i="1"/>
  <c r="AJ531" i="1"/>
  <c r="AH607" i="1"/>
  <c r="J362" i="1"/>
  <c r="K362" i="1" s="1"/>
  <c r="K385" i="1"/>
  <c r="AD684" i="1"/>
  <c r="H501" i="1"/>
  <c r="AI607" i="1"/>
  <c r="I438" i="1"/>
  <c r="I394" i="1" s="1"/>
  <c r="AC438" i="1"/>
  <c r="AC394" i="1" s="1"/>
  <c r="AE459" i="1"/>
  <c r="AJ333" i="1"/>
  <c r="AI362" i="1"/>
  <c r="AJ342" i="1"/>
  <c r="F537" i="1"/>
  <c r="AJ332" i="1"/>
  <c r="AJ324" i="1"/>
  <c r="AI358" i="1"/>
  <c r="AH501" i="1"/>
  <c r="O537" i="1"/>
  <c r="T537" i="1"/>
  <c r="Y537" i="1"/>
  <c r="Z583" i="1"/>
  <c r="J537" i="1"/>
  <c r="P583" i="1"/>
  <c r="K583" i="1"/>
  <c r="I358" i="1"/>
  <c r="I359" i="1" s="1"/>
  <c r="G362" i="1"/>
  <c r="M362" i="1" s="1"/>
  <c r="M512" i="1"/>
  <c r="P615" i="1"/>
  <c r="G438" i="1"/>
  <c r="J607" i="1"/>
  <c r="K607" i="1" s="1"/>
  <c r="AM35" i="1"/>
  <c r="AM36" i="1" s="1"/>
  <c r="F501" i="1"/>
  <c r="M385" i="1"/>
  <c r="J402" i="1"/>
  <c r="P402" i="1" s="1"/>
  <c r="AI34" i="1"/>
  <c r="AL210" i="1"/>
  <c r="AL214" i="1"/>
  <c r="AL208" i="1"/>
  <c r="AL209" i="1"/>
  <c r="AL199" i="1"/>
  <c r="AL203" i="1"/>
  <c r="AL191" i="1"/>
  <c r="AL198" i="1"/>
  <c r="AL182" i="1"/>
  <c r="AL190" i="1"/>
  <c r="AL176" i="1"/>
  <c r="AL179" i="1"/>
  <c r="AL173" i="1"/>
  <c r="AL175" i="1"/>
  <c r="AL154" i="1"/>
  <c r="AL169" i="1"/>
  <c r="AL152" i="1"/>
  <c r="AL153" i="1"/>
  <c r="AL146" i="1"/>
  <c r="AL149" i="1"/>
  <c r="AL143" i="1"/>
  <c r="AL144" i="1"/>
  <c r="AL141" i="1"/>
  <c r="AL142" i="1"/>
  <c r="AL137" i="1"/>
  <c r="AL140" i="1"/>
  <c r="AL127" i="1"/>
  <c r="AL133" i="1"/>
  <c r="AL123" i="1"/>
  <c r="AL125" i="1"/>
  <c r="AL121" i="1"/>
  <c r="AL129" i="1"/>
  <c r="AL115" i="1"/>
  <c r="AL118" i="1"/>
  <c r="AL109" i="1"/>
  <c r="AL110" i="1"/>
  <c r="AL104" i="1"/>
  <c r="AL108" i="1"/>
  <c r="AL99" i="1"/>
  <c r="AL100" i="1"/>
  <c r="M402" i="1"/>
  <c r="AL97" i="1"/>
  <c r="AL98" i="1"/>
  <c r="AL90" i="1"/>
  <c r="AL91" i="1"/>
  <c r="AL86" i="1"/>
  <c r="AL87" i="1"/>
  <c r="AL84" i="1"/>
  <c r="AL85" i="1"/>
  <c r="AF76" i="1"/>
  <c r="AD77" i="1"/>
  <c r="Q65" i="1"/>
  <c r="Q76" i="1"/>
  <c r="T479" i="1"/>
  <c r="T438" i="1" s="1"/>
  <c r="T394" i="1" s="1"/>
  <c r="AC501" i="1"/>
  <c r="H438" i="1"/>
  <c r="H394" i="1" s="1"/>
  <c r="M607" i="1"/>
  <c r="AN66" i="1"/>
  <c r="M36" i="1"/>
  <c r="AC537" i="1"/>
  <c r="AI438" i="1"/>
  <c r="L479" i="1"/>
  <c r="L438" i="1" s="1"/>
  <c r="L394" i="1" s="1"/>
  <c r="AH438" i="1"/>
  <c r="AH394" i="1" s="1"/>
  <c r="L583" i="1"/>
  <c r="P544" i="1"/>
  <c r="H358" i="1"/>
  <c r="H359" i="1" s="1"/>
  <c r="G501" i="1"/>
  <c r="F358" i="1"/>
  <c r="F359" i="1" s="1"/>
  <c r="M799" i="1"/>
  <c r="G358" i="1"/>
  <c r="G359" i="1" s="1"/>
  <c r="AN77" i="1"/>
  <c r="AP77" i="1" s="1"/>
  <c r="V77" i="1"/>
  <c r="AD479" i="1"/>
  <c r="I501" i="1"/>
  <c r="AE544" i="1"/>
  <c r="J438" i="1"/>
  <c r="F438" i="1"/>
  <c r="F394" i="1" s="1"/>
  <c r="M318" i="1"/>
  <c r="M317" i="1"/>
  <c r="L319" i="1"/>
  <c r="AI622" i="1"/>
  <c r="Z626" i="1"/>
  <c r="Y622" i="1"/>
  <c r="P626" i="1"/>
  <c r="O622" i="1"/>
  <c r="U626" i="1"/>
  <c r="Z531" i="1"/>
  <c r="U492" i="1"/>
  <c r="AE439" i="1"/>
  <c r="AD438" i="1"/>
  <c r="AF422" i="1"/>
  <c r="AE385" i="1"/>
  <c r="AF385" i="1"/>
  <c r="V317" i="1"/>
  <c r="U317" i="1"/>
  <c r="AE796" i="1"/>
  <c r="AD786" i="1"/>
  <c r="AD673" i="1"/>
  <c r="AD295" i="1"/>
  <c r="AF294" i="1"/>
  <c r="AE294" i="1"/>
  <c r="T295" i="1"/>
  <c r="V294" i="1"/>
  <c r="U294" i="1"/>
  <c r="AN794" i="1"/>
  <c r="AP219" i="1"/>
  <c r="AQ161" i="1"/>
  <c r="AE364" i="1"/>
  <c r="AD362" i="1"/>
  <c r="AN295" i="1"/>
  <c r="AP294" i="1"/>
  <c r="AD794" i="1"/>
  <c r="AE794" i="1" s="1"/>
  <c r="AD317" i="1"/>
  <c r="AG219" i="1" s="1"/>
  <c r="AE219" i="1"/>
  <c r="AG209" i="1"/>
  <c r="AG205" i="1"/>
  <c r="AG203" i="1"/>
  <c r="AG199" i="1"/>
  <c r="AG191" i="1"/>
  <c r="AG187" i="1"/>
  <c r="AG186" i="1"/>
  <c r="AG180" i="1"/>
  <c r="AG175" i="1"/>
  <c r="AG154" i="1"/>
  <c r="AG153" i="1"/>
  <c r="AG148" i="1"/>
  <c r="AG146" i="1"/>
  <c r="AG143" i="1"/>
  <c r="AG139" i="1"/>
  <c r="AG133" i="1"/>
  <c r="AG127" i="1"/>
  <c r="AG121" i="1"/>
  <c r="AG110" i="1"/>
  <c r="AG108" i="1"/>
  <c r="AG104" i="1"/>
  <c r="AG103" i="1"/>
  <c r="AG100" i="1"/>
  <c r="AG87" i="1"/>
  <c r="AG86" i="1"/>
  <c r="AF219" i="1"/>
  <c r="AG217" i="1"/>
  <c r="AG210" i="1"/>
  <c r="AG198" i="1"/>
  <c r="AG190" i="1"/>
  <c r="AG176" i="1"/>
  <c r="AG173" i="1"/>
  <c r="AG171" i="1"/>
  <c r="AG169" i="1"/>
  <c r="AG167" i="1"/>
  <c r="AG162" i="1"/>
  <c r="AG161" i="1"/>
  <c r="AG152" i="1"/>
  <c r="AG149" i="1"/>
  <c r="AG147" i="1"/>
  <c r="AG142" i="1"/>
  <c r="AG138" i="1"/>
  <c r="AG137" i="1"/>
  <c r="AG134" i="1"/>
  <c r="AG129" i="1"/>
  <c r="AG128" i="1"/>
  <c r="AG125" i="1"/>
  <c r="AG123" i="1"/>
  <c r="AG122" i="1"/>
  <c r="AG118" i="1"/>
  <c r="AG115" i="1"/>
  <c r="AG109" i="1"/>
  <c r="AG97" i="1"/>
  <c r="AG95" i="1"/>
  <c r="AG91" i="1"/>
  <c r="AG84" i="1"/>
  <c r="U799" i="1"/>
  <c r="AF77" i="1"/>
  <c r="O358" i="1"/>
  <c r="AD66" i="1"/>
  <c r="AF66" i="1" s="1"/>
  <c r="O66" i="1"/>
  <c r="Q66" i="1" s="1"/>
  <c r="AA36" i="1"/>
  <c r="Z36" i="1"/>
  <c r="Q36" i="1"/>
  <c r="P36" i="1"/>
  <c r="T319" i="1"/>
  <c r="T358" i="1"/>
  <c r="AH317" i="1"/>
  <c r="AA77" i="1"/>
  <c r="AA65" i="1"/>
  <c r="AK76" i="1"/>
  <c r="AA76" i="1"/>
  <c r="V76" i="1"/>
  <c r="AE531" i="1"/>
  <c r="P531" i="1"/>
  <c r="U531" i="1"/>
  <c r="L501" i="1"/>
  <c r="M502" i="1"/>
  <c r="U502" i="1"/>
  <c r="T501" i="1"/>
  <c r="Y479" i="1"/>
  <c r="Y438" i="1" s="1"/>
  <c r="AA317" i="1"/>
  <c r="Z317" i="1"/>
  <c r="Q317" i="1"/>
  <c r="P318" i="1"/>
  <c r="P317" i="1"/>
  <c r="O796" i="1"/>
  <c r="Q310" i="1"/>
  <c r="P311" i="1"/>
  <c r="P310" i="1"/>
  <c r="AA294" i="1"/>
  <c r="Y295" i="1"/>
  <c r="Z294" i="1"/>
  <c r="Q294" i="1"/>
  <c r="P295" i="1"/>
  <c r="P294" i="1"/>
  <c r="E610" i="1"/>
  <c r="Z607" i="1"/>
  <c r="E607" i="1"/>
  <c r="P607" i="1"/>
  <c r="AD761" i="1"/>
  <c r="AD496" i="1"/>
  <c r="AD495" i="1" s="1"/>
  <c r="AE495" i="1" s="1"/>
  <c r="AI794" i="1"/>
  <c r="AK219" i="1"/>
  <c r="AL161" i="1"/>
  <c r="AI317" i="1"/>
  <c r="K799" i="1"/>
  <c r="M800" i="1" s="1"/>
  <c r="AD501" i="1"/>
  <c r="AE502" i="1"/>
  <c r="AI502" i="1"/>
  <c r="Y501" i="1"/>
  <c r="Z502" i="1"/>
  <c r="P502" i="1"/>
  <c r="O501" i="1"/>
  <c r="K502" i="1"/>
  <c r="J501" i="1"/>
  <c r="K501" i="1" s="1"/>
  <c r="AE489" i="1"/>
  <c r="O479" i="1"/>
  <c r="U402" i="1"/>
  <c r="AI295" i="1"/>
  <c r="AK294" i="1"/>
  <c r="M295" i="1"/>
  <c r="M294" i="1"/>
  <c r="AE607" i="1"/>
  <c r="U607" i="1"/>
  <c r="Y402" i="1"/>
  <c r="Z799" i="1"/>
  <c r="I799" i="1"/>
  <c r="K800" i="1" s="1"/>
  <c r="Y358" i="1"/>
  <c r="J358" i="1"/>
  <c r="AP66" i="1"/>
  <c r="AF45" i="1"/>
  <c r="AE45" i="1"/>
  <c r="V36" i="1"/>
  <c r="U36" i="1"/>
  <c r="AD358" i="1"/>
  <c r="L358" i="1"/>
  <c r="P362" i="1"/>
  <c r="AK77" i="1"/>
  <c r="O77" i="1"/>
  <c r="Q77" i="1" s="1"/>
  <c r="V65" i="1"/>
  <c r="AK66" i="1"/>
  <c r="AA66" i="1"/>
  <c r="T66" i="1"/>
  <c r="V66" i="1" s="1"/>
  <c r="Z47" i="1"/>
  <c r="AA47" i="1"/>
  <c r="AD46" i="1"/>
  <c r="AD47" i="1" s="1"/>
  <c r="AD35" i="1"/>
  <c r="AD36" i="1" s="1"/>
  <c r="O47" i="1"/>
  <c r="G394" i="1" l="1"/>
  <c r="G640" i="1" s="1"/>
  <c r="G641" i="1" s="1"/>
  <c r="AQ15" i="1"/>
  <c r="AO358" i="1"/>
  <c r="AN319" i="1"/>
  <c r="U362" i="1"/>
  <c r="AQ17" i="1"/>
  <c r="AQ29" i="1"/>
  <c r="AQ28" i="1"/>
  <c r="AQ6" i="1"/>
  <c r="AQ8" i="1"/>
  <c r="AQ20" i="1"/>
  <c r="AQ27" i="1"/>
  <c r="AQ33" i="1"/>
  <c r="AQ24" i="1"/>
  <c r="AQ12" i="1"/>
  <c r="AQ19" i="1"/>
  <c r="AQ21" i="1"/>
  <c r="AQ18" i="1"/>
  <c r="AT34" i="1"/>
  <c r="AP34" i="1"/>
  <c r="AQ30" i="1"/>
  <c r="AQ26" i="1"/>
  <c r="AQ22" i="1"/>
  <c r="AQ14" i="1"/>
  <c r="AQ9" i="1"/>
  <c r="AN46" i="1"/>
  <c r="AN47" i="1" s="1"/>
  <c r="AP47" i="1" s="1"/>
  <c r="AN35" i="1"/>
  <c r="AN36" i="1" s="1"/>
  <c r="AT36" i="1" s="1"/>
  <c r="AQ25" i="1"/>
  <c r="AQ13" i="1"/>
  <c r="AQ4" i="1"/>
  <c r="AQ31" i="1"/>
  <c r="AQ11" i="1"/>
  <c r="AQ5" i="1"/>
  <c r="AJ583" i="1"/>
  <c r="AD537" i="1"/>
  <c r="AE583" i="1"/>
  <c r="AN640" i="1"/>
  <c r="AE800" i="1"/>
  <c r="AE799" i="1"/>
  <c r="AT362" i="1"/>
  <c r="AT317" i="1"/>
  <c r="AD402" i="1"/>
  <c r="AJ402" i="1" s="1"/>
  <c r="F640" i="1"/>
  <c r="F641" i="1" s="1"/>
  <c r="Z537" i="1"/>
  <c r="AJ495" i="1"/>
  <c r="H640" i="1"/>
  <c r="H641" i="1" s="1"/>
  <c r="AO502" i="1"/>
  <c r="AJ502" i="1"/>
  <c r="AJ537" i="1"/>
  <c r="AO317" i="1"/>
  <c r="AJ317" i="1"/>
  <c r="AO438" i="1"/>
  <c r="AJ438" i="1"/>
  <c r="AO34" i="1"/>
  <c r="AJ34" i="1"/>
  <c r="AO362" i="1"/>
  <c r="AJ362" i="1"/>
  <c r="U537" i="1"/>
  <c r="AO607" i="1"/>
  <c r="AJ607" i="1"/>
  <c r="AO622" i="1"/>
  <c r="AJ622" i="1"/>
  <c r="AH640" i="1"/>
  <c r="AH641" i="1" s="1"/>
  <c r="I640" i="1"/>
  <c r="I641" i="1" s="1"/>
  <c r="AC640" i="1"/>
  <c r="AC641" i="1" s="1"/>
  <c r="K402" i="1"/>
  <c r="M438" i="1"/>
  <c r="AI394" i="1"/>
  <c r="T640" i="1"/>
  <c r="W531" i="1" s="1"/>
  <c r="AI35" i="1"/>
  <c r="AI36" i="1" s="1"/>
  <c r="AJ358" i="1"/>
  <c r="AK34" i="1"/>
  <c r="AI46" i="1"/>
  <c r="AI47" i="1" s="1"/>
  <c r="K537" i="1"/>
  <c r="P537" i="1"/>
  <c r="M501" i="1"/>
  <c r="M583" i="1"/>
  <c r="L537" i="1"/>
  <c r="M537" i="1" s="1"/>
  <c r="AE47" i="1"/>
  <c r="AF47" i="1"/>
  <c r="Z438" i="1"/>
  <c r="AD359" i="1"/>
  <c r="AE358" i="1"/>
  <c r="L359" i="1"/>
  <c r="M358" i="1"/>
  <c r="K358" i="1"/>
  <c r="J359" i="1"/>
  <c r="Y394" i="1"/>
  <c r="Z402" i="1"/>
  <c r="P501" i="1"/>
  <c r="Z501" i="1"/>
  <c r="E501" i="1"/>
  <c r="AI501" i="1"/>
  <c r="AI799" i="1"/>
  <c r="AJ794" i="1"/>
  <c r="AJ799" i="1" s="1"/>
  <c r="AI784" i="1"/>
  <c r="U501" i="1"/>
  <c r="L640" i="1"/>
  <c r="AF317" i="1"/>
  <c r="AG317" i="1"/>
  <c r="AE317" i="1"/>
  <c r="AD319" i="1"/>
  <c r="AG310" i="1"/>
  <c r="AE362" i="1"/>
  <c r="AG294" i="1"/>
  <c r="AE622" i="1"/>
  <c r="Z622" i="1"/>
  <c r="E622" i="1"/>
  <c r="K438" i="1"/>
  <c r="J394" i="1"/>
  <c r="AE537" i="1"/>
  <c r="Q47" i="1"/>
  <c r="P47" i="1"/>
  <c r="AF36" i="1"/>
  <c r="AE36" i="1"/>
  <c r="Z358" i="1"/>
  <c r="Y359" i="1"/>
  <c r="AE501" i="1"/>
  <c r="AK317" i="1"/>
  <c r="AI319" i="1"/>
  <c r="AF402" i="1"/>
  <c r="AE402" i="1"/>
  <c r="O786" i="1"/>
  <c r="P796" i="1"/>
  <c r="P799" i="1" s="1"/>
  <c r="P800" i="1" s="1"/>
  <c r="O799" i="1"/>
  <c r="AE479" i="1"/>
  <c r="T359" i="1"/>
  <c r="U358" i="1"/>
  <c r="P358" i="1"/>
  <c r="O359" i="1"/>
  <c r="U800" i="1"/>
  <c r="AD784" i="1"/>
  <c r="AD799" i="1"/>
  <c r="AP317" i="1"/>
  <c r="AN784" i="1"/>
  <c r="AN799" i="1"/>
  <c r="AO794" i="1"/>
  <c r="AO799" i="1" s="1"/>
  <c r="AE438" i="1"/>
  <c r="P622" i="1"/>
  <c r="U622" i="1"/>
  <c r="O438" i="1"/>
  <c r="M394" i="1" l="1"/>
  <c r="AQ394" i="1"/>
  <c r="AN641" i="1"/>
  <c r="AT47" i="1"/>
  <c r="AQ409" i="1"/>
  <c r="AQ368" i="1"/>
  <c r="AP36" i="1"/>
  <c r="AQ509" i="1"/>
  <c r="AQ436" i="1"/>
  <c r="AQ362" i="1"/>
  <c r="AQ364" i="1"/>
  <c r="AQ427" i="1"/>
  <c r="AQ583" i="1"/>
  <c r="AQ417" i="1"/>
  <c r="AQ520" i="1"/>
  <c r="AQ385" i="1"/>
  <c r="AQ416" i="1"/>
  <c r="AQ440" i="1"/>
  <c r="AQ531" i="1"/>
  <c r="AQ626" i="1"/>
  <c r="AQ398" i="1"/>
  <c r="AQ426" i="1"/>
  <c r="AQ493" i="1"/>
  <c r="AQ599" i="1"/>
  <c r="AQ410" i="1"/>
  <c r="AQ400" i="1"/>
  <c r="AQ413" i="1"/>
  <c r="AQ420" i="1"/>
  <c r="AQ431" i="1"/>
  <c r="AQ501" i="1"/>
  <c r="AQ519" i="1"/>
  <c r="AQ538" i="1"/>
  <c r="AQ615" i="1"/>
  <c r="AQ640" i="1"/>
  <c r="AQ389" i="1"/>
  <c r="AQ412" i="1"/>
  <c r="AQ421" i="1"/>
  <c r="AQ430" i="1"/>
  <c r="AQ479" i="1"/>
  <c r="AQ504" i="1"/>
  <c r="AQ543" i="1"/>
  <c r="AQ602" i="1"/>
  <c r="AQ402" i="1"/>
  <c r="AQ377" i="1"/>
  <c r="AQ393" i="1"/>
  <c r="AQ408" i="1"/>
  <c r="AQ411" i="1"/>
  <c r="AQ415" i="1"/>
  <c r="AQ418" i="1"/>
  <c r="AQ425" i="1"/>
  <c r="AQ429" i="1"/>
  <c r="AQ438" i="1"/>
  <c r="AQ492" i="1"/>
  <c r="AQ503" i="1"/>
  <c r="AQ512" i="1"/>
  <c r="AQ530" i="1"/>
  <c r="AQ537" i="1"/>
  <c r="AQ544" i="1"/>
  <c r="AQ600" i="1"/>
  <c r="AQ622" i="1"/>
  <c r="AQ629" i="1"/>
  <c r="AQ363" i="1"/>
  <c r="AQ371" i="1"/>
  <c r="AQ395" i="1"/>
  <c r="AQ407" i="1"/>
  <c r="AQ414" i="1"/>
  <c r="AQ419" i="1"/>
  <c r="AQ424" i="1"/>
  <c r="AQ428" i="1"/>
  <c r="AQ432" i="1"/>
  <c r="AQ439" i="1"/>
  <c r="AQ489" i="1"/>
  <c r="AQ502" i="1"/>
  <c r="AQ518" i="1"/>
  <c r="AQ540" i="1"/>
  <c r="AQ577" i="1"/>
  <c r="AQ601" i="1"/>
  <c r="AQ623" i="1"/>
  <c r="AQ607" i="1"/>
  <c r="AT640" i="1"/>
  <c r="W537" i="1"/>
  <c r="AD394" i="1"/>
  <c r="AF394" i="1" s="1"/>
  <c r="AK36" i="1"/>
  <c r="AO36" i="1"/>
  <c r="AJ36" i="1"/>
  <c r="AK47" i="1"/>
  <c r="AO47" i="1"/>
  <c r="AJ47" i="1"/>
  <c r="AO394" i="1"/>
  <c r="AO501" i="1"/>
  <c r="AJ501" i="1"/>
  <c r="W394" i="1"/>
  <c r="W622" i="1"/>
  <c r="W623" i="1"/>
  <c r="W615" i="1"/>
  <c r="W371" i="1"/>
  <c r="W489" i="1"/>
  <c r="W544" i="1"/>
  <c r="W363" i="1"/>
  <c r="W438" i="1"/>
  <c r="W600" i="1"/>
  <c r="W602" i="1"/>
  <c r="W400" i="1"/>
  <c r="W385" i="1"/>
  <c r="W577" i="1"/>
  <c r="W493" i="1"/>
  <c r="W439" i="1"/>
  <c r="W543" i="1"/>
  <c r="T641" i="1"/>
  <c r="W626" i="1"/>
  <c r="W583" i="1"/>
  <c r="W601" i="1"/>
  <c r="W395" i="1"/>
  <c r="W503" i="1"/>
  <c r="W377" i="1"/>
  <c r="W364" i="1"/>
  <c r="W538" i="1"/>
  <c r="W540" i="1"/>
  <c r="W398" i="1"/>
  <c r="W479" i="1"/>
  <c r="W368" i="1"/>
  <c r="W440" i="1"/>
  <c r="W599" i="1"/>
  <c r="W629" i="1"/>
  <c r="W640" i="1"/>
  <c r="AI640" i="1"/>
  <c r="W402" i="1"/>
  <c r="W502" i="1"/>
  <c r="W492" i="1"/>
  <c r="W362" i="1"/>
  <c r="W501" i="1"/>
  <c r="W607" i="1"/>
  <c r="P438" i="1"/>
  <c r="U438" i="1"/>
  <c r="O394" i="1"/>
  <c r="Z394" i="1"/>
  <c r="Y640" i="1"/>
  <c r="K394" i="1"/>
  <c r="J640" i="1"/>
  <c r="M640" i="1"/>
  <c r="L641" i="1"/>
  <c r="AJ394" i="1" l="1"/>
  <c r="AE394" i="1"/>
  <c r="AD640" i="1"/>
  <c r="AD641" i="1" s="1"/>
  <c r="AI641" i="1"/>
  <c r="AJ640" i="1"/>
  <c r="AO640" i="1"/>
  <c r="J641" i="1"/>
  <c r="K640" i="1"/>
  <c r="AL640" i="1"/>
  <c r="AL623" i="1"/>
  <c r="AL577" i="1"/>
  <c r="AL538" i="1"/>
  <c r="AL602" i="1"/>
  <c r="AL601" i="1"/>
  <c r="AL600" i="1"/>
  <c r="AL599" i="1"/>
  <c r="AL543" i="1"/>
  <c r="AL509" i="1"/>
  <c r="AL440" i="1"/>
  <c r="AL439" i="1"/>
  <c r="AL431" i="1"/>
  <c r="AL430" i="1"/>
  <c r="AL429" i="1"/>
  <c r="AL428" i="1"/>
  <c r="AL427" i="1"/>
  <c r="AL426" i="1"/>
  <c r="AL425" i="1"/>
  <c r="AL424" i="1"/>
  <c r="AL409" i="1"/>
  <c r="AL408" i="1"/>
  <c r="AL407" i="1"/>
  <c r="AL400" i="1"/>
  <c r="AL395" i="1"/>
  <c r="AL393" i="1"/>
  <c r="AL389" i="1"/>
  <c r="AL371" i="1"/>
  <c r="AL503" i="1"/>
  <c r="AL419" i="1"/>
  <c r="AL363" i="1"/>
  <c r="AL398" i="1"/>
  <c r="AL412" i="1"/>
  <c r="AL414" i="1"/>
  <c r="AL368" i="1"/>
  <c r="AL385" i="1"/>
  <c r="AL432" i="1"/>
  <c r="AL436" i="1"/>
  <c r="AL493" i="1"/>
  <c r="AL489" i="1"/>
  <c r="AL519" i="1"/>
  <c r="AL531" i="1"/>
  <c r="AL537" i="1"/>
  <c r="AL583" i="1"/>
  <c r="AL530" i="1"/>
  <c r="AL544" i="1"/>
  <c r="AL629" i="1"/>
  <c r="AL362" i="1"/>
  <c r="AL377" i="1"/>
  <c r="AL417" i="1"/>
  <c r="AL421" i="1"/>
  <c r="AL479" i="1"/>
  <c r="AL364" i="1"/>
  <c r="AL410" i="1"/>
  <c r="AL607" i="1"/>
  <c r="AL411" i="1"/>
  <c r="AL413" i="1"/>
  <c r="AL415" i="1"/>
  <c r="AL416" i="1"/>
  <c r="AL418" i="1"/>
  <c r="AL420" i="1"/>
  <c r="AL492" i="1"/>
  <c r="AL512" i="1"/>
  <c r="AL520" i="1"/>
  <c r="AL518" i="1"/>
  <c r="AL540" i="1"/>
  <c r="AL615" i="1"/>
  <c r="AL626" i="1"/>
  <c r="AL394" i="1"/>
  <c r="AL504" i="1"/>
  <c r="AL402" i="1"/>
  <c r="AL438" i="1"/>
  <c r="AL502" i="1"/>
  <c r="AL622" i="1"/>
  <c r="P394" i="1"/>
  <c r="O640" i="1"/>
  <c r="U394" i="1"/>
  <c r="AG419" i="1"/>
  <c r="AG429" i="1"/>
  <c r="AG417" i="1"/>
  <c r="AG492" i="1"/>
  <c r="AG479" i="1"/>
  <c r="AG512" i="1"/>
  <c r="AG600" i="1"/>
  <c r="AG544" i="1"/>
  <c r="AG362" i="1"/>
  <c r="Y641" i="1"/>
  <c r="Z640" i="1"/>
  <c r="AB640" i="1"/>
  <c r="AB600" i="1"/>
  <c r="AB599" i="1"/>
  <c r="AB543" i="1"/>
  <c r="AB440" i="1"/>
  <c r="AB430" i="1"/>
  <c r="AB429" i="1"/>
  <c r="AB428" i="1"/>
  <c r="AB427" i="1"/>
  <c r="AB425" i="1"/>
  <c r="AB424" i="1"/>
  <c r="AB409" i="1"/>
  <c r="AB408" i="1"/>
  <c r="AB407" i="1"/>
  <c r="AB393" i="1"/>
  <c r="AB419" i="1"/>
  <c r="AB364" i="1"/>
  <c r="AB398" i="1"/>
  <c r="AB421" i="1"/>
  <c r="AB492" i="1"/>
  <c r="AB368" i="1"/>
  <c r="AB413" i="1"/>
  <c r="AB415" i="1"/>
  <c r="AB418" i="1"/>
  <c r="AB420" i="1"/>
  <c r="AB426" i="1"/>
  <c r="AB503" i="1"/>
  <c r="AB509" i="1"/>
  <c r="AB512" i="1"/>
  <c r="AB519" i="1"/>
  <c r="AB577" i="1"/>
  <c r="AB601" i="1"/>
  <c r="AB530" i="1"/>
  <c r="AB540" i="1"/>
  <c r="AB583" i="1"/>
  <c r="AB602" i="1"/>
  <c r="AB538" i="1"/>
  <c r="AB623" i="1"/>
  <c r="AB629" i="1"/>
  <c r="AB363" i="1"/>
  <c r="AB410" i="1"/>
  <c r="AB371" i="1"/>
  <c r="AB385" i="1"/>
  <c r="AB400" i="1"/>
  <c r="AB412" i="1"/>
  <c r="AB414" i="1"/>
  <c r="AB417" i="1"/>
  <c r="AB504" i="1"/>
  <c r="AB377" i="1"/>
  <c r="AB395" i="1"/>
  <c r="AB431" i="1"/>
  <c r="AB432" i="1"/>
  <c r="AB436" i="1"/>
  <c r="AB439" i="1"/>
  <c r="AB389" i="1"/>
  <c r="AB493" i="1"/>
  <c r="AB537" i="1"/>
  <c r="AB518" i="1"/>
  <c r="AB520" i="1"/>
  <c r="AB544" i="1"/>
  <c r="AB615" i="1"/>
  <c r="AB626" i="1"/>
  <c r="AB531" i="1"/>
  <c r="AB411" i="1"/>
  <c r="AB502" i="1"/>
  <c r="AB416" i="1"/>
  <c r="AB362" i="1"/>
  <c r="AB489" i="1"/>
  <c r="AB607" i="1"/>
  <c r="AB402" i="1"/>
  <c r="AB501" i="1"/>
  <c r="AB622" i="1"/>
  <c r="AB479" i="1"/>
  <c r="AB438" i="1"/>
  <c r="AB394" i="1"/>
  <c r="AL501" i="1"/>
  <c r="AG402" i="1" l="1"/>
  <c r="AG364" i="1"/>
  <c r="AG543" i="1"/>
  <c r="AG577" i="1"/>
  <c r="AG368" i="1"/>
  <c r="AG503" i="1"/>
  <c r="AG416" i="1"/>
  <c r="AG371" i="1"/>
  <c r="AG413" i="1"/>
  <c r="AG540" i="1"/>
  <c r="AG438" i="1"/>
  <c r="AG502" i="1"/>
  <c r="AG385" i="1"/>
  <c r="AG626" i="1"/>
  <c r="AG622" i="1"/>
  <c r="AG601" i="1"/>
  <c r="AG520" i="1"/>
  <c r="AG432" i="1"/>
  <c r="AG504" i="1"/>
  <c r="AG398" i="1"/>
  <c r="AG395" i="1"/>
  <c r="AG431" i="1"/>
  <c r="AG408" i="1"/>
  <c r="AG393" i="1"/>
  <c r="AG427" i="1"/>
  <c r="AG493" i="1"/>
  <c r="AG415" i="1"/>
  <c r="AG421" i="1"/>
  <c r="AE640" i="1"/>
  <c r="AG394" i="1"/>
  <c r="AG537" i="1"/>
  <c r="AG501" i="1"/>
  <c r="AG607" i="1"/>
  <c r="AG531" i="1"/>
  <c r="AG439" i="1"/>
  <c r="AG583" i="1"/>
  <c r="AG615" i="1"/>
  <c r="AG629" i="1"/>
  <c r="AG623" i="1"/>
  <c r="AG602" i="1"/>
  <c r="AG530" i="1"/>
  <c r="AG599" i="1"/>
  <c r="AG538" i="1"/>
  <c r="AG519" i="1"/>
  <c r="AG509" i="1"/>
  <c r="AG409" i="1"/>
  <c r="AG410" i="1"/>
  <c r="AG489" i="1"/>
  <c r="AG426" i="1"/>
  <c r="AG518" i="1"/>
  <c r="AG407" i="1"/>
  <c r="AG389" i="1"/>
  <c r="AG440" i="1"/>
  <c r="AG424" i="1"/>
  <c r="AG411" i="1"/>
  <c r="AG425" i="1"/>
  <c r="AG400" i="1"/>
  <c r="AG377" i="1"/>
  <c r="AG363" i="1"/>
  <c r="AG428" i="1"/>
  <c r="AG430" i="1"/>
  <c r="AG412" i="1"/>
  <c r="AG414" i="1"/>
  <c r="AG418" i="1"/>
  <c r="AG420" i="1"/>
  <c r="AG436" i="1"/>
  <c r="AG640" i="1"/>
  <c r="O641" i="1"/>
  <c r="P640" i="1"/>
  <c r="R640" i="1"/>
  <c r="R540" i="1"/>
  <c r="R600" i="1"/>
  <c r="R599" i="1"/>
  <c r="R543" i="1"/>
  <c r="R440" i="1"/>
  <c r="R395" i="1"/>
  <c r="R492" i="1"/>
  <c r="R439" i="1"/>
  <c r="R368" i="1"/>
  <c r="R398" i="1"/>
  <c r="R493" i="1"/>
  <c r="R503" i="1"/>
  <c r="R601" i="1"/>
  <c r="R602" i="1"/>
  <c r="R577" i="1"/>
  <c r="R538" i="1"/>
  <c r="R544" i="1"/>
  <c r="R623" i="1"/>
  <c r="R629" i="1"/>
  <c r="R364" i="1"/>
  <c r="R363" i="1"/>
  <c r="R371" i="1"/>
  <c r="R377" i="1"/>
  <c r="R385" i="1"/>
  <c r="R400" i="1"/>
  <c r="R537" i="1"/>
  <c r="R583" i="1"/>
  <c r="R615" i="1"/>
  <c r="R626" i="1"/>
  <c r="R607" i="1"/>
  <c r="R489" i="1"/>
  <c r="R402" i="1"/>
  <c r="R531" i="1"/>
  <c r="R502" i="1"/>
  <c r="R362" i="1"/>
  <c r="U640" i="1"/>
  <c r="R622" i="1"/>
  <c r="R479" i="1"/>
  <c r="R501" i="1"/>
  <c r="R438" i="1"/>
  <c r="R394" i="1"/>
  <c r="H319" i="1" l="1"/>
  <c r="H35" i="1"/>
  <c r="H36" i="1" s="1"/>
  <c r="H46" i="1"/>
  <c r="H47" i="1" s="1"/>
</calcChain>
</file>

<file path=xl/sharedStrings.xml><?xml version="1.0" encoding="utf-8"?>
<sst xmlns="http://schemas.openxmlformats.org/spreadsheetml/2006/main" count="770" uniqueCount="644">
  <si>
    <t>2010</t>
  </si>
  <si>
    <t>2011</t>
  </si>
  <si>
    <t>2012</t>
  </si>
  <si>
    <t>2013</t>
  </si>
  <si>
    <t>2015</t>
  </si>
  <si>
    <t>2016</t>
  </si>
  <si>
    <t>2017</t>
  </si>
  <si>
    <t>2018</t>
  </si>
  <si>
    <t>2019</t>
  </si>
  <si>
    <t>2020</t>
  </si>
  <si>
    <t>2021</t>
  </si>
  <si>
    <t>Cptes</t>
  </si>
  <si>
    <t>Libellés</t>
  </si>
  <si>
    <t>Ordre</t>
  </si>
  <si>
    <t>Affect.</t>
  </si>
  <si>
    <t>Réalisé</t>
  </si>
  <si>
    <t>Prevision</t>
  </si>
  <si>
    <t>Var 14/15</t>
  </si>
  <si>
    <t>Var 15/16</t>
  </si>
  <si>
    <t>Ecart Prév-Réa 17</t>
  </si>
  <si>
    <t>Part / T</t>
  </si>
  <si>
    <t>Var 16/17</t>
  </si>
  <si>
    <t>Var 17/18</t>
  </si>
  <si>
    <t>Ecart Réa-Prév 18</t>
  </si>
  <si>
    <t>Var18 /19</t>
  </si>
  <si>
    <t>Ecart Réa-Prév 19</t>
  </si>
  <si>
    <t>Var 19/20</t>
  </si>
  <si>
    <t>Var 20/21</t>
  </si>
  <si>
    <r>
      <rPr>
        <b/>
        <sz val="10"/>
        <color rgb="FF000000"/>
        <rFont val="Perpetua"/>
        <family val="1"/>
      </rPr>
      <t>601</t>
    </r>
    <r>
      <rPr>
        <sz val="10"/>
        <color rgb="FF000000"/>
        <rFont val="Perpetua"/>
        <family val="1"/>
      </rPr>
      <t xml:space="preserve">   Eau</t>
    </r>
  </si>
  <si>
    <r>
      <rPr>
        <b/>
        <sz val="10"/>
        <color rgb="FF000000"/>
        <rFont val="Perpetua"/>
        <family val="1"/>
      </rPr>
      <t>602</t>
    </r>
    <r>
      <rPr>
        <sz val="10"/>
        <color rgb="FF000000"/>
        <rFont val="Perpetua"/>
        <family val="1"/>
      </rPr>
      <t xml:space="preserve">   Electricité</t>
    </r>
  </si>
  <si>
    <t>603   Energie Chauff.</t>
  </si>
  <si>
    <t>604   Produits Entretien</t>
  </si>
  <si>
    <t>605   Matériels</t>
  </si>
  <si>
    <t>606  Fournitures</t>
  </si>
  <si>
    <t>611   Nettoyages Locaux</t>
  </si>
  <si>
    <t>612   Loc.Immobilières</t>
  </si>
  <si>
    <t>613  Loc.Mobilières</t>
  </si>
  <si>
    <t>614   Maintenances</t>
  </si>
  <si>
    <t>615   Entretiens PtesRépar.</t>
  </si>
  <si>
    <t>616   Assurances</t>
  </si>
  <si>
    <t>6210   Salaires Gardiens</t>
  </si>
  <si>
    <t>6211   Rémun.Syndic</t>
  </si>
  <si>
    <t>6212   Débours</t>
  </si>
  <si>
    <t>6213   FraisPostaux</t>
  </si>
  <si>
    <t>6222  PrestationsParticulières</t>
  </si>
  <si>
    <t>6223   AutresHonorairesSyndic</t>
  </si>
  <si>
    <t>623    Rémunérations Tiers</t>
  </si>
  <si>
    <t>624  Frais ConseilSyndic</t>
  </si>
  <si>
    <t>632   Taxe Balayage</t>
  </si>
  <si>
    <t>633   TaxeFoncère</t>
  </si>
  <si>
    <t>634   AutresImpôts&amp;Taxes</t>
  </si>
  <si>
    <t>641   Salaires</t>
  </si>
  <si>
    <t>642   ChargeSoc.</t>
  </si>
  <si>
    <t>643   Taxes s/ Salaires</t>
  </si>
  <si>
    <t>644   Méd.Travail</t>
  </si>
  <si>
    <t>662   Aut. Charg.Fin.</t>
  </si>
  <si>
    <t>673  EtudesTechniques</t>
  </si>
  <si>
    <t>678  ChargesException.</t>
  </si>
  <si>
    <t>S/s Total 1 OpCour.</t>
  </si>
  <si>
    <t>Excdt S/ OpCour.</t>
  </si>
  <si>
    <t>Total 1 D</t>
  </si>
  <si>
    <t>701   Provisions</t>
  </si>
  <si>
    <t>7130   Indemnités Assurances</t>
  </si>
  <si>
    <t>7140   ProduitsDivers</t>
  </si>
  <si>
    <t xml:space="preserve">7141 Indemnités Art.700 </t>
  </si>
  <si>
    <t>7160 .</t>
  </si>
  <si>
    <t>7180   ProduitsExcept.</t>
  </si>
  <si>
    <t>Déficit S/ OpCour.</t>
  </si>
  <si>
    <t>Total 1 R</t>
  </si>
  <si>
    <t>671  Trvx</t>
  </si>
  <si>
    <t>S/s Total 1 Trvx</t>
  </si>
  <si>
    <t>Excdt S/ Trvx.</t>
  </si>
  <si>
    <t>Total 2 D</t>
  </si>
  <si>
    <t>700  Trvx.</t>
  </si>
  <si>
    <t>701  Trvx.</t>
  </si>
  <si>
    <t>S/s Total 1 Trvx.</t>
  </si>
  <si>
    <t>Déficit S/ Trvx.</t>
  </si>
  <si>
    <t>Total 2 R</t>
  </si>
  <si>
    <t>050 ChargesGénérales</t>
  </si>
  <si>
    <t>6780/0009  Régularisation Comptable  (0005)</t>
  </si>
  <si>
    <t>6150/01105  Pt Entr.Plomberie         (0010)</t>
  </si>
  <si>
    <t>6150/01106  TravxPlomberie          (0020)</t>
  </si>
  <si>
    <t>6150/01115  Pt Entr.Electricité      (0030)</t>
  </si>
  <si>
    <t>6150/01116  Travx.Electricité           (0040)</t>
  </si>
  <si>
    <t>6060/01117  Fournitures.Electricité        (0060)</t>
  </si>
  <si>
    <t xml:space="preserve"> </t>
  </si>
  <si>
    <t>6150/01126  Travx.Maçonnerie           (0070)</t>
  </si>
  <si>
    <t>6150/01136  Travx.Menuiserie           (0080)</t>
  </si>
  <si>
    <t>6150/01146  TravxPeintureRevêtt    (0090)</t>
  </si>
  <si>
    <t>6050/01158  Achat Mat.Hygiène     (0100)</t>
  </si>
  <si>
    <t>6140/00161  Ctrat Dératisation           (0110)</t>
  </si>
  <si>
    <t>6140/00162  Ctrat Désinsect.           (0120)</t>
  </si>
  <si>
    <t>6140/01165  Interv.Dératisation           (0130)</t>
  </si>
  <si>
    <t>6140/01163  Travx.Désinsect.               (0140)</t>
  </si>
  <si>
    <t>6150/01166  Interv.Désinsect.           (0150)</t>
  </si>
  <si>
    <t>6150/01175   EntretienNettoyage    (0160)</t>
  </si>
  <si>
    <t>6060/0177  Fourn.ProdEntretien   (0170)</t>
  </si>
  <si>
    <t>6060/00187  Remplt. Glaces           (0180)</t>
  </si>
  <si>
    <t>6150/01186  TravxVitrerrie           (0190)</t>
  </si>
  <si>
    <t>6150/01195  Ent. Serrurerie           (0200)</t>
  </si>
  <si>
    <t>6150/01196  Trav.Serrurerie           (0210)</t>
  </si>
  <si>
    <t>6150/01206  Entretien Curage           (0220)</t>
  </si>
  <si>
    <t>6150/01206  Trav.Curage           (0230)</t>
  </si>
  <si>
    <t>6150/01226  Travx Signalétique           (0240)</t>
  </si>
  <si>
    <t>6120/00241  Locations Salle           (0250)</t>
  </si>
  <si>
    <t>6020/00264 Consom.EDF           (0260)</t>
  </si>
  <si>
    <t>6010/00281 Consom.Eau           (0270)</t>
  </si>
  <si>
    <t>6410/00301  Salaires Concierges     (0280)</t>
  </si>
  <si>
    <t>6420/00302 Cotis.Urssaf Concierges (0290)</t>
  </si>
  <si>
    <t>6420/00303 Cotis.Retraite Concierges (0300)</t>
  </si>
  <si>
    <t>6420  Cotis. Chômage Concierges           (0310)</t>
  </si>
  <si>
    <t>6440/01305 Visite Med. Concierges   (0320)</t>
  </si>
  <si>
    <t>-68  (-26,2%)</t>
  </si>
  <si>
    <t>6410/01307 Indemn.SecSoc.           (0330)</t>
  </si>
  <si>
    <t>6420/00309 Salaires+Ch.Soc           (0340)</t>
  </si>
  <si>
    <t>6420/01312  Formation Prof.C       (0350)</t>
  </si>
  <si>
    <t>6430/01314  Taxes salaires C         (0360)</t>
  </si>
  <si>
    <t>6410/01315  CRI Prévoyance   C      (0370)</t>
  </si>
  <si>
    <t>6410/00321 Salaires Pers.Entretien    (0380)</t>
  </si>
  <si>
    <t>6420/00322 Urssaf Pers.Entretien      (0390)</t>
  </si>
  <si>
    <t>6420/00323 Cot.Retraites Pers.Ent.    (0400)</t>
  </si>
  <si>
    <t>6420/01326 Cot.C hômage Pers.Ent.   (0410)</t>
  </si>
  <si>
    <t>6440/00325 VisiteMed.Pers.Ent.        (0420)</t>
  </si>
  <si>
    <t>6420/00326 CRIP PrévoyancePers.Ent. (0430)</t>
  </si>
  <si>
    <t>6430/00327 Taxes Salaires PE        (0440)</t>
  </si>
  <si>
    <t>6440/00328 Form.Profess.P.E.          (0450)</t>
  </si>
  <si>
    <t>6420/01329  Charges Soc.Pers.Entretien  (0460)</t>
  </si>
  <si>
    <t>6440/01337 Cotis.Prev&amp;MutuelleGardiens     (0470)</t>
  </si>
  <si>
    <t>6440/01337 Cotis.Prev&amp;Mutuelle P.Entret. (0470)</t>
  </si>
  <si>
    <t>6410/01338 Avantages Nature           (0480)</t>
  </si>
  <si>
    <t>6150/01342  Interv.Supp.Gardien           (0490)</t>
  </si>
  <si>
    <t>6213/01351 Frais Postaux           (0510)</t>
  </si>
  <si>
    <t>6213/00352 FraisCorrespondances     (0520)</t>
  </si>
  <si>
    <t>6212/01353 Photocopies&amp;Tirages       (0522)</t>
  </si>
  <si>
    <t>6620/01356 Frais bancaires           (0524)</t>
  </si>
  <si>
    <t>6230/01361 Honoraires Experts           (0530)</t>
  </si>
  <si>
    <t>6230/01362 Honoraires Archi.           (0540)</t>
  </si>
  <si>
    <t>6140/01369 Diagnostics RisquesPro.   (0560)</t>
  </si>
  <si>
    <t>6140/01372 Etat Parasitaire           (0570)</t>
  </si>
  <si>
    <t>6420/01373 Cotis.Retraite Gard. 40% (0580)</t>
  </si>
  <si>
    <t>6420/01374 Cotis.Prévoy. Gard.40%   (0590)</t>
  </si>
  <si>
    <t>6440/01375 Visite Med. 40%           (0600)</t>
  </si>
  <si>
    <t>6430/01376 Taxe Salaires Gard. 40%     (0610)</t>
  </si>
  <si>
    <t>6420/01377 Cotis.AGEFOS Gard.           (0620)</t>
  </si>
  <si>
    <t>6230/01381 Honor. Huissiers          (0630)</t>
  </si>
  <si>
    <t>6230/01382 Honoraires Avocats           (0640)</t>
  </si>
  <si>
    <t>6230/01384 Frais Procédure           (0645)</t>
  </si>
  <si>
    <t>6410/01386 Salaires Gardiens           (0660)</t>
  </si>
  <si>
    <t>6420/01387  Cotis.Urssaf Gardien 40%  (0670)</t>
  </si>
  <si>
    <t>6440/01389 AutresFrais Pers.           (0680)</t>
  </si>
  <si>
    <t>6410/01391 Sal. Gardiens 0%           (0690)</t>
  </si>
  <si>
    <t>6420/01392 Cotis. URSAFF 0%           (0700)</t>
  </si>
  <si>
    <t>6420/01393 Cotis.Retrait. Gards 0%       (0710)</t>
  </si>
  <si>
    <t>6420/01394 Cotis. Prévoy.Gard 0%    (0720)</t>
  </si>
  <si>
    <t>6440/01395 Visites Med.Gardiens      (0730)</t>
  </si>
  <si>
    <t>6430/01396 Taxe Salares Gard. 0%       (0740)</t>
  </si>
  <si>
    <t>6211/00401 Honoraires Syndic          (0750)</t>
  </si>
  <si>
    <t>6222/00403 Vacations Syndic           (0753)</t>
  </si>
  <si>
    <t>6223/01406  Hon. Recouvrement        (0757)</t>
  </si>
  <si>
    <t>6223/01407  Hon. Procéd. Syndic       (0770)</t>
  </si>
  <si>
    <t>6222/01408 Vacations Sinistres          (0780)</t>
  </si>
  <si>
    <t>6212/01409 Frais Gestion Syndic       (0795)</t>
  </si>
  <si>
    <t>6240/00411 Frais Conseil Syndical    (0810)</t>
  </si>
  <si>
    <t>6230/01412 Frais Administratifs Ext.      (0820)</t>
  </si>
  <si>
    <t>6160/00441 Assurances MultiRisques (0830)</t>
  </si>
  <si>
    <t>6780/01461 SinistresDégatsEau         (0840)</t>
  </si>
  <si>
    <t>6780/01462 Sinistres Bris Glaces           (0850)</t>
  </si>
  <si>
    <t>6330/01481 TaxesFoncières          (0860)</t>
  </si>
  <si>
    <t>6330/01482 TaxesHabitation          (0865)</t>
  </si>
  <si>
    <t>6340/01483 TaxesOrduresMénag.      (0870)</t>
  </si>
  <si>
    <t>6320/00484 TaxesBalayage          (0880)</t>
  </si>
  <si>
    <t>6150/01525  Entr.AntenneParabole    (0890)</t>
  </si>
  <si>
    <t>6150/01526 Trav.AntenneParabole     (0900)</t>
  </si>
  <si>
    <t>6140/01561 Contrat Toiture           (0910)</t>
  </si>
  <si>
    <t>6150/01566 Travx Toitures Terrs         (0920)</t>
  </si>
  <si>
    <t>6150/01605 Entr.Interphone        (0925)</t>
  </si>
  <si>
    <t>6060/01606   Trav.Interphone           (0926)</t>
  </si>
  <si>
    <t>6140/01621  ContratEntretienTeleSurv  (0930)</t>
  </si>
  <si>
    <t>6150/01625  Entretien Mat.TeleSurv       (0940)</t>
  </si>
  <si>
    <t>6150/01626   EntretienMat.GTC           (0950)</t>
  </si>
  <si>
    <t>6150/01645 Entretien Engins           (0960)</t>
  </si>
  <si>
    <t>6150/01646 Trav.EnginsVéhicules           (0970)</t>
  </si>
  <si>
    <t>6050/01667 Achat Matériels           (0980)</t>
  </si>
  <si>
    <t>6150/01686 Travaux Mobiliers           (0985)</t>
  </si>
  <si>
    <t>6140/00701 Cont.Mat.Incendie         (0990)</t>
  </si>
  <si>
    <t>6140/00702 Cont.Entretien Extinct.   (1000)</t>
  </si>
  <si>
    <t>6150/00705 Entretien Mat.Incendie   (1006)</t>
  </si>
  <si>
    <t>6140/00761 Consommation Tel.         (1030)</t>
  </si>
  <si>
    <t>6140</t>
  </si>
  <si>
    <t>6140/00763 Consommation Tel.         (1032)</t>
  </si>
  <si>
    <t>6140/(1032)</t>
  </si>
  <si>
    <t>(1032)  00763/050 Ch.Gén.</t>
  </si>
  <si>
    <t>6140/00764 Abonnement Tel.         (1034)</t>
  </si>
  <si>
    <t>6140/(1034)</t>
  </si>
  <si>
    <t>(1034)  00764/050 Ch.Gén.</t>
  </si>
  <si>
    <t>6150/01782 Ent.ContrôleAccès           (1040)</t>
  </si>
  <si>
    <t>6150/01783 Trav.ContrôleAccès         (1050)</t>
  </si>
  <si>
    <t>6050/00787 Achat Badges Bip           (1060)</t>
  </si>
  <si>
    <t>6140/01791 ContratEntr.PortesAuto  (1070)</t>
  </si>
  <si>
    <t>6150/01792 Entretien PortesAuto     (1080)</t>
  </si>
  <si>
    <t>6150/01793 Travx PortesAuto           (1090)</t>
  </si>
  <si>
    <t>6150/01826 Travx Chauffage           (1100)</t>
  </si>
  <si>
    <t>6150/01845 Entretien Jardins           (1120)</t>
  </si>
  <si>
    <t>6150/01846 Travaux Jardins           (1130)</t>
  </si>
  <si>
    <t>6050/01847 Achat Plantes           (1140)</t>
  </si>
  <si>
    <t>6060/01848  Decor.Florale           (1150)</t>
  </si>
  <si>
    <t>6140/00861 ContratEntrtVideOrdure (1160)</t>
  </si>
  <si>
    <t>6150/01866 Travaux VideOrdure           (1170)</t>
  </si>
  <si>
    <t>6130/01881 Contrat Loc.Compteurs  (1180)</t>
  </si>
  <si>
    <t>7130/00952 Indemnités Assur.           (1190)</t>
  </si>
  <si>
    <t>7140/01953 Indemnités Art.700         (1200)</t>
  </si>
  <si>
    <t>7180/01954 RecettesDommagesIntérets (1220)</t>
  </si>
  <si>
    <t>7140/01959 Recettes Diverses           (1230)</t>
  </si>
  <si>
    <t>7140/01960 RecettesDiv.NonDeclarées  (1235)</t>
  </si>
  <si>
    <t>7160/02000 Recettes Diverses       (1237)</t>
  </si>
  <si>
    <t>6780/00988 Rompus Arrondis         (1250)</t>
  </si>
  <si>
    <t>101 Escalier A</t>
  </si>
  <si>
    <r>
      <t>6150/09116/101</t>
    </r>
    <r>
      <rPr>
        <b/>
        <sz val="10"/>
        <color theme="1"/>
        <rFont val="Perpetua"/>
        <family val="1"/>
      </rPr>
      <t xml:space="preserve"> </t>
    </r>
    <r>
      <rPr>
        <sz val="10"/>
        <color theme="1"/>
        <rFont val="Perpetua"/>
        <family val="1"/>
      </rPr>
      <t>Travaux Electricité</t>
    </r>
  </si>
  <si>
    <t>601 Ascenseurs A</t>
  </si>
  <si>
    <r>
      <t>6020/40264/601</t>
    </r>
    <r>
      <rPr>
        <b/>
        <sz val="10"/>
        <color theme="1"/>
        <rFont val="Perpetua"/>
        <family val="1"/>
      </rPr>
      <t xml:space="preserve"> </t>
    </r>
    <r>
      <rPr>
        <sz val="10"/>
        <color theme="1"/>
        <rFont val="Perpetua"/>
        <family val="1"/>
      </rPr>
      <t>Electricité</t>
    </r>
  </si>
  <si>
    <r>
      <t>6140/40761/601</t>
    </r>
    <r>
      <rPr>
        <b/>
        <sz val="10"/>
        <color theme="1"/>
        <rFont val="Perpetua"/>
        <family val="1"/>
      </rPr>
      <t xml:space="preserve"> </t>
    </r>
    <r>
      <rPr>
        <sz val="10"/>
        <color theme="1"/>
        <rFont val="Perpetua"/>
        <family val="1"/>
      </rPr>
      <t xml:space="preserve"> Frais Téléph.</t>
    </r>
  </si>
  <si>
    <r>
      <t>6140/40802/601</t>
    </r>
    <r>
      <rPr>
        <b/>
        <sz val="10"/>
        <color theme="1"/>
        <rFont val="Perpetua"/>
        <family val="1"/>
      </rPr>
      <t xml:space="preserve">  </t>
    </r>
    <r>
      <rPr>
        <sz val="10"/>
        <color theme="1"/>
        <rFont val="Perpetua"/>
        <family val="1"/>
      </rPr>
      <t>Cont.Entretien</t>
    </r>
  </si>
  <si>
    <r>
      <t>6140/40802/601</t>
    </r>
    <r>
      <rPr>
        <b/>
        <sz val="10"/>
        <color theme="1"/>
        <rFont val="Perpetua"/>
        <family val="1"/>
      </rPr>
      <t xml:space="preserve">  </t>
    </r>
    <r>
      <rPr>
        <sz val="10"/>
        <color theme="1"/>
        <rFont val="Perpetua"/>
        <family val="1"/>
      </rPr>
      <t>Entretien</t>
    </r>
  </si>
  <si>
    <r>
      <t>6150/40806/601</t>
    </r>
    <r>
      <rPr>
        <b/>
        <sz val="10"/>
        <color theme="1"/>
        <rFont val="Perpetua"/>
        <family val="1"/>
      </rPr>
      <t xml:space="preserve"> </t>
    </r>
    <r>
      <rPr>
        <sz val="10"/>
        <color theme="1"/>
        <rFont val="Perpetua"/>
        <family val="1"/>
      </rPr>
      <t>Travaux</t>
    </r>
  </si>
  <si>
    <r>
      <t>6230/65367/601</t>
    </r>
    <r>
      <rPr>
        <b/>
        <sz val="10"/>
        <color theme="1"/>
        <rFont val="Perpetua"/>
        <family val="1"/>
      </rPr>
      <t xml:space="preserve"> </t>
    </r>
    <r>
      <rPr>
        <sz val="10"/>
        <color theme="1"/>
        <rFont val="Perpetua"/>
        <family val="1"/>
      </rPr>
      <t>Etudes Ascenseurs</t>
    </r>
  </si>
  <si>
    <r>
      <t>6730/40368/601</t>
    </r>
    <r>
      <rPr>
        <b/>
        <sz val="10"/>
        <color theme="1"/>
        <rFont val="Perpetua"/>
        <family val="1"/>
      </rPr>
      <t xml:space="preserve"> </t>
    </r>
    <r>
      <rPr>
        <sz val="10"/>
        <color theme="1"/>
        <rFont val="Perpetua"/>
        <family val="1"/>
      </rPr>
      <t>Etudes</t>
    </r>
  </si>
  <si>
    <t>602 Ascenseurs B</t>
  </si>
  <si>
    <r>
      <t>6020/40264/602</t>
    </r>
    <r>
      <rPr>
        <b/>
        <sz val="10"/>
        <color theme="1"/>
        <rFont val="Perpetua"/>
        <family val="1"/>
      </rPr>
      <t xml:space="preserve"> </t>
    </r>
    <r>
      <rPr>
        <sz val="10"/>
        <color theme="1"/>
        <rFont val="Perpetua"/>
        <family val="1"/>
      </rPr>
      <t>Electricité</t>
    </r>
  </si>
  <si>
    <r>
      <t>6140/40761/602</t>
    </r>
    <r>
      <rPr>
        <b/>
        <sz val="10"/>
        <color theme="1"/>
        <rFont val="Perpetua"/>
        <family val="1"/>
      </rPr>
      <t xml:space="preserve"> </t>
    </r>
    <r>
      <rPr>
        <sz val="10"/>
        <color theme="1"/>
        <rFont val="Perpetua"/>
        <family val="1"/>
      </rPr>
      <t xml:space="preserve"> Frais Téléph.</t>
    </r>
  </si>
  <si>
    <r>
      <t>6140/40802/602</t>
    </r>
    <r>
      <rPr>
        <b/>
        <sz val="10"/>
        <color theme="1"/>
        <rFont val="Perpetua"/>
        <family val="1"/>
      </rPr>
      <t xml:space="preserve">  </t>
    </r>
    <r>
      <rPr>
        <sz val="10"/>
        <color theme="1"/>
        <rFont val="Perpetua"/>
        <family val="1"/>
      </rPr>
      <t>Cont.Entretien</t>
    </r>
  </si>
  <si>
    <r>
      <t>6140/40802/602</t>
    </r>
    <r>
      <rPr>
        <b/>
        <sz val="10"/>
        <color theme="1"/>
        <rFont val="Perpetua"/>
        <family val="1"/>
      </rPr>
      <t xml:space="preserve">  </t>
    </r>
    <r>
      <rPr>
        <sz val="10"/>
        <color theme="1"/>
        <rFont val="Perpetua"/>
        <family val="1"/>
      </rPr>
      <t>Entretien</t>
    </r>
  </si>
  <si>
    <r>
      <t>6150/40806/602</t>
    </r>
    <r>
      <rPr>
        <b/>
        <sz val="10"/>
        <color theme="1"/>
        <rFont val="Perpetua"/>
        <family val="1"/>
      </rPr>
      <t xml:space="preserve"> </t>
    </r>
    <r>
      <rPr>
        <sz val="10"/>
        <color theme="1"/>
        <rFont val="Perpetua"/>
        <family val="1"/>
      </rPr>
      <t>Travaux</t>
    </r>
  </si>
  <si>
    <t>6230/65367/602 Etudes Ascenseurs</t>
  </si>
  <si>
    <r>
      <t>6730/40368/602</t>
    </r>
    <r>
      <rPr>
        <b/>
        <sz val="10"/>
        <color theme="1"/>
        <rFont val="Perpetua"/>
        <family val="1"/>
      </rPr>
      <t xml:space="preserve"> </t>
    </r>
    <r>
      <rPr>
        <sz val="10"/>
        <color theme="1"/>
        <rFont val="Perpetua"/>
        <family val="1"/>
      </rPr>
      <t>Etudes</t>
    </r>
  </si>
  <si>
    <t>603 Ascenseurs C</t>
  </si>
  <si>
    <r>
      <t>6020/40264/603</t>
    </r>
    <r>
      <rPr>
        <b/>
        <sz val="10"/>
        <color theme="1"/>
        <rFont val="Perpetua"/>
        <family val="1"/>
      </rPr>
      <t xml:space="preserve"> </t>
    </r>
    <r>
      <rPr>
        <sz val="10"/>
        <color theme="1"/>
        <rFont val="Perpetua"/>
        <family val="1"/>
      </rPr>
      <t>Electricité</t>
    </r>
  </si>
  <si>
    <r>
      <t>6140/40761/603</t>
    </r>
    <r>
      <rPr>
        <b/>
        <sz val="10"/>
        <color theme="1"/>
        <rFont val="Perpetua"/>
        <family val="1"/>
      </rPr>
      <t xml:space="preserve"> </t>
    </r>
    <r>
      <rPr>
        <sz val="10"/>
        <color theme="1"/>
        <rFont val="Perpetua"/>
        <family val="1"/>
      </rPr>
      <t xml:space="preserve"> Frais Téléph.</t>
    </r>
  </si>
  <si>
    <r>
      <t>6140/40802/603</t>
    </r>
    <r>
      <rPr>
        <b/>
        <sz val="10"/>
        <color theme="1"/>
        <rFont val="Perpetua"/>
        <family val="1"/>
      </rPr>
      <t xml:space="preserve">  </t>
    </r>
    <r>
      <rPr>
        <sz val="10"/>
        <color theme="1"/>
        <rFont val="Perpetua"/>
        <family val="1"/>
      </rPr>
      <t>Cont.Entretien</t>
    </r>
  </si>
  <si>
    <r>
      <t>6140/40802/603</t>
    </r>
    <r>
      <rPr>
        <b/>
        <sz val="10"/>
        <color theme="1"/>
        <rFont val="Perpetua"/>
        <family val="1"/>
      </rPr>
      <t xml:space="preserve">  </t>
    </r>
    <r>
      <rPr>
        <sz val="10"/>
        <color theme="1"/>
        <rFont val="Perpetua"/>
        <family val="1"/>
      </rPr>
      <t>Entretien</t>
    </r>
  </si>
  <si>
    <r>
      <t>6150/40806/603</t>
    </r>
    <r>
      <rPr>
        <b/>
        <sz val="10"/>
        <color theme="1"/>
        <rFont val="Perpetua"/>
        <family val="1"/>
      </rPr>
      <t xml:space="preserve"> </t>
    </r>
    <r>
      <rPr>
        <sz val="10"/>
        <color theme="1"/>
        <rFont val="Perpetua"/>
        <family val="1"/>
      </rPr>
      <t>Travaux</t>
    </r>
  </si>
  <si>
    <r>
      <t>6230/65367/603</t>
    </r>
    <r>
      <rPr>
        <b/>
        <sz val="10"/>
        <color theme="1"/>
        <rFont val="Perpetua"/>
        <family val="1"/>
      </rPr>
      <t xml:space="preserve"> </t>
    </r>
    <r>
      <rPr>
        <sz val="10"/>
        <color theme="1"/>
        <rFont val="Perpetua"/>
        <family val="1"/>
      </rPr>
      <t>Etudes Ascenseurs</t>
    </r>
  </si>
  <si>
    <r>
      <t>6730/40368/603</t>
    </r>
    <r>
      <rPr>
        <b/>
        <sz val="10"/>
        <color theme="1"/>
        <rFont val="Perpetua"/>
        <family val="1"/>
      </rPr>
      <t xml:space="preserve"> </t>
    </r>
    <r>
      <rPr>
        <sz val="10"/>
        <color theme="1"/>
        <rFont val="Perpetua"/>
        <family val="1"/>
      </rPr>
      <t>Etudes</t>
    </r>
  </si>
  <si>
    <t>604 Ascenseurs D</t>
  </si>
  <si>
    <r>
      <t>6020/40264/604</t>
    </r>
    <r>
      <rPr>
        <b/>
        <sz val="10"/>
        <color theme="1"/>
        <rFont val="Perpetua"/>
        <family val="1"/>
      </rPr>
      <t xml:space="preserve"> </t>
    </r>
    <r>
      <rPr>
        <sz val="10"/>
        <color theme="1"/>
        <rFont val="Perpetua"/>
        <family val="1"/>
      </rPr>
      <t>Electricité</t>
    </r>
  </si>
  <si>
    <r>
      <t>6140/40761/604</t>
    </r>
    <r>
      <rPr>
        <b/>
        <sz val="10"/>
        <color theme="1"/>
        <rFont val="Perpetua"/>
        <family val="1"/>
      </rPr>
      <t xml:space="preserve"> </t>
    </r>
    <r>
      <rPr>
        <sz val="10"/>
        <color theme="1"/>
        <rFont val="Perpetua"/>
        <family val="1"/>
      </rPr>
      <t xml:space="preserve"> Frais Téléph.</t>
    </r>
  </si>
  <si>
    <r>
      <t>6140/40802/604</t>
    </r>
    <r>
      <rPr>
        <b/>
        <sz val="10"/>
        <color theme="1"/>
        <rFont val="Perpetua"/>
        <family val="1"/>
      </rPr>
      <t xml:space="preserve">  </t>
    </r>
    <r>
      <rPr>
        <sz val="10"/>
        <color theme="1"/>
        <rFont val="Perpetua"/>
        <family val="1"/>
      </rPr>
      <t>Cont.Entretien</t>
    </r>
  </si>
  <si>
    <r>
      <t>6140/40802/604</t>
    </r>
    <r>
      <rPr>
        <b/>
        <sz val="10"/>
        <color theme="1"/>
        <rFont val="Perpetua"/>
        <family val="1"/>
      </rPr>
      <t xml:space="preserve">  </t>
    </r>
    <r>
      <rPr>
        <sz val="10"/>
        <color theme="1"/>
        <rFont val="Perpetua"/>
        <family val="1"/>
      </rPr>
      <t>Entretien</t>
    </r>
  </si>
  <si>
    <r>
      <t>6150/40805/604</t>
    </r>
    <r>
      <rPr>
        <b/>
        <sz val="10"/>
        <color theme="1"/>
        <rFont val="Perpetua"/>
        <family val="1"/>
      </rPr>
      <t xml:space="preserve"> </t>
    </r>
    <r>
      <rPr>
        <sz val="10"/>
        <color theme="1"/>
        <rFont val="Perpetua"/>
        <family val="1"/>
      </rPr>
      <t>Entretien</t>
    </r>
  </si>
  <si>
    <r>
      <t>6150/40806/604</t>
    </r>
    <r>
      <rPr>
        <b/>
        <sz val="10"/>
        <color theme="1"/>
        <rFont val="Perpetua"/>
        <family val="1"/>
      </rPr>
      <t xml:space="preserve"> </t>
    </r>
    <r>
      <rPr>
        <sz val="10"/>
        <color theme="1"/>
        <rFont val="Perpetua"/>
        <family val="1"/>
      </rPr>
      <t>Travaux</t>
    </r>
  </si>
  <si>
    <r>
      <t>6230/65367/604</t>
    </r>
    <r>
      <rPr>
        <b/>
        <sz val="10"/>
        <color theme="1"/>
        <rFont val="Perpetua"/>
        <family val="1"/>
      </rPr>
      <t xml:space="preserve"> </t>
    </r>
    <r>
      <rPr>
        <sz val="10"/>
        <color theme="1"/>
        <rFont val="Perpetua"/>
        <family val="1"/>
      </rPr>
      <t>Etudes Ascenseurs</t>
    </r>
  </si>
  <si>
    <r>
      <t>6730/40368/604</t>
    </r>
    <r>
      <rPr>
        <b/>
        <sz val="10"/>
        <color theme="1"/>
        <rFont val="Perpetua"/>
        <family val="1"/>
      </rPr>
      <t xml:space="preserve"> </t>
    </r>
    <r>
      <rPr>
        <sz val="10"/>
        <color theme="1"/>
        <rFont val="Perpetua"/>
        <family val="1"/>
      </rPr>
      <t>Etudes</t>
    </r>
  </si>
  <si>
    <t>605 Ascenseurs E</t>
  </si>
  <si>
    <r>
      <t>6020/40264/605</t>
    </r>
    <r>
      <rPr>
        <b/>
        <sz val="10"/>
        <color theme="1"/>
        <rFont val="Perpetua"/>
        <family val="1"/>
      </rPr>
      <t xml:space="preserve"> </t>
    </r>
    <r>
      <rPr>
        <sz val="10"/>
        <color theme="1"/>
        <rFont val="Perpetua"/>
        <family val="1"/>
      </rPr>
      <t>Electricité</t>
    </r>
  </si>
  <si>
    <r>
      <t>6140/40761/605</t>
    </r>
    <r>
      <rPr>
        <b/>
        <sz val="10"/>
        <color theme="1"/>
        <rFont val="Perpetua"/>
        <family val="1"/>
      </rPr>
      <t xml:space="preserve"> </t>
    </r>
    <r>
      <rPr>
        <sz val="10"/>
        <color theme="1"/>
        <rFont val="Perpetua"/>
        <family val="1"/>
      </rPr>
      <t xml:space="preserve"> Frais Téléph.</t>
    </r>
  </si>
  <si>
    <r>
      <t>6140/40802/605</t>
    </r>
    <r>
      <rPr>
        <b/>
        <sz val="10"/>
        <color theme="1"/>
        <rFont val="Perpetua"/>
        <family val="1"/>
      </rPr>
      <t xml:space="preserve">  </t>
    </r>
    <r>
      <rPr>
        <sz val="10"/>
        <color theme="1"/>
        <rFont val="Perpetua"/>
        <family val="1"/>
      </rPr>
      <t>Cont.Entretien</t>
    </r>
  </si>
  <si>
    <r>
      <t>6140/40802/605</t>
    </r>
    <r>
      <rPr>
        <b/>
        <sz val="10"/>
        <color theme="1"/>
        <rFont val="Perpetua"/>
        <family val="1"/>
      </rPr>
      <t xml:space="preserve">  </t>
    </r>
    <r>
      <rPr>
        <sz val="10"/>
        <color theme="1"/>
        <rFont val="Perpetua"/>
        <family val="1"/>
      </rPr>
      <t>Entretien</t>
    </r>
  </si>
  <si>
    <r>
      <t>6150/40806/605</t>
    </r>
    <r>
      <rPr>
        <b/>
        <sz val="10"/>
        <color theme="1"/>
        <rFont val="Perpetua"/>
        <family val="1"/>
      </rPr>
      <t xml:space="preserve"> </t>
    </r>
    <r>
      <rPr>
        <sz val="10"/>
        <color theme="1"/>
        <rFont val="Perpetua"/>
        <family val="1"/>
      </rPr>
      <t>Travaux</t>
    </r>
  </si>
  <si>
    <r>
      <t>6230/65367/605</t>
    </r>
    <r>
      <rPr>
        <b/>
        <sz val="10"/>
        <color theme="1"/>
        <rFont val="Perpetua"/>
        <family val="1"/>
      </rPr>
      <t xml:space="preserve"> </t>
    </r>
    <r>
      <rPr>
        <sz val="10"/>
        <color theme="1"/>
        <rFont val="Perpetua"/>
        <family val="1"/>
      </rPr>
      <t>Etudes Ascenseurs</t>
    </r>
  </si>
  <si>
    <r>
      <t>6730/40368/605</t>
    </r>
    <r>
      <rPr>
        <b/>
        <sz val="10"/>
        <color theme="1"/>
        <rFont val="Perpetua"/>
        <family val="1"/>
      </rPr>
      <t xml:space="preserve"> </t>
    </r>
    <r>
      <rPr>
        <sz val="10"/>
        <color theme="1"/>
        <rFont val="Perpetua"/>
        <family val="1"/>
      </rPr>
      <t>Etudes</t>
    </r>
  </si>
  <si>
    <t>600 Ascenseurs Total</t>
  </si>
  <si>
    <r>
      <t>6020/40264/600</t>
    </r>
    <r>
      <rPr>
        <b/>
        <sz val="10"/>
        <color theme="1"/>
        <rFont val="Perpetua"/>
        <family val="1"/>
      </rPr>
      <t xml:space="preserve"> </t>
    </r>
    <r>
      <rPr>
        <sz val="10"/>
        <color theme="1"/>
        <rFont val="Perpetua"/>
        <family val="1"/>
      </rPr>
      <t>Electricité</t>
    </r>
  </si>
  <si>
    <r>
      <t>6140/40761/600</t>
    </r>
    <r>
      <rPr>
        <b/>
        <sz val="10"/>
        <color theme="1"/>
        <rFont val="Perpetua"/>
        <family val="1"/>
      </rPr>
      <t xml:space="preserve"> </t>
    </r>
    <r>
      <rPr>
        <sz val="10"/>
        <color theme="1"/>
        <rFont val="Perpetua"/>
        <family val="1"/>
      </rPr>
      <t xml:space="preserve"> Frais Téléph.</t>
    </r>
  </si>
  <si>
    <r>
      <t>6140/40802/600</t>
    </r>
    <r>
      <rPr>
        <b/>
        <sz val="10"/>
        <color theme="1"/>
        <rFont val="Perpetua"/>
        <family val="1"/>
      </rPr>
      <t xml:space="preserve">  </t>
    </r>
    <r>
      <rPr>
        <sz val="10"/>
        <color theme="1"/>
        <rFont val="Perpetua"/>
        <family val="1"/>
      </rPr>
      <t>Cont.Entretien Asc.</t>
    </r>
  </si>
  <si>
    <r>
      <t>6140/40802/600</t>
    </r>
    <r>
      <rPr>
        <b/>
        <sz val="10"/>
        <color theme="1"/>
        <rFont val="Perpetua"/>
        <family val="1"/>
      </rPr>
      <t xml:space="preserve">  </t>
    </r>
    <r>
      <rPr>
        <sz val="10"/>
        <color theme="1"/>
        <rFont val="Perpetua"/>
        <family val="1"/>
      </rPr>
      <t>Entretien Asc.</t>
    </r>
  </si>
  <si>
    <r>
      <t>6150/40806/600</t>
    </r>
    <r>
      <rPr>
        <b/>
        <sz val="10"/>
        <color theme="1"/>
        <rFont val="Perpetua"/>
        <family val="1"/>
      </rPr>
      <t xml:space="preserve"> </t>
    </r>
    <r>
      <rPr>
        <sz val="10"/>
        <color theme="1"/>
        <rFont val="Perpetua"/>
        <family val="1"/>
      </rPr>
      <t>Travaux Asc.</t>
    </r>
  </si>
  <si>
    <r>
      <t>6230/65367/600</t>
    </r>
    <r>
      <rPr>
        <b/>
        <sz val="10"/>
        <color theme="1"/>
        <rFont val="Perpetua"/>
        <family val="1"/>
      </rPr>
      <t xml:space="preserve"> </t>
    </r>
    <r>
      <rPr>
        <sz val="10"/>
        <color theme="1"/>
        <rFont val="Perpetua"/>
        <family val="1"/>
      </rPr>
      <t>Etudes Ascenseurs</t>
    </r>
  </si>
  <si>
    <r>
      <t>6730/40368/600</t>
    </r>
    <r>
      <rPr>
        <b/>
        <sz val="10"/>
        <color theme="1"/>
        <rFont val="Perpetua"/>
        <family val="1"/>
      </rPr>
      <t xml:space="preserve"> </t>
    </r>
    <r>
      <rPr>
        <sz val="10"/>
        <color theme="1"/>
        <rFont val="Perpetua"/>
        <family val="1"/>
      </rPr>
      <t>Etudes Techn.Asc.</t>
    </r>
  </si>
  <si>
    <t>700 Chauffage</t>
  </si>
  <si>
    <r>
      <t>6020/65264</t>
    </r>
    <r>
      <rPr>
        <b/>
        <sz val="10"/>
        <color theme="1"/>
        <rFont val="Perpetua"/>
        <family val="1"/>
      </rPr>
      <t xml:space="preserve">  </t>
    </r>
    <r>
      <rPr>
        <sz val="10"/>
        <color theme="1"/>
        <rFont val="Perpetua"/>
        <family val="1"/>
      </rPr>
      <t>Electricité</t>
    </r>
  </si>
  <si>
    <r>
      <t>6030/65263</t>
    </r>
    <r>
      <rPr>
        <b/>
        <sz val="10"/>
        <rFont val="Perpetua"/>
        <family val="1"/>
      </rPr>
      <t xml:space="preserve">  </t>
    </r>
    <r>
      <rPr>
        <sz val="10"/>
        <rFont val="Perpetua"/>
        <family val="1"/>
      </rPr>
      <t>CombustibleGaz</t>
    </r>
  </si>
  <si>
    <r>
      <t>6030/65282</t>
    </r>
    <r>
      <rPr>
        <b/>
        <sz val="10"/>
        <color rgb="FF000000"/>
        <rFont val="Perpetua"/>
        <family val="1"/>
      </rPr>
      <t xml:space="preserve">  </t>
    </r>
    <r>
      <rPr>
        <sz val="10"/>
        <color rgb="FF000000"/>
        <rFont val="Perpetua"/>
        <family val="1"/>
      </rPr>
      <t>CPCU</t>
    </r>
  </si>
  <si>
    <r>
      <t>6060/65177</t>
    </r>
    <r>
      <rPr>
        <b/>
        <sz val="10"/>
        <color theme="1"/>
        <rFont val="Perpetua"/>
        <family val="1"/>
      </rPr>
      <t xml:space="preserve">  </t>
    </r>
    <r>
      <rPr>
        <sz val="10"/>
        <color theme="1"/>
        <rFont val="Perpetua"/>
        <family val="1"/>
      </rPr>
      <t>Produits</t>
    </r>
    <r>
      <rPr>
        <b/>
        <sz val="10"/>
        <color theme="1"/>
        <rFont val="Perpetua"/>
        <family val="1"/>
      </rPr>
      <t xml:space="preserve"> </t>
    </r>
    <r>
      <rPr>
        <sz val="10"/>
        <color theme="1"/>
        <rFont val="Perpetua"/>
        <family val="1"/>
      </rPr>
      <t>Entretien</t>
    </r>
  </si>
  <si>
    <r>
      <t>6140/65621</t>
    </r>
    <r>
      <rPr>
        <b/>
        <sz val="10"/>
        <color theme="1"/>
        <rFont val="Perpetua"/>
        <family val="1"/>
      </rPr>
      <t xml:space="preserve">  </t>
    </r>
    <r>
      <rPr>
        <sz val="10"/>
        <color theme="1"/>
        <rFont val="Perpetua"/>
        <family val="1"/>
      </rPr>
      <t>Cont.EntretienTel</t>
    </r>
  </si>
  <si>
    <r>
      <t>6140/65761</t>
    </r>
    <r>
      <rPr>
        <b/>
        <sz val="10"/>
        <color theme="1"/>
        <rFont val="Perpetua"/>
        <family val="1"/>
      </rPr>
      <t xml:space="preserve"> </t>
    </r>
    <r>
      <rPr>
        <sz val="10"/>
        <color theme="1"/>
        <rFont val="Perpetua"/>
        <family val="1"/>
      </rPr>
      <t xml:space="preserve"> Frais Téléph.</t>
    </r>
  </si>
  <si>
    <r>
      <t>6150/65821</t>
    </r>
    <r>
      <rPr>
        <b/>
        <sz val="10"/>
        <rFont val="Perpetua"/>
        <family val="1"/>
      </rPr>
      <t xml:space="preserve">  </t>
    </r>
    <r>
      <rPr>
        <sz val="10"/>
        <rFont val="Perpetua"/>
        <family val="1"/>
      </rPr>
      <t>Cont.Entretien</t>
    </r>
  </si>
  <si>
    <r>
      <t>6150/65825</t>
    </r>
    <r>
      <rPr>
        <b/>
        <sz val="10"/>
        <rFont val="Perpetua"/>
        <family val="1"/>
      </rPr>
      <t xml:space="preserve">  </t>
    </r>
    <r>
      <rPr>
        <sz val="10"/>
        <rFont val="Perpetua"/>
        <family val="1"/>
      </rPr>
      <t>EntretienChauff.</t>
    </r>
  </si>
  <si>
    <r>
      <t>6150/65826</t>
    </r>
    <r>
      <rPr>
        <b/>
        <sz val="10"/>
        <color theme="1"/>
        <rFont val="Perpetua"/>
        <family val="1"/>
      </rPr>
      <t xml:space="preserve"> </t>
    </r>
    <r>
      <rPr>
        <sz val="10"/>
        <color theme="1"/>
        <rFont val="Perpetua"/>
        <family val="1"/>
      </rPr>
      <t>Travaux Chauffage</t>
    </r>
  </si>
  <si>
    <r>
      <t>6140/65828</t>
    </r>
    <r>
      <rPr>
        <b/>
        <sz val="10"/>
        <color theme="1"/>
        <rFont val="Perpetua"/>
        <family val="1"/>
      </rPr>
      <t xml:space="preserve">  </t>
    </r>
    <r>
      <rPr>
        <sz val="10"/>
        <color theme="1"/>
        <rFont val="Perpetua"/>
        <family val="1"/>
      </rPr>
      <t>Cont.Chauff. P2</t>
    </r>
  </si>
  <si>
    <r>
      <t>6230/65367/601</t>
    </r>
    <r>
      <rPr>
        <b/>
        <sz val="10"/>
        <color theme="1"/>
        <rFont val="Perpetua"/>
        <family val="1"/>
      </rPr>
      <t xml:space="preserve"> </t>
    </r>
    <r>
      <rPr>
        <sz val="10"/>
        <color theme="1"/>
        <rFont val="Perpetua"/>
        <family val="1"/>
      </rPr>
      <t>Etudes Chauffage</t>
    </r>
  </si>
  <si>
    <r>
      <t>6730/65367/601</t>
    </r>
    <r>
      <rPr>
        <b/>
        <sz val="10"/>
        <color theme="1"/>
        <rFont val="Perpetua"/>
        <family val="1"/>
      </rPr>
      <t xml:space="preserve"> </t>
    </r>
    <r>
      <rPr>
        <sz val="10"/>
        <color theme="1"/>
        <rFont val="Perpetua"/>
        <family val="1"/>
      </rPr>
      <t>Etudes Techniques Chauffage</t>
    </r>
  </si>
  <si>
    <r>
      <t>7140/65959</t>
    </r>
    <r>
      <rPr>
        <b/>
        <sz val="10"/>
        <color theme="1"/>
        <rFont val="Perpetua"/>
        <family val="1"/>
      </rPr>
      <t xml:space="preserve"> </t>
    </r>
    <r>
      <rPr>
        <sz val="10"/>
        <color theme="1"/>
        <rFont val="Perpetua"/>
        <family val="1"/>
      </rPr>
      <t>Recettes Diverses Chauff.</t>
    </r>
  </si>
  <si>
    <t>807 Eau</t>
  </si>
  <si>
    <t>807/062</t>
  </si>
  <si>
    <r>
      <t>807/062/</t>
    </r>
    <r>
      <rPr>
        <b/>
        <sz val="10"/>
        <color theme="1"/>
        <rFont val="Perpetua"/>
        <family val="1"/>
      </rPr>
      <t xml:space="preserve">301  </t>
    </r>
    <r>
      <rPr>
        <sz val="10"/>
        <color theme="1"/>
        <rFont val="Perpetua"/>
        <family val="1"/>
      </rPr>
      <t>Eau</t>
    </r>
  </si>
  <si>
    <t>Diff. Gestion /Fonctions</t>
  </si>
  <si>
    <t>Opérations Cour. Vérif</t>
  </si>
  <si>
    <t>Vérif.Ecart</t>
  </si>
  <si>
    <t>601   Eau   *</t>
  </si>
  <si>
    <t>602   Electricité   *</t>
  </si>
  <si>
    <t>603   Energie Chauffage   *</t>
  </si>
  <si>
    <t>604 Achats produits d'entretien et petits équipements</t>
  </si>
  <si>
    <t>605   Matériels   *</t>
  </si>
  <si>
    <t>606  Fournitures   *</t>
  </si>
  <si>
    <t>611   Nettoyages Locaux   *</t>
  </si>
  <si>
    <t>612  Locations Immobilières   *</t>
  </si>
  <si>
    <t>613  Locations Mobilières  *</t>
  </si>
  <si>
    <t>614  Contrats Maintenances    *</t>
  </si>
  <si>
    <t>615   Entretiens &amp; PetitesRépararations  *</t>
  </si>
  <si>
    <t>616   Assurances   *</t>
  </si>
  <si>
    <t>621   Rémunérations du syndic sur gestion copro. *</t>
  </si>
  <si>
    <t>6211   Rémunération.Syndic  *</t>
  </si>
  <si>
    <t>6212   Débours  *</t>
  </si>
  <si>
    <t>6213   FraisPostaux   *</t>
  </si>
  <si>
    <t>6221   Honoraires travaux   *</t>
  </si>
  <si>
    <t>6222  PrestationsParticulières  *</t>
  </si>
  <si>
    <t>6223   AutresHonorairesSyndic  *</t>
  </si>
  <si>
    <t>623    Rémunérations Tiers   *</t>
  </si>
  <si>
    <t>624  Frais ConseilSyndical  *</t>
  </si>
  <si>
    <t>630  Taxes  *</t>
  </si>
  <si>
    <t>641   Salaires  *</t>
  </si>
  <si>
    <t>642   Charges Sociales  *</t>
  </si>
  <si>
    <t>643   Taxes s/ Salaires  *</t>
  </si>
  <si>
    <t>644   Autres (médecine du travail, mutuelles, etc.)  *</t>
  </si>
  <si>
    <t>662   Autres charges financières   *</t>
  </si>
  <si>
    <t>673  EtudesTechniques   *</t>
  </si>
  <si>
    <t>678  ChargesExceptionnelles   *</t>
  </si>
  <si>
    <t>7130   Indemnités Assurances   *</t>
  </si>
  <si>
    <t>7140  ProduitsDivers   *</t>
  </si>
  <si>
    <t>7160   Produits Financiers   *</t>
  </si>
  <si>
    <t>7180   ProduitsExceptionnels  *</t>
  </si>
  <si>
    <t>60 Achats de matières et fournitures :</t>
  </si>
  <si>
    <t>601 Eau  *</t>
  </si>
  <si>
    <t>602 Électricité  *</t>
  </si>
  <si>
    <t xml:space="preserve">6021 – Consom.EDF  </t>
  </si>
  <si>
    <t>6022 – Électricité  Asc</t>
  </si>
  <si>
    <t>6023 – Électricité Chauff.</t>
  </si>
  <si>
    <t>603 Chauffage, énergie et combustibles   *</t>
  </si>
  <si>
    <t>6031 – Combustible Gaz</t>
  </si>
  <si>
    <t>6032 – CPCU</t>
  </si>
  <si>
    <t>604 Achats produits d'entretien et petits équipements  *</t>
  </si>
  <si>
    <t xml:space="preserve">6042 – </t>
  </si>
  <si>
    <t>6043 - Produits Entretien Chauffage</t>
  </si>
  <si>
    <t xml:space="preserve">6044 – Produits Hygiène Entretien </t>
  </si>
  <si>
    <t xml:space="preserve">6046 – </t>
  </si>
  <si>
    <t>6048 – Produits Jardins &amp; Plantes</t>
  </si>
  <si>
    <t>605 Matériels  *</t>
  </si>
  <si>
    <t>6052 – Matériels Électriques</t>
  </si>
  <si>
    <t xml:space="preserve">6054 – Matériels Hygiène Entretien </t>
  </si>
  <si>
    <t>6055 – Matériels TéléSurveillance GTC</t>
  </si>
  <si>
    <t>6056 – Remplacement Glaces</t>
  </si>
  <si>
    <t>6057 – Matériels Téléphone</t>
  </si>
  <si>
    <t>6058 – Matériels Jardins</t>
  </si>
  <si>
    <t>6059 – Matériels Divers</t>
  </si>
  <si>
    <t>606 Fournitures  *</t>
  </si>
  <si>
    <t>6061 –</t>
  </si>
  <si>
    <t>6062 –Fournitures Électriques</t>
  </si>
  <si>
    <t>6063 - Fourniture de bureau</t>
  </si>
  <si>
    <t xml:space="preserve">6066 – Badges &amp; Bips </t>
  </si>
  <si>
    <t>6068 – Fournitures Jardins</t>
  </si>
  <si>
    <t>60681 – Achats Plantes</t>
  </si>
  <si>
    <t>60682 – Décoration Florale</t>
  </si>
  <si>
    <t>6069 – Autres Fournitures</t>
  </si>
  <si>
    <t>61 Services extérieurs :</t>
  </si>
  <si>
    <t>611 Nettoyage des locaux   *</t>
  </si>
  <si>
    <t xml:space="preserve">6114 – Entretien Nettoyage Hygiène </t>
  </si>
  <si>
    <t>612 Locations immobilières   *</t>
  </si>
  <si>
    <t>6121 – Location Salle</t>
  </si>
  <si>
    <t>613 Locations mobilières  *</t>
  </si>
  <si>
    <t>6131 – Contrat Loc.Compteur</t>
  </si>
  <si>
    <t>614 Contrats de maintenance   *</t>
  </si>
  <si>
    <t>6141 - Contrat Entretien Plomberie</t>
  </si>
  <si>
    <t>61411 -  Entretien Plomberie</t>
  </si>
  <si>
    <t>61415 -  Entretien Curage</t>
  </si>
  <si>
    <t>6142 - Contrat Entretien Électricité</t>
  </si>
  <si>
    <t>6143 - Contrat Entretien Chauffage,</t>
  </si>
  <si>
    <t>61431 - Contrat Chauffage P2</t>
  </si>
  <si>
    <t>61432 - Contrat Entretien Chauffage,</t>
  </si>
  <si>
    <t>6144 – Contrat Entretien Ascenseurs</t>
  </si>
  <si>
    <t>6145 – Contrat Entretien Nettoyage Hygiène Salubrité</t>
  </si>
  <si>
    <t>61451 – Contrat Vide-Ordure</t>
  </si>
  <si>
    <t>61452 – Contrat Dératisation</t>
  </si>
  <si>
    <t>61453 – Contrat Désinsectisation</t>
  </si>
  <si>
    <t>61456 – Etat Parasitaire</t>
  </si>
  <si>
    <t>6146 – Contrat Entretien Accès</t>
  </si>
  <si>
    <t>61461 – Contrat Entretien Interphone</t>
  </si>
  <si>
    <t>61462 – Contrat Entretien  PortesAuto</t>
  </si>
  <si>
    <t>61464 – Contrat Entretien Signalétique</t>
  </si>
  <si>
    <t>61466 – Contrat Entretien Serrurerie</t>
  </si>
  <si>
    <t>61469 – Autres Contrats Contrôle Accès</t>
  </si>
  <si>
    <t>6147 – Contrats Surveillance Sécurité Incendie</t>
  </si>
  <si>
    <t>61476 – Contrat Entretien Protection Incendie</t>
  </si>
  <si>
    <t>614761 – Contrat Matériel Incendie</t>
  </si>
  <si>
    <t>614762 – Contrat Entretien Extincteurs</t>
  </si>
  <si>
    <t>6148 – Contrat Entretien Bâti</t>
  </si>
  <si>
    <t>61481 – Contrat PeintureRevêtt</t>
  </si>
  <si>
    <t>61482 – Contrat Menuiserie</t>
  </si>
  <si>
    <t>61483 – Contrat Vitrerie</t>
  </si>
  <si>
    <t>61487 – Contrat Maçonnerie</t>
  </si>
  <si>
    <t>61488 – Contrat Toiture Terrasse</t>
  </si>
  <si>
    <t>6149 – Autres Contrats d'Entretiens</t>
  </si>
  <si>
    <t>61496 - Contrat Entretien Téléphonie-TV</t>
  </si>
  <si>
    <t>614961 – Contrat Entretien Téléphone</t>
  </si>
  <si>
    <t>614965 – Entretien Antenne Parabole</t>
  </si>
  <si>
    <t>61497 – Contrat Entretien TéléSurveillance</t>
  </si>
  <si>
    <t>61498 – Contrat Entretien Jardins</t>
  </si>
  <si>
    <t>615 Entretien et petites réparations    *</t>
  </si>
  <si>
    <t>6151 – Travaux Plomberie</t>
  </si>
  <si>
    <t>61511 – Travaux Entretien Plomberie</t>
  </si>
  <si>
    <t>61515 – Travaux Entretien Curage</t>
  </si>
  <si>
    <t>6152 – Travaux Électricité</t>
  </si>
  <si>
    <t>6153 – Travaux Chauffage</t>
  </si>
  <si>
    <t>61531 - Entretien Chauffage (CG)</t>
  </si>
  <si>
    <t>61532 - Travaux Chauffage (CG)</t>
  </si>
  <si>
    <t>61533 - Entretien Chauffage (Chauff)</t>
  </si>
  <si>
    <t>61534 - Travaux Chauffage (Chauff)</t>
  </si>
  <si>
    <t>6154 – Travaux Entretiens Ascenseurs</t>
  </si>
  <si>
    <t>61541 – Entretiens Ascenseurs</t>
  </si>
  <si>
    <t>61542 – Travaux Ascenseurs</t>
  </si>
  <si>
    <t>6155 – Travaux Nettoyage Hygiène Salubrité</t>
  </si>
  <si>
    <t xml:space="preserve"> 61551 – Travaux Vide-Ordure</t>
  </si>
  <si>
    <t>61552 – Intervention Dératisation</t>
  </si>
  <si>
    <t>61553 – Travaux Désinsectisation</t>
  </si>
  <si>
    <t>615531 – Travaux Désinsectisation</t>
  </si>
  <si>
    <t>615532 – Intervention Désinsectisation</t>
  </si>
  <si>
    <t>6156 – Travaux Accès</t>
  </si>
  <si>
    <t>61561 – Travaux Interphone</t>
  </si>
  <si>
    <t>615621 – Entretien PortesAuto</t>
  </si>
  <si>
    <t>615622 – Travaux PortesAuto</t>
  </si>
  <si>
    <t>61564 – Travaux Signalétique</t>
  </si>
  <si>
    <t>61566 – Travaux Serrurerie</t>
  </si>
  <si>
    <t>61569 – Autres Travaux Contrôle Accès</t>
  </si>
  <si>
    <t>6157 – Travaux Interventions Sécurité Incendie</t>
  </si>
  <si>
    <t>61576 – Travaux Protection Incendie</t>
  </si>
  <si>
    <t>615761 – Travaux Matériel Incendie</t>
  </si>
  <si>
    <t>615762 – Travaux Extincteurs</t>
  </si>
  <si>
    <t>6158 – Travaux Bâti</t>
  </si>
  <si>
    <t>61581 – Travaux PeintureRevêtt</t>
  </si>
  <si>
    <t>61582 – Travaux Menuiserie</t>
  </si>
  <si>
    <t>61583 – Travaux Vitrerie</t>
  </si>
  <si>
    <t>61587 – Travaux Maçonnerie</t>
  </si>
  <si>
    <t>61588 – Travaux Toiture Terrasse</t>
  </si>
  <si>
    <t>6159 – Autres Travaux</t>
  </si>
  <si>
    <t>61590 – Travaux Mobiliers</t>
  </si>
  <si>
    <t>61591 – Entretien Engins</t>
  </si>
  <si>
    <t>615911 – Entretien Engins</t>
  </si>
  <si>
    <t>615912 – Travaux Engins Véhicules</t>
  </si>
  <si>
    <t>61596 – Travaux Téléphonie-TV</t>
  </si>
  <si>
    <t>615965 – Travaux Antenne Parabole</t>
  </si>
  <si>
    <t>61597 – Travaux TéléSurveillance</t>
  </si>
  <si>
    <t>615971 – Entretien Mat.TéléSurveillance</t>
  </si>
  <si>
    <t xml:space="preserve">615972 – Entretien Mat.GTC </t>
  </si>
  <si>
    <t>61598 – Travaux Jardins</t>
  </si>
  <si>
    <t>615981 – Entretien Jardins</t>
  </si>
  <si>
    <t>615982 – Travaux Jardins</t>
  </si>
  <si>
    <t>616 Primes d'assurances   *</t>
  </si>
  <si>
    <t>6160 – Assurances MultiRisques</t>
  </si>
  <si>
    <t>617 Autres Services</t>
  </si>
  <si>
    <t>6176 – Téléphonie TV</t>
  </si>
  <si>
    <t>61761 – Consommation Téléphone</t>
  </si>
  <si>
    <t>617611 – Consommation Téléphone 00761 C.Gén.</t>
  </si>
  <si>
    <t>617612 – Consommation Téléphone 40761  Asc.</t>
  </si>
  <si>
    <t>617613 – Consommation Téléphone 65761, Chauff.</t>
  </si>
  <si>
    <t>62 Frais d'administration et honoraires :</t>
  </si>
  <si>
    <t>621 Rémunérations du syndic sur gestion copropriété  *</t>
  </si>
  <si>
    <t>6211 – Honoraires Syndic   *</t>
  </si>
  <si>
    <t>6212 – Débours   *</t>
  </si>
  <si>
    <t>62121 – Frais Gestion Syndic</t>
  </si>
  <si>
    <t>62122 – Photocopies&amp;Tirages</t>
  </si>
  <si>
    <t>62126 – Frais de Procédure</t>
  </si>
  <si>
    <t>62128 – Frais Administratifs Ext.</t>
  </si>
  <si>
    <t>6213 – Frais postaux   *</t>
  </si>
  <si>
    <t>62130 – Frais postaux</t>
  </si>
  <si>
    <t>62132 – FraisCorrespondances</t>
  </si>
  <si>
    <t>622 – Autres honoraires du syndic   *</t>
  </si>
  <si>
    <t>6221 – Honoraires travaux   *</t>
  </si>
  <si>
    <t>6222 – Prestations particulières  *</t>
  </si>
  <si>
    <t>62221 – Vacations Syndic</t>
  </si>
  <si>
    <t>62222 – Vacations Sinistres</t>
  </si>
  <si>
    <t>6223 – Autres honoraires   *</t>
  </si>
  <si>
    <t>62231 – Honoraires Recouvrement</t>
  </si>
  <si>
    <t>62232 – Honoraires Procédures Syndic</t>
  </si>
  <si>
    <t>623 Rémunérations de tiers intervenants   *</t>
  </si>
  <si>
    <t>6231 – Honoraires Experts</t>
  </si>
  <si>
    <t>62311 – Honoraires  Expertises</t>
  </si>
  <si>
    <t>62312 – Expertises Ascenseurs</t>
  </si>
  <si>
    <t>62313 – Expertises Chauffage</t>
  </si>
  <si>
    <t>6232 – Honoraires Architectes</t>
  </si>
  <si>
    <t>6233 – Honoraires Huissiers</t>
  </si>
  <si>
    <t>6234 – Honoraires Avocats</t>
  </si>
  <si>
    <t>624 Frais du conseil syndical   *</t>
  </si>
  <si>
    <t>63 Impôts - taxes et versements assimilés :</t>
  </si>
  <si>
    <t>632 Taxe de balayage   *</t>
  </si>
  <si>
    <t>633 Taxe foncière   *</t>
  </si>
  <si>
    <t>634 Autres impôts et taxes   *</t>
  </si>
  <si>
    <t>6341 – Taxe Ordures Ménagères</t>
  </si>
  <si>
    <t>6342 – Taxe Habitation</t>
  </si>
  <si>
    <t>64 Frais de personnels :</t>
  </si>
  <si>
    <t>641 Salaires   *</t>
  </si>
  <si>
    <t>64101 – Salaires Concierges</t>
  </si>
  <si>
    <t>64102 – Salaires Gardiens</t>
  </si>
  <si>
    <t>64103 – Salaires Gardiens 40%</t>
  </si>
  <si>
    <t>64104 – Salaires Gardiens 0%</t>
  </si>
  <si>
    <t>64106 – Salaires Pers.Entretien</t>
  </si>
  <si>
    <t>642 Charges sociales et organismes sociaux   *</t>
  </si>
  <si>
    <t>6421 – CRI Prévoyance</t>
  </si>
  <si>
    <t>64211 – CRI Prévoyance Concierges</t>
  </si>
  <si>
    <t>64212 – CRI Prévoyance Gardiens</t>
  </si>
  <si>
    <t>64213 – CRI Prévoyance Gardiens 40%</t>
  </si>
  <si>
    <t>64214 – CRI Prévoyance Gardiens 0%</t>
  </si>
  <si>
    <t>64216 – CRI Prévoyance Pers.Entretien</t>
  </si>
  <si>
    <t>6422 – Cotisation. Urssaf</t>
  </si>
  <si>
    <t>64221 – Cotisation. Urssaf Concierges</t>
  </si>
  <si>
    <t>64222 – Cotisation. Urssaf Gardiens</t>
  </si>
  <si>
    <t>64223 – Cotisation. Urssaf Gardiens 40%</t>
  </si>
  <si>
    <t>64224 – Cotisation. Urssaf Gardiens 0%</t>
  </si>
  <si>
    <t>64226 – Cotisation. Urssaf Pers.Entretien</t>
  </si>
  <si>
    <t>6423 – Cotisation. Retraite</t>
  </si>
  <si>
    <t>64231 – Cotisation. Retraite Concierges</t>
  </si>
  <si>
    <t>64232 – Cotisation. Retraite Gardiens</t>
  </si>
  <si>
    <t>64233 – Cotisation. Retraite Gardiens 40%</t>
  </si>
  <si>
    <t>64234 – Cotisation. Retraite Gardiens 0%</t>
  </si>
  <si>
    <t>64236 – Cotisation. Retraite Pers.Entretien</t>
  </si>
  <si>
    <t>6424 – Cotisation. Chômage</t>
  </si>
  <si>
    <t>64241 – Cotisation. Chômage Concierges</t>
  </si>
  <si>
    <t>64242 – Cotisation. Chômage Gardiens</t>
  </si>
  <si>
    <t>64243 – Cotisation. Chômage Gardiens 40%</t>
  </si>
  <si>
    <t>64244 – Cotisation. Chômage Gardiens 0%</t>
  </si>
  <si>
    <t>64246 – Cotisation. Chômage Pers.Entretien</t>
  </si>
  <si>
    <t>6425 – Cotisation. AGEFOS Gardiens</t>
  </si>
  <si>
    <t>64251 – Cotisation. AGEFOS Concierges</t>
  </si>
  <si>
    <t>64252 – Cotisation. AGEFOS Gardiens</t>
  </si>
  <si>
    <t>64253 – Cotisation. AGEFOS Gardiens 40%</t>
  </si>
  <si>
    <t>64254 – Cotisation. AGEFOS Gardiens 0%</t>
  </si>
  <si>
    <t>6429 – Autres Charges Sociales</t>
  </si>
  <si>
    <t>64296 – Charges Sociales Pers.Entretien</t>
  </si>
  <si>
    <t>64299 - Salaires &amp; Charges Sociales</t>
  </si>
  <si>
    <t>643 Taxe sur les salaires   *</t>
  </si>
  <si>
    <t>64301 – Taxe salaires Concierges</t>
  </si>
  <si>
    <t>64302 – Taxe salaires Gardiens</t>
  </si>
  <si>
    <t>64303 – Taxe salaires Gardiens 40%</t>
  </si>
  <si>
    <t>64304 – Taxe salaires Gardiens 0%</t>
  </si>
  <si>
    <t>64306 – Taxe salaires Pers.Entretien</t>
  </si>
  <si>
    <t>644 Autres (médecine du travail, mutuelles, etc.)   *</t>
  </si>
  <si>
    <t>6441 – Visites Médicales</t>
  </si>
  <si>
    <t>64411 – Visites Médicales Concierges</t>
  </si>
  <si>
    <t>64412 – Visites Médicales Gardiens</t>
  </si>
  <si>
    <t>64413 – Visites Médicales Gardiens 40%</t>
  </si>
  <si>
    <t>64414 – Visites Médicales Gardiens 0%</t>
  </si>
  <si>
    <t>64416 – Visites Médicales Pers.Entretien</t>
  </si>
  <si>
    <t>6442 Cotisations Prévention&amp;Mutuelle</t>
  </si>
  <si>
    <t>64422 Cotis.Prévention&amp;Mutuelle Gardiens</t>
  </si>
  <si>
    <t>64426 Cotis.Prévention&amp;Mutuelle P.Entretien</t>
  </si>
  <si>
    <t>6445 – Formation Professionnelle</t>
  </si>
  <si>
    <t>64451  Formation Prof.Concierges</t>
  </si>
  <si>
    <t>64456  Formation Prof. Pers.Entretien</t>
  </si>
  <si>
    <t>6446 – Indemnités Sec.Soc.</t>
  </si>
  <si>
    <t>6447 – Avantages Nature</t>
  </si>
  <si>
    <t>6449 Autres Frais Personnels</t>
  </si>
  <si>
    <t>64490 Autres Frais Personnels</t>
  </si>
  <si>
    <t>64491  Interventions Supp.Gardien</t>
  </si>
  <si>
    <t>64496 – Diagnostics Risques Professionnels</t>
  </si>
  <si>
    <t>66 Charges financières des emprunts, agios ou autres :</t>
  </si>
  <si>
    <t>661 Remboursement d'annuités d'emprunt   *</t>
  </si>
  <si>
    <t>662 Autres charges financières et agios   *</t>
  </si>
  <si>
    <t>6621 – Frais Bancaires</t>
  </si>
  <si>
    <t>67 Charges pour travaux et opérations exceptionnelles :</t>
  </si>
  <si>
    <t>671 Travaux décidés par l'assemblée générale   *</t>
  </si>
  <si>
    <t>672 Travaux urgents   *</t>
  </si>
  <si>
    <t>673 Etudes techniques, diagnostic, consultation   *</t>
  </si>
  <si>
    <t>6731 – Etudes Diagnostics.Consultations.</t>
  </si>
  <si>
    <t>6732 – Etudes Techn.Ascenseurs</t>
  </si>
  <si>
    <t>6733 – Etudes Techn.Chauffage</t>
  </si>
  <si>
    <t>677 Pertes sur créances irracouvrables   *</t>
  </si>
  <si>
    <t>678 Charges exceptionnelles   *</t>
  </si>
  <si>
    <t>6781 – Sinistres, Dégats des Eaux</t>
  </si>
  <si>
    <t>67811 – Dégats des Eaux</t>
  </si>
  <si>
    <t>67812 – Bris Glaces</t>
  </si>
  <si>
    <t>67813 –</t>
  </si>
  <si>
    <t>6788 – Rompus Arrondis</t>
  </si>
  <si>
    <t>6789 – Régularisation Comptable</t>
  </si>
  <si>
    <t>71 Autres produits :</t>
  </si>
  <si>
    <t>713 Indemnités d'assurances   *</t>
  </si>
  <si>
    <t>7130 – Indemnités.</t>
  </si>
  <si>
    <t>714 Produits divers (dont intérêts légaux dus par les copropriétaires)  *</t>
  </si>
  <si>
    <t>7141 – RecettesDiv.NonDeclarées</t>
  </si>
  <si>
    <t>7142 – Indemnités Art.700.</t>
  </si>
  <si>
    <t>7143 – Recettes Diverses.</t>
  </si>
  <si>
    <t>71431 – Recettes Diverses.Générales</t>
  </si>
  <si>
    <t>714310 – Recettes Diverses.</t>
  </si>
  <si>
    <t>714311 – Vente Bips et Badges</t>
  </si>
  <si>
    <t>71433 – Recettes DiversesChauff.</t>
  </si>
  <si>
    <t>716 Produits financiers   *</t>
  </si>
  <si>
    <t>7161 – Produits financiers Divers.</t>
  </si>
  <si>
    <t>7163 – Recettes Diverses.</t>
  </si>
  <si>
    <t>718 Produits exceptionnels   *</t>
  </si>
  <si>
    <t>7181 – RecettesDommagesIntérets.</t>
  </si>
  <si>
    <t>Analyse Des Dépenses</t>
  </si>
  <si>
    <t>8001 – Eau Plomberie</t>
  </si>
  <si>
    <t>8002 – Électricité Eclairage</t>
  </si>
  <si>
    <t>602 Électricité  Eclairage</t>
  </si>
  <si>
    <t>6142 –Contrats Entretien Electricité</t>
  </si>
  <si>
    <t>6152 – Travaux Electricité</t>
  </si>
  <si>
    <t>600 Ascenseurs</t>
  </si>
  <si>
    <t>8004 – Hygiène Entretien</t>
  </si>
  <si>
    <t>611 Services Extérieurs Nettoyage locaux</t>
  </si>
  <si>
    <t>641 Frais Personnels</t>
  </si>
  <si>
    <t>6429 – Autres ChargesSociales Pers.Entretien</t>
  </si>
  <si>
    <t>8003 – GTC</t>
  </si>
  <si>
    <t>6053 – Matériels GTC</t>
  </si>
  <si>
    <t>8006 – Accès</t>
  </si>
  <si>
    <t>8007 – Téléphone</t>
  </si>
  <si>
    <t>60691 – Consommation Téléphone</t>
  </si>
  <si>
    <t>606911 – Consommation Téléphone 00761 C.Gén.</t>
  </si>
  <si>
    <t>606912 – Consommation Téléphone 40761  Asc.</t>
  </si>
  <si>
    <t>606913 – Consommation Téléphone 65761, Chauff.</t>
  </si>
  <si>
    <t>8008 – Jardins</t>
  </si>
  <si>
    <t>8009 –  Divers</t>
  </si>
  <si>
    <t>6069 Fournitures  Non Matérielles</t>
  </si>
  <si>
    <t>Répartitions Collectives</t>
  </si>
  <si>
    <t>Total Surface Corrigée</t>
  </si>
  <si>
    <t xml:space="preserve">600 Ascenseurs </t>
  </si>
  <si>
    <t>807 Eau   (dont...)</t>
  </si>
  <si>
    <t>Répartitions Personnelles</t>
  </si>
  <si>
    <t>Personnelle</t>
  </si>
  <si>
    <t xml:space="preserve"> Eau   (Vol. m²)</t>
  </si>
  <si>
    <t>Total</t>
  </si>
  <si>
    <t>6780</t>
  </si>
  <si>
    <t>678  ChargesException. Ravalement</t>
  </si>
  <si>
    <t>702  Trvx.Ravalement</t>
  </si>
  <si>
    <t>Opérations Courantes</t>
  </si>
  <si>
    <t>Opérations Exceptionnelles</t>
  </si>
  <si>
    <t>6150/01176   TravauxNettoyage    (0165)</t>
  </si>
  <si>
    <r>
      <t>6230/65364/601</t>
    </r>
    <r>
      <rPr>
        <b/>
        <sz val="10"/>
        <color theme="1"/>
        <rFont val="Perpetua"/>
        <family val="1"/>
      </rPr>
      <t xml:space="preserve"> </t>
    </r>
    <r>
      <rPr>
        <sz val="10"/>
        <color theme="1"/>
        <rFont val="Perpetua"/>
        <family val="1"/>
      </rPr>
      <t>ContrôleTechnique</t>
    </r>
  </si>
  <si>
    <r>
      <t>6230/65364/602</t>
    </r>
    <r>
      <rPr>
        <b/>
        <sz val="10"/>
        <color theme="1"/>
        <rFont val="Perpetua"/>
        <family val="1"/>
      </rPr>
      <t xml:space="preserve"> </t>
    </r>
    <r>
      <rPr>
        <sz val="10"/>
        <color theme="1"/>
        <rFont val="Perpetua"/>
        <family val="1"/>
      </rPr>
      <t>ContrôleTechnique</t>
    </r>
  </si>
  <si>
    <t>6150/01135   Entr.Menuiserie           (0080)</t>
  </si>
  <si>
    <t>61562 – Travaux Menuiserie PortesAuto</t>
  </si>
  <si>
    <t>615626 – Travaux Menuiserie</t>
  </si>
  <si>
    <t>615625 – Entretien Menuiserie</t>
  </si>
  <si>
    <t xml:space="preserve">6115 – Entretien Nettoyage Hygiène </t>
  </si>
  <si>
    <t>615411 – Entretiens Courants Ascenseurs</t>
  </si>
  <si>
    <t>615415 – ContrôlesTechniques Ascenseurs</t>
  </si>
  <si>
    <t>2022</t>
  </si>
  <si>
    <t>Var 21/22</t>
  </si>
  <si>
    <t>6730/00368 Etudes Diag.Consult.           (0550)</t>
  </si>
  <si>
    <t>6160/01446 Assurances Sans TVA (0835)</t>
  </si>
  <si>
    <t>6163 – Assurances sans TVA</t>
  </si>
  <si>
    <t>6140/00841 ContratEntrt Jardins        (1110)</t>
  </si>
  <si>
    <r>
      <t>6150/40146/600</t>
    </r>
    <r>
      <rPr>
        <b/>
        <sz val="10"/>
        <color rgb="FF000000"/>
        <rFont val="Perpetua"/>
        <family val="1"/>
      </rPr>
      <t xml:space="preserve"> </t>
    </r>
    <r>
      <rPr>
        <sz val="10"/>
        <color rgb="FF000000"/>
        <rFont val="Perpetua"/>
        <family val="1"/>
      </rPr>
      <t>Travaux Peinture</t>
    </r>
  </si>
  <si>
    <r>
      <t>6150/40146/603</t>
    </r>
    <r>
      <rPr>
        <b/>
        <sz val="10"/>
        <color rgb="FF000000"/>
        <rFont val="Perpetua"/>
        <family val="1"/>
      </rPr>
      <t xml:space="preserve"> </t>
    </r>
    <r>
      <rPr>
        <sz val="10"/>
        <color rgb="FF000000"/>
        <rFont val="Perpetua"/>
        <family val="1"/>
      </rPr>
      <t>Travaux Peinture</t>
    </r>
  </si>
  <si>
    <t>62341 – Avocats Représentation Ordinaire</t>
  </si>
  <si>
    <t>62343 – Affaire Allagar</t>
  </si>
  <si>
    <t>6230/01382 Honor.Avocats (Allagar)   (0642)</t>
  </si>
  <si>
    <t>=387</t>
  </si>
  <si>
    <t>=475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</si>
</sst>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#,##0.000000000"/>
  </numFmts>
  <fonts count="85" x14ac:knownFonts="1">
    <font>
      <sz val="11"/>
      <color theme="1"/>
      <name val="Palatino Linotype"/>
      <family val="2"/>
    </font>
    <font>
      <sz val="11"/>
      <color rgb="FF000000"/>
      <name val="Palatino Linotype"/>
      <family val="1"/>
    </font>
    <font>
      <sz val="10"/>
      <color theme="1"/>
      <name val="Palatino Linotype"/>
      <family val="2"/>
    </font>
    <font>
      <i/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b/>
      <i/>
      <sz val="11"/>
      <color theme="1"/>
      <name val="Palatino Linotype"/>
      <family val="1"/>
    </font>
    <font>
      <b/>
      <sz val="10"/>
      <color rgb="FF000000"/>
      <name val="Perpetua"/>
      <family val="1"/>
    </font>
    <font>
      <sz val="10"/>
      <color rgb="FF000000"/>
      <name val="Perpetua"/>
      <family val="1"/>
    </font>
    <font>
      <sz val="11"/>
      <color rgb="FF000000"/>
      <name val="Perpetua"/>
      <family val="1"/>
    </font>
    <font>
      <sz val="11"/>
      <color theme="1"/>
      <name val="Palatino Linotype"/>
      <family val="1"/>
    </font>
    <font>
      <sz val="11"/>
      <color rgb="FF000000"/>
      <name val="Palatino Linotype"/>
      <family val="2"/>
    </font>
    <font>
      <b/>
      <i/>
      <sz val="11"/>
      <color theme="9" tint="-0.499984740745262"/>
      <name val="Palatino Linotype"/>
      <family val="1"/>
    </font>
    <font>
      <b/>
      <i/>
      <sz val="11"/>
      <color rgb="FF006600"/>
      <name val="Palatino Linotype"/>
      <family val="1"/>
    </font>
    <font>
      <b/>
      <i/>
      <sz val="11"/>
      <color theme="5" tint="-0.249977111117893"/>
      <name val="Palatino Linotype"/>
      <family val="1"/>
    </font>
    <font>
      <sz val="11"/>
      <color rgb="FF00B050"/>
      <name val="Palatino Linotype"/>
      <family val="2"/>
    </font>
    <font>
      <sz val="10"/>
      <color rgb="FF00B050"/>
      <name val="Palatino Linotype"/>
      <family val="2"/>
    </font>
    <font>
      <b/>
      <i/>
      <sz val="11"/>
      <color rgb="FF00B050"/>
      <name val="Palatino Linotype"/>
      <family val="2"/>
    </font>
    <font>
      <i/>
      <sz val="11"/>
      <color rgb="FF00B050"/>
      <name val="Palatino Linotype"/>
      <family val="2"/>
    </font>
    <font>
      <b/>
      <sz val="11"/>
      <color rgb="FF00B050"/>
      <name val="Palatino Linotype"/>
      <family val="2"/>
    </font>
    <font>
      <sz val="11"/>
      <color rgb="FFFF0000"/>
      <name val="Palatino Linotype"/>
      <family val="2"/>
    </font>
    <font>
      <sz val="10"/>
      <color rgb="FFFF0000"/>
      <name val="Palatino Linotype"/>
      <family val="2"/>
    </font>
    <font>
      <b/>
      <i/>
      <sz val="11"/>
      <color rgb="FFFF0000"/>
      <name val="Palatino Linotype"/>
      <family val="2"/>
    </font>
    <font>
      <i/>
      <sz val="11"/>
      <color rgb="FFFF0000"/>
      <name val="Palatino Linotype"/>
      <family val="2"/>
    </font>
    <font>
      <b/>
      <sz val="11"/>
      <color rgb="FFFF0000"/>
      <name val="Palatino Linotype"/>
      <family val="2"/>
    </font>
    <font>
      <sz val="11"/>
      <color rgb="FFFA0000"/>
      <name val="Palatino Linotype"/>
      <family val="2"/>
    </font>
    <font>
      <sz val="10"/>
      <color rgb="FFFA0000"/>
      <name val="Palatino Linotype"/>
      <family val="2"/>
    </font>
    <font>
      <b/>
      <i/>
      <sz val="11"/>
      <color rgb="FFFA0000"/>
      <name val="Palatino Linotype"/>
      <family val="2"/>
    </font>
    <font>
      <i/>
      <sz val="11"/>
      <color rgb="FFFA0000"/>
      <name val="Palatino Linotype"/>
      <family val="2"/>
    </font>
    <font>
      <b/>
      <sz val="11"/>
      <color rgb="FFFA0000"/>
      <name val="Palatino Linotype"/>
      <family val="2"/>
    </font>
    <font>
      <b/>
      <sz val="10"/>
      <color theme="4" tint="-0.249977111117893"/>
      <name val="Palatino Linotype"/>
      <family val="1"/>
    </font>
    <font>
      <b/>
      <sz val="11"/>
      <color theme="4" tint="-0.249977111117893"/>
      <name val="Palatino Linotype"/>
      <family val="1"/>
    </font>
    <font>
      <sz val="12"/>
      <color rgb="FF4F81BD"/>
      <name val="Times New Roman"/>
      <family val="1"/>
    </font>
    <font>
      <i/>
      <sz val="11"/>
      <color rgb="FF000000"/>
      <name val="Calibri"/>
      <family val="2"/>
    </font>
    <font>
      <sz val="10"/>
      <color theme="1"/>
      <name val="Palatino Linotype"/>
      <family val="1"/>
    </font>
    <font>
      <sz val="10"/>
      <color rgb="FFC0504D"/>
      <name val="Times New Roman"/>
      <family val="1"/>
    </font>
    <font>
      <sz val="12"/>
      <name val="Georgia"/>
      <family val="1"/>
    </font>
    <font>
      <i/>
      <sz val="11"/>
      <color rgb="FF000000"/>
      <name val="Palatino Linotype"/>
      <family val="1"/>
    </font>
    <font>
      <b/>
      <sz val="11"/>
      <color rgb="FF000000"/>
      <name val="Palatino Linotype"/>
      <family val="1"/>
    </font>
    <font>
      <b/>
      <sz val="11"/>
      <color rgb="FFFF0000"/>
      <name val="Palatino Linotype"/>
      <family val="1"/>
    </font>
    <font>
      <sz val="10"/>
      <color rgb="FF000000"/>
      <name val="Palatino Linotype"/>
      <family val="2"/>
    </font>
    <font>
      <i/>
      <sz val="13"/>
      <color theme="1"/>
      <name val="Palatino Linotype"/>
      <family val="1"/>
    </font>
    <font>
      <b/>
      <i/>
      <u val="double"/>
      <sz val="11"/>
      <color rgb="FFFF0000"/>
      <name val="Palatino Linotype"/>
      <family val="1"/>
    </font>
    <font>
      <i/>
      <sz val="11"/>
      <color rgb="FFFA0000"/>
      <name val="Palatino Linotype"/>
      <family val="1"/>
    </font>
    <font>
      <sz val="10"/>
      <color theme="1"/>
      <name val="Perpetua"/>
      <family val="1"/>
    </font>
    <font>
      <sz val="11"/>
      <color theme="1"/>
      <name val="Perpetua"/>
      <family val="1"/>
    </font>
    <font>
      <i/>
      <sz val="10"/>
      <color theme="1"/>
      <name val="Palatino Linotype"/>
      <family val="1"/>
    </font>
    <font>
      <b/>
      <sz val="10"/>
      <color theme="1"/>
      <name val="Perpetua"/>
      <family val="1"/>
    </font>
    <font>
      <b/>
      <i/>
      <sz val="9"/>
      <color theme="5" tint="-0.249977111117893"/>
      <name val="Palatino Linotype"/>
      <family val="1"/>
    </font>
    <font>
      <b/>
      <i/>
      <sz val="10"/>
      <color theme="1"/>
      <name val="Palatino Linotype"/>
      <family val="1"/>
    </font>
    <font>
      <sz val="10"/>
      <name val="Perpetua"/>
      <family val="1"/>
    </font>
    <font>
      <b/>
      <sz val="10"/>
      <name val="Perpetua"/>
      <family val="1"/>
    </font>
    <font>
      <sz val="11"/>
      <name val="Perpetua"/>
      <family val="1"/>
    </font>
    <font>
      <b/>
      <i/>
      <sz val="11"/>
      <color rgb="FF7030A0"/>
      <name val="Palatino Linotype"/>
      <family val="1"/>
    </font>
    <font>
      <b/>
      <i/>
      <sz val="11"/>
      <color theme="3" tint="0.39997558519241921"/>
      <name val="Palatino Linotype"/>
      <family val="1"/>
    </font>
    <font>
      <b/>
      <i/>
      <sz val="10"/>
      <color theme="3" tint="0.39997558519241921"/>
      <name val="Palatino Linotype"/>
      <family val="1"/>
    </font>
    <font>
      <b/>
      <i/>
      <sz val="11"/>
      <color theme="3"/>
      <name val="Palatino Linotype"/>
      <family val="1"/>
    </font>
    <font>
      <b/>
      <i/>
      <sz val="11"/>
      <color rgb="FF538DD5"/>
      <name val="Palatino Linotype"/>
      <family val="1"/>
    </font>
    <font>
      <b/>
      <sz val="13"/>
      <color rgb="FF000000"/>
      <name val="Georgia"/>
      <family val="1"/>
    </font>
    <font>
      <b/>
      <sz val="11"/>
      <color theme="1"/>
      <name val="Cambria"/>
      <family val="1"/>
    </font>
    <font>
      <b/>
      <sz val="12"/>
      <color theme="3"/>
      <name val="Georgia"/>
      <family val="1"/>
    </font>
    <font>
      <b/>
      <i/>
      <sz val="12"/>
      <color theme="1"/>
      <name val="Georgia"/>
      <family val="1"/>
    </font>
    <font>
      <sz val="11"/>
      <color theme="1"/>
      <name val="Cambria"/>
      <family val="1"/>
    </font>
    <font>
      <b/>
      <sz val="12"/>
      <color theme="1"/>
      <name val="Cambria"/>
      <family val="1"/>
      <scheme val="major"/>
    </font>
    <font>
      <i/>
      <sz val="12"/>
      <color theme="1"/>
      <name val="Cambria"/>
      <family val="1"/>
      <scheme val="major"/>
    </font>
    <font>
      <sz val="11"/>
      <color rgb="FF0070C0"/>
      <name val="Palatino Linotype"/>
      <family val="2"/>
    </font>
    <font>
      <i/>
      <sz val="11"/>
      <color theme="4" tint="-0.249977111117893"/>
      <name val="Palatino Linotype"/>
      <family val="1"/>
    </font>
    <font>
      <b/>
      <i/>
      <sz val="11"/>
      <color theme="3" tint="0.39997558519241921"/>
      <name val="Cambria"/>
      <family val="1"/>
    </font>
    <font>
      <i/>
      <sz val="11"/>
      <color rgb="FF0070C0"/>
      <name val="Palatino Linotype"/>
      <family val="1"/>
    </font>
    <font>
      <i/>
      <sz val="10"/>
      <color theme="9" tint="-0.499984740745262"/>
      <name val="Palatino Linotype"/>
      <family val="1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i/>
      <sz val="11"/>
      <color theme="3" tint="0.39997558519241921"/>
      <name val="Palatino Linotype"/>
      <family val="1"/>
    </font>
    <font>
      <sz val="10"/>
      <color rgb="FF4F81BD"/>
      <name val="Times New Roman"/>
      <family val="1"/>
    </font>
    <font>
      <i/>
      <sz val="10"/>
      <color theme="3" tint="0.39997558519241921"/>
      <name val="Palatino Linotype"/>
      <family val="1"/>
    </font>
    <font>
      <i/>
      <sz val="11"/>
      <color theme="3"/>
      <name val="Palatino Linotype"/>
      <family val="1"/>
    </font>
    <font>
      <i/>
      <sz val="11"/>
      <color rgb="FF538DD5"/>
      <name val="Palatino Linotype"/>
      <family val="1"/>
    </font>
    <font>
      <b/>
      <sz val="12"/>
      <color rgb="FF366092"/>
      <name val="Palatino Linotype"/>
      <family val="1"/>
    </font>
    <font>
      <b/>
      <sz val="10"/>
      <color rgb="FF366092"/>
      <name val="Palatino Linotype"/>
      <family val="1"/>
    </font>
    <font>
      <b/>
      <sz val="10"/>
      <color theme="1"/>
      <name val="Palatino Linotype"/>
      <family val="1"/>
    </font>
    <font>
      <b/>
      <i/>
      <sz val="10"/>
      <color rgb="FF366092"/>
      <name val="Palatino Linotype"/>
      <family val="1"/>
    </font>
    <font>
      <b/>
      <i/>
      <sz val="10"/>
      <color rgb="FF0070C0"/>
      <name val="Palatino Linotype"/>
      <family val="1"/>
    </font>
    <font>
      <b/>
      <i/>
      <sz val="11"/>
      <color rgb="FF0070C0"/>
      <name val="Palatino Linotype"/>
      <family val="1"/>
    </font>
    <font>
      <b/>
      <sz val="14"/>
      <color theme="1"/>
      <name val="Palatino Linotype"/>
      <family val="1"/>
    </font>
    <font>
      <u/>
      <sz val="11"/>
      <color rgb="FF000000"/>
      <name val="Palatino Linotype"/>
      <family val="2"/>
    </font>
    <font>
      <u/>
      <sz val="11"/>
      <color theme="1"/>
      <name val="Palatino Linotype"/>
      <family val="2"/>
    </font>
  </fonts>
  <fills count="1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DE9D9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DDD9C4"/>
        <bgColor rgb="FF000000"/>
      </patternFill>
    </fill>
    <fill>
      <patternFill patternType="solid">
        <fgColor rgb="FFC4BD97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7D7D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473">
    <xf numFmtId="0" fontId="0" fillId="0" borderId="0" xfId="0"/>
    <xf numFmtId="49" fontId="0" fillId="0" borderId="0" xfId="0" applyNumberFormat="1" applyAlignment="1">
      <alignment horizontal="center" vertical="top" shrinkToFit="1"/>
    </xf>
    <xf numFmtId="49" fontId="2" fillId="0" borderId="0" xfId="0" applyNumberFormat="1" applyFont="1" applyAlignment="1">
      <alignment horizontal="center" vertical="top"/>
    </xf>
    <xf numFmtId="49" fontId="0" fillId="0" borderId="0" xfId="0" applyNumberFormat="1" applyAlignment="1">
      <alignment horizontal="center" vertical="top"/>
    </xf>
    <xf numFmtId="4" fontId="0" fillId="2" borderId="0" xfId="0" applyNumberFormat="1" applyFill="1" applyAlignment="1">
      <alignment horizontal="center" vertical="top" shrinkToFit="1"/>
    </xf>
    <xf numFmtId="4" fontId="0" fillId="3" borderId="0" xfId="0" applyNumberFormat="1" applyFill="1" applyAlignment="1">
      <alignment horizontal="center" vertical="top" shrinkToFit="1"/>
    </xf>
    <xf numFmtId="4" fontId="3" fillId="4" borderId="0" xfId="0" applyNumberFormat="1" applyFont="1" applyFill="1" applyAlignment="1">
      <alignment horizontal="center" vertical="top" shrinkToFit="1"/>
    </xf>
    <xf numFmtId="4" fontId="4" fillId="5" borderId="0" xfId="0" applyNumberFormat="1" applyFont="1" applyFill="1" applyAlignment="1">
      <alignment horizontal="center" vertical="top" shrinkToFit="1"/>
    </xf>
    <xf numFmtId="10" fontId="3" fillId="6" borderId="0" xfId="0" applyNumberFormat="1" applyFont="1" applyFill="1" applyAlignment="1">
      <alignment horizontal="center" vertical="top" shrinkToFit="1"/>
    </xf>
    <xf numFmtId="10" fontId="3" fillId="4" borderId="0" xfId="0" applyNumberFormat="1" applyFont="1" applyFill="1" applyAlignment="1">
      <alignment horizontal="center" vertical="top" shrinkToFit="1"/>
    </xf>
    <xf numFmtId="4" fontId="0" fillId="0" borderId="0" xfId="0" applyNumberFormat="1" applyAlignment="1">
      <alignment horizontal="center" vertical="top" shrinkToFit="1"/>
    </xf>
    <xf numFmtId="49" fontId="0" fillId="2" borderId="0" xfId="0" applyNumberFormat="1" applyFill="1" applyAlignment="1">
      <alignment horizontal="center" vertical="top" shrinkToFit="1"/>
    </xf>
    <xf numFmtId="49" fontId="0" fillId="3" borderId="0" xfId="0" applyNumberFormat="1" applyFill="1" applyAlignment="1">
      <alignment horizontal="center" vertical="top" shrinkToFit="1"/>
    </xf>
    <xf numFmtId="49" fontId="0" fillId="0" borderId="1" xfId="0" applyNumberForma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/>
    </xf>
    <xf numFmtId="49" fontId="0" fillId="0" borderId="1" xfId="0" applyNumberFormat="1" applyBorder="1" applyAlignment="1">
      <alignment horizontal="center" vertical="top"/>
    </xf>
    <xf numFmtId="49" fontId="0" fillId="2" borderId="1" xfId="0" applyNumberFormat="1" applyFill="1" applyBorder="1" applyAlignment="1">
      <alignment horizontal="center" vertical="top" wrapText="1"/>
    </xf>
    <xf numFmtId="49" fontId="0" fillId="3" borderId="1" xfId="0" applyNumberFormat="1" applyFill="1" applyBorder="1" applyAlignment="1">
      <alignment horizontal="center" vertical="top" wrapText="1"/>
    </xf>
    <xf numFmtId="49" fontId="3" fillId="4" borderId="1" xfId="0" applyNumberFormat="1" applyFont="1" applyFill="1" applyBorder="1" applyAlignment="1">
      <alignment horizontal="center" vertical="top" wrapText="1"/>
    </xf>
    <xf numFmtId="4" fontId="4" fillId="5" borderId="1" xfId="0" applyNumberFormat="1" applyFont="1" applyFill="1" applyBorder="1" applyAlignment="1">
      <alignment horizontal="center" vertical="top" wrapText="1"/>
    </xf>
    <xf numFmtId="10" fontId="5" fillId="6" borderId="1" xfId="0" applyNumberFormat="1" applyFont="1" applyFill="1" applyBorder="1" applyAlignment="1">
      <alignment horizontal="center" vertical="top" wrapText="1"/>
    </xf>
    <xf numFmtId="10" fontId="3" fillId="4" borderId="1" xfId="0" applyNumberFormat="1" applyFont="1" applyFill="1" applyBorder="1" applyAlignment="1">
      <alignment horizontal="center" vertical="top" wrapText="1"/>
    </xf>
    <xf numFmtId="10" fontId="3" fillId="4" borderId="0" xfId="0" applyNumberFormat="1" applyFont="1" applyFill="1" applyAlignment="1">
      <alignment horizontal="center" vertical="top" wrapText="1"/>
    </xf>
    <xf numFmtId="49" fontId="0" fillId="0" borderId="0" xfId="0" applyNumberFormat="1" applyAlignment="1">
      <alignment vertical="top" shrinkToFit="1"/>
    </xf>
    <xf numFmtId="49" fontId="2" fillId="0" borderId="0" xfId="0" applyNumberFormat="1" applyFont="1" applyAlignment="1">
      <alignment vertical="top"/>
    </xf>
    <xf numFmtId="49" fontId="0" fillId="0" borderId="0" xfId="0" applyNumberFormat="1" applyAlignment="1">
      <alignment vertical="top"/>
    </xf>
    <xf numFmtId="49" fontId="8" fillId="0" borderId="0" xfId="0" applyNumberFormat="1" applyFont="1" applyAlignment="1">
      <alignment vertical="top"/>
    </xf>
    <xf numFmtId="4" fontId="0" fillId="2" borderId="0" xfId="0" applyNumberFormat="1" applyFill="1" applyAlignment="1">
      <alignment vertical="top" shrinkToFit="1"/>
    </xf>
    <xf numFmtId="4" fontId="0" fillId="3" borderId="0" xfId="0" applyNumberFormat="1" applyFill="1" applyAlignment="1">
      <alignment vertical="top" shrinkToFit="1"/>
    </xf>
    <xf numFmtId="10" fontId="3" fillId="4" borderId="0" xfId="0" applyNumberFormat="1" applyFont="1" applyFill="1" applyBorder="1" applyAlignment="1">
      <alignment vertical="top" shrinkToFit="1"/>
    </xf>
    <xf numFmtId="4" fontId="4" fillId="5" borderId="0" xfId="0" applyNumberFormat="1" applyFont="1" applyFill="1" applyBorder="1" applyAlignment="1">
      <alignment horizontal="center" vertical="top" shrinkToFit="1"/>
    </xf>
    <xf numFmtId="164" fontId="3" fillId="6" borderId="0" xfId="0" applyNumberFormat="1" applyFont="1" applyFill="1" applyBorder="1" applyAlignment="1">
      <alignment horizontal="center" vertical="top" shrinkToFit="1"/>
    </xf>
    <xf numFmtId="4" fontId="0" fillId="7" borderId="0" xfId="0" applyNumberFormat="1" applyFill="1" applyAlignment="1">
      <alignment vertical="top" shrinkToFit="1"/>
    </xf>
    <xf numFmtId="10" fontId="3" fillId="7" borderId="0" xfId="0" applyNumberFormat="1" applyFont="1" applyFill="1" applyBorder="1" applyAlignment="1">
      <alignment horizontal="right" vertical="top" shrinkToFit="1"/>
    </xf>
    <xf numFmtId="4" fontId="9" fillId="5" borderId="0" xfId="0" applyNumberFormat="1" applyFont="1" applyFill="1" applyBorder="1" applyAlignment="1">
      <alignment horizontal="center" vertical="top" shrinkToFit="1"/>
    </xf>
    <xf numFmtId="10" fontId="3" fillId="4" borderId="0" xfId="0" applyNumberFormat="1" applyFont="1" applyFill="1" applyBorder="1" applyAlignment="1">
      <alignment horizontal="center" vertical="top" shrinkToFit="1"/>
    </xf>
    <xf numFmtId="4" fontId="0" fillId="0" borderId="0" xfId="0" applyNumberFormat="1" applyAlignment="1">
      <alignment vertical="top" shrinkToFit="1"/>
    </xf>
    <xf numFmtId="10" fontId="3" fillId="4" borderId="0" xfId="0" applyNumberFormat="1" applyFont="1" applyFill="1" applyBorder="1" applyAlignment="1">
      <alignment horizontal="right" vertical="top" shrinkToFit="1"/>
    </xf>
    <xf numFmtId="4" fontId="10" fillId="8" borderId="0" xfId="0" applyNumberFormat="1" applyFont="1" applyFill="1" applyAlignment="1">
      <alignment vertical="top" shrinkToFit="1"/>
    </xf>
    <xf numFmtId="10" fontId="3" fillId="4" borderId="0" xfId="0" applyNumberFormat="1" applyFont="1" applyFill="1" applyAlignment="1">
      <alignment vertical="top" shrinkToFit="1"/>
    </xf>
    <xf numFmtId="49" fontId="0" fillId="0" borderId="2" xfId="0" applyNumberFormat="1" applyBorder="1" applyAlignment="1">
      <alignment vertical="top" shrinkToFit="1"/>
    </xf>
    <xf numFmtId="49" fontId="2" fillId="0" borderId="2" xfId="0" applyNumberFormat="1" applyFont="1" applyBorder="1" applyAlignment="1">
      <alignment vertical="top"/>
    </xf>
    <xf numFmtId="49" fontId="0" fillId="0" borderId="2" xfId="0" applyNumberFormat="1" applyBorder="1" applyAlignment="1">
      <alignment vertical="top"/>
    </xf>
    <xf numFmtId="4" fontId="0" fillId="2" borderId="2" xfId="0" applyNumberFormat="1" applyFill="1" applyBorder="1" applyAlignment="1">
      <alignment vertical="top" shrinkToFit="1"/>
    </xf>
    <xf numFmtId="4" fontId="10" fillId="8" borderId="2" xfId="0" applyNumberFormat="1" applyFont="1" applyFill="1" applyBorder="1" applyAlignment="1">
      <alignment vertical="top" shrinkToFit="1"/>
    </xf>
    <xf numFmtId="4" fontId="0" fillId="3" borderId="2" xfId="0" applyNumberFormat="1" applyFill="1" applyBorder="1" applyAlignment="1">
      <alignment vertical="top" shrinkToFit="1"/>
    </xf>
    <xf numFmtId="10" fontId="3" fillId="4" borderId="2" xfId="0" applyNumberFormat="1" applyFont="1" applyFill="1" applyBorder="1" applyAlignment="1">
      <alignment vertical="top" shrinkToFit="1"/>
    </xf>
    <xf numFmtId="4" fontId="4" fillId="5" borderId="2" xfId="0" applyNumberFormat="1" applyFont="1" applyFill="1" applyBorder="1" applyAlignment="1">
      <alignment horizontal="center" vertical="top" shrinkToFit="1"/>
    </xf>
    <xf numFmtId="164" fontId="3" fillId="6" borderId="2" xfId="0" applyNumberFormat="1" applyFont="1" applyFill="1" applyBorder="1" applyAlignment="1">
      <alignment horizontal="center" vertical="top" shrinkToFit="1"/>
    </xf>
    <xf numFmtId="4" fontId="9" fillId="5" borderId="2" xfId="0" applyNumberFormat="1" applyFont="1" applyFill="1" applyBorder="1" applyAlignment="1">
      <alignment horizontal="center" vertical="top" shrinkToFit="1"/>
    </xf>
    <xf numFmtId="10" fontId="3" fillId="4" borderId="2" xfId="0" applyNumberFormat="1" applyFont="1" applyFill="1" applyBorder="1" applyAlignment="1">
      <alignment horizontal="center" vertical="top" shrinkToFit="1"/>
    </xf>
    <xf numFmtId="4" fontId="0" fillId="0" borderId="2" xfId="0" applyNumberFormat="1" applyBorder="1" applyAlignment="1">
      <alignment vertical="top" shrinkToFit="1"/>
    </xf>
    <xf numFmtId="49" fontId="0" fillId="0" borderId="0" xfId="0" applyNumberFormat="1" applyBorder="1" applyAlignment="1">
      <alignment vertical="top" shrinkToFit="1"/>
    </xf>
    <xf numFmtId="49" fontId="2" fillId="0" borderId="0" xfId="0" applyNumberFormat="1" applyFont="1" applyBorder="1" applyAlignment="1">
      <alignment vertical="top"/>
    </xf>
    <xf numFmtId="49" fontId="0" fillId="0" borderId="0" xfId="0" applyNumberFormat="1" applyBorder="1" applyAlignment="1">
      <alignment vertical="top"/>
    </xf>
    <xf numFmtId="4" fontId="11" fillId="2" borderId="0" xfId="0" applyNumberFormat="1" applyFont="1" applyFill="1" applyBorder="1" applyAlignment="1">
      <alignment vertical="top" shrinkToFit="1"/>
    </xf>
    <xf numFmtId="4" fontId="12" fillId="3" borderId="0" xfId="0" applyNumberFormat="1" applyFont="1" applyFill="1" applyBorder="1" applyAlignment="1">
      <alignment vertical="top" shrinkToFit="1"/>
    </xf>
    <xf numFmtId="4" fontId="13" fillId="4" borderId="0" xfId="0" applyNumberFormat="1" applyFont="1" applyFill="1" applyBorder="1" applyAlignment="1">
      <alignment vertical="top" shrinkToFit="1"/>
    </xf>
    <xf numFmtId="4" fontId="3" fillId="6" borderId="0" xfId="0" applyNumberFormat="1" applyFont="1" applyFill="1" applyBorder="1" applyAlignment="1">
      <alignment horizontal="center" vertical="top" shrinkToFit="1"/>
    </xf>
    <xf numFmtId="4" fontId="13" fillId="4" borderId="0" xfId="0" applyNumberFormat="1" applyFont="1" applyFill="1" applyBorder="1" applyAlignment="1">
      <alignment horizontal="right" vertical="top" shrinkToFit="1"/>
    </xf>
    <xf numFmtId="4" fontId="11" fillId="7" borderId="0" xfId="0" applyNumberFormat="1" applyFont="1" applyFill="1" applyBorder="1" applyAlignment="1">
      <alignment vertical="top" shrinkToFit="1"/>
    </xf>
    <xf numFmtId="4" fontId="13" fillId="7" borderId="0" xfId="0" applyNumberFormat="1" applyFont="1" applyFill="1" applyBorder="1" applyAlignment="1">
      <alignment horizontal="right" vertical="top" shrinkToFit="1"/>
    </xf>
    <xf numFmtId="4" fontId="0" fillId="0" borderId="0" xfId="0" applyNumberFormat="1" applyBorder="1" applyAlignment="1">
      <alignment vertical="top" shrinkToFit="1"/>
    </xf>
    <xf numFmtId="10" fontId="13" fillId="4" borderId="0" xfId="0" applyNumberFormat="1" applyFont="1" applyFill="1" applyBorder="1" applyAlignment="1">
      <alignment vertical="top" shrinkToFit="1"/>
    </xf>
    <xf numFmtId="49" fontId="14" fillId="0" borderId="0" xfId="0" applyNumberFormat="1" applyFont="1" applyAlignment="1">
      <alignment vertical="top" shrinkToFit="1"/>
    </xf>
    <xf numFmtId="49" fontId="15" fillId="0" borderId="0" xfId="0" applyNumberFormat="1" applyFont="1" applyAlignment="1">
      <alignment vertical="top"/>
    </xf>
    <xf numFmtId="49" fontId="14" fillId="0" borderId="0" xfId="0" applyNumberFormat="1" applyFont="1" applyAlignment="1">
      <alignment vertical="top"/>
    </xf>
    <xf numFmtId="4" fontId="16" fillId="2" borderId="0" xfId="0" applyNumberFormat="1" applyFont="1" applyFill="1" applyAlignment="1">
      <alignment vertical="top" shrinkToFit="1"/>
    </xf>
    <xf numFmtId="4" fontId="16" fillId="3" borderId="0" xfId="0" applyNumberFormat="1" applyFont="1" applyFill="1" applyAlignment="1">
      <alignment vertical="top" shrinkToFit="1"/>
    </xf>
    <xf numFmtId="4" fontId="17" fillId="4" borderId="0" xfId="0" applyNumberFormat="1" applyFont="1" applyFill="1" applyAlignment="1">
      <alignment vertical="top" shrinkToFit="1"/>
    </xf>
    <xf numFmtId="4" fontId="18" fillId="5" borderId="0" xfId="0" applyNumberFormat="1" applyFont="1" applyFill="1" applyBorder="1" applyAlignment="1">
      <alignment horizontal="center" vertical="top" shrinkToFit="1"/>
    </xf>
    <xf numFmtId="4" fontId="17" fillId="6" borderId="0" xfId="0" applyNumberFormat="1" applyFont="1" applyFill="1" applyBorder="1" applyAlignment="1">
      <alignment horizontal="center" vertical="top" shrinkToFit="1"/>
    </xf>
    <xf numFmtId="10" fontId="17" fillId="4" borderId="0" xfId="0" applyNumberFormat="1" applyFont="1" applyFill="1" applyAlignment="1">
      <alignment vertical="top" shrinkToFit="1"/>
    </xf>
    <xf numFmtId="10" fontId="17" fillId="4" borderId="0" xfId="0" applyNumberFormat="1" applyFont="1" applyFill="1" applyAlignment="1">
      <alignment horizontal="center" vertical="top" shrinkToFit="1"/>
    </xf>
    <xf numFmtId="4" fontId="14" fillId="0" borderId="0" xfId="0" applyNumberFormat="1" applyFont="1" applyAlignment="1">
      <alignment vertical="top" shrinkToFit="1"/>
    </xf>
    <xf numFmtId="49" fontId="0" fillId="0" borderId="3" xfId="0" applyNumberFormat="1" applyBorder="1" applyAlignment="1">
      <alignment vertical="top" shrinkToFit="1"/>
    </xf>
    <xf numFmtId="49" fontId="2" fillId="0" borderId="3" xfId="0" applyNumberFormat="1" applyFont="1" applyBorder="1" applyAlignment="1">
      <alignment vertical="top"/>
    </xf>
    <xf numFmtId="49" fontId="0" fillId="0" borderId="3" xfId="0" applyNumberFormat="1" applyBorder="1" applyAlignment="1">
      <alignment vertical="top"/>
    </xf>
    <xf numFmtId="4" fontId="0" fillId="2" borderId="3" xfId="0" applyNumberFormat="1" applyFill="1" applyBorder="1" applyAlignment="1">
      <alignment vertical="top" shrinkToFit="1"/>
    </xf>
    <xf numFmtId="4" fontId="0" fillId="3" borderId="3" xfId="0" applyNumberFormat="1" applyFill="1" applyBorder="1" applyAlignment="1">
      <alignment vertical="top" shrinkToFit="1"/>
    </xf>
    <xf numFmtId="4" fontId="3" fillId="4" borderId="3" xfId="0" applyNumberFormat="1" applyFont="1" applyFill="1" applyBorder="1" applyAlignment="1">
      <alignment vertical="top" shrinkToFit="1"/>
    </xf>
    <xf numFmtId="4" fontId="4" fillId="5" borderId="3" xfId="0" applyNumberFormat="1" applyFont="1" applyFill="1" applyBorder="1" applyAlignment="1">
      <alignment vertical="top" shrinkToFit="1"/>
    </xf>
    <xf numFmtId="4" fontId="0" fillId="6" borderId="3" xfId="0" applyNumberFormat="1" applyFill="1" applyBorder="1" applyAlignment="1">
      <alignment vertical="top" shrinkToFit="1"/>
    </xf>
    <xf numFmtId="10" fontId="3" fillId="4" borderId="3" xfId="0" applyNumberFormat="1" applyFont="1" applyFill="1" applyBorder="1" applyAlignment="1">
      <alignment vertical="top" shrinkToFit="1"/>
    </xf>
    <xf numFmtId="4" fontId="4" fillId="5" borderId="3" xfId="0" applyNumberFormat="1" applyFont="1" applyFill="1" applyBorder="1" applyAlignment="1">
      <alignment horizontal="center" vertical="top" shrinkToFit="1"/>
    </xf>
    <xf numFmtId="10" fontId="3" fillId="4" borderId="3" xfId="0" applyNumberFormat="1" applyFont="1" applyFill="1" applyBorder="1" applyAlignment="1">
      <alignment horizontal="center" vertical="top" shrinkToFit="1"/>
    </xf>
    <xf numFmtId="4" fontId="0" fillId="0" borderId="3" xfId="0" applyNumberFormat="1" applyBorder="1" applyAlignment="1">
      <alignment vertical="top" shrinkToFit="1"/>
    </xf>
    <xf numFmtId="4" fontId="0" fillId="2" borderId="0" xfId="0" applyNumberFormat="1" applyFill="1" applyBorder="1" applyAlignment="1">
      <alignment vertical="top" shrinkToFit="1"/>
    </xf>
    <xf numFmtId="4" fontId="0" fillId="3" borderId="0" xfId="0" applyNumberFormat="1" applyFill="1" applyBorder="1" applyAlignment="1">
      <alignment vertical="top" shrinkToFit="1"/>
    </xf>
    <xf numFmtId="10" fontId="3" fillId="4" borderId="0" xfId="0" applyNumberFormat="1" applyFont="1" applyFill="1" applyAlignment="1">
      <alignment horizontal="right" vertical="top" shrinkToFit="1"/>
    </xf>
    <xf numFmtId="4" fontId="3" fillId="4" borderId="0" xfId="0" applyNumberFormat="1" applyFont="1" applyFill="1" applyAlignment="1">
      <alignment vertical="top" shrinkToFit="1"/>
    </xf>
    <xf numFmtId="4" fontId="4" fillId="5" borderId="0" xfId="0" applyNumberFormat="1" applyFont="1" applyFill="1" applyAlignment="1">
      <alignment vertical="top" shrinkToFit="1"/>
    </xf>
    <xf numFmtId="10" fontId="3" fillId="6" borderId="0" xfId="0" applyNumberFormat="1" applyFont="1" applyFill="1" applyAlignment="1">
      <alignment vertical="top" shrinkToFit="1"/>
    </xf>
    <xf numFmtId="4" fontId="9" fillId="5" borderId="0" xfId="0" applyNumberFormat="1" applyFont="1" applyFill="1" applyAlignment="1">
      <alignment horizontal="center" vertical="top" shrinkToFit="1"/>
    </xf>
    <xf numFmtId="4" fontId="3" fillId="4" borderId="2" xfId="0" applyNumberFormat="1" applyFont="1" applyFill="1" applyBorder="1" applyAlignment="1">
      <alignment vertical="top" shrinkToFit="1"/>
    </xf>
    <xf numFmtId="4" fontId="4" fillId="5" borderId="2" xfId="0" applyNumberFormat="1" applyFont="1" applyFill="1" applyBorder="1" applyAlignment="1">
      <alignment vertical="top" shrinkToFit="1"/>
    </xf>
    <xf numFmtId="4" fontId="0" fillId="6" borderId="2" xfId="0" applyNumberFormat="1" applyFill="1" applyBorder="1" applyAlignment="1">
      <alignment vertical="top" shrinkToFit="1"/>
    </xf>
    <xf numFmtId="4" fontId="3" fillId="6" borderId="0" xfId="0" applyNumberFormat="1" applyFont="1" applyFill="1" applyBorder="1" applyAlignment="1">
      <alignment vertical="top" shrinkToFit="1"/>
    </xf>
    <xf numFmtId="49" fontId="19" fillId="0" borderId="0" xfId="0" applyNumberFormat="1" applyFont="1" applyAlignment="1">
      <alignment vertical="top" shrinkToFit="1"/>
    </xf>
    <xf numFmtId="49" fontId="20" fillId="0" borderId="0" xfId="0" applyNumberFormat="1" applyFont="1" applyAlignment="1">
      <alignment vertical="top"/>
    </xf>
    <xf numFmtId="49" fontId="19" fillId="0" borderId="0" xfId="0" applyNumberFormat="1" applyFont="1" applyAlignment="1">
      <alignment vertical="top"/>
    </xf>
    <xf numFmtId="4" fontId="21" fillId="2" borderId="0" xfId="0" applyNumberFormat="1" applyFont="1" applyFill="1" applyAlignment="1">
      <alignment vertical="top" shrinkToFit="1"/>
    </xf>
    <xf numFmtId="4" fontId="21" fillId="3" borderId="0" xfId="0" applyNumberFormat="1" applyFont="1" applyFill="1" applyAlignment="1">
      <alignment vertical="top" shrinkToFit="1"/>
    </xf>
    <xf numFmtId="10" fontId="21" fillId="4" borderId="0" xfId="0" applyNumberFormat="1" applyFont="1" applyFill="1" applyBorder="1" applyAlignment="1">
      <alignment vertical="top" shrinkToFit="1"/>
    </xf>
    <xf numFmtId="4" fontId="22" fillId="4" borderId="0" xfId="0" applyNumberFormat="1" applyFont="1" applyFill="1" applyAlignment="1">
      <alignment vertical="top" shrinkToFit="1"/>
    </xf>
    <xf numFmtId="4" fontId="23" fillId="5" borderId="0" xfId="0" applyNumberFormat="1" applyFont="1" applyFill="1" applyBorder="1" applyAlignment="1">
      <alignment vertical="top" shrinkToFit="1"/>
    </xf>
    <xf numFmtId="4" fontId="22" fillId="6" borderId="0" xfId="0" applyNumberFormat="1" applyFont="1" applyFill="1" applyBorder="1" applyAlignment="1">
      <alignment vertical="top" shrinkToFit="1"/>
    </xf>
    <xf numFmtId="10" fontId="22" fillId="4" borderId="0" xfId="0" applyNumberFormat="1" applyFont="1" applyFill="1" applyAlignment="1">
      <alignment vertical="top" shrinkToFit="1"/>
    </xf>
    <xf numFmtId="4" fontId="19" fillId="5" borderId="0" xfId="0" applyNumberFormat="1" applyFont="1" applyFill="1" applyBorder="1" applyAlignment="1">
      <alignment horizontal="center" vertical="top" shrinkToFit="1"/>
    </xf>
    <xf numFmtId="10" fontId="22" fillId="4" borderId="0" xfId="0" applyNumberFormat="1" applyFont="1" applyFill="1" applyAlignment="1">
      <alignment horizontal="center" vertical="top" shrinkToFit="1"/>
    </xf>
    <xf numFmtId="4" fontId="19" fillId="0" borderId="0" xfId="0" applyNumberFormat="1" applyFont="1" applyAlignment="1">
      <alignment vertical="top" shrinkToFit="1"/>
    </xf>
    <xf numFmtId="49" fontId="0" fillId="0" borderId="1" xfId="0" applyNumberFormat="1" applyBorder="1" applyAlignment="1">
      <alignment vertical="top" shrinkToFit="1"/>
    </xf>
    <xf numFmtId="49" fontId="2" fillId="0" borderId="1" xfId="0" applyNumberFormat="1" applyFont="1" applyBorder="1" applyAlignment="1">
      <alignment vertical="top"/>
    </xf>
    <xf numFmtId="49" fontId="0" fillId="0" borderId="1" xfId="0" applyNumberFormat="1" applyBorder="1" applyAlignment="1">
      <alignment vertical="top"/>
    </xf>
    <xf numFmtId="4" fontId="11" fillId="2" borderId="1" xfId="0" applyNumberFormat="1" applyFont="1" applyFill="1" applyBorder="1" applyAlignment="1">
      <alignment vertical="top" shrinkToFit="1"/>
    </xf>
    <xf numFmtId="4" fontId="12" fillId="3" borderId="1" xfId="0" applyNumberFormat="1" applyFont="1" applyFill="1" applyBorder="1" applyAlignment="1">
      <alignment vertical="top" shrinkToFit="1"/>
    </xf>
    <xf numFmtId="10" fontId="3" fillId="4" borderId="1" xfId="0" applyNumberFormat="1" applyFont="1" applyFill="1" applyBorder="1" applyAlignment="1">
      <alignment vertical="top" shrinkToFit="1"/>
    </xf>
    <xf numFmtId="4" fontId="3" fillId="6" borderId="1" xfId="0" applyNumberFormat="1" applyFont="1" applyFill="1" applyBorder="1" applyAlignment="1">
      <alignment vertical="top" shrinkToFit="1"/>
    </xf>
    <xf numFmtId="4" fontId="4" fillId="5" borderId="1" xfId="0" applyNumberFormat="1" applyFont="1" applyFill="1" applyBorder="1" applyAlignment="1">
      <alignment horizontal="center" vertical="top" shrinkToFit="1"/>
    </xf>
    <xf numFmtId="10" fontId="3" fillId="4" borderId="1" xfId="0" applyNumberFormat="1" applyFont="1" applyFill="1" applyBorder="1" applyAlignment="1">
      <alignment horizontal="right" vertical="top" shrinkToFit="1"/>
    </xf>
    <xf numFmtId="4" fontId="9" fillId="5" borderId="1" xfId="0" applyNumberFormat="1" applyFont="1" applyFill="1" applyBorder="1" applyAlignment="1">
      <alignment horizontal="center" vertical="top" shrinkToFit="1"/>
    </xf>
    <xf numFmtId="10" fontId="3" fillId="4" borderId="1" xfId="0" applyNumberFormat="1" applyFont="1" applyFill="1" applyBorder="1" applyAlignment="1">
      <alignment horizontal="center" vertical="top" shrinkToFit="1"/>
    </xf>
    <xf numFmtId="4" fontId="0" fillId="0" borderId="1" xfId="0" applyNumberFormat="1" applyBorder="1" applyAlignment="1">
      <alignment vertical="top" shrinkToFit="1"/>
    </xf>
    <xf numFmtId="4" fontId="4" fillId="5" borderId="0" xfId="0" applyNumberFormat="1" applyFont="1" applyFill="1" applyBorder="1" applyAlignment="1">
      <alignment vertical="top" shrinkToFit="1"/>
    </xf>
    <xf numFmtId="10" fontId="3" fillId="6" borderId="0" xfId="0" applyNumberFormat="1" applyFont="1" applyFill="1" applyBorder="1" applyAlignment="1">
      <alignment vertical="top" shrinkToFit="1"/>
    </xf>
    <xf numFmtId="4" fontId="4" fillId="5" borderId="1" xfId="0" applyNumberFormat="1" applyFont="1" applyFill="1" applyBorder="1" applyAlignment="1">
      <alignment vertical="top" shrinkToFit="1"/>
    </xf>
    <xf numFmtId="10" fontId="3" fillId="6" borderId="1" xfId="0" applyNumberFormat="1" applyFont="1" applyFill="1" applyBorder="1" applyAlignment="1">
      <alignment vertical="top" shrinkToFit="1"/>
    </xf>
    <xf numFmtId="49" fontId="0" fillId="0" borderId="4" xfId="0" applyNumberFormat="1" applyBorder="1" applyAlignment="1">
      <alignment vertical="top" shrinkToFit="1"/>
    </xf>
    <xf numFmtId="49" fontId="2" fillId="0" borderId="4" xfId="0" applyNumberFormat="1" applyFont="1" applyBorder="1" applyAlignment="1">
      <alignment vertical="top"/>
    </xf>
    <xf numFmtId="49" fontId="0" fillId="0" borderId="4" xfId="0" applyNumberFormat="1" applyBorder="1" applyAlignment="1">
      <alignment vertical="top"/>
    </xf>
    <xf numFmtId="4" fontId="11" fillId="2" borderId="4" xfId="0" applyNumberFormat="1" applyFont="1" applyFill="1" applyBorder="1" applyAlignment="1">
      <alignment vertical="top" shrinkToFit="1"/>
    </xf>
    <xf numFmtId="4" fontId="12" fillId="3" borderId="4" xfId="0" applyNumberFormat="1" applyFont="1" applyFill="1" applyBorder="1" applyAlignment="1">
      <alignment vertical="top" shrinkToFit="1"/>
    </xf>
    <xf numFmtId="4" fontId="13" fillId="4" borderId="4" xfId="0" applyNumberFormat="1" applyFont="1" applyFill="1" applyBorder="1" applyAlignment="1">
      <alignment vertical="top" shrinkToFit="1"/>
    </xf>
    <xf numFmtId="4" fontId="3" fillId="6" borderId="4" xfId="0" applyNumberFormat="1" applyFont="1" applyFill="1" applyBorder="1" applyAlignment="1">
      <alignment vertical="top" shrinkToFit="1"/>
    </xf>
    <xf numFmtId="10" fontId="3" fillId="4" borderId="4" xfId="0" applyNumberFormat="1" applyFont="1" applyFill="1" applyBorder="1" applyAlignment="1">
      <alignment vertical="top" shrinkToFit="1"/>
    </xf>
    <xf numFmtId="10" fontId="3" fillId="4" borderId="4" xfId="0" applyNumberFormat="1" applyFont="1" applyFill="1" applyBorder="1" applyAlignment="1">
      <alignment horizontal="center" vertical="top" shrinkToFit="1"/>
    </xf>
    <xf numFmtId="4" fontId="0" fillId="0" borderId="4" xfId="0" applyNumberFormat="1" applyBorder="1" applyAlignment="1">
      <alignment vertical="top" shrinkToFit="1"/>
    </xf>
    <xf numFmtId="10" fontId="16" fillId="4" borderId="0" xfId="0" applyNumberFormat="1" applyFont="1" applyFill="1" applyBorder="1" applyAlignment="1">
      <alignment vertical="top" shrinkToFit="1"/>
    </xf>
    <xf numFmtId="4" fontId="18" fillId="5" borderId="0" xfId="0" applyNumberFormat="1" applyFont="1" applyFill="1" applyBorder="1" applyAlignment="1">
      <alignment vertical="top" shrinkToFit="1"/>
    </xf>
    <xf numFmtId="4" fontId="17" fillId="6" borderId="0" xfId="0" applyNumberFormat="1" applyFont="1" applyFill="1" applyBorder="1" applyAlignment="1">
      <alignment vertical="top" shrinkToFit="1"/>
    </xf>
    <xf numFmtId="4" fontId="14" fillId="5" borderId="0" xfId="0" applyNumberFormat="1" applyFont="1" applyFill="1" applyBorder="1" applyAlignment="1">
      <alignment horizontal="center" vertical="top" shrinkToFit="1"/>
    </xf>
    <xf numFmtId="49" fontId="2" fillId="0" borderId="5" xfId="0" applyNumberFormat="1" applyFont="1" applyBorder="1" applyAlignment="1">
      <alignment vertical="top"/>
    </xf>
    <xf numFmtId="49" fontId="0" fillId="0" borderId="5" xfId="0" applyNumberFormat="1" applyBorder="1" applyAlignment="1">
      <alignment vertical="top"/>
    </xf>
    <xf numFmtId="4" fontId="0" fillId="2" borderId="5" xfId="0" applyNumberFormat="1" applyFill="1" applyBorder="1" applyAlignment="1">
      <alignment vertical="top" shrinkToFit="1"/>
    </xf>
    <xf numFmtId="4" fontId="0" fillId="3" borderId="5" xfId="0" applyNumberFormat="1" applyFill="1" applyBorder="1" applyAlignment="1">
      <alignment vertical="top" shrinkToFit="1"/>
    </xf>
    <xf numFmtId="4" fontId="3" fillId="4" borderId="5" xfId="0" applyNumberFormat="1" applyFont="1" applyFill="1" applyBorder="1" applyAlignment="1">
      <alignment vertical="top" shrinkToFit="1"/>
    </xf>
    <xf numFmtId="10" fontId="3" fillId="4" borderId="5" xfId="0" applyNumberFormat="1" applyFont="1" applyFill="1" applyBorder="1" applyAlignment="1">
      <alignment vertical="top" shrinkToFit="1"/>
    </xf>
    <xf numFmtId="4" fontId="4" fillId="5" borderId="5" xfId="0" applyNumberFormat="1" applyFont="1" applyFill="1" applyBorder="1" applyAlignment="1">
      <alignment vertical="top" shrinkToFit="1"/>
    </xf>
    <xf numFmtId="4" fontId="3" fillId="6" borderId="5" xfId="0" applyNumberFormat="1" applyFont="1" applyFill="1" applyBorder="1" applyAlignment="1">
      <alignment vertical="top" shrinkToFit="1"/>
    </xf>
    <xf numFmtId="4" fontId="10" fillId="9" borderId="5" xfId="0" applyNumberFormat="1" applyFont="1" applyFill="1" applyBorder="1" applyAlignment="1">
      <alignment vertical="top" shrinkToFit="1"/>
    </xf>
    <xf numFmtId="4" fontId="9" fillId="5" borderId="5" xfId="0" applyNumberFormat="1" applyFont="1" applyFill="1" applyBorder="1" applyAlignment="1">
      <alignment horizontal="center" vertical="top" shrinkToFit="1"/>
    </xf>
    <xf numFmtId="10" fontId="3" fillId="4" borderId="5" xfId="0" applyNumberFormat="1" applyFont="1" applyFill="1" applyBorder="1" applyAlignment="1">
      <alignment horizontal="center" vertical="top" shrinkToFit="1"/>
    </xf>
    <xf numFmtId="4" fontId="0" fillId="0" borderId="5" xfId="0" applyNumberFormat="1" applyBorder="1" applyAlignment="1">
      <alignment vertical="top" shrinkToFit="1"/>
    </xf>
    <xf numFmtId="4" fontId="0" fillId="2" borderId="1" xfId="0" applyNumberFormat="1" applyFill="1" applyBorder="1" applyAlignment="1">
      <alignment vertical="top" shrinkToFit="1"/>
    </xf>
    <xf numFmtId="4" fontId="0" fillId="3" borderId="1" xfId="0" applyNumberFormat="1" applyFill="1" applyBorder="1" applyAlignment="1">
      <alignment vertical="top" shrinkToFit="1"/>
    </xf>
    <xf numFmtId="4" fontId="3" fillId="4" borderId="1" xfId="0" applyNumberFormat="1" applyFont="1" applyFill="1" applyBorder="1" applyAlignment="1">
      <alignment vertical="top" shrinkToFit="1"/>
    </xf>
    <xf numFmtId="4" fontId="3" fillId="6" borderId="0" xfId="0" applyNumberFormat="1" applyFont="1" applyFill="1" applyAlignment="1">
      <alignment vertical="top" shrinkToFit="1"/>
    </xf>
    <xf numFmtId="49" fontId="24" fillId="0" borderId="0" xfId="0" applyNumberFormat="1" applyFont="1" applyAlignment="1">
      <alignment vertical="top" shrinkToFit="1"/>
    </xf>
    <xf numFmtId="49" fontId="25" fillId="0" borderId="0" xfId="0" applyNumberFormat="1" applyFont="1" applyAlignment="1">
      <alignment vertical="top"/>
    </xf>
    <xf numFmtId="49" fontId="24" fillId="0" borderId="0" xfId="0" applyNumberFormat="1" applyFont="1" applyAlignment="1">
      <alignment vertical="top"/>
    </xf>
    <xf numFmtId="4" fontId="26" fillId="2" borderId="0" xfId="0" applyNumberFormat="1" applyFont="1" applyFill="1" applyAlignment="1">
      <alignment vertical="top" shrinkToFit="1"/>
    </xf>
    <xf numFmtId="4" fontId="26" fillId="3" borderId="0" xfId="0" applyNumberFormat="1" applyFont="1" applyFill="1" applyAlignment="1">
      <alignment vertical="top" shrinkToFit="1"/>
    </xf>
    <xf numFmtId="4" fontId="27" fillId="4" borderId="0" xfId="0" applyNumberFormat="1" applyFont="1" applyFill="1" applyAlignment="1">
      <alignment vertical="top" shrinkToFit="1"/>
    </xf>
    <xf numFmtId="4" fontId="28" fillId="5" borderId="0" xfId="0" applyNumberFormat="1" applyFont="1" applyFill="1" applyAlignment="1">
      <alignment vertical="top" shrinkToFit="1"/>
    </xf>
    <xf numFmtId="4" fontId="27" fillId="6" borderId="0" xfId="0" applyNumberFormat="1" applyFont="1" applyFill="1" applyAlignment="1">
      <alignment vertical="top" shrinkToFit="1"/>
    </xf>
    <xf numFmtId="10" fontId="27" fillId="4" borderId="0" xfId="0" applyNumberFormat="1" applyFont="1" applyFill="1" applyAlignment="1">
      <alignment vertical="top" shrinkToFit="1"/>
    </xf>
    <xf numFmtId="4" fontId="24" fillId="5" borderId="0" xfId="0" applyNumberFormat="1" applyFont="1" applyFill="1" applyAlignment="1">
      <alignment horizontal="center" vertical="top" shrinkToFit="1"/>
    </xf>
    <xf numFmtId="10" fontId="27" fillId="4" borderId="0" xfId="0" applyNumberFormat="1" applyFont="1" applyFill="1" applyAlignment="1">
      <alignment horizontal="center" vertical="top" shrinkToFit="1"/>
    </xf>
    <xf numFmtId="4" fontId="24" fillId="0" borderId="0" xfId="0" applyNumberFormat="1" applyFont="1" applyAlignment="1">
      <alignment vertical="top" shrinkToFit="1"/>
    </xf>
    <xf numFmtId="49" fontId="0" fillId="0" borderId="6" xfId="0" applyNumberFormat="1" applyBorder="1" applyAlignment="1">
      <alignment vertical="top" shrinkToFit="1"/>
    </xf>
    <xf numFmtId="49" fontId="2" fillId="0" borderId="6" xfId="0" applyNumberFormat="1" applyFont="1" applyBorder="1" applyAlignment="1">
      <alignment vertical="top"/>
    </xf>
    <xf numFmtId="49" fontId="0" fillId="0" borderId="6" xfId="0" applyNumberFormat="1" applyBorder="1" applyAlignment="1">
      <alignment vertical="top"/>
    </xf>
    <xf numFmtId="4" fontId="0" fillId="2" borderId="6" xfId="0" applyNumberFormat="1" applyFill="1" applyBorder="1" applyAlignment="1">
      <alignment vertical="top" shrinkToFit="1"/>
    </xf>
    <xf numFmtId="4" fontId="0" fillId="3" borderId="6" xfId="0" applyNumberFormat="1" applyFill="1" applyBorder="1" applyAlignment="1">
      <alignment vertical="top" shrinkToFit="1"/>
    </xf>
    <xf numFmtId="4" fontId="3" fillId="4" borderId="6" xfId="0" applyNumberFormat="1" applyFont="1" applyFill="1" applyBorder="1" applyAlignment="1">
      <alignment vertical="top" shrinkToFit="1"/>
    </xf>
    <xf numFmtId="4" fontId="4" fillId="5" borderId="6" xfId="0" applyNumberFormat="1" applyFont="1" applyFill="1" applyBorder="1" applyAlignment="1">
      <alignment vertical="top" shrinkToFit="1"/>
    </xf>
    <xf numFmtId="10" fontId="3" fillId="6" borderId="6" xfId="0" applyNumberFormat="1" applyFont="1" applyFill="1" applyBorder="1" applyAlignment="1">
      <alignment vertical="top" shrinkToFit="1"/>
    </xf>
    <xf numFmtId="10" fontId="3" fillId="4" borderId="6" xfId="0" applyNumberFormat="1" applyFont="1" applyFill="1" applyBorder="1" applyAlignment="1">
      <alignment vertical="top" shrinkToFit="1"/>
    </xf>
    <xf numFmtId="4" fontId="4" fillId="5" borderId="6" xfId="0" applyNumberFormat="1" applyFont="1" applyFill="1" applyBorder="1" applyAlignment="1">
      <alignment horizontal="center" vertical="top" shrinkToFit="1"/>
    </xf>
    <xf numFmtId="10" fontId="3" fillId="4" borderId="6" xfId="0" applyNumberFormat="1" applyFont="1" applyFill="1" applyBorder="1" applyAlignment="1">
      <alignment horizontal="center" vertical="top" shrinkToFit="1"/>
    </xf>
    <xf numFmtId="4" fontId="0" fillId="0" borderId="6" xfId="0" applyNumberFormat="1" applyBorder="1" applyAlignment="1">
      <alignment vertical="top" shrinkToFit="1"/>
    </xf>
    <xf numFmtId="49" fontId="0" fillId="0" borderId="5" xfId="0" applyNumberFormat="1" applyBorder="1" applyAlignment="1">
      <alignment vertical="top" shrinkToFit="1"/>
    </xf>
    <xf numFmtId="49" fontId="29" fillId="0" borderId="5" xfId="0" applyNumberFormat="1" applyFont="1" applyBorder="1" applyAlignment="1">
      <alignment horizontal="left" vertical="top"/>
    </xf>
    <xf numFmtId="49" fontId="30" fillId="0" borderId="5" xfId="0" applyNumberFormat="1" applyFont="1" applyBorder="1" applyAlignment="1">
      <alignment horizontal="left" vertical="top"/>
    </xf>
    <xf numFmtId="10" fontId="3" fillId="6" borderId="5" xfId="0" applyNumberFormat="1" applyFont="1" applyFill="1" applyBorder="1" applyAlignment="1">
      <alignment vertical="top" shrinkToFit="1"/>
    </xf>
    <xf numFmtId="0" fontId="2" fillId="0" borderId="0" xfId="0" applyNumberFormat="1" applyFont="1" applyFill="1" applyAlignment="1">
      <alignment horizontal="left" vertical="top"/>
    </xf>
    <xf numFmtId="0" fontId="0" fillId="0" borderId="0" xfId="0" applyNumberFormat="1" applyAlignment="1">
      <alignment horizontal="left" vertical="top"/>
    </xf>
    <xf numFmtId="0" fontId="0" fillId="0" borderId="0" xfId="0" applyNumberFormat="1" applyAlignment="1" applyProtection="1">
      <alignment vertical="top"/>
    </xf>
    <xf numFmtId="49" fontId="31" fillId="0" borderId="0" xfId="0" applyNumberFormat="1" applyFont="1" applyAlignment="1">
      <alignment horizontal="left" vertical="top"/>
    </xf>
    <xf numFmtId="4" fontId="3" fillId="4" borderId="0" xfId="0" applyNumberFormat="1" applyFont="1" applyFill="1" applyBorder="1" applyAlignment="1">
      <alignment vertical="top" shrinkToFit="1"/>
    </xf>
    <xf numFmtId="49" fontId="32" fillId="0" borderId="0" xfId="0" applyNumberFormat="1" applyFont="1" applyAlignment="1">
      <alignment horizontal="left" vertical="top"/>
    </xf>
    <xf numFmtId="10" fontId="3" fillId="6" borderId="0" xfId="0" applyNumberFormat="1" applyFont="1" applyFill="1" applyBorder="1" applyAlignment="1">
      <alignment horizontal="center" vertical="top" shrinkToFit="1"/>
    </xf>
    <xf numFmtId="4" fontId="0" fillId="7" borderId="0" xfId="0" applyNumberFormat="1" applyFill="1" applyAlignment="1">
      <alignment horizontal="center" vertical="top" shrinkToFit="1"/>
    </xf>
    <xf numFmtId="10" fontId="5" fillId="7" borderId="0" xfId="0" applyNumberFormat="1" applyFont="1" applyFill="1" applyBorder="1" applyAlignment="1">
      <alignment horizontal="center" vertical="top" shrinkToFit="1"/>
    </xf>
    <xf numFmtId="4" fontId="4" fillId="10" borderId="0" xfId="0" applyNumberFormat="1" applyFont="1" applyFill="1" applyBorder="1" applyAlignment="1">
      <alignment horizontal="center" vertical="top" shrinkToFit="1"/>
    </xf>
    <xf numFmtId="0" fontId="33" fillId="0" borderId="0" xfId="0" applyNumberFormat="1" applyFont="1" applyFill="1" applyAlignment="1">
      <alignment horizontal="left" vertical="top"/>
    </xf>
    <xf numFmtId="49" fontId="34" fillId="0" borderId="0" xfId="0" applyNumberFormat="1" applyFont="1" applyAlignment="1">
      <alignment horizontal="left" vertical="top"/>
    </xf>
    <xf numFmtId="10" fontId="3" fillId="7" borderId="0" xfId="0" applyNumberFormat="1" applyFont="1" applyFill="1" applyAlignment="1">
      <alignment horizontal="right" vertical="top" shrinkToFit="1"/>
    </xf>
    <xf numFmtId="49" fontId="32" fillId="0" borderId="0" xfId="0" applyNumberFormat="1" applyFont="1" applyFill="1" applyAlignment="1">
      <alignment horizontal="left" vertical="top"/>
    </xf>
    <xf numFmtId="49" fontId="35" fillId="0" borderId="0" xfId="0" applyNumberFormat="1" applyFont="1" applyAlignment="1">
      <alignment vertical="top"/>
    </xf>
    <xf numFmtId="4" fontId="9" fillId="2" borderId="0" xfId="0" applyNumberFormat="1" applyFont="1" applyFill="1" applyAlignment="1">
      <alignment vertical="top" shrinkToFit="1"/>
    </xf>
    <xf numFmtId="4" fontId="10" fillId="9" borderId="0" xfId="0" applyNumberFormat="1" applyFont="1" applyFill="1" applyAlignment="1">
      <alignment vertical="top" shrinkToFit="1"/>
    </xf>
    <xf numFmtId="10" fontId="36" fillId="11" borderId="0" xfId="0" applyNumberFormat="1" applyFont="1" applyFill="1" applyAlignment="1">
      <alignment vertical="top" shrinkToFit="1"/>
    </xf>
    <xf numFmtId="4" fontId="37" fillId="12" borderId="0" xfId="0" applyNumberFormat="1" applyFont="1" applyFill="1" applyAlignment="1">
      <alignment vertical="top" shrinkToFit="1"/>
    </xf>
    <xf numFmtId="4" fontId="1" fillId="12" borderId="0" xfId="0" applyNumberFormat="1" applyFont="1" applyFill="1" applyAlignment="1">
      <alignment horizontal="center" vertical="top" shrinkToFit="1"/>
    </xf>
    <xf numFmtId="4" fontId="10" fillId="8" borderId="0" xfId="0" applyNumberFormat="1" applyFont="1" applyFill="1" applyAlignment="1">
      <alignment horizontal="center" vertical="top" shrinkToFit="1"/>
    </xf>
    <xf numFmtId="10" fontId="36" fillId="11" borderId="0" xfId="0" applyNumberFormat="1" applyFont="1" applyFill="1" applyAlignment="1">
      <alignment horizontal="center" vertical="top" shrinkToFit="1"/>
    </xf>
    <xf numFmtId="0" fontId="2" fillId="0" borderId="0" xfId="0" applyNumberFormat="1" applyFont="1" applyFill="1" applyAlignment="1">
      <alignment vertical="top"/>
    </xf>
    <xf numFmtId="0" fontId="0" fillId="0" borderId="0" xfId="0" applyNumberFormat="1" applyFill="1" applyAlignment="1">
      <alignment horizontal="left" vertical="top"/>
    </xf>
    <xf numFmtId="0" fontId="0" fillId="0" borderId="0" xfId="0" applyNumberFormat="1" applyFill="1" applyAlignment="1" applyProtection="1">
      <alignment vertical="top"/>
    </xf>
    <xf numFmtId="4" fontId="38" fillId="7" borderId="0" xfId="0" applyNumberFormat="1" applyFont="1" applyFill="1" applyAlignment="1">
      <alignment horizontal="center" vertical="top" shrinkToFit="1"/>
    </xf>
    <xf numFmtId="49" fontId="19" fillId="13" borderId="0" xfId="0" applyNumberFormat="1" applyFont="1" applyFill="1" applyAlignment="1">
      <alignment vertical="top" shrinkToFit="1"/>
    </xf>
    <xf numFmtId="0" fontId="39" fillId="0" borderId="0" xfId="0" applyNumberFormat="1" applyFont="1" applyFill="1" applyAlignment="1">
      <alignment horizontal="left" vertical="top"/>
    </xf>
    <xf numFmtId="4" fontId="38" fillId="2" borderId="0" xfId="0" applyNumberFormat="1" applyFont="1" applyFill="1" applyAlignment="1">
      <alignment horizontal="center" vertical="top" shrinkToFit="1"/>
    </xf>
    <xf numFmtId="10" fontId="40" fillId="7" borderId="0" xfId="0" applyNumberFormat="1" applyFont="1" applyFill="1" applyAlignment="1">
      <alignment horizontal="right" vertical="top" shrinkToFit="1"/>
    </xf>
    <xf numFmtId="4" fontId="41" fillId="3" borderId="0" xfId="0" applyNumberFormat="1" applyFont="1" applyFill="1" applyAlignment="1">
      <alignment vertical="top" shrinkToFit="1"/>
    </xf>
    <xf numFmtId="0" fontId="42" fillId="13" borderId="0" xfId="0" applyNumberFormat="1" applyFont="1" applyFill="1" applyAlignment="1" applyProtection="1">
      <alignment vertical="top"/>
    </xf>
    <xf numFmtId="49" fontId="3" fillId="0" borderId="0" xfId="0" applyNumberFormat="1" applyFont="1" applyAlignment="1">
      <alignment vertical="top" shrinkToFit="1"/>
    </xf>
    <xf numFmtId="49" fontId="31" fillId="0" borderId="0" xfId="0" applyNumberFormat="1" applyFont="1" applyFill="1" applyAlignment="1">
      <alignment horizontal="left" vertical="top"/>
    </xf>
    <xf numFmtId="49" fontId="32" fillId="0" borderId="0" xfId="0" applyNumberFormat="1" applyFont="1" applyFill="1" applyAlignment="1" applyProtection="1">
      <alignment horizontal="left" vertical="top"/>
    </xf>
    <xf numFmtId="0" fontId="43" fillId="0" borderId="1" xfId="0" applyNumberFormat="1" applyFont="1" applyBorder="1" applyAlignment="1">
      <alignment horizontal="left" vertical="top"/>
    </xf>
    <xf numFmtId="0" fontId="44" fillId="0" borderId="1" xfId="0" applyNumberFormat="1" applyFont="1" applyBorder="1" applyAlignment="1">
      <alignment horizontal="left" vertical="top"/>
    </xf>
    <xf numFmtId="49" fontId="3" fillId="4" borderId="1" xfId="0" applyNumberFormat="1" applyFont="1" applyFill="1" applyBorder="1" applyAlignment="1">
      <alignment horizontal="center" vertical="top" shrinkToFit="1"/>
    </xf>
    <xf numFmtId="49" fontId="3" fillId="0" borderId="0" xfId="0" applyNumberFormat="1" applyFont="1" applyBorder="1" applyAlignment="1">
      <alignment vertical="top" shrinkToFit="1"/>
    </xf>
    <xf numFmtId="49" fontId="45" fillId="0" borderId="0" xfId="0" applyNumberFormat="1" applyFont="1" applyBorder="1" applyAlignment="1">
      <alignment vertical="top"/>
    </xf>
    <xf numFmtId="49" fontId="3" fillId="0" borderId="0" xfId="0" applyNumberFormat="1" applyFont="1" applyBorder="1" applyAlignment="1">
      <alignment vertical="top"/>
    </xf>
    <xf numFmtId="4" fontId="13" fillId="2" borderId="0" xfId="0" applyNumberFormat="1" applyFont="1" applyFill="1" applyBorder="1" applyAlignment="1">
      <alignment vertical="top" shrinkToFit="1"/>
    </xf>
    <xf numFmtId="4" fontId="3" fillId="2" borderId="0" xfId="0" applyNumberFormat="1" applyFont="1" applyFill="1" applyBorder="1" applyAlignment="1">
      <alignment vertical="top" shrinkToFit="1"/>
    </xf>
    <xf numFmtId="4" fontId="3" fillId="0" borderId="0" xfId="0" applyNumberFormat="1" applyFont="1" applyBorder="1" applyAlignment="1">
      <alignment vertical="top" shrinkToFit="1"/>
    </xf>
    <xf numFmtId="49" fontId="29" fillId="0" borderId="4" xfId="0" applyNumberFormat="1" applyFont="1" applyBorder="1" applyAlignment="1">
      <alignment vertical="top"/>
    </xf>
    <xf numFmtId="49" fontId="30" fillId="0" borderId="4" xfId="0" applyNumberFormat="1" applyFont="1" applyBorder="1" applyAlignment="1">
      <alignment vertical="top"/>
    </xf>
    <xf numFmtId="4" fontId="0" fillId="2" borderId="4" xfId="0" applyNumberFormat="1" applyFill="1" applyBorder="1" applyAlignment="1">
      <alignment vertical="top" shrinkToFit="1"/>
    </xf>
    <xf numFmtId="4" fontId="0" fillId="3" borderId="4" xfId="0" applyNumberFormat="1" applyFill="1" applyBorder="1" applyAlignment="1">
      <alignment vertical="top" shrinkToFit="1"/>
    </xf>
    <xf numFmtId="4" fontId="3" fillId="4" borderId="4" xfId="0" applyNumberFormat="1" applyFont="1" applyFill="1" applyBorder="1" applyAlignment="1">
      <alignment vertical="top" shrinkToFit="1"/>
    </xf>
    <xf numFmtId="4" fontId="4" fillId="5" borderId="4" xfId="0" applyNumberFormat="1" applyFont="1" applyFill="1" applyBorder="1" applyAlignment="1">
      <alignment vertical="top" shrinkToFit="1"/>
    </xf>
    <xf numFmtId="10" fontId="3" fillId="6" borderId="4" xfId="0" applyNumberFormat="1" applyFont="1" applyFill="1" applyBorder="1" applyAlignment="1">
      <alignment vertical="top" shrinkToFit="1"/>
    </xf>
    <xf numFmtId="4" fontId="9" fillId="5" borderId="4" xfId="0" applyNumberFormat="1" applyFont="1" applyFill="1" applyBorder="1" applyAlignment="1">
      <alignment horizontal="center" vertical="top" shrinkToFit="1"/>
    </xf>
    <xf numFmtId="49" fontId="43" fillId="0" borderId="1" xfId="0" applyNumberFormat="1" applyFont="1" applyBorder="1" applyAlignment="1">
      <alignment vertical="top"/>
    </xf>
    <xf numFmtId="49" fontId="44" fillId="0" borderId="1" xfId="0" applyNumberFormat="1" applyFont="1" applyBorder="1" applyAlignment="1">
      <alignment vertical="top"/>
    </xf>
    <xf numFmtId="0" fontId="9" fillId="0" borderId="1" xfId="0" applyNumberFormat="1" applyFont="1" applyBorder="1" applyAlignment="1">
      <alignment vertical="top"/>
    </xf>
    <xf numFmtId="49" fontId="9" fillId="0" borderId="1" xfId="0" applyNumberFormat="1" applyFont="1" applyBorder="1" applyAlignment="1">
      <alignment vertical="top"/>
    </xf>
    <xf numFmtId="4" fontId="5" fillId="3" borderId="0" xfId="0" applyNumberFormat="1" applyFont="1" applyFill="1" applyBorder="1" applyAlignment="1">
      <alignment vertical="top" shrinkToFit="1"/>
    </xf>
    <xf numFmtId="49" fontId="45" fillId="0" borderId="0" xfId="0" applyNumberFormat="1" applyFont="1" applyAlignment="1">
      <alignment vertical="top"/>
    </xf>
    <xf numFmtId="49" fontId="3" fillId="0" borderId="0" xfId="0" applyNumberFormat="1" applyFont="1" applyAlignment="1">
      <alignment vertical="top"/>
    </xf>
    <xf numFmtId="4" fontId="13" fillId="2" borderId="0" xfId="0" applyNumberFormat="1" applyFont="1" applyFill="1" applyAlignment="1">
      <alignment vertical="top" shrinkToFit="1"/>
    </xf>
    <xf numFmtId="4" fontId="3" fillId="3" borderId="0" xfId="0" applyNumberFormat="1" applyFont="1" applyFill="1" applyAlignment="1">
      <alignment vertical="top" shrinkToFit="1"/>
    </xf>
    <xf numFmtId="4" fontId="47" fillId="2" borderId="0" xfId="0" applyNumberFormat="1" applyFont="1" applyFill="1" applyAlignment="1">
      <alignment vertical="top" shrinkToFit="1"/>
    </xf>
    <xf numFmtId="4" fontId="12" fillId="3" borderId="0" xfId="0" applyNumberFormat="1" applyFont="1" applyFill="1" applyAlignment="1">
      <alignment vertical="top" shrinkToFit="1"/>
    </xf>
    <xf numFmtId="10" fontId="13" fillId="4" borderId="0" xfId="0" applyNumberFormat="1" applyFont="1" applyFill="1" applyAlignment="1">
      <alignment vertical="top" shrinkToFit="1"/>
    </xf>
    <xf numFmtId="10" fontId="13" fillId="4" borderId="0" xfId="0" applyNumberFormat="1" applyFont="1" applyFill="1" applyAlignment="1">
      <alignment horizontal="right" vertical="top" shrinkToFit="1"/>
    </xf>
    <xf numFmtId="4" fontId="3" fillId="2" borderId="0" xfId="0" applyNumberFormat="1" applyFont="1" applyFill="1" applyAlignment="1">
      <alignment vertical="top" shrinkToFit="1"/>
    </xf>
    <xf numFmtId="4" fontId="3" fillId="0" borderId="0" xfId="0" applyNumberFormat="1" applyFont="1" applyAlignment="1">
      <alignment vertical="top" shrinkToFit="1"/>
    </xf>
    <xf numFmtId="49" fontId="43" fillId="0" borderId="0" xfId="0" applyNumberFormat="1" applyFont="1" applyAlignment="1">
      <alignment vertical="top"/>
    </xf>
    <xf numFmtId="49" fontId="44" fillId="0" borderId="0" xfId="0" applyNumberFormat="1" applyFont="1" applyAlignment="1">
      <alignment vertical="top"/>
    </xf>
    <xf numFmtId="49" fontId="43" fillId="0" borderId="0" xfId="0" applyNumberFormat="1" applyFont="1" applyBorder="1" applyAlignment="1">
      <alignment vertical="top"/>
    </xf>
    <xf numFmtId="49" fontId="44" fillId="0" borderId="0" xfId="0" applyNumberFormat="1" applyFont="1" applyBorder="1" applyAlignment="1">
      <alignment vertical="top"/>
    </xf>
    <xf numFmtId="49" fontId="9" fillId="0" borderId="0" xfId="0" applyNumberFormat="1" applyFont="1" applyBorder="1" applyAlignment="1">
      <alignment vertical="top"/>
    </xf>
    <xf numFmtId="0" fontId="0" fillId="0" borderId="1" xfId="0" applyNumberFormat="1" applyBorder="1" applyAlignment="1" applyProtection="1">
      <alignment vertical="top"/>
    </xf>
    <xf numFmtId="49" fontId="5" fillId="0" borderId="0" xfId="0" applyNumberFormat="1" applyFont="1" applyBorder="1" applyAlignment="1">
      <alignment vertical="top" shrinkToFit="1"/>
    </xf>
    <xf numFmtId="49" fontId="48" fillId="0" borderId="0" xfId="0" applyNumberFormat="1" applyFont="1" applyBorder="1" applyAlignment="1">
      <alignment vertical="top"/>
    </xf>
    <xf numFmtId="49" fontId="5" fillId="0" borderId="0" xfId="0" applyNumberFormat="1" applyFont="1" applyBorder="1" applyAlignment="1">
      <alignment vertical="top"/>
    </xf>
    <xf numFmtId="4" fontId="5" fillId="2" borderId="0" xfId="0" applyNumberFormat="1" applyFont="1" applyFill="1" applyBorder="1" applyAlignment="1">
      <alignment vertical="top" shrinkToFit="1"/>
    </xf>
    <xf numFmtId="10" fontId="5" fillId="4" borderId="0" xfId="0" applyNumberFormat="1" applyFont="1" applyFill="1" applyBorder="1" applyAlignment="1">
      <alignment horizontal="right" vertical="top" shrinkToFit="1"/>
    </xf>
    <xf numFmtId="10" fontId="5" fillId="4" borderId="0" xfId="0" applyNumberFormat="1" applyFont="1" applyFill="1" applyBorder="1" applyAlignment="1">
      <alignment horizontal="center" vertical="top" shrinkToFit="1"/>
    </xf>
    <xf numFmtId="10" fontId="5" fillId="4" borderId="0" xfId="0" applyNumberFormat="1" applyFont="1" applyFill="1" applyBorder="1" applyAlignment="1">
      <alignment vertical="top" shrinkToFit="1"/>
    </xf>
    <xf numFmtId="4" fontId="5" fillId="0" borderId="0" xfId="0" applyNumberFormat="1" applyFont="1" applyBorder="1" applyAlignment="1">
      <alignment vertical="top" shrinkToFit="1"/>
    </xf>
    <xf numFmtId="49" fontId="5" fillId="0" borderId="0" xfId="0" applyNumberFormat="1" applyFont="1" applyAlignment="1">
      <alignment vertical="top" shrinkToFit="1"/>
    </xf>
    <xf numFmtId="49" fontId="48" fillId="0" borderId="0" xfId="0" applyNumberFormat="1" applyFont="1" applyAlignment="1">
      <alignment vertical="top"/>
    </xf>
    <xf numFmtId="49" fontId="5" fillId="0" borderId="0" xfId="0" applyNumberFormat="1" applyFont="1" applyAlignment="1">
      <alignment vertical="top"/>
    </xf>
    <xf numFmtId="4" fontId="5" fillId="3" borderId="0" xfId="0" applyNumberFormat="1" applyFont="1" applyFill="1" applyAlignment="1">
      <alignment vertical="top" shrinkToFit="1"/>
    </xf>
    <xf numFmtId="10" fontId="5" fillId="6" borderId="0" xfId="0" applyNumberFormat="1" applyFont="1" applyFill="1" applyAlignment="1">
      <alignment vertical="top" shrinkToFit="1"/>
    </xf>
    <xf numFmtId="4" fontId="5" fillId="2" borderId="0" xfId="0" applyNumberFormat="1" applyFont="1" applyFill="1" applyAlignment="1">
      <alignment vertical="top" shrinkToFit="1"/>
    </xf>
    <xf numFmtId="10" fontId="5" fillId="4" borderId="0" xfId="0" applyNumberFormat="1" applyFont="1" applyFill="1" applyAlignment="1">
      <alignment vertical="top" shrinkToFit="1"/>
    </xf>
    <xf numFmtId="10" fontId="5" fillId="4" borderId="0" xfId="0" applyNumberFormat="1" applyFont="1" applyFill="1" applyAlignment="1">
      <alignment horizontal="center" vertical="top" shrinkToFit="1"/>
    </xf>
    <xf numFmtId="4" fontId="5" fillId="0" borderId="0" xfId="0" applyNumberFormat="1" applyFont="1" applyAlignment="1">
      <alignment vertical="top" shrinkToFit="1"/>
    </xf>
    <xf numFmtId="0" fontId="0" fillId="0" borderId="0" xfId="0" applyNumberFormat="1" applyBorder="1" applyAlignment="1" applyProtection="1">
      <alignment vertical="top"/>
    </xf>
    <xf numFmtId="4" fontId="4" fillId="10" borderId="0" xfId="0" applyNumberFormat="1" applyFont="1" applyFill="1" applyAlignment="1">
      <alignment vertical="top" shrinkToFit="1"/>
    </xf>
    <xf numFmtId="49" fontId="31" fillId="0" borderId="1" xfId="0" applyNumberFormat="1" applyFont="1" applyBorder="1" applyAlignment="1">
      <alignment horizontal="left" vertical="top"/>
    </xf>
    <xf numFmtId="4" fontId="3" fillId="3" borderId="1" xfId="0" applyNumberFormat="1" applyFont="1" applyFill="1" applyBorder="1" applyAlignment="1">
      <alignment vertical="top" shrinkToFit="1"/>
    </xf>
    <xf numFmtId="49" fontId="29" fillId="0" borderId="0" xfId="0" applyNumberFormat="1" applyFont="1" applyAlignment="1">
      <alignment vertical="top"/>
    </xf>
    <xf numFmtId="49" fontId="30" fillId="0" borderId="0" xfId="0" applyNumberFormat="1" applyFont="1" applyAlignment="1">
      <alignment vertical="top"/>
    </xf>
    <xf numFmtId="49" fontId="49" fillId="0" borderId="0" xfId="0" applyNumberFormat="1" applyFont="1" applyBorder="1" applyAlignment="1">
      <alignment vertical="top"/>
    </xf>
    <xf numFmtId="49" fontId="51" fillId="0" borderId="0" xfId="0" applyNumberFormat="1" applyFont="1" applyBorder="1" applyAlignment="1">
      <alignment vertical="top"/>
    </xf>
    <xf numFmtId="49" fontId="34" fillId="0" borderId="0" xfId="0" applyNumberFormat="1" applyFont="1" applyFill="1" applyAlignment="1">
      <alignment horizontal="left" vertical="top"/>
    </xf>
    <xf numFmtId="49" fontId="49" fillId="0" borderId="0" xfId="0" applyNumberFormat="1" applyFont="1" applyAlignment="1">
      <alignment vertical="top"/>
    </xf>
    <xf numFmtId="49" fontId="51" fillId="0" borderId="0" xfId="0" applyNumberFormat="1" applyFont="1" applyAlignment="1">
      <alignment vertical="top"/>
    </xf>
    <xf numFmtId="4" fontId="9" fillId="10" borderId="0" xfId="0" applyNumberFormat="1" applyFont="1" applyFill="1" applyAlignment="1">
      <alignment horizontal="center" vertical="top" shrinkToFit="1"/>
    </xf>
    <xf numFmtId="4" fontId="9" fillId="10" borderId="0" xfId="0" applyNumberFormat="1" applyFont="1" applyFill="1" applyBorder="1" applyAlignment="1">
      <alignment horizontal="center" vertical="top" shrinkToFit="1"/>
    </xf>
    <xf numFmtId="49" fontId="32" fillId="0" borderId="1" xfId="0" applyNumberFormat="1" applyFont="1" applyBorder="1" applyAlignment="1">
      <alignment horizontal="left" vertical="top"/>
    </xf>
    <xf numFmtId="4" fontId="3" fillId="3" borderId="0" xfId="0" applyNumberFormat="1" applyFont="1" applyFill="1" applyBorder="1" applyAlignment="1">
      <alignment vertical="top" shrinkToFit="1"/>
    </xf>
    <xf numFmtId="10" fontId="13" fillId="4" borderId="0" xfId="0" applyNumberFormat="1" applyFont="1" applyFill="1" applyBorder="1" applyAlignment="1">
      <alignment horizontal="right" vertical="top" shrinkToFit="1"/>
    </xf>
    <xf numFmtId="49" fontId="3" fillId="0" borderId="5" xfId="0" applyNumberFormat="1" applyFont="1" applyBorder="1" applyAlignment="1">
      <alignment vertical="top" shrinkToFit="1"/>
    </xf>
    <xf numFmtId="49" fontId="45" fillId="0" borderId="5" xfId="0" applyNumberFormat="1" applyFont="1" applyBorder="1" applyAlignment="1">
      <alignment vertical="top"/>
    </xf>
    <xf numFmtId="49" fontId="3" fillId="0" borderId="5" xfId="0" applyNumberFormat="1" applyFont="1" applyBorder="1" applyAlignment="1">
      <alignment vertical="top"/>
    </xf>
    <xf numFmtId="4" fontId="13" fillId="2" borderId="5" xfId="0" applyNumberFormat="1" applyFont="1" applyFill="1" applyBorder="1" applyAlignment="1">
      <alignment vertical="top" shrinkToFit="1"/>
    </xf>
    <xf numFmtId="4" fontId="3" fillId="3" borderId="5" xfId="0" applyNumberFormat="1" applyFont="1" applyFill="1" applyBorder="1" applyAlignment="1">
      <alignment vertical="top" shrinkToFit="1"/>
    </xf>
    <xf numFmtId="4" fontId="12" fillId="3" borderId="5" xfId="0" applyNumberFormat="1" applyFont="1" applyFill="1" applyBorder="1" applyAlignment="1">
      <alignment vertical="top" shrinkToFit="1"/>
    </xf>
    <xf numFmtId="4" fontId="3" fillId="2" borderId="5" xfId="0" applyNumberFormat="1" applyFont="1" applyFill="1" applyBorder="1" applyAlignment="1">
      <alignment vertical="top" shrinkToFit="1"/>
    </xf>
    <xf numFmtId="4" fontId="4" fillId="5" borderId="5" xfId="0" applyNumberFormat="1" applyFont="1" applyFill="1" applyBorder="1" applyAlignment="1">
      <alignment horizontal="center" vertical="top" shrinkToFit="1"/>
    </xf>
    <xf numFmtId="4" fontId="3" fillId="0" borderId="5" xfId="0" applyNumberFormat="1" applyFont="1" applyBorder="1" applyAlignment="1">
      <alignment vertical="top" shrinkToFit="1"/>
    </xf>
    <xf numFmtId="49" fontId="3" fillId="0" borderId="1" xfId="0" applyNumberFormat="1" applyFont="1" applyBorder="1" applyAlignment="1">
      <alignment vertical="top" shrinkToFit="1"/>
    </xf>
    <xf numFmtId="49" fontId="45" fillId="0" borderId="1" xfId="0" applyNumberFormat="1" applyFont="1" applyBorder="1" applyAlignment="1">
      <alignment vertical="top"/>
    </xf>
    <xf numFmtId="49" fontId="3" fillId="0" borderId="1" xfId="0" applyNumberFormat="1" applyFont="1" applyBorder="1" applyAlignment="1">
      <alignment vertical="top"/>
    </xf>
    <xf numFmtId="4" fontId="13" fillId="2" borderId="1" xfId="0" applyNumberFormat="1" applyFont="1" applyFill="1" applyBorder="1" applyAlignment="1">
      <alignment vertical="top" shrinkToFit="1"/>
    </xf>
    <xf numFmtId="4" fontId="47" fillId="2" borderId="1" xfId="0" applyNumberFormat="1" applyFont="1" applyFill="1" applyBorder="1" applyAlignment="1">
      <alignment vertical="top" shrinkToFit="1"/>
    </xf>
    <xf numFmtId="4" fontId="3" fillId="2" borderId="1" xfId="0" applyNumberFormat="1" applyFont="1" applyFill="1" applyBorder="1" applyAlignment="1">
      <alignment vertical="top" shrinkToFit="1"/>
    </xf>
    <xf numFmtId="4" fontId="3" fillId="0" borderId="1" xfId="0" applyNumberFormat="1" applyFont="1" applyBorder="1" applyAlignment="1">
      <alignment vertical="top" shrinkToFit="1"/>
    </xf>
    <xf numFmtId="4" fontId="52" fillId="2" borderId="0" xfId="0" applyNumberFormat="1" applyFont="1" applyFill="1" applyBorder="1" applyAlignment="1">
      <alignment vertical="top" shrinkToFit="1"/>
    </xf>
    <xf numFmtId="4" fontId="52" fillId="2" borderId="0" xfId="0" applyNumberFormat="1" applyFont="1" applyFill="1" applyAlignment="1">
      <alignment vertical="top" shrinkToFit="1"/>
    </xf>
    <xf numFmtId="49" fontId="3" fillId="0" borderId="7" xfId="0" applyNumberFormat="1" applyFont="1" applyBorder="1" applyAlignment="1">
      <alignment vertical="top" shrinkToFit="1"/>
    </xf>
    <xf numFmtId="49" fontId="33" fillId="0" borderId="7" xfId="0" applyNumberFormat="1" applyFont="1" applyBorder="1" applyAlignment="1">
      <alignment vertical="top"/>
    </xf>
    <xf numFmtId="49" fontId="9" fillId="0" borderId="7" xfId="0" applyNumberFormat="1" applyFont="1" applyBorder="1" applyAlignment="1">
      <alignment vertical="top"/>
    </xf>
    <xf numFmtId="4" fontId="53" fillId="2" borderId="7" xfId="0" applyNumberFormat="1" applyFont="1" applyFill="1" applyBorder="1" applyAlignment="1">
      <alignment vertical="top" shrinkToFit="1"/>
    </xf>
    <xf numFmtId="4" fontId="3" fillId="3" borderId="7" xfId="0" applyNumberFormat="1" applyFont="1" applyFill="1" applyBorder="1" applyAlignment="1">
      <alignment vertical="top" shrinkToFit="1"/>
    </xf>
    <xf numFmtId="4" fontId="3" fillId="4" borderId="7" xfId="0" applyNumberFormat="1" applyFont="1" applyFill="1" applyBorder="1" applyAlignment="1">
      <alignment vertical="top" shrinkToFit="1"/>
    </xf>
    <xf numFmtId="4" fontId="4" fillId="5" borderId="7" xfId="0" applyNumberFormat="1" applyFont="1" applyFill="1" applyBorder="1" applyAlignment="1">
      <alignment vertical="top" shrinkToFit="1"/>
    </xf>
    <xf numFmtId="10" fontId="3" fillId="6" borderId="7" xfId="0" applyNumberFormat="1" applyFont="1" applyFill="1" applyBorder="1" applyAlignment="1">
      <alignment vertical="top" shrinkToFit="1"/>
    </xf>
    <xf numFmtId="10" fontId="3" fillId="4" borderId="7" xfId="0" applyNumberFormat="1" applyFont="1" applyFill="1" applyBorder="1" applyAlignment="1">
      <alignment vertical="top" shrinkToFit="1"/>
    </xf>
    <xf numFmtId="4" fontId="4" fillId="5" borderId="7" xfId="0" applyNumberFormat="1" applyFont="1" applyFill="1" applyBorder="1" applyAlignment="1">
      <alignment horizontal="center" vertical="top" shrinkToFit="1"/>
    </xf>
    <xf numFmtId="10" fontId="3" fillId="4" borderId="7" xfId="0" applyNumberFormat="1" applyFont="1" applyFill="1" applyBorder="1" applyAlignment="1">
      <alignment horizontal="center" vertical="top" shrinkToFit="1"/>
    </xf>
    <xf numFmtId="4" fontId="3" fillId="0" borderId="7" xfId="0" applyNumberFormat="1" applyFont="1" applyBorder="1" applyAlignment="1">
      <alignment vertical="top" shrinkToFit="1"/>
    </xf>
    <xf numFmtId="0" fontId="0" fillId="0" borderId="0" xfId="0" applyNumberFormat="1" applyAlignment="1">
      <alignment vertical="top"/>
    </xf>
    <xf numFmtId="4" fontId="0" fillId="10" borderId="0" xfId="0" applyNumberFormat="1" applyFill="1" applyAlignment="1">
      <alignment vertical="top" shrinkToFit="1"/>
    </xf>
    <xf numFmtId="49" fontId="0" fillId="0" borderId="0" xfId="0" applyNumberFormat="1" applyFill="1" applyAlignment="1">
      <alignment vertical="top"/>
    </xf>
    <xf numFmtId="49" fontId="0" fillId="0" borderId="0" xfId="0" quotePrefix="1" applyNumberFormat="1" applyAlignment="1">
      <alignment horizontal="left" vertical="top" shrinkToFit="1"/>
    </xf>
    <xf numFmtId="4" fontId="45" fillId="0" borderId="0" xfId="0" applyNumberFormat="1" applyFont="1" applyFill="1" applyAlignment="1">
      <alignment vertical="top"/>
    </xf>
    <xf numFmtId="4" fontId="3" fillId="0" borderId="0" xfId="0" applyNumberFormat="1" applyFont="1" applyFill="1" applyAlignment="1">
      <alignment vertical="top"/>
    </xf>
    <xf numFmtId="49" fontId="0" fillId="0" borderId="7" xfId="0" applyNumberFormat="1" applyBorder="1" applyAlignment="1">
      <alignment vertical="top" shrinkToFit="1"/>
    </xf>
    <xf numFmtId="4" fontId="54" fillId="0" borderId="7" xfId="0" applyNumberFormat="1" applyFont="1" applyFill="1" applyBorder="1" applyAlignment="1">
      <alignment vertical="top"/>
    </xf>
    <xf numFmtId="4" fontId="53" fillId="0" borderId="7" xfId="0" applyNumberFormat="1" applyFont="1" applyFill="1" applyBorder="1" applyAlignment="1">
      <alignment vertical="top"/>
    </xf>
    <xf numFmtId="4" fontId="55" fillId="2" borderId="7" xfId="0" applyNumberFormat="1" applyFont="1" applyFill="1" applyBorder="1" applyAlignment="1">
      <alignment vertical="top" shrinkToFit="1"/>
    </xf>
    <xf numFmtId="4" fontId="56" fillId="4" borderId="7" xfId="0" applyNumberFormat="1" applyFont="1" applyFill="1" applyBorder="1" applyAlignment="1">
      <alignment vertical="top" shrinkToFit="1"/>
    </xf>
    <xf numFmtId="4" fontId="0" fillId="3" borderId="7" xfId="0" applyNumberFormat="1" applyFill="1" applyBorder="1" applyAlignment="1">
      <alignment vertical="top" shrinkToFit="1"/>
    </xf>
    <xf numFmtId="4" fontId="53" fillId="3" borderId="7" xfId="0" applyNumberFormat="1" applyFont="1" applyFill="1" applyBorder="1" applyAlignment="1">
      <alignment vertical="top" shrinkToFit="1"/>
    </xf>
    <xf numFmtId="4" fontId="56" fillId="4" borderId="7" xfId="0" applyNumberFormat="1" applyFont="1" applyFill="1" applyBorder="1" applyAlignment="1">
      <alignment horizontal="center" vertical="top" shrinkToFit="1"/>
    </xf>
    <xf numFmtId="4" fontId="0" fillId="0" borderId="7" xfId="0" applyNumberFormat="1" applyBorder="1" applyAlignment="1">
      <alignment vertical="top" shrinkToFit="1"/>
    </xf>
    <xf numFmtId="4" fontId="54" fillId="0" borderId="0" xfId="0" applyNumberFormat="1" applyFont="1" applyFill="1" applyBorder="1" applyAlignment="1">
      <alignment vertical="top"/>
    </xf>
    <xf numFmtId="4" fontId="53" fillId="0" borderId="0" xfId="0" applyNumberFormat="1" applyFont="1" applyFill="1" applyBorder="1" applyAlignment="1">
      <alignment vertical="top"/>
    </xf>
    <xf numFmtId="4" fontId="55" fillId="2" borderId="0" xfId="0" applyNumberFormat="1" applyFont="1" applyFill="1" applyBorder="1" applyAlignment="1">
      <alignment vertical="top" shrinkToFit="1"/>
    </xf>
    <xf numFmtId="4" fontId="56" fillId="4" borderId="0" xfId="0" applyNumberFormat="1" applyFont="1" applyFill="1" applyBorder="1" applyAlignment="1">
      <alignment vertical="top" shrinkToFit="1"/>
    </xf>
    <xf numFmtId="4" fontId="53" fillId="3" borderId="0" xfId="0" applyNumberFormat="1" applyFont="1" applyFill="1" applyBorder="1" applyAlignment="1">
      <alignment vertical="top" shrinkToFit="1"/>
    </xf>
    <xf numFmtId="4" fontId="56" fillId="4" borderId="0" xfId="0" applyNumberFormat="1" applyFont="1" applyFill="1" applyBorder="1" applyAlignment="1">
      <alignment horizontal="center" vertical="top" shrinkToFit="1"/>
    </xf>
    <xf numFmtId="49" fontId="57" fillId="0" borderId="0" xfId="0" applyNumberFormat="1" applyFont="1" applyAlignment="1">
      <alignment vertical="top"/>
    </xf>
    <xf numFmtId="4" fontId="58" fillId="0" borderId="0" xfId="0" applyNumberFormat="1" applyFont="1" applyFill="1" applyAlignment="1">
      <alignment vertical="top"/>
    </xf>
    <xf numFmtId="4" fontId="59" fillId="2" borderId="0" xfId="0" applyNumberFormat="1" applyFont="1" applyFill="1" applyBorder="1" applyAlignment="1">
      <alignment vertical="top" shrinkToFit="1"/>
    </xf>
    <xf numFmtId="4" fontId="5" fillId="4" borderId="0" xfId="0" applyNumberFormat="1" applyFont="1" applyFill="1" applyBorder="1" applyAlignment="1">
      <alignment horizontal="center" vertical="top"/>
    </xf>
    <xf numFmtId="164" fontId="60" fillId="6" borderId="0" xfId="0" applyNumberFormat="1" applyFont="1" applyFill="1" applyBorder="1" applyAlignment="1">
      <alignment horizontal="center" vertical="top"/>
    </xf>
    <xf numFmtId="4" fontId="61" fillId="0" borderId="0" xfId="0" applyNumberFormat="1" applyFont="1" applyFill="1" applyAlignment="1">
      <alignment vertical="top"/>
    </xf>
    <xf numFmtId="4" fontId="62" fillId="2" borderId="0" xfId="0" applyNumberFormat="1" applyFont="1" applyFill="1" applyAlignment="1">
      <alignment vertical="top" shrinkToFit="1"/>
    </xf>
    <xf numFmtId="4" fontId="3" fillId="4" borderId="0" xfId="0" applyNumberFormat="1" applyFont="1" applyFill="1" applyBorder="1" applyAlignment="1">
      <alignment horizontal="center" vertical="top"/>
    </xf>
    <xf numFmtId="164" fontId="63" fillId="6" borderId="0" xfId="0" applyNumberFormat="1" applyFont="1" applyFill="1" applyBorder="1" applyAlignment="1">
      <alignment horizontal="center" vertical="top"/>
    </xf>
    <xf numFmtId="4" fontId="62" fillId="2" borderId="2" xfId="0" applyNumberFormat="1" applyFont="1" applyFill="1" applyBorder="1" applyAlignment="1">
      <alignment vertical="top" shrinkToFit="1"/>
    </xf>
    <xf numFmtId="0" fontId="10" fillId="0" borderId="0" xfId="0" applyFont="1" applyAlignment="1">
      <alignment horizontal="left" vertical="top"/>
    </xf>
    <xf numFmtId="4" fontId="64" fillId="2" borderId="0" xfId="0" applyNumberFormat="1" applyFont="1" applyFill="1" applyAlignment="1">
      <alignment vertical="top" shrinkToFit="1"/>
    </xf>
    <xf numFmtId="4" fontId="61" fillId="4" borderId="0" xfId="0" applyNumberFormat="1" applyFont="1" applyFill="1" applyAlignment="1">
      <alignment vertical="top" shrinkToFit="1"/>
    </xf>
    <xf numFmtId="164" fontId="65" fillId="6" borderId="0" xfId="0" applyNumberFormat="1" applyFont="1" applyFill="1" applyBorder="1" applyAlignment="1">
      <alignment horizontal="center" vertical="top"/>
    </xf>
    <xf numFmtId="4" fontId="3" fillId="5" borderId="0" xfId="0" applyNumberFormat="1" applyFont="1" applyFill="1" applyBorder="1" applyAlignment="1">
      <alignment horizontal="center" vertical="top" shrinkToFit="1"/>
    </xf>
    <xf numFmtId="164" fontId="3" fillId="6" borderId="0" xfId="0" applyNumberFormat="1" applyFont="1" applyFill="1" applyBorder="1" applyAlignment="1">
      <alignment horizontal="center" vertical="top"/>
    </xf>
    <xf numFmtId="164" fontId="3" fillId="4" borderId="0" xfId="0" applyNumberFormat="1" applyFont="1" applyFill="1" applyBorder="1" applyAlignment="1">
      <alignment horizontal="center" vertical="top"/>
    </xf>
    <xf numFmtId="4" fontId="66" fillId="0" borderId="0" xfId="0" applyNumberFormat="1" applyFont="1" applyFill="1" applyBorder="1" applyAlignment="1">
      <alignment vertical="top"/>
    </xf>
    <xf numFmtId="4" fontId="66" fillId="4" borderId="0" xfId="0" applyNumberFormat="1" applyFont="1" applyFill="1" applyBorder="1" applyAlignment="1">
      <alignment vertical="top" shrinkToFit="1"/>
    </xf>
    <xf numFmtId="10" fontId="67" fillId="6" borderId="0" xfId="0" applyNumberFormat="1" applyFont="1" applyFill="1" applyBorder="1" applyAlignment="1">
      <alignment horizontal="center" vertical="top"/>
    </xf>
    <xf numFmtId="4" fontId="64" fillId="2" borderId="2" xfId="0" applyNumberFormat="1" applyFont="1" applyFill="1" applyBorder="1" applyAlignment="1">
      <alignment vertical="top" shrinkToFit="1"/>
    </xf>
    <xf numFmtId="4" fontId="45" fillId="2" borderId="0" xfId="0" applyNumberFormat="1" applyFont="1" applyFill="1" applyAlignment="1">
      <alignment vertical="top" shrinkToFit="1"/>
    </xf>
    <xf numFmtId="4" fontId="64" fillId="2" borderId="8" xfId="0" applyNumberFormat="1" applyFont="1" applyFill="1" applyBorder="1" applyAlignment="1">
      <alignment vertical="top" shrinkToFit="1"/>
    </xf>
    <xf numFmtId="164" fontId="67" fillId="6" borderId="0" xfId="0" applyNumberFormat="1" applyFont="1" applyFill="1" applyBorder="1" applyAlignment="1">
      <alignment horizontal="center" vertical="top"/>
    </xf>
    <xf numFmtId="4" fontId="3" fillId="2" borderId="2" xfId="0" applyNumberFormat="1" applyFont="1" applyFill="1" applyBorder="1" applyAlignment="1">
      <alignment vertical="top" shrinkToFit="1"/>
    </xf>
    <xf numFmtId="4" fontId="68" fillId="2" borderId="0" xfId="0" applyNumberFormat="1" applyFont="1" applyFill="1" applyAlignment="1">
      <alignment vertical="top" shrinkToFit="1"/>
    </xf>
    <xf numFmtId="4" fontId="64" fillId="2" borderId="0" xfId="0" applyNumberFormat="1" applyFont="1" applyFill="1" applyBorder="1" applyAlignment="1">
      <alignment vertical="top" shrinkToFit="1"/>
    </xf>
    <xf numFmtId="4" fontId="2" fillId="0" borderId="0" xfId="0" applyNumberFormat="1" applyFont="1" applyBorder="1" applyAlignment="1">
      <alignment vertical="top"/>
    </xf>
    <xf numFmtId="49" fontId="10" fillId="0" borderId="0" xfId="0" applyNumberFormat="1" applyFont="1" applyAlignment="1">
      <alignment horizontal="left" vertical="top"/>
    </xf>
    <xf numFmtId="4" fontId="45" fillId="2" borderId="2" xfId="0" applyNumberFormat="1" applyFont="1" applyFill="1" applyBorder="1" applyAlignment="1">
      <alignment vertical="top" shrinkToFit="1"/>
    </xf>
    <xf numFmtId="4" fontId="69" fillId="0" borderId="0" xfId="0" applyNumberFormat="1" applyFont="1" applyFill="1" applyAlignment="1">
      <alignment vertical="top"/>
    </xf>
    <xf numFmtId="4" fontId="70" fillId="0" borderId="0" xfId="0" applyNumberFormat="1" applyFont="1" applyFill="1" applyAlignment="1">
      <alignment vertical="top"/>
    </xf>
    <xf numFmtId="0" fontId="61" fillId="0" borderId="0" xfId="0" applyNumberFormat="1" applyFont="1" applyFill="1" applyAlignment="1">
      <alignment vertical="top"/>
    </xf>
    <xf numFmtId="4" fontId="70" fillId="4" borderId="0" xfId="0" applyNumberFormat="1" applyFont="1" applyFill="1" applyAlignment="1">
      <alignment vertical="top" shrinkToFit="1"/>
    </xf>
    <xf numFmtId="4" fontId="53" fillId="4" borderId="0" xfId="0" applyNumberFormat="1" applyFont="1" applyFill="1" applyBorder="1" applyAlignment="1">
      <alignment vertical="top" shrinkToFit="1"/>
    </xf>
    <xf numFmtId="4" fontId="71" fillId="4" borderId="0" xfId="0" applyNumberFormat="1" applyFont="1" applyFill="1" applyBorder="1" applyAlignment="1">
      <alignment vertical="top" shrinkToFit="1"/>
    </xf>
    <xf numFmtId="4" fontId="0" fillId="0" borderId="0" xfId="0" applyNumberFormat="1" applyBorder="1" applyAlignment="1">
      <alignment vertical="top"/>
    </xf>
    <xf numFmtId="0" fontId="70" fillId="0" borderId="0" xfId="0" applyNumberFormat="1" applyFont="1" applyFill="1" applyAlignment="1">
      <alignment vertical="top"/>
    </xf>
    <xf numFmtId="4" fontId="0" fillId="4" borderId="0" xfId="0" applyNumberFormat="1" applyFill="1" applyBorder="1" applyAlignment="1">
      <alignment vertical="top" shrinkToFit="1"/>
    </xf>
    <xf numFmtId="49" fontId="72" fillId="0" borderId="0" xfId="0" applyNumberFormat="1" applyFont="1" applyAlignment="1">
      <alignment horizontal="left" vertical="top"/>
    </xf>
    <xf numFmtId="4" fontId="3" fillId="7" borderId="0" xfId="0" applyNumberFormat="1" applyFont="1" applyFill="1" applyAlignment="1">
      <alignment vertical="top" shrinkToFit="1"/>
    </xf>
    <xf numFmtId="4" fontId="3" fillId="2" borderId="8" xfId="0" applyNumberFormat="1" applyFont="1" applyFill="1" applyBorder="1" applyAlignment="1">
      <alignment vertical="top" shrinkToFit="1"/>
    </xf>
    <xf numFmtId="164" fontId="3" fillId="4" borderId="0" xfId="0" applyNumberFormat="1" applyFont="1" applyFill="1" applyBorder="1" applyAlignment="1">
      <alignment vertical="top" shrinkToFit="1"/>
    </xf>
    <xf numFmtId="49" fontId="31" fillId="0" borderId="0" xfId="0" applyNumberFormat="1" applyFont="1" applyBorder="1" applyAlignment="1">
      <alignment horizontal="left" vertical="top"/>
    </xf>
    <xf numFmtId="4" fontId="70" fillId="0" borderId="0" xfId="0" applyNumberFormat="1" applyFont="1" applyFill="1" applyBorder="1" applyAlignment="1">
      <alignment vertical="top"/>
    </xf>
    <xf numFmtId="4" fontId="70" fillId="4" borderId="0" xfId="0" applyNumberFormat="1" applyFont="1" applyFill="1" applyBorder="1" applyAlignment="1">
      <alignment vertical="top" shrinkToFit="1"/>
    </xf>
    <xf numFmtId="4" fontId="64" fillId="2" borderId="1" xfId="0" applyNumberFormat="1" applyFont="1" applyFill="1" applyBorder="1" applyAlignment="1">
      <alignment vertical="top" shrinkToFit="1"/>
    </xf>
    <xf numFmtId="4" fontId="70" fillId="4" borderId="1" xfId="0" applyNumberFormat="1" applyFont="1" applyFill="1" applyBorder="1" applyAlignment="1">
      <alignment vertical="top" shrinkToFit="1"/>
    </xf>
    <xf numFmtId="9" fontId="60" fillId="6" borderId="0" xfId="0" applyNumberFormat="1" applyFont="1" applyFill="1" applyBorder="1" applyAlignment="1">
      <alignment horizontal="center" vertical="top"/>
    </xf>
    <xf numFmtId="4" fontId="73" fillId="0" borderId="0" xfId="0" applyNumberFormat="1" applyFont="1" applyFill="1" applyBorder="1" applyAlignment="1">
      <alignment vertical="top"/>
    </xf>
    <xf numFmtId="4" fontId="71" fillId="0" borderId="0" xfId="0" applyNumberFormat="1" applyFont="1" applyFill="1" applyBorder="1" applyAlignment="1">
      <alignment vertical="top"/>
    </xf>
    <xf numFmtId="4" fontId="74" fillId="2" borderId="0" xfId="0" applyNumberFormat="1" applyFont="1" applyFill="1" applyBorder="1" applyAlignment="1">
      <alignment vertical="top" shrinkToFit="1"/>
    </xf>
    <xf numFmtId="4" fontId="75" fillId="4" borderId="0" xfId="0" applyNumberFormat="1" applyFont="1" applyFill="1" applyBorder="1" applyAlignment="1">
      <alignment vertical="top" shrinkToFit="1"/>
    </xf>
    <xf numFmtId="4" fontId="3" fillId="5" borderId="0" xfId="0" applyNumberFormat="1" applyFont="1" applyFill="1" applyBorder="1" applyAlignment="1">
      <alignment vertical="top" shrinkToFit="1"/>
    </xf>
    <xf numFmtId="4" fontId="71" fillId="3" borderId="0" xfId="0" applyNumberFormat="1" applyFont="1" applyFill="1" applyBorder="1" applyAlignment="1">
      <alignment vertical="top" shrinkToFit="1"/>
    </xf>
    <xf numFmtId="4" fontId="75" fillId="4" borderId="0" xfId="0" applyNumberFormat="1" applyFont="1" applyFill="1" applyBorder="1" applyAlignment="1">
      <alignment horizontal="center" vertical="top" shrinkToFit="1"/>
    </xf>
    <xf numFmtId="49" fontId="76" fillId="0" borderId="0" xfId="0" applyNumberFormat="1" applyFont="1" applyAlignment="1">
      <alignment vertical="top"/>
    </xf>
    <xf numFmtId="49" fontId="76" fillId="0" borderId="4" xfId="0" applyNumberFormat="1" applyFont="1" applyBorder="1" applyAlignment="1">
      <alignment vertical="top"/>
    </xf>
    <xf numFmtId="49" fontId="76" fillId="0" borderId="0" xfId="0" applyNumberFormat="1" applyFont="1" applyBorder="1" applyAlignment="1">
      <alignment vertical="top"/>
    </xf>
    <xf numFmtId="49" fontId="77" fillId="0" borderId="0" xfId="0" applyNumberFormat="1" applyFont="1" applyBorder="1" applyAlignment="1">
      <alignment vertical="top"/>
    </xf>
    <xf numFmtId="4" fontId="34" fillId="14" borderId="0" xfId="0" applyNumberFormat="1" applyFont="1" applyFill="1" applyAlignment="1">
      <alignment vertical="top"/>
    </xf>
    <xf numFmtId="0" fontId="78" fillId="0" borderId="0" xfId="0" applyNumberFormat="1" applyFont="1" applyBorder="1" applyAlignment="1">
      <alignment horizontal="center" vertical="top"/>
    </xf>
    <xf numFmtId="0" fontId="4" fillId="0" borderId="0" xfId="0" applyNumberFormat="1" applyFont="1" applyBorder="1" applyAlignment="1">
      <alignment horizontal="center" vertical="top"/>
    </xf>
    <xf numFmtId="49" fontId="77" fillId="0" borderId="0" xfId="0" applyNumberFormat="1" applyFont="1" applyBorder="1" applyAlignment="1">
      <alignment horizontal="left" vertical="top"/>
    </xf>
    <xf numFmtId="0" fontId="0" fillId="0" borderId="0" xfId="0" applyNumberFormat="1" applyBorder="1" applyAlignment="1">
      <alignment vertical="top"/>
    </xf>
    <xf numFmtId="3" fontId="3" fillId="0" borderId="0" xfId="0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49" fontId="77" fillId="0" borderId="0" xfId="0" applyNumberFormat="1" applyFont="1" applyAlignment="1">
      <alignment vertical="top"/>
    </xf>
    <xf numFmtId="49" fontId="79" fillId="0" borderId="2" xfId="0" applyNumberFormat="1" applyFont="1" applyBorder="1" applyAlignment="1">
      <alignment vertical="top"/>
    </xf>
    <xf numFmtId="4" fontId="53" fillId="2" borderId="0" xfId="0" applyNumberFormat="1" applyFont="1" applyFill="1" applyBorder="1" applyAlignment="1">
      <alignment vertical="top" shrinkToFit="1"/>
    </xf>
    <xf numFmtId="3" fontId="53" fillId="3" borderId="0" xfId="0" applyNumberFormat="1" applyFont="1" applyFill="1" applyBorder="1" applyAlignment="1">
      <alignment vertical="top" shrinkToFit="1"/>
    </xf>
    <xf numFmtId="4" fontId="71" fillId="2" borderId="0" xfId="0" applyNumberFormat="1" applyFont="1" applyFill="1" applyBorder="1" applyAlignment="1">
      <alignment vertical="top" shrinkToFit="1"/>
    </xf>
    <xf numFmtId="49" fontId="46" fillId="0" borderId="0" xfId="0" applyNumberFormat="1" applyFont="1" applyAlignment="1">
      <alignment vertical="top"/>
    </xf>
    <xf numFmtId="49" fontId="4" fillId="0" borderId="0" xfId="0" applyNumberFormat="1" applyFont="1" applyAlignment="1">
      <alignment vertical="top" shrinkToFit="1"/>
    </xf>
    <xf numFmtId="0" fontId="4" fillId="0" borderId="0" xfId="0" applyNumberFormat="1" applyFont="1" applyBorder="1" applyAlignment="1">
      <alignment vertical="top"/>
    </xf>
    <xf numFmtId="4" fontId="4" fillId="0" borderId="0" xfId="0" applyNumberFormat="1" applyFont="1" applyAlignment="1">
      <alignment vertical="top"/>
    </xf>
    <xf numFmtId="165" fontId="0" fillId="0" borderId="0" xfId="0" applyNumberFormat="1" applyBorder="1" applyAlignment="1">
      <alignment vertical="top"/>
    </xf>
    <xf numFmtId="4" fontId="4" fillId="2" borderId="0" xfId="0" applyNumberFormat="1" applyFont="1" applyFill="1" applyAlignment="1">
      <alignment vertical="top" shrinkToFit="1"/>
    </xf>
    <xf numFmtId="4" fontId="4" fillId="3" borderId="0" xfId="0" applyNumberFormat="1" applyFont="1" applyFill="1" applyAlignment="1">
      <alignment vertical="top" shrinkToFit="1"/>
    </xf>
    <xf numFmtId="4" fontId="4" fillId="0" borderId="0" xfId="0" applyNumberFormat="1" applyFont="1" applyAlignment="1">
      <alignment vertical="top" shrinkToFit="1"/>
    </xf>
    <xf numFmtId="3" fontId="0" fillId="0" borderId="0" xfId="0" applyNumberFormat="1" applyBorder="1" applyAlignment="1">
      <alignment vertical="top"/>
    </xf>
    <xf numFmtId="4" fontId="3" fillId="4" borderId="0" xfId="0" applyNumberFormat="1" applyFont="1" applyFill="1" applyBorder="1" applyAlignment="1">
      <alignment horizontal="center" vertical="top" shrinkToFit="1"/>
    </xf>
    <xf numFmtId="49" fontId="67" fillId="0" borderId="0" xfId="0" applyNumberFormat="1" applyFont="1" applyBorder="1" applyAlignment="1">
      <alignment vertical="top" shrinkToFit="1"/>
    </xf>
    <xf numFmtId="49" fontId="80" fillId="0" borderId="0" xfId="0" applyNumberFormat="1" applyFont="1" applyBorder="1" applyAlignment="1">
      <alignment vertical="top"/>
    </xf>
    <xf numFmtId="3" fontId="67" fillId="0" borderId="0" xfId="0" applyNumberFormat="1" applyFont="1" applyBorder="1" applyAlignment="1">
      <alignment vertical="top"/>
    </xf>
    <xf numFmtId="166" fontId="67" fillId="0" borderId="0" xfId="0" applyNumberFormat="1" applyFont="1" applyBorder="1" applyAlignment="1">
      <alignment vertical="top"/>
    </xf>
    <xf numFmtId="49" fontId="67" fillId="0" borderId="0" xfId="0" applyNumberFormat="1" applyFont="1" applyBorder="1" applyAlignment="1">
      <alignment vertical="top"/>
    </xf>
    <xf numFmtId="4" fontId="67" fillId="2" borderId="0" xfId="0" applyNumberFormat="1" applyFont="1" applyFill="1" applyBorder="1" applyAlignment="1">
      <alignment vertical="top" shrinkToFit="1"/>
    </xf>
    <xf numFmtId="4" fontId="67" fillId="4" borderId="0" xfId="0" applyNumberFormat="1" applyFont="1" applyFill="1" applyBorder="1" applyAlignment="1">
      <alignment vertical="top" shrinkToFit="1"/>
    </xf>
    <xf numFmtId="4" fontId="67" fillId="3" borderId="0" xfId="0" applyNumberFormat="1" applyFont="1" applyFill="1" applyBorder="1" applyAlignment="1">
      <alignment vertical="top" shrinkToFit="1"/>
    </xf>
    <xf numFmtId="4" fontId="81" fillId="5" borderId="0" xfId="0" applyNumberFormat="1" applyFont="1" applyFill="1" applyBorder="1" applyAlignment="1">
      <alignment vertical="top" shrinkToFit="1"/>
    </xf>
    <xf numFmtId="10" fontId="67" fillId="6" borderId="0" xfId="0" applyNumberFormat="1" applyFont="1" applyFill="1" applyBorder="1" applyAlignment="1">
      <alignment vertical="top" shrinkToFit="1"/>
    </xf>
    <xf numFmtId="4" fontId="81" fillId="5" borderId="0" xfId="0" applyNumberFormat="1" applyFont="1" applyFill="1" applyBorder="1" applyAlignment="1">
      <alignment horizontal="center" vertical="top" shrinkToFit="1"/>
    </xf>
    <xf numFmtId="3" fontId="67" fillId="3" borderId="0" xfId="0" applyNumberFormat="1" applyFont="1" applyFill="1" applyBorder="1" applyAlignment="1">
      <alignment vertical="top" shrinkToFit="1"/>
    </xf>
    <xf numFmtId="4" fontId="67" fillId="4" borderId="0" xfId="0" applyNumberFormat="1" applyFont="1" applyFill="1" applyBorder="1" applyAlignment="1">
      <alignment horizontal="center" vertical="top" shrinkToFit="1"/>
    </xf>
    <xf numFmtId="4" fontId="67" fillId="0" borderId="0" xfId="0" applyNumberFormat="1" applyFont="1" applyBorder="1" applyAlignment="1">
      <alignment vertical="top" shrinkToFit="1"/>
    </xf>
    <xf numFmtId="49" fontId="67" fillId="0" borderId="2" xfId="0" applyNumberFormat="1" applyFont="1" applyBorder="1" applyAlignment="1">
      <alignment vertical="top" shrinkToFit="1"/>
    </xf>
    <xf numFmtId="49" fontId="80" fillId="0" borderId="2" xfId="0" applyNumberFormat="1" applyFont="1" applyBorder="1" applyAlignment="1">
      <alignment vertical="top"/>
    </xf>
    <xf numFmtId="3" fontId="67" fillId="0" borderId="2" xfId="0" applyNumberFormat="1" applyFont="1" applyBorder="1" applyAlignment="1">
      <alignment vertical="top"/>
    </xf>
    <xf numFmtId="166" fontId="67" fillId="0" borderId="2" xfId="0" applyNumberFormat="1" applyFont="1" applyBorder="1" applyAlignment="1">
      <alignment vertical="top"/>
    </xf>
    <xf numFmtId="49" fontId="67" fillId="0" borderId="2" xfId="0" applyNumberFormat="1" applyFont="1" applyBorder="1" applyAlignment="1">
      <alignment vertical="top"/>
    </xf>
    <xf numFmtId="4" fontId="67" fillId="2" borderId="2" xfId="0" applyNumberFormat="1" applyFont="1" applyFill="1" applyBorder="1" applyAlignment="1">
      <alignment vertical="top" shrinkToFit="1"/>
    </xf>
    <xf numFmtId="4" fontId="67" fillId="4" borderId="2" xfId="0" applyNumberFormat="1" applyFont="1" applyFill="1" applyBorder="1" applyAlignment="1">
      <alignment vertical="top" shrinkToFit="1"/>
    </xf>
    <xf numFmtId="4" fontId="67" fillId="3" borderId="2" xfId="0" applyNumberFormat="1" applyFont="1" applyFill="1" applyBorder="1" applyAlignment="1">
      <alignment vertical="top" shrinkToFit="1"/>
    </xf>
    <xf numFmtId="4" fontId="81" fillId="5" borderId="2" xfId="0" applyNumberFormat="1" applyFont="1" applyFill="1" applyBorder="1" applyAlignment="1">
      <alignment vertical="top" shrinkToFit="1"/>
    </xf>
    <xf numFmtId="10" fontId="67" fillId="6" borderId="2" xfId="0" applyNumberFormat="1" applyFont="1" applyFill="1" applyBorder="1" applyAlignment="1">
      <alignment vertical="top" shrinkToFit="1"/>
    </xf>
    <xf numFmtId="4" fontId="81" fillId="5" borderId="2" xfId="0" applyNumberFormat="1" applyFont="1" applyFill="1" applyBorder="1" applyAlignment="1">
      <alignment horizontal="center" vertical="top" shrinkToFit="1"/>
    </xf>
    <xf numFmtId="3" fontId="67" fillId="3" borderId="2" xfId="0" applyNumberFormat="1" applyFont="1" applyFill="1" applyBorder="1" applyAlignment="1">
      <alignment vertical="top" shrinkToFit="1"/>
    </xf>
    <xf numFmtId="3" fontId="67" fillId="2" borderId="2" xfId="0" applyNumberFormat="1" applyFont="1" applyFill="1" applyBorder="1" applyAlignment="1">
      <alignment vertical="top" shrinkToFit="1"/>
    </xf>
    <xf numFmtId="165" fontId="67" fillId="4" borderId="2" xfId="0" applyNumberFormat="1" applyFont="1" applyFill="1" applyBorder="1" applyAlignment="1">
      <alignment horizontal="center" vertical="top" shrinkToFit="1"/>
    </xf>
    <xf numFmtId="4" fontId="67" fillId="0" borderId="2" xfId="0" applyNumberFormat="1" applyFont="1" applyBorder="1" applyAlignment="1">
      <alignment vertical="top" shrinkToFit="1"/>
    </xf>
    <xf numFmtId="166" fontId="0" fillId="0" borderId="0" xfId="0" applyNumberFormat="1" applyBorder="1" applyAlignment="1">
      <alignment vertical="top"/>
    </xf>
    <xf numFmtId="49" fontId="79" fillId="0" borderId="0" xfId="0" applyNumberFormat="1" applyFont="1" applyBorder="1" applyAlignment="1">
      <alignment vertical="top"/>
    </xf>
    <xf numFmtId="49" fontId="10" fillId="0" borderId="0" xfId="0" applyNumberFormat="1" applyFont="1" applyBorder="1" applyAlignment="1">
      <alignment vertical="top" shrinkToFit="1"/>
    </xf>
    <xf numFmtId="49" fontId="39" fillId="0" borderId="0" xfId="0" applyNumberFormat="1" applyFont="1" applyBorder="1" applyAlignment="1">
      <alignment vertical="top"/>
    </xf>
    <xf numFmtId="49" fontId="10" fillId="0" borderId="0" xfId="0" applyNumberFormat="1" applyFont="1" applyBorder="1" applyAlignment="1">
      <alignment vertical="top"/>
    </xf>
    <xf numFmtId="4" fontId="10" fillId="8" borderId="0" xfId="0" applyNumberFormat="1" applyFont="1" applyFill="1" applyBorder="1" applyAlignment="1">
      <alignment vertical="top" shrinkToFit="1"/>
    </xf>
    <xf numFmtId="4" fontId="10" fillId="9" borderId="0" xfId="0" applyNumberFormat="1" applyFont="1" applyFill="1" applyBorder="1" applyAlignment="1">
      <alignment vertical="top" shrinkToFit="1"/>
    </xf>
    <xf numFmtId="49" fontId="82" fillId="0" borderId="0" xfId="0" applyNumberFormat="1" applyFont="1" applyAlignment="1">
      <alignment horizontal="left" vertical="top"/>
    </xf>
    <xf numFmtId="4" fontId="78" fillId="0" borderId="0" xfId="0" applyNumberFormat="1" applyFont="1" applyBorder="1" applyAlignment="1">
      <alignment horizontal="center" vertical="top"/>
    </xf>
    <xf numFmtId="4" fontId="0" fillId="0" borderId="0" xfId="0" applyNumberFormat="1" applyAlignment="1">
      <alignment vertical="top"/>
    </xf>
    <xf numFmtId="4" fontId="19" fillId="2" borderId="0" xfId="0" applyNumberFormat="1" applyFont="1" applyFill="1" applyAlignment="1">
      <alignment horizontal="center" vertical="top" shrinkToFit="1"/>
    </xf>
    <xf numFmtId="4" fontId="19" fillId="2" borderId="0" xfId="0" applyNumberFormat="1" applyFont="1" applyFill="1" applyAlignment="1">
      <alignment vertical="top" shrinkToFit="1"/>
    </xf>
    <xf numFmtId="4" fontId="10" fillId="8" borderId="5" xfId="0" applyNumberFormat="1" applyFont="1" applyFill="1" applyBorder="1" applyAlignment="1">
      <alignment vertical="top" shrinkToFit="1"/>
    </xf>
    <xf numFmtId="4" fontId="10" fillId="8" borderId="1" xfId="0" applyNumberFormat="1" applyFont="1" applyFill="1" applyBorder="1" applyAlignment="1">
      <alignment vertical="top" shrinkToFit="1"/>
    </xf>
    <xf numFmtId="4" fontId="83" fillId="8" borderId="0" xfId="0" applyNumberFormat="1" applyFont="1" applyFill="1" applyAlignment="1">
      <alignment horizontal="center" vertical="top" shrinkToFit="1"/>
    </xf>
    <xf numFmtId="4" fontId="14" fillId="2" borderId="0" xfId="0" applyNumberFormat="1" applyFont="1" applyFill="1" applyAlignment="1">
      <alignment horizontal="center" vertical="top" shrinkToFit="1"/>
    </xf>
    <xf numFmtId="4" fontId="84" fillId="2" borderId="0" xfId="0" applyNumberFormat="1" applyFont="1" applyFill="1" applyAlignment="1">
      <alignment vertical="top" shrinkToFit="1"/>
    </xf>
    <xf numFmtId="4" fontId="14" fillId="2" borderId="0" xfId="0" applyNumberFormat="1" applyFont="1" applyFill="1" applyAlignment="1">
      <alignment vertical="top" shrinkToFit="1"/>
    </xf>
    <xf numFmtId="10" fontId="5" fillId="15" borderId="0" xfId="0" applyNumberFormat="1" applyFont="1" applyFill="1" applyBorder="1" applyAlignment="1">
      <alignment horizontal="center" vertical="top" shrinkToFit="1"/>
    </xf>
    <xf numFmtId="49" fontId="7" fillId="0" borderId="0" xfId="0" applyNumberFormat="1" applyFont="1" applyAlignment="1">
      <alignment vertical="top"/>
    </xf>
  </cellXfs>
  <cellStyles count="1">
    <cellStyle name="Normal" xfId="0" builtinId="0"/>
  </cellStyles>
  <dxfs count="17">
    <dxf>
      <fill>
        <patternFill>
          <bgColor rgb="FFFF0000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7D7D"/>
      <color rgb="FF007373"/>
      <color rgb="FF009696"/>
      <color rgb="FF32410A"/>
      <color rgb="FF55730F"/>
      <color rgb="FF78A00A"/>
      <color rgb="FFAFE10F"/>
      <color rgb="FFC80000"/>
      <color rgb="FFDEC800"/>
      <color rgb="FFBEE69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1143000</xdr:colOff>
          <xdr:row>672</xdr:row>
          <xdr:rowOff>38100</xdr:rowOff>
        </xdr:from>
        <xdr:to>
          <xdr:col>1</xdr:col>
          <xdr:colOff>1838325</xdr:colOff>
          <xdr:row>672</xdr:row>
          <xdr:rowOff>190500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Palatino Linotype"/>
                </a:rPr>
                <a:t>Voir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1143000</xdr:colOff>
          <xdr:row>660</xdr:row>
          <xdr:rowOff>28575</xdr:rowOff>
        </xdr:from>
        <xdr:to>
          <xdr:col>1</xdr:col>
          <xdr:colOff>1838325</xdr:colOff>
          <xdr:row>660</xdr:row>
          <xdr:rowOff>180975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32004" rIns="27432" bIns="32004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Palatino Linotype"/>
                </a:rPr>
                <a:t>Voir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pteGestionJustice202011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Comptes"/>
      <sheetName val="Bips&amp;Badges"/>
      <sheetName val="RépartitionTantièmes"/>
      <sheetName val="CpteGestionJustice20201105"/>
    </sheetNames>
    <definedNames>
      <definedName name="AllerVersAscenseurs"/>
      <definedName name="AllerVersChauffage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2">
    <outlinePr summaryBelow="0" summaryRight="0"/>
  </sheetPr>
  <dimension ref="A1:AV994"/>
  <sheetViews>
    <sheetView tabSelected="1" zoomScaleNormal="100" zoomScaleSheetLayoutView="85" workbookViewId="0">
      <pane xSplit="2" ySplit="3" topLeftCell="C68" activePane="bottomRight" state="frozen"/>
      <selection pane="topRight" activeCell="C1" sqref="C1"/>
      <selection pane="bottomLeft" activeCell="A4" sqref="A4"/>
      <selection pane="bottomRight" activeCell="E87" sqref="E87"/>
    </sheetView>
  </sheetViews>
  <sheetFormatPr baseColWidth="10" defaultColWidth="11.5" defaultRowHeight="17.25" outlineLevelRow="4" x14ac:dyDescent="0.3"/>
  <cols>
    <col min="1" max="1" width="5.375" style="23" customWidth="1"/>
    <col min="2" max="2" width="35.25" style="24" customWidth="1"/>
    <col min="3" max="3" width="11" style="25" customWidth="1"/>
    <col min="4" max="4" width="29.5" style="25" customWidth="1"/>
    <col min="5" max="5" width="37" style="25" customWidth="1"/>
    <col min="6" max="6" width="13.5" style="27" customWidth="1"/>
    <col min="7" max="7" width="13.75" style="27" bestFit="1" customWidth="1"/>
    <col min="8" max="8" width="13.875" style="27" bestFit="1" customWidth="1"/>
    <col min="9" max="9" width="14.375" style="27" bestFit="1" customWidth="1"/>
    <col min="10" max="10" width="14.125" style="27" bestFit="1" customWidth="1"/>
    <col min="11" max="11" width="19" style="28" customWidth="1"/>
    <col min="12" max="12" width="11.5" style="27"/>
    <col min="13" max="13" width="15.375" style="90" customWidth="1"/>
    <col min="14" max="14" width="17.625" style="28" customWidth="1"/>
    <col min="15" max="15" width="11.5" style="27"/>
    <col min="16" max="16" width="17.125" style="90" bestFit="1" customWidth="1"/>
    <col min="17" max="17" width="15" style="91" customWidth="1"/>
    <col min="18" max="18" width="9.75" style="92" customWidth="1"/>
    <col min="19" max="19" width="11.5" style="28"/>
    <col min="20" max="20" width="15.375" style="27" customWidth="1"/>
    <col min="21" max="21" width="19.25" style="39" customWidth="1"/>
    <col min="22" max="22" width="15" style="91" customWidth="1"/>
    <col min="23" max="23" width="9.75" style="92" customWidth="1"/>
    <col min="24" max="24" width="11.625" style="28" customWidth="1"/>
    <col min="25" max="25" width="11.5" style="27"/>
    <col min="26" max="26" width="17.25" style="39" customWidth="1"/>
    <col min="27" max="27" width="15.875" style="7" customWidth="1"/>
    <col min="28" max="28" width="10.125" style="92" customWidth="1"/>
    <col min="29" max="29" width="11.5" style="28"/>
    <col min="30" max="30" width="15.75" style="27" customWidth="1"/>
    <col min="31" max="31" width="15.625" style="9" customWidth="1"/>
    <col min="32" max="32" width="13" style="7" customWidth="1"/>
    <col min="33" max="33" width="5.25" style="92" customWidth="1"/>
    <col min="34" max="34" width="11.5" style="28"/>
    <col min="35" max="35" width="14" style="27" customWidth="1"/>
    <col min="36" max="36" width="17.125" style="39" customWidth="1"/>
    <col min="37" max="37" width="13.75" style="7" customWidth="1"/>
    <col min="38" max="38" width="14.75" style="92" customWidth="1"/>
    <col min="39" max="39" width="11.5" style="28"/>
    <col min="40" max="40" width="10.375" style="27" customWidth="1"/>
    <col min="41" max="41" width="15.375" style="39" customWidth="1"/>
    <col min="42" max="42" width="9.75" style="7" customWidth="1"/>
    <col min="43" max="43" width="9.75" style="92" customWidth="1"/>
    <col min="44" max="44" width="11.5" style="28"/>
    <col min="45" max="45" width="11.5" style="27"/>
    <col min="46" max="46" width="17.125" style="39" customWidth="1"/>
    <col min="47" max="47" width="14.5" style="7" customWidth="1"/>
    <col min="48" max="48" width="11.5" style="92" bestFit="1" customWidth="1"/>
    <col min="49" max="16384" width="11.5" style="36"/>
  </cols>
  <sheetData>
    <row r="1" spans="1:48" s="10" customFormat="1" ht="7.9" customHeight="1" x14ac:dyDescent="0.3">
      <c r="A1" s="1"/>
      <c r="B1" s="2"/>
      <c r="C1" s="3"/>
      <c r="D1" s="3"/>
      <c r="E1" s="3"/>
      <c r="F1" s="4"/>
      <c r="G1" s="4"/>
      <c r="H1" s="4"/>
      <c r="I1" s="4"/>
      <c r="J1" s="4"/>
      <c r="K1" s="5"/>
      <c r="L1" s="4"/>
      <c r="M1" s="6"/>
      <c r="N1" s="5"/>
      <c r="O1" s="4"/>
      <c r="P1" s="6"/>
      <c r="Q1" s="7"/>
      <c r="R1" s="8"/>
      <c r="S1" s="5"/>
      <c r="T1" s="4"/>
      <c r="U1" s="9"/>
      <c r="V1" s="7"/>
      <c r="W1" s="8"/>
      <c r="X1" s="5"/>
      <c r="Y1" s="4"/>
      <c r="Z1" s="9"/>
      <c r="AA1" s="7"/>
      <c r="AB1" s="8"/>
      <c r="AC1" s="5"/>
      <c r="AD1" s="4"/>
      <c r="AE1" s="9"/>
      <c r="AF1" s="7"/>
      <c r="AG1" s="8"/>
      <c r="AH1" s="5"/>
      <c r="AI1" s="4"/>
      <c r="AJ1" s="9"/>
      <c r="AK1" s="7"/>
      <c r="AL1" s="8"/>
      <c r="AM1" s="5"/>
      <c r="AN1" s="4"/>
      <c r="AO1" s="9"/>
      <c r="AP1" s="7"/>
      <c r="AQ1" s="8"/>
      <c r="AR1" s="5"/>
      <c r="AS1" s="4"/>
      <c r="AT1" s="9"/>
      <c r="AU1" s="7"/>
      <c r="AV1" s="8"/>
    </row>
    <row r="2" spans="1:48" s="1" customFormat="1" ht="21" x14ac:dyDescent="0.3">
      <c r="A2" s="460" t="s">
        <v>619</v>
      </c>
      <c r="B2" s="2"/>
      <c r="C2" s="3"/>
      <c r="D2" s="3"/>
      <c r="E2" s="3"/>
      <c r="F2" s="11" t="s">
        <v>0</v>
      </c>
      <c r="G2" s="11" t="s">
        <v>1</v>
      </c>
      <c r="H2" s="11" t="s">
        <v>2</v>
      </c>
      <c r="I2" s="11" t="s">
        <v>3</v>
      </c>
      <c r="J2" s="11">
        <v>2014</v>
      </c>
      <c r="K2" s="12" t="s">
        <v>4</v>
      </c>
      <c r="L2" s="11" t="s">
        <v>4</v>
      </c>
      <c r="M2" s="6"/>
      <c r="N2" s="12" t="s">
        <v>5</v>
      </c>
      <c r="O2" s="11" t="s">
        <v>5</v>
      </c>
      <c r="P2" s="6"/>
      <c r="Q2" s="7"/>
      <c r="R2" s="8"/>
      <c r="S2" s="12" t="s">
        <v>6</v>
      </c>
      <c r="T2" s="11" t="s">
        <v>6</v>
      </c>
      <c r="U2" s="9"/>
      <c r="V2" s="7"/>
      <c r="W2" s="8"/>
      <c r="X2" s="12" t="s">
        <v>7</v>
      </c>
      <c r="Y2" s="11" t="s">
        <v>7</v>
      </c>
      <c r="Z2" s="9"/>
      <c r="AA2" s="7"/>
      <c r="AB2" s="8"/>
      <c r="AC2" s="12" t="s">
        <v>8</v>
      </c>
      <c r="AD2" s="11" t="s">
        <v>8</v>
      </c>
      <c r="AE2" s="9"/>
      <c r="AF2" s="7"/>
      <c r="AG2" s="8"/>
      <c r="AH2" s="12" t="s">
        <v>9</v>
      </c>
      <c r="AI2" s="11" t="s">
        <v>9</v>
      </c>
      <c r="AJ2" s="9"/>
      <c r="AK2" s="7"/>
      <c r="AL2" s="8"/>
      <c r="AM2" s="12" t="s">
        <v>10</v>
      </c>
      <c r="AN2" s="11" t="s">
        <v>10</v>
      </c>
      <c r="AO2" s="9"/>
      <c r="AP2" s="7"/>
      <c r="AQ2" s="8"/>
      <c r="AR2" s="12" t="s">
        <v>631</v>
      </c>
      <c r="AS2" s="11" t="s">
        <v>631</v>
      </c>
      <c r="AT2" s="9"/>
      <c r="AU2" s="7"/>
      <c r="AV2" s="8"/>
    </row>
    <row r="3" spans="1:48" s="13" customFormat="1" ht="15.6" customHeight="1" thickBot="1" x14ac:dyDescent="0.35">
      <c r="A3" s="13" t="s">
        <v>11</v>
      </c>
      <c r="B3" s="14" t="s">
        <v>12</v>
      </c>
      <c r="C3" s="15" t="s">
        <v>13</v>
      </c>
      <c r="D3" s="15" t="s">
        <v>14</v>
      </c>
      <c r="E3" s="15"/>
      <c r="F3" s="16" t="s">
        <v>15</v>
      </c>
      <c r="G3" s="16" t="s">
        <v>15</v>
      </c>
      <c r="H3" s="16" t="s">
        <v>15</v>
      </c>
      <c r="I3" s="16" t="s">
        <v>15</v>
      </c>
      <c r="J3" s="16" t="s">
        <v>15</v>
      </c>
      <c r="K3" s="17" t="s">
        <v>16</v>
      </c>
      <c r="L3" s="16" t="s">
        <v>15</v>
      </c>
      <c r="M3" s="18" t="s">
        <v>17</v>
      </c>
      <c r="N3" s="17" t="s">
        <v>16</v>
      </c>
      <c r="O3" s="16" t="s">
        <v>15</v>
      </c>
      <c r="P3" s="18" t="s">
        <v>18</v>
      </c>
      <c r="Q3" s="19" t="s">
        <v>19</v>
      </c>
      <c r="R3" s="20" t="s">
        <v>20</v>
      </c>
      <c r="S3" s="17" t="s">
        <v>16</v>
      </c>
      <c r="T3" s="16" t="s">
        <v>15</v>
      </c>
      <c r="U3" s="21" t="s">
        <v>21</v>
      </c>
      <c r="V3" s="19" t="s">
        <v>19</v>
      </c>
      <c r="W3" s="20" t="s">
        <v>20</v>
      </c>
      <c r="X3" s="17" t="s">
        <v>16</v>
      </c>
      <c r="Y3" s="16" t="s">
        <v>15</v>
      </c>
      <c r="Z3" s="21" t="s">
        <v>22</v>
      </c>
      <c r="AA3" s="19" t="s">
        <v>23</v>
      </c>
      <c r="AB3" s="20" t="s">
        <v>20</v>
      </c>
      <c r="AC3" s="17" t="s">
        <v>16</v>
      </c>
      <c r="AD3" s="16" t="s">
        <v>15</v>
      </c>
      <c r="AE3" s="22" t="s">
        <v>24</v>
      </c>
      <c r="AF3" s="19" t="s">
        <v>25</v>
      </c>
      <c r="AG3" s="20" t="s">
        <v>20</v>
      </c>
      <c r="AH3" s="17" t="s">
        <v>16</v>
      </c>
      <c r="AI3" s="16" t="s">
        <v>15</v>
      </c>
      <c r="AJ3" s="21" t="s">
        <v>26</v>
      </c>
      <c r="AK3" s="19" t="s">
        <v>25</v>
      </c>
      <c r="AL3" s="20" t="s">
        <v>20</v>
      </c>
      <c r="AM3" s="17" t="s">
        <v>16</v>
      </c>
      <c r="AN3" s="16" t="s">
        <v>15</v>
      </c>
      <c r="AO3" s="21" t="s">
        <v>27</v>
      </c>
      <c r="AP3" s="19" t="s">
        <v>25</v>
      </c>
      <c r="AQ3" s="20" t="s">
        <v>20</v>
      </c>
      <c r="AR3" s="17" t="s">
        <v>16</v>
      </c>
      <c r="AS3" s="16" t="s">
        <v>15</v>
      </c>
      <c r="AT3" s="21" t="s">
        <v>632</v>
      </c>
      <c r="AU3" s="19" t="s">
        <v>25</v>
      </c>
      <c r="AV3" s="20" t="s">
        <v>20</v>
      </c>
    </row>
    <row r="4" spans="1:48" x14ac:dyDescent="0.3">
      <c r="A4" s="23" t="str">
        <f>LEFT(B4,FIND(" ",B4,1)-1)&amp;0</f>
        <v>6010</v>
      </c>
      <c r="B4" s="24" t="s">
        <v>28</v>
      </c>
      <c r="D4" s="26"/>
      <c r="E4" s="26"/>
      <c r="F4" s="27">
        <v>41802.74</v>
      </c>
      <c r="G4" s="27">
        <v>42334.12</v>
      </c>
      <c r="H4" s="27">
        <v>46435.68</v>
      </c>
      <c r="I4" s="27">
        <v>45034.66</v>
      </c>
      <c r="J4" s="27">
        <v>43951.75</v>
      </c>
      <c r="K4" s="28">
        <v>47000</v>
      </c>
      <c r="L4" s="27">
        <v>45694.84</v>
      </c>
      <c r="M4" s="29">
        <f>(L4-J4)/J4</f>
        <v>3.9659171705335887E-2</v>
      </c>
      <c r="N4" s="28">
        <v>47000</v>
      </c>
      <c r="O4" s="27">
        <v>47521.54</v>
      </c>
      <c r="P4" s="29">
        <f>(O4-L4)/L4</f>
        <v>3.997606731963619E-2</v>
      </c>
      <c r="Q4" s="30" t="str">
        <f>ROUND(O4-N4,2) &amp; "  (" &amp; ROUND(100*(O4-N4)/N4,1) &amp;"%)"</f>
        <v>521,54  (1,1%)</v>
      </c>
      <c r="R4" s="31">
        <f>O4/O$34</f>
        <v>9.302122461409823E-2</v>
      </c>
      <c r="S4" s="28">
        <v>46000</v>
      </c>
      <c r="T4" s="27">
        <v>38860.959999999999</v>
      </c>
      <c r="U4" s="29">
        <f>(T4-O4)/O4</f>
        <v>-0.18224535652674559</v>
      </c>
      <c r="V4" s="30" t="str">
        <f t="shared" ref="V4:V31" si="0">(T4-S4) &amp; "  (" &amp; ROUND(100*(T4-S4)/S4,1) &amp;"%)"</f>
        <v>-7139,04  (-15,5%)</v>
      </c>
      <c r="W4" s="31">
        <f>T4/T$34</f>
        <v>7.8249711171865785E-2</v>
      </c>
      <c r="X4" s="28">
        <v>47500</v>
      </c>
      <c r="Y4" s="32">
        <v>47337.74</v>
      </c>
      <c r="Z4" s="33" t="str">
        <f>ROUND(Y4-T4,2) &amp; "   (" &amp; ROUND(100*(Y4-T4)/T4,1) &amp;"%)"</f>
        <v>8476,78   (21,8%)</v>
      </c>
      <c r="AA4" s="34" t="str">
        <f>ROUND(Y4-X4,2) &amp; "  (" &amp; ROUND(100*(Y4-X4)/X4,1) &amp;"%)"</f>
        <v>-162,26  (-0,3%)</v>
      </c>
      <c r="AB4" s="31">
        <f>Y4/Y$34</f>
        <v>8.7214734922145265E-2</v>
      </c>
      <c r="AC4" s="28">
        <v>40000</v>
      </c>
      <c r="AD4" s="27">
        <f>SUM(AD110,AD313:AD314)</f>
        <v>45137.79</v>
      </c>
      <c r="AE4" s="35" t="str">
        <f>ROUND(AD4-Y4,2) &amp; "   (" &amp; ROUND(100*(AD4-Y4)/Y4,1) &amp;"%)"</f>
        <v>-2199,95   (-4,6%)</v>
      </c>
      <c r="AF4" s="34" t="str">
        <f>ROUND(AD4-AC4,2) &amp; "  (" &amp; ROUND(100*(AD4-AC4)/AC4,1) &amp;"%)"</f>
        <v>5137,79  (12,8%)</v>
      </c>
      <c r="AG4" s="31">
        <f>AD4/AD$34</f>
        <v>8.9314516504029384E-2</v>
      </c>
      <c r="AH4" s="28">
        <v>40600</v>
      </c>
      <c r="AI4" s="27">
        <f>SUM(AI110,AI313:AI314)</f>
        <v>36496.21</v>
      </c>
      <c r="AJ4" s="35" t="str">
        <f>ROUND(AI4-AD4,2) &amp; "   (" &amp; ROUND(100*(AI4-AD4)/AD4,1) &amp;"%)"</f>
        <v>-8641,58   (-19,1%)</v>
      </c>
      <c r="AK4" s="34" t="str">
        <f>ROUND(AI4-AH4,2) &amp; "  (" &amp; ROUND(100*(AI4-AH4)/AH4,1) &amp;"%)"</f>
        <v>-4103,79  (-10,1%)</v>
      </c>
      <c r="AL4" s="31">
        <f>AH4/AH$34</f>
        <v>7.837232646127712E-2</v>
      </c>
      <c r="AM4" s="28">
        <f>SUM(AM110,AM313:AM314)</f>
        <v>41210</v>
      </c>
      <c r="AN4" s="27">
        <f>SUM(AN110,AN313:AN314)</f>
        <v>23929.200000000001</v>
      </c>
      <c r="AO4" s="35" t="str">
        <f>ROUND(AN4-AI4,2) &amp; "   (" &amp; ROUND(100*(AN4-AI4)/(AI4+0.0001),1) &amp;"%)"</f>
        <v>-12567,01   (-34,4%)</v>
      </c>
      <c r="AP4" s="34" t="str">
        <f>ROUND(AN4-AM4,2) &amp; "  (" &amp; ROUND(100*(AN4-AM4)/AM4,1) &amp;"%)"</f>
        <v>-17280,8  (-41,9%)</v>
      </c>
      <c r="AQ4" s="31">
        <f>AN4/AN$34</f>
        <v>6.4308875238599822E-2</v>
      </c>
      <c r="AR4" s="28">
        <f>SUM(AR110,AR313:AR314)</f>
        <v>40000</v>
      </c>
      <c r="AS4" s="27">
        <f>SUM(AS110,AS313:AS314)</f>
        <v>0</v>
      </c>
      <c r="AT4" s="35" t="str">
        <f>ROUND(AS4-AN4,2) &amp; "   (" &amp; ROUND(100*(AS4-AN4)/AN4,1) &amp;"%)"</f>
        <v>-23929,2   (-100%)</v>
      </c>
      <c r="AU4" s="34" t="str">
        <f>ROUND(AS4-AR4,2) &amp; "  (" &amp; ROUND(100*(AS4-AR4)/AR4,1) &amp;"%)"</f>
        <v>-40000  (-100%)</v>
      </c>
      <c r="AV4" s="31">
        <f>AS4/AS$34</f>
        <v>0</v>
      </c>
    </row>
    <row r="5" spans="1:48" x14ac:dyDescent="0.3">
      <c r="A5" s="23" t="str">
        <f t="shared" ref="A5:A15" si="1">LEFT(B5,FIND(" ",B5,1)-1)&amp;0</f>
        <v>6020</v>
      </c>
      <c r="B5" s="24" t="s">
        <v>29</v>
      </c>
      <c r="D5" s="26"/>
      <c r="E5" s="26"/>
      <c r="F5" s="27">
        <v>19795.689999999999</v>
      </c>
      <c r="G5" s="27">
        <v>22239.33</v>
      </c>
      <c r="H5" s="27">
        <v>23912.67</v>
      </c>
      <c r="I5" s="27">
        <v>27435.97</v>
      </c>
      <c r="J5" s="27">
        <v>23272.35</v>
      </c>
      <c r="K5" s="28">
        <v>22900</v>
      </c>
      <c r="L5" s="27">
        <v>18493.439999999999</v>
      </c>
      <c r="M5" s="29">
        <f>(L5-J5)/J5</f>
        <v>-0.20534711793179461</v>
      </c>
      <c r="N5" s="28">
        <v>22900</v>
      </c>
      <c r="O5" s="27">
        <v>25043.03</v>
      </c>
      <c r="P5" s="29">
        <f>(O5-L5)/L5</f>
        <v>0.35415747421788485</v>
      </c>
      <c r="Q5" s="30" t="str">
        <f>(O5-N5) &amp; "  (" &amp; ROUND(100*(O5-N5)/N5,1) &amp;"%)"</f>
        <v>2143,03  (9,4%)</v>
      </c>
      <c r="R5" s="31">
        <f>O5/O$34</f>
        <v>4.9020577166640648E-2</v>
      </c>
      <c r="S5" s="28">
        <v>22000</v>
      </c>
      <c r="T5" s="27">
        <v>24765.23</v>
      </c>
      <c r="U5" s="29">
        <f>(T5-O5)/O5</f>
        <v>-1.1092906888663205E-2</v>
      </c>
      <c r="V5" s="30" t="str">
        <f t="shared" si="0"/>
        <v>2765,23  (12,6%)</v>
      </c>
      <c r="W5" s="31">
        <f>T5/T$34</f>
        <v>4.9866809636324623E-2</v>
      </c>
      <c r="X5" s="28">
        <v>22800</v>
      </c>
      <c r="Y5" s="27">
        <v>25786.54</v>
      </c>
      <c r="Z5" s="37" t="str">
        <f t="shared" ref="Z5:Z30" si="2">ROUND(Y5-T5,2) &amp; "   (" &amp; ROUND(100*(Y5-T5)/T5,1) &amp;"%)"</f>
        <v>1021,31   (4,1%)</v>
      </c>
      <c r="AA5" s="34" t="str">
        <f>ROUND(Y5-X5,2) &amp; "  (" &amp; ROUND(100*(Y5-X5)/X5,1) &amp;"%)"</f>
        <v>2986,54  (13,1%)</v>
      </c>
      <c r="AB5" s="31">
        <f>Y5/Y$34</f>
        <v>4.7508948476612869E-2</v>
      </c>
      <c r="AC5" s="28">
        <v>24800</v>
      </c>
      <c r="AD5" s="27">
        <f>SUM(AD109,AD286,AD297)</f>
        <v>31296.089999999997</v>
      </c>
      <c r="AE5" s="35" t="str">
        <f t="shared" ref="AE5:AE30" si="3">ROUND(AD5-Y5,2) &amp; "   (" &amp; ROUND(100*(AD5-Y5)/Y5,1) &amp;"%)"</f>
        <v>5509,55   (21,4%)</v>
      </c>
      <c r="AF5" s="34" t="str">
        <f>ROUND(AD5-AC5,2) &amp; "  (" &amp; ROUND(100*(AD5-AC5)/AC5,1) &amp;"%)"</f>
        <v>6496,09  (26,2%)</v>
      </c>
      <c r="AG5" s="31">
        <f>AD5/AD$34</f>
        <v>6.1925830813085635E-2</v>
      </c>
      <c r="AH5" s="28">
        <v>25190</v>
      </c>
      <c r="AI5" s="27">
        <f>SUM(AI109,AI286,AI297)</f>
        <v>23633.03</v>
      </c>
      <c r="AJ5" s="35" t="str">
        <f t="shared" ref="AJ5:AJ31" si="4">ROUND(AI5-AD5,2) &amp; "   (" &amp; ROUND(100*(AI5-AD5)/AD5,1) &amp;"%)"</f>
        <v>-7663,06   (-24,5%)</v>
      </c>
      <c r="AK5" s="34" t="str">
        <f>ROUND(AI5-AH5,2) &amp; "  (" &amp; ROUND(100*(AI5-AH5)/AH5,1) &amp;"%)"</f>
        <v>-1556,97  (-6,2%)</v>
      </c>
      <c r="AL5" s="31">
        <f t="shared" ref="AL5:AL33" si="5">AH5/AH$34</f>
        <v>4.8625588757624891E-2</v>
      </c>
      <c r="AM5" s="28">
        <f>SUM(AM109,AM286,AM297)</f>
        <v>25600</v>
      </c>
      <c r="AN5" s="27">
        <f>SUM(AN109,AN286,AN297)</f>
        <v>11986.57</v>
      </c>
      <c r="AO5" s="35" t="str">
        <f t="shared" ref="AO5:AO31" si="6">ROUND(AN5-AI5,2) &amp; "   (" &amp; ROUND(100*(AN5-AI5)/AI5,1) &amp;"%)"</f>
        <v>-11646,46   (-49,3%)</v>
      </c>
      <c r="AP5" s="34" t="str">
        <f>ROUND(AN5-AM5,2) &amp; "  (" &amp; ROUND(100*(AN5-AM5)/AM5,1) &amp;"%)"</f>
        <v>-13613,43  (-53,2%)</v>
      </c>
      <c r="AQ5" s="31">
        <f>AN5/AN$34</f>
        <v>3.2213481214112612E-2</v>
      </c>
      <c r="AR5" s="28">
        <f>SUM(AR109,AR286,AR297)</f>
        <v>25600</v>
      </c>
      <c r="AS5" s="27">
        <f>SUM(AS109,AS286,AS297)</f>
        <v>0</v>
      </c>
      <c r="AT5" s="35" t="str">
        <f t="shared" ref="AT5:AT6" si="7">ROUND(AS5-AN5,2) &amp; "   (" &amp; ROUND(100*(AS5-AN5)/AN5,1) &amp;"%)"</f>
        <v>-11986,57   (-100%)</v>
      </c>
      <c r="AU5" s="34" t="str">
        <f>ROUND(AS5-AR5,2) &amp; "  (" &amp; ROUND(100*(AS5-AR5)/AR5,1) &amp;"%)"</f>
        <v>-25600  (-100%)</v>
      </c>
      <c r="AV5" s="31">
        <f>AS5/AS$34</f>
        <v>0</v>
      </c>
    </row>
    <row r="6" spans="1:48" x14ac:dyDescent="0.3">
      <c r="A6" s="23" t="str">
        <f t="shared" si="1"/>
        <v>6030</v>
      </c>
      <c r="B6" s="24" t="s">
        <v>30</v>
      </c>
      <c r="D6" s="26"/>
      <c r="E6" s="26"/>
      <c r="F6" s="27">
        <v>141095.54999999999</v>
      </c>
      <c r="G6" s="27">
        <v>123289.66</v>
      </c>
      <c r="H6" s="27">
        <v>134341.22</v>
      </c>
      <c r="I6" s="27">
        <v>152968.94</v>
      </c>
      <c r="J6" s="27">
        <v>135002.89000000001</v>
      </c>
      <c r="K6" s="28">
        <v>140000</v>
      </c>
      <c r="L6" s="27">
        <v>160620.04999999999</v>
      </c>
      <c r="M6" s="29">
        <f t="shared" ref="M6:M33" si="8">(L6-J6)/J6</f>
        <v>0.18975267862784251</v>
      </c>
      <c r="N6" s="28">
        <v>140000</v>
      </c>
      <c r="O6" s="27">
        <v>165776.71</v>
      </c>
      <c r="P6" s="29">
        <f t="shared" ref="P6:P31" si="9">(O6-L6)/L6</f>
        <v>3.2104709219054554E-2</v>
      </c>
      <c r="Q6" s="30" t="str">
        <f>(O6-N6) &amp; "  (" &amp; ROUND(100*(O6-N6)/N6,1) &amp;"%)"</f>
        <v>25776,71  (18,4%)</v>
      </c>
      <c r="R6" s="31">
        <f>O6/O$34</f>
        <v>0.32450027033417311</v>
      </c>
      <c r="S6" s="28">
        <v>155000</v>
      </c>
      <c r="T6" s="27">
        <v>161745.16</v>
      </c>
      <c r="U6" s="29">
        <f t="shared" ref="U6:U31" si="10">(T6-O6)/O6</f>
        <v>-2.4319157980635449E-2</v>
      </c>
      <c r="V6" s="30" t="str">
        <f t="shared" si="0"/>
        <v>6745,16  (4,4%)</v>
      </c>
      <c r="W6" s="31">
        <f>T6/T$34</f>
        <v>0.32568706623426746</v>
      </c>
      <c r="X6" s="28">
        <v>180000</v>
      </c>
      <c r="Y6" s="27">
        <v>161803.51</v>
      </c>
      <c r="Z6" s="37" t="str">
        <f t="shared" si="2"/>
        <v>58,35   (0%)</v>
      </c>
      <c r="AA6" s="34" t="str">
        <f>ROUND(Y6-X6,2) &amp; "  (" &amp; ROUND(100*(Y6-X6)/X6,1) &amp;"%)"</f>
        <v>-18196,49  (-10,1%)</v>
      </c>
      <c r="AB6" s="31">
        <f>Y6/Y$34</f>
        <v>0.29810570242945023</v>
      </c>
      <c r="AC6" s="28">
        <v>170000</v>
      </c>
      <c r="AD6" s="27">
        <f>SUM(AD298:AD299)</f>
        <v>163038.54</v>
      </c>
      <c r="AE6" s="35" t="str">
        <f t="shared" si="3"/>
        <v>1235,03   (0,8%)</v>
      </c>
      <c r="AF6" s="34" t="str">
        <f>ROUND(AD6-AC6,2) &amp; "  (" &amp; ROUND(100*(AD6-AC6)/AC6,1) &amp;"%)"</f>
        <v>-6961,46  (-4,1%)</v>
      </c>
      <c r="AG6" s="31">
        <f>AD6/AD$34</f>
        <v>0.32260570071381112</v>
      </c>
      <c r="AH6" s="28">
        <v>172550</v>
      </c>
      <c r="AI6" s="27">
        <f>SUM(AI298:AI299)</f>
        <v>152017.54999999999</v>
      </c>
      <c r="AJ6" s="35" t="str">
        <f t="shared" si="4"/>
        <v>-11020,99   (-6,8%)</v>
      </c>
      <c r="AK6" s="34" t="str">
        <f>ROUND(AI6-AH6,2) &amp; "  (" &amp; ROUND(100*(AI6-AH6)/AH6,1) &amp;"%)"</f>
        <v>-20532,45  (-11,9%)</v>
      </c>
      <c r="AL6" s="31">
        <f t="shared" si="5"/>
        <v>0.33308238746042779</v>
      </c>
      <c r="AM6" s="28">
        <f>SUM(AM298:AM299)</f>
        <v>175140</v>
      </c>
      <c r="AN6" s="27">
        <f>SUM(AN298:AN299)</f>
        <v>104304.24</v>
      </c>
      <c r="AO6" s="35" t="str">
        <f t="shared" si="6"/>
        <v>-47713,31   (-31,4%)</v>
      </c>
      <c r="AP6" s="34" t="str">
        <f>ROUND(AN6-AM6,2) &amp; "  (" &amp; ROUND(100*(AN6-AM6)/AM6,1) &amp;"%)"</f>
        <v>-70835,76  (-40,4%)</v>
      </c>
      <c r="AQ6" s="31">
        <f>AN6/AN$34</f>
        <v>0.28031394100166213</v>
      </c>
      <c r="AR6" s="28">
        <f>SUM(AR298:AR299)</f>
        <v>170140</v>
      </c>
      <c r="AS6" s="27">
        <f>SUM(AS298:AS299)</f>
        <v>0</v>
      </c>
      <c r="AT6" s="35" t="str">
        <f t="shared" si="7"/>
        <v>-104304,24   (-100%)</v>
      </c>
      <c r="AU6" s="34" t="str">
        <f>ROUND(AS6-AR6,2) &amp; "  (" &amp; ROUND(100*(AS6-AR6)/AR6,1) &amp;"%)"</f>
        <v>-170140  (-100%)</v>
      </c>
      <c r="AV6" s="31">
        <f>AS6/AS$34</f>
        <v>0</v>
      </c>
    </row>
    <row r="7" spans="1:48" x14ac:dyDescent="0.3">
      <c r="A7" s="23" t="str">
        <f t="shared" si="1"/>
        <v>6040</v>
      </c>
      <c r="B7" s="24" t="s">
        <v>31</v>
      </c>
      <c r="D7" s="26"/>
      <c r="E7" s="26"/>
      <c r="M7" s="29"/>
      <c r="P7" s="29"/>
      <c r="Q7" s="30"/>
      <c r="R7" s="31"/>
      <c r="U7" s="29"/>
      <c r="V7" s="30"/>
      <c r="W7" s="31"/>
      <c r="Z7" s="37"/>
      <c r="AA7" s="34"/>
      <c r="AB7" s="31"/>
      <c r="AD7" s="27">
        <f>SUM(0)</f>
        <v>0</v>
      </c>
      <c r="AE7" s="35"/>
      <c r="AF7" s="34"/>
      <c r="AG7" s="31"/>
      <c r="AI7" s="27">
        <f>SUM(0)</f>
        <v>0</v>
      </c>
      <c r="AJ7" s="35"/>
      <c r="AK7" s="34"/>
      <c r="AL7" s="31">
        <f t="shared" si="5"/>
        <v>0</v>
      </c>
      <c r="AM7" s="28">
        <f>SUM(0)</f>
        <v>0</v>
      </c>
      <c r="AN7" s="27">
        <f>SUM(0)</f>
        <v>0</v>
      </c>
      <c r="AO7" s="35"/>
      <c r="AP7" s="34"/>
      <c r="AQ7" s="31"/>
      <c r="AR7" s="28">
        <f>SUM(0)</f>
        <v>0</v>
      </c>
      <c r="AS7" s="27">
        <f>SUM(0)</f>
        <v>0</v>
      </c>
      <c r="AT7" s="35"/>
      <c r="AU7" s="34"/>
      <c r="AV7" s="31"/>
    </row>
    <row r="8" spans="1:48" x14ac:dyDescent="0.3">
      <c r="A8" s="23" t="str">
        <f t="shared" si="1"/>
        <v>6050</v>
      </c>
      <c r="B8" s="24" t="s">
        <v>32</v>
      </c>
      <c r="D8" s="26"/>
      <c r="E8" s="26"/>
      <c r="F8" s="27">
        <v>2812.49</v>
      </c>
      <c r="G8" s="27">
        <v>3889.17</v>
      </c>
      <c r="H8" s="27">
        <v>481.99</v>
      </c>
      <c r="I8" s="27">
        <v>2078.5700000000002</v>
      </c>
      <c r="J8" s="27">
        <v>1559.28</v>
      </c>
      <c r="K8" s="28">
        <v>3000</v>
      </c>
      <c r="L8" s="27">
        <v>4423.84</v>
      </c>
      <c r="M8" s="29">
        <f t="shared" si="8"/>
        <v>1.8371043045508186</v>
      </c>
      <c r="N8" s="28">
        <v>3000</v>
      </c>
      <c r="O8" s="27">
        <v>3319.68</v>
      </c>
      <c r="P8" s="29">
        <f t="shared" si="9"/>
        <v>-0.24959311367499734</v>
      </c>
      <c r="Q8" s="30" t="str">
        <f>(O8-N8) &amp; "  (" &amp; ROUND(100*(O8-N8)/N8,1) &amp;"%)"</f>
        <v>319,68  (10,7%)</v>
      </c>
      <c r="R8" s="31">
        <f>O8/O$34</f>
        <v>6.498120619132494E-3</v>
      </c>
      <c r="S8" s="28">
        <v>3000</v>
      </c>
      <c r="T8" s="27">
        <v>2288.9</v>
      </c>
      <c r="U8" s="29">
        <f t="shared" si="10"/>
        <v>-0.31050583188741077</v>
      </c>
      <c r="V8" s="30" t="str">
        <f t="shared" si="0"/>
        <v>-711,1  (-23,7%)</v>
      </c>
      <c r="W8" s="31">
        <f>T8/T$34</f>
        <v>4.6088867568192761E-3</v>
      </c>
      <c r="X8" s="28">
        <v>4000</v>
      </c>
      <c r="Y8" s="32">
        <v>3283.9740000000002</v>
      </c>
      <c r="Z8" s="33" t="str">
        <f t="shared" si="2"/>
        <v>995,07   (43,5%)</v>
      </c>
      <c r="AA8" s="34" t="str">
        <f>ROUND(Y8-X8,2) &amp; "  (" &amp; ROUND(100*(Y8-X8)/X8,1) &amp;"%)"</f>
        <v>-716,03  (-17,9%)</v>
      </c>
      <c r="AB8" s="31">
        <f>Y8/Y$34</f>
        <v>6.0503716886614592E-3</v>
      </c>
      <c r="AC8" s="28">
        <v>3040</v>
      </c>
      <c r="AD8" s="27">
        <f>SUM(AD92,AD188,AD198,AD206,)</f>
        <v>1638.36</v>
      </c>
      <c r="AE8" s="35" t="str">
        <f t="shared" si="3"/>
        <v>-1645,61   (-50,1%)</v>
      </c>
      <c r="AF8" s="34" t="str">
        <f>ROUND(AD8-AC8,2) &amp; "  (" &amp; ROUND(100*(AD8-AC8)/AC8,1) &amp;"%)"</f>
        <v>-1401,64  (-46,1%)</v>
      </c>
      <c r="AG8" s="31">
        <f>AD8/AD$34</f>
        <v>3.2418364137797081E-3</v>
      </c>
      <c r="AH8" s="28">
        <v>3100</v>
      </c>
      <c r="AI8" s="27">
        <f>SUM(AI92,AI188,AI198,AI206,)</f>
        <v>2295.85</v>
      </c>
      <c r="AJ8" s="35" t="str">
        <f t="shared" si="4"/>
        <v>657,49   (40,1%)</v>
      </c>
      <c r="AK8" s="34" t="str">
        <f>ROUND(AI8-AH8,2) &amp; "  (" &amp; ROUND(100*(AI8-AH8)/AH8,1) &amp;"%)"</f>
        <v>-804,15  (-25,9%)</v>
      </c>
      <c r="AL8" s="31">
        <f t="shared" si="5"/>
        <v>5.9840938923635244E-3</v>
      </c>
      <c r="AM8" s="28">
        <f>SUM(AM92,AM188,AM198,AM206,)</f>
        <v>3160</v>
      </c>
      <c r="AN8" s="27">
        <f>SUM(AN92,AN188,AN198,AN206,)</f>
        <v>918.73</v>
      </c>
      <c r="AO8" s="35" t="str">
        <f t="shared" si="6"/>
        <v>-1377,12   (-60%)</v>
      </c>
      <c r="AP8" s="34" t="str">
        <f>ROUND(AN8-AM8,2) &amp; "  (" &amp; ROUND(100*(AN8-AM8)/AM8,1) &amp;"%)"</f>
        <v>-2241,27  (-70,9%)</v>
      </c>
      <c r="AQ8" s="31">
        <f>AN8/AN$34</f>
        <v>2.4690542495344105E-3</v>
      </c>
      <c r="AR8" s="28">
        <f>SUM(AR92,AR188,AR198,AR206,)</f>
        <v>1120</v>
      </c>
      <c r="AS8" s="27">
        <f>SUM(AS92,AS188,AS198,AS206,)</f>
        <v>0</v>
      </c>
      <c r="AT8" s="35" t="str">
        <f t="shared" ref="AT8:AT9" si="11">ROUND(AS8-AN8,2) &amp; "   (" &amp; ROUND(100*(AS8-AN8)/AN8,1) &amp;"%)"</f>
        <v>-918,73   (-100%)</v>
      </c>
      <c r="AU8" s="34" t="str">
        <f>ROUND(AS8-AR8,2) &amp; "  (" &amp; ROUND(100*(AS8-AR8)/AR8,1) &amp;"%)"</f>
        <v>-1120  (-100%)</v>
      </c>
      <c r="AV8" s="31">
        <f>AS8/AS$34</f>
        <v>0</v>
      </c>
    </row>
    <row r="9" spans="1:48" x14ac:dyDescent="0.3">
      <c r="A9" s="23" t="str">
        <f t="shared" si="1"/>
        <v>6060</v>
      </c>
      <c r="B9" s="24" t="s">
        <v>33</v>
      </c>
      <c r="D9" s="26"/>
      <c r="E9" s="26"/>
      <c r="F9" s="27">
        <v>9274.8799999999992</v>
      </c>
      <c r="G9" s="27">
        <v>5674.2</v>
      </c>
      <c r="H9" s="27">
        <v>6369.55</v>
      </c>
      <c r="I9" s="27">
        <v>5470.16</v>
      </c>
      <c r="J9" s="27">
        <v>4018.83</v>
      </c>
      <c r="K9" s="28">
        <v>4950</v>
      </c>
      <c r="L9" s="27">
        <v>6991.3</v>
      </c>
      <c r="M9" s="29">
        <f t="shared" si="8"/>
        <v>0.73963566510651113</v>
      </c>
      <c r="N9" s="28">
        <v>4950</v>
      </c>
      <c r="O9" s="27">
        <v>4459.63</v>
      </c>
      <c r="P9" s="29">
        <f t="shared" si="9"/>
        <v>-0.36211720280920573</v>
      </c>
      <c r="Q9" s="30" t="str">
        <f>(O9-N9) &amp; "  (" &amp; ROUND(100*(O9-N9)/N9,1) &amp;"%)"</f>
        <v>-490,37  (-9,9%)</v>
      </c>
      <c r="R9" s="31">
        <f>O9/O$34</f>
        <v>8.7295202117980784E-3</v>
      </c>
      <c r="S9" s="28">
        <v>4950</v>
      </c>
      <c r="T9" s="27">
        <v>4510.25</v>
      </c>
      <c r="U9" s="29">
        <f t="shared" si="10"/>
        <v>1.135071743619984E-2</v>
      </c>
      <c r="V9" s="30" t="str">
        <f t="shared" si="0"/>
        <v>-439,75  (-8,9%)</v>
      </c>
      <c r="W9" s="31">
        <f>T9/T$34</f>
        <v>9.0817560814994702E-3</v>
      </c>
      <c r="X9" s="28">
        <v>4450</v>
      </c>
      <c r="Y9" s="27">
        <v>4198.3</v>
      </c>
      <c r="Z9" s="37" t="str">
        <f t="shared" si="2"/>
        <v>-311,95   (-6,9%)</v>
      </c>
      <c r="AA9" s="34" t="str">
        <f>ROUND(Y9-X9,2) &amp; "  (" &amp; ROUND(100*(Y9-X9)/X9,1) &amp;"%)"</f>
        <v>-251,7  (-5,7%)</v>
      </c>
      <c r="AB9" s="31">
        <f>Y9/Y$34</f>
        <v>7.7349197833196624E-3</v>
      </c>
      <c r="AC9" s="28">
        <v>4460</v>
      </c>
      <c r="AD9" s="27">
        <f>SUM(AD87,AD100:AD101,AD182,AD207,AD300)</f>
        <v>6494.66</v>
      </c>
      <c r="AE9" s="35" t="str">
        <f t="shared" si="3"/>
        <v>2296,36   (54,7%)</v>
      </c>
      <c r="AF9" s="34" t="str">
        <f>ROUND(AD9-AC9,2) &amp; "  (" &amp; ROUND(100*(AD9-AC9)/AC9,1) &amp;"%)"</f>
        <v>2034,66  (45,6%)</v>
      </c>
      <c r="AG9" s="31">
        <f>AD9/AD$34</f>
        <v>1.2851037185428429E-2</v>
      </c>
      <c r="AH9" s="28">
        <v>4540</v>
      </c>
      <c r="AI9" s="27">
        <f>SUM(AI87,AI100:AI101,AI182,AI207,AI300)</f>
        <v>6084.88</v>
      </c>
      <c r="AJ9" s="35" t="str">
        <f t="shared" si="4"/>
        <v>-409,78   (-6,3%)</v>
      </c>
      <c r="AK9" s="34" t="str">
        <f>ROUND(AI9-AH9,2) &amp; "  (" &amp; ROUND(100*(AI9-AH9)/AH9,1) &amp;"%)"</f>
        <v>1544,88  (34%)</v>
      </c>
      <c r="AL9" s="31">
        <f t="shared" si="5"/>
        <v>8.763802023009807E-3</v>
      </c>
      <c r="AM9" s="28">
        <f>SUM(AM87,AM100:AM101,AM182,AM207,AM300)</f>
        <v>4620</v>
      </c>
      <c r="AN9" s="27">
        <f>SUM(AN87,AN100:AN101,AN182,AN207,AN300)</f>
        <v>3105.55</v>
      </c>
      <c r="AO9" s="35" t="str">
        <f t="shared" si="6"/>
        <v>-2979,33   (-49%)</v>
      </c>
      <c r="AP9" s="34" t="str">
        <f>ROUND(AN9-AM9,2) &amp; "  (" &amp; ROUND(100*(AN9-AM9)/AM9,1) &amp;"%)"</f>
        <v>-1514,45  (-32,8%)</v>
      </c>
      <c r="AQ9" s="31">
        <f>AN9/AN$34</f>
        <v>8.3460553423112226E-3</v>
      </c>
      <c r="AR9" s="28">
        <f>SUM(AR87,AR100:AR101,AR182,AR207,AR300)</f>
        <v>3520</v>
      </c>
      <c r="AS9" s="27">
        <f>SUM(AS87,AS100:AS101,AS182,AS207,AS300)</f>
        <v>0</v>
      </c>
      <c r="AT9" s="35" t="str">
        <f t="shared" si="11"/>
        <v>-3105,55   (-100%)</v>
      </c>
      <c r="AU9" s="34" t="str">
        <f>ROUND(AS9-AR9,2) &amp; "  (" &amp; ROUND(100*(AS9-AR9)/AR9,1) &amp;"%)"</f>
        <v>-3520  (-100%)</v>
      </c>
      <c r="AV9" s="31">
        <f>AS9/AS$34</f>
        <v>0</v>
      </c>
    </row>
    <row r="10" spans="1:48" x14ac:dyDescent="0.3">
      <c r="A10" s="23" t="str">
        <f t="shared" si="1"/>
        <v>6110</v>
      </c>
      <c r="B10" s="24" t="s">
        <v>34</v>
      </c>
      <c r="M10" s="29"/>
      <c r="P10" s="29"/>
      <c r="Q10" s="30"/>
      <c r="R10" s="31"/>
      <c r="T10" s="27">
        <v>0</v>
      </c>
      <c r="U10" s="29"/>
      <c r="V10" s="30"/>
      <c r="W10" s="31"/>
      <c r="Y10" s="27">
        <v>0</v>
      </c>
      <c r="Z10" s="37"/>
      <c r="AA10" s="34"/>
      <c r="AB10" s="31"/>
      <c r="AD10" s="27">
        <f>SUM(0)</f>
        <v>0</v>
      </c>
      <c r="AE10" s="35"/>
      <c r="AF10" s="34"/>
      <c r="AG10" s="31"/>
      <c r="AI10" s="27">
        <f>SUM(0)</f>
        <v>0</v>
      </c>
      <c r="AJ10" s="35"/>
      <c r="AK10" s="34"/>
      <c r="AL10" s="31">
        <f t="shared" si="5"/>
        <v>0</v>
      </c>
      <c r="AM10" s="28">
        <f>SUM(0)</f>
        <v>0</v>
      </c>
      <c r="AN10" s="27">
        <f>SUM(0)</f>
        <v>0</v>
      </c>
      <c r="AO10" s="35"/>
      <c r="AP10" s="34"/>
      <c r="AQ10" s="31"/>
      <c r="AR10" s="28">
        <f>SUM(0)</f>
        <v>0</v>
      </c>
      <c r="AS10" s="27">
        <f>SUM(0)</f>
        <v>0</v>
      </c>
      <c r="AT10" s="35"/>
      <c r="AU10" s="34"/>
      <c r="AV10" s="31"/>
    </row>
    <row r="11" spans="1:48" x14ac:dyDescent="0.3">
      <c r="A11" s="23" t="str">
        <f t="shared" si="1"/>
        <v>6120</v>
      </c>
      <c r="B11" s="24" t="s">
        <v>35</v>
      </c>
      <c r="D11" s="26"/>
      <c r="E11" s="26"/>
      <c r="F11" s="27">
        <v>0</v>
      </c>
      <c r="G11" s="27">
        <v>275</v>
      </c>
      <c r="H11" s="27">
        <v>275</v>
      </c>
      <c r="I11" s="27">
        <v>275</v>
      </c>
      <c r="J11" s="27">
        <v>280</v>
      </c>
      <c r="K11" s="28">
        <v>300</v>
      </c>
      <c r="L11" s="27">
        <v>280</v>
      </c>
      <c r="M11" s="29">
        <f t="shared" si="8"/>
        <v>0</v>
      </c>
      <c r="N11" s="28">
        <v>300</v>
      </c>
      <c r="O11" s="27">
        <v>280</v>
      </c>
      <c r="P11" s="29">
        <f t="shared" si="9"/>
        <v>0</v>
      </c>
      <c r="Q11" s="30" t="str">
        <f>(O11-N11) &amp; "  (" &amp; ROUND(100*(O11-N11)/N11,1) &amp;"%)"</f>
        <v>-20  (-6,7%)</v>
      </c>
      <c r="R11" s="31">
        <f>O11/O$34</f>
        <v>5.4808709675543976E-4</v>
      </c>
      <c r="S11" s="28">
        <v>300</v>
      </c>
      <c r="T11" s="27">
        <v>280</v>
      </c>
      <c r="U11" s="29">
        <f t="shared" si="10"/>
        <v>0</v>
      </c>
      <c r="V11" s="30" t="str">
        <f t="shared" si="0"/>
        <v>-20  (-6,7%)</v>
      </c>
      <c r="W11" s="31">
        <f>T11/T$34</f>
        <v>5.638028275195059E-4</v>
      </c>
      <c r="X11" s="28">
        <v>350</v>
      </c>
      <c r="Y11" s="27">
        <v>280</v>
      </c>
      <c r="Z11" s="37" t="str">
        <f t="shared" si="2"/>
        <v>0   (0%)</v>
      </c>
      <c r="AA11" s="34" t="str">
        <f>ROUND(Y11-X11,2) &amp; "  (" &amp; ROUND(100*(Y11-X11)/X11,1) &amp;"%)"</f>
        <v>-70  (-20%)</v>
      </c>
      <c r="AB11" s="31">
        <f>Y11/Y$34</f>
        <v>5.1587012346175957E-4</v>
      </c>
      <c r="AC11" s="28">
        <v>300</v>
      </c>
      <c r="AD11" s="27">
        <f>SUM(AD108)</f>
        <v>280</v>
      </c>
      <c r="AE11" s="35" t="str">
        <f t="shared" si="3"/>
        <v>0   (0%)</v>
      </c>
      <c r="AF11" s="34" t="str">
        <f>ROUND(AD11-AC11,2) &amp; "  (" &amp; ROUND(100*(AD11-AC11)/AC11,1) &amp;"%)"</f>
        <v>-20  (-6,7%)</v>
      </c>
      <c r="AG11" s="31">
        <f>AD11/AD$34</f>
        <v>5.5403830407133861E-4</v>
      </c>
      <c r="AH11" s="28">
        <v>310</v>
      </c>
      <c r="AI11" s="27">
        <f>SUM(AI108)</f>
        <v>280</v>
      </c>
      <c r="AJ11" s="35" t="str">
        <f t="shared" si="4"/>
        <v>0   (0%)</v>
      </c>
      <c r="AK11" s="34" t="str">
        <f>ROUND(AI11-AH11,2) &amp; "  (" &amp; ROUND(100*(AI11-AH11)/AH11,1) &amp;"%)"</f>
        <v>-30  (-9,7%)</v>
      </c>
      <c r="AL11" s="31">
        <f t="shared" si="5"/>
        <v>5.984093892363524E-4</v>
      </c>
      <c r="AM11" s="28">
        <f>SUM(AM108)</f>
        <v>320</v>
      </c>
      <c r="AN11" s="27">
        <f>SUM(AN108)</f>
        <v>300</v>
      </c>
      <c r="AO11" s="35" t="str">
        <f t="shared" si="6"/>
        <v>20   (7,1%)</v>
      </c>
      <c r="AP11" s="34" t="str">
        <f>ROUND(AN11-AM11,2) &amp; "  (" &amp; ROUND(100*(AN11-AM11)/AM11,1) &amp;"%)"</f>
        <v>-20  (-6,3%)</v>
      </c>
      <c r="AQ11" s="31">
        <f>AN11/AN$34</f>
        <v>8.0623934655483457E-4</v>
      </c>
      <c r="AR11" s="28">
        <f>SUM(AR108)</f>
        <v>320</v>
      </c>
      <c r="AS11" s="27">
        <f>SUM(AS108)</f>
        <v>0</v>
      </c>
      <c r="AT11" s="35" t="str">
        <f t="shared" ref="AT11:AT15" si="12">ROUND(AS11-AN11,2) &amp; "   (" &amp; ROUND(100*(AS11-AN11)/AN11,1) &amp;"%)"</f>
        <v>-300   (-100%)</v>
      </c>
      <c r="AU11" s="34" t="str">
        <f>ROUND(AS11-AR11,2) &amp; "  (" &amp; ROUND(100*(AS11-AR11)/AR11,1) &amp;"%)"</f>
        <v>-320  (-100%)</v>
      </c>
      <c r="AV11" s="31">
        <f>AS11/AS$34</f>
        <v>0</v>
      </c>
    </row>
    <row r="12" spans="1:48" x14ac:dyDescent="0.3">
      <c r="A12" s="23" t="str">
        <f t="shared" si="1"/>
        <v>6130</v>
      </c>
      <c r="B12" s="24" t="s">
        <v>36</v>
      </c>
      <c r="F12" s="27">
        <v>85.91</v>
      </c>
      <c r="G12" s="27">
        <v>88.62</v>
      </c>
      <c r="H12" s="27">
        <v>92.09</v>
      </c>
      <c r="I12" s="27">
        <v>94.48</v>
      </c>
      <c r="J12" s="27">
        <v>98.47</v>
      </c>
      <c r="K12" s="28">
        <v>100</v>
      </c>
      <c r="L12" s="27">
        <v>100.86</v>
      </c>
      <c r="M12" s="29">
        <f t="shared" si="8"/>
        <v>2.4271351680714946E-2</v>
      </c>
      <c r="N12" s="28">
        <v>100</v>
      </c>
      <c r="O12" s="27">
        <v>103.31</v>
      </c>
      <c r="P12" s="29">
        <f t="shared" si="9"/>
        <v>2.4291096569502308E-2</v>
      </c>
      <c r="Q12" s="30" t="str">
        <f>(O12-N12) &amp; "  (" &amp; ROUND(100*(O12-N12)/N12,1) &amp;"%)"</f>
        <v>3,31  (3,3%)</v>
      </c>
      <c r="R12" s="31">
        <f>O12/O$34</f>
        <v>2.0222456416358746E-4</v>
      </c>
      <c r="S12" s="28">
        <v>100</v>
      </c>
      <c r="T12" s="27">
        <v>105.62</v>
      </c>
      <c r="U12" s="29">
        <f t="shared" si="10"/>
        <v>2.2359887716581185E-2</v>
      </c>
      <c r="V12" s="30" t="str">
        <f t="shared" si="0"/>
        <v>5,62  (5,6%)</v>
      </c>
      <c r="W12" s="31">
        <f>T12/T$34</f>
        <v>2.1267448086646507E-4</v>
      </c>
      <c r="X12" s="28">
        <v>110</v>
      </c>
      <c r="Y12" s="27">
        <v>108.22</v>
      </c>
      <c r="Z12" s="37" t="str">
        <f t="shared" si="2"/>
        <v>2,6   (2,5%)</v>
      </c>
      <c r="AA12" s="34" t="str">
        <f>ROUND(Y12-X12,2) &amp; "  (" &amp; ROUND(100*(Y12-X12)/X12,1) &amp;"%)"</f>
        <v>-1,78  (-1,6%)</v>
      </c>
      <c r="AB12" s="31">
        <f>Y12/Y$34</f>
        <v>1.9938380271797008E-4</v>
      </c>
      <c r="AC12" s="28">
        <v>120</v>
      </c>
      <c r="AD12" s="27">
        <f>SUM(AD210,)</f>
        <v>110.89</v>
      </c>
      <c r="AE12" s="35" t="str">
        <f t="shared" si="3"/>
        <v>2,67   (2,5%)</v>
      </c>
      <c r="AF12" s="34" t="str">
        <f>ROUND(AD12-AC12,2) &amp; "  (" &amp; ROUND(100*(AD12-AC12)/AC12,1) &amp;"%)"</f>
        <v>-9,11  (-7,6%)</v>
      </c>
      <c r="AG12" s="31">
        <f>AD12/AD$34</f>
        <v>2.1941895549453837E-4</v>
      </c>
      <c r="AH12" s="28">
        <v>130</v>
      </c>
      <c r="AI12" s="27">
        <f>SUM(AI210,)</f>
        <v>113.9</v>
      </c>
      <c r="AJ12" s="35" t="str">
        <f t="shared" si="4"/>
        <v>3,01   (2,7%)</v>
      </c>
      <c r="AK12" s="34" t="str">
        <f>ROUND(AI12-AH12,2) &amp; "  (" &amp; ROUND(100*(AI12-AH12)/AH12,1) &amp;"%)"</f>
        <v>-16,1  (-12,4%)</v>
      </c>
      <c r="AL12" s="31">
        <f t="shared" si="5"/>
        <v>2.5094587290556714E-4</v>
      </c>
      <c r="AM12" s="28">
        <f>SUM(AM210,)</f>
        <v>140</v>
      </c>
      <c r="AN12" s="27">
        <f>SUM(AN210,)</f>
        <v>116.65</v>
      </c>
      <c r="AO12" s="35" t="str">
        <f t="shared" si="6"/>
        <v>2,75   (2,4%)</v>
      </c>
      <c r="AP12" s="34" t="str">
        <f>ROUND(AN12-AM12,2) &amp; "  (" &amp; ROUND(100*(AN12-AM12)/AM12,1) &amp;"%)"</f>
        <v>-23,35  (-16,7%)</v>
      </c>
      <c r="AQ12" s="31">
        <f>AN12/AN$34</f>
        <v>3.1349273258540484E-4</v>
      </c>
      <c r="AR12" s="28">
        <f>SUM(AR210,)</f>
        <v>140</v>
      </c>
      <c r="AS12" s="27">
        <f>SUM(AS210,)</f>
        <v>0</v>
      </c>
      <c r="AT12" s="35" t="str">
        <f t="shared" si="12"/>
        <v>-116,65   (-100%)</v>
      </c>
      <c r="AU12" s="34" t="str">
        <f>ROUND(AS12-AR12,2) &amp; "  (" &amp; ROUND(100*(AS12-AR12)/AR12,1) &amp;"%)"</f>
        <v>-140  (-100%)</v>
      </c>
      <c r="AV12" s="31">
        <f>AS12/AS$34</f>
        <v>0</v>
      </c>
    </row>
    <row r="13" spans="1:48" x14ac:dyDescent="0.3">
      <c r="A13" s="23" t="str">
        <f t="shared" si="1"/>
        <v>6140</v>
      </c>
      <c r="B13" s="24" t="s">
        <v>37</v>
      </c>
      <c r="D13" s="26"/>
      <c r="E13" s="26"/>
      <c r="F13" s="27">
        <v>34151.760000000002</v>
      </c>
      <c r="G13" s="27">
        <v>36627.050000000003</v>
      </c>
      <c r="H13" s="27">
        <v>32862.97</v>
      </c>
      <c r="I13" s="27">
        <v>23880.65</v>
      </c>
      <c r="J13" s="27">
        <v>30852.01</v>
      </c>
      <c r="K13" s="28">
        <v>32950</v>
      </c>
      <c r="L13" s="27">
        <v>32095.200000000001</v>
      </c>
      <c r="M13" s="29">
        <f t="shared" si="8"/>
        <v>4.0295267634102364E-2</v>
      </c>
      <c r="N13" s="28">
        <v>32950</v>
      </c>
      <c r="O13" s="27">
        <v>32866.050000000003</v>
      </c>
      <c r="P13" s="29">
        <f t="shared" si="9"/>
        <v>2.4017610109923048E-2</v>
      </c>
      <c r="Q13" s="30" t="str">
        <f>ROUND(O13-N13,2) &amp; "  (" &amp; ROUND(100*(O13-N13)/N13,1) &amp;"%)"</f>
        <v>-83,95  (-0,3%)</v>
      </c>
      <c r="R13" s="31">
        <f>O13/O$34</f>
        <v>6.4333778308282588E-2</v>
      </c>
      <c r="S13" s="28">
        <v>31770</v>
      </c>
      <c r="T13" s="27">
        <v>30443.18</v>
      </c>
      <c r="U13" s="29">
        <f t="shared" si="10"/>
        <v>-7.3719537334118415E-2</v>
      </c>
      <c r="V13" s="30" t="str">
        <f t="shared" si="0"/>
        <v>-1326,82  (-4,2%)</v>
      </c>
      <c r="W13" s="31">
        <f>T13/T$34</f>
        <v>6.1299824866733119E-2</v>
      </c>
      <c r="X13" s="28">
        <v>33130</v>
      </c>
      <c r="Y13" s="32">
        <v>34295.32</v>
      </c>
      <c r="Z13" s="33" t="str">
        <f t="shared" si="2"/>
        <v>3852,14   (12,7%)</v>
      </c>
      <c r="AA13" s="34" t="str">
        <f>ROUND(Y13-X13,2) &amp; "  (" &amp; ROUND(100*(Y13-X13)/X13,1) &amp;"%)"</f>
        <v>1165,32  (3,5%)</v>
      </c>
      <c r="AB13" s="31">
        <f>Y13/Y$34</f>
        <v>6.3185467723430547E-2</v>
      </c>
      <c r="AC13" s="28">
        <v>32450</v>
      </c>
      <c r="AD13" s="32">
        <f>SUM(AD93:AD96,AD141:AD142,AD179,AD183,AD190:AD191,AD193:AD195,AD199,AD203,AD208,AD287:AD289,AD301:AD302,AD306)</f>
        <v>30233.710000000003</v>
      </c>
      <c r="AE13" s="35" t="str">
        <f t="shared" si="3"/>
        <v>-4061,61   (-11,8%)</v>
      </c>
      <c r="AF13" s="34" t="str">
        <f>ROUND(AD13-AC13,2) &amp; "  (" &amp; ROUND(100*(AD13-AC13)/AC13,1) &amp;"%)"</f>
        <v>-2216,29  (-6,8%)</v>
      </c>
      <c r="AG13" s="31">
        <f>AD13/AD$34</f>
        <v>5.9823690764945259E-2</v>
      </c>
      <c r="AH13" s="28">
        <v>33050</v>
      </c>
      <c r="AI13" s="27">
        <f>SUM(AI93:AI96,AI141:AI142,AI179,AI183,AI190:AI191,AI193:AI195,AI199,AI203,AI208,AI287:AI289,AI301:AI302,AI306)</f>
        <v>33308.19</v>
      </c>
      <c r="AJ13" s="35" t="str">
        <f t="shared" si="4"/>
        <v>3074,48   (10,2%)</v>
      </c>
      <c r="AK13" s="34" t="str">
        <f>ROUND(AI13-AH13,2) &amp; "  (" &amp; ROUND(100*(AI13-AH13)/AH13,1) &amp;"%)"</f>
        <v>258,19  (0,8%)</v>
      </c>
      <c r="AL13" s="31">
        <f t="shared" si="5"/>
        <v>6.3798162304069178E-2</v>
      </c>
      <c r="AM13" s="28">
        <f>SUM(AM93:AM96,AM141:AM142,AM179,AM183,AM190:AM191,AM193:AM195,AM199,AM203,AM208,AM287:AM289,AM301:AM302,AM306)</f>
        <v>33650</v>
      </c>
      <c r="AN13" s="27">
        <f>SUM(AN93:AN96,AN141:AN142,AN179,AN183,AN190:AN191,AN193:AN195,AN199,AN203,AN208,,AN287:AN289,AN301:AN302,AN306)</f>
        <v>32581.21</v>
      </c>
      <c r="AO13" s="35" t="str">
        <f t="shared" si="6"/>
        <v>-726,98   (-2,2%)</v>
      </c>
      <c r="AP13" s="34" t="str">
        <f>ROUND(AN13-AM13,2) &amp; "  (" &amp; ROUND(100*(AN13-AM13)/AM13,1) &amp;"%)"</f>
        <v>-1068,79  (-3,2%)</v>
      </c>
      <c r="AQ13" s="31">
        <f>AN13/AN$34</f>
        <v>8.7560844867886137E-2</v>
      </c>
      <c r="AR13" s="28">
        <f>SUM(AR93:AR96,AR141:AR142,AR179,AR183,AR190:AR191,AR193:AR195,AR199,AR203,AR208,AR287:AR289,AR301:AR302,AR306)</f>
        <v>33650</v>
      </c>
      <c r="AS13" s="27">
        <f>SUM(AS93:AS96,AS141:AS142,AS179,AS183,AS190:AS191,AS193:AS195,AS199,AS203,AS208,AS287:AS289,AS301:AS302,AS306)</f>
        <v>0</v>
      </c>
      <c r="AT13" s="35" t="str">
        <f t="shared" si="12"/>
        <v>-32581,21   (-100%)</v>
      </c>
      <c r="AU13" s="34" t="str">
        <f>ROUND(AS13-AR13,2) &amp; "  (" &amp; ROUND(100*(AS13-AR13)/AR13,1) &amp;"%)"</f>
        <v>-33650  (-100%)</v>
      </c>
      <c r="AV13" s="31">
        <f>AS13/AS$34</f>
        <v>0</v>
      </c>
    </row>
    <row r="14" spans="1:48" x14ac:dyDescent="0.3">
      <c r="A14" s="23" t="str">
        <f t="shared" si="1"/>
        <v>6150</v>
      </c>
      <c r="B14" s="24" t="s">
        <v>38</v>
      </c>
      <c r="D14" s="26"/>
      <c r="E14" s="26"/>
      <c r="F14" s="27">
        <v>19463.75</v>
      </c>
      <c r="G14" s="27">
        <v>25451.23</v>
      </c>
      <c r="H14" s="27">
        <v>21201.07</v>
      </c>
      <c r="I14" s="27">
        <v>51700.17</v>
      </c>
      <c r="J14" s="27">
        <v>29706.74</v>
      </c>
      <c r="K14" s="28">
        <v>22850</v>
      </c>
      <c r="L14" s="27">
        <v>29668.61</v>
      </c>
      <c r="M14" s="29">
        <f t="shared" si="8"/>
        <v>-1.2835471007589866E-3</v>
      </c>
      <c r="N14" s="28">
        <v>22850</v>
      </c>
      <c r="O14" s="27">
        <v>36837.89</v>
      </c>
      <c r="P14" s="29">
        <f t="shared" si="9"/>
        <v>0.24164529447115987</v>
      </c>
      <c r="Q14" s="30" t="str">
        <f>(O14-N14) &amp; "  (" &amp; ROUND(100*(O14-N14)/N14,1) &amp;"%)"</f>
        <v>13987,89  (61,2%)</v>
      </c>
      <c r="R14" s="31">
        <f>O14/O$34</f>
        <v>7.2108472073915172E-2</v>
      </c>
      <c r="S14" s="28">
        <v>22450</v>
      </c>
      <c r="T14" s="27">
        <v>45140.88</v>
      </c>
      <c r="U14" s="29">
        <f t="shared" si="10"/>
        <v>0.22539265956872118</v>
      </c>
      <c r="V14" s="30" t="str">
        <f t="shared" si="0"/>
        <v>22690,88  (101,1%)</v>
      </c>
      <c r="W14" s="31">
        <f>T14/T$34</f>
        <v>9.089484207399541E-2</v>
      </c>
      <c r="X14" s="28">
        <v>24050</v>
      </c>
      <c r="Y14" s="32">
        <v>59728.83</v>
      </c>
      <c r="Z14" s="33" t="str">
        <f t="shared" si="2"/>
        <v>14587,95   (32,3%)</v>
      </c>
      <c r="AA14" s="34" t="str">
        <f>ROUND(Y14-X14,2) &amp; "  (" &amp; ROUND(100*(Y14-X14)/X14,1) &amp;"%)"</f>
        <v>35678,83  (148,4%)</v>
      </c>
      <c r="AB14" s="31">
        <f>Y14/Y$34</f>
        <v>0.11004399609402304</v>
      </c>
      <c r="AC14" s="28">
        <v>35630</v>
      </c>
      <c r="AD14" s="32">
        <f>SUM(AD83:AD86,AD88:AD91,AD97:AD98,AD102:AD107,AD133,AD177:AD178,AD180:AD181,AD184:AD187,AD189,AD192,AD196:AD197,AD200:AD202,AD204:AD205,AD209,AD223,AD290,AD303:AD305)</f>
        <v>54662.179999999993</v>
      </c>
      <c r="AE14" s="35" t="str">
        <f t="shared" si="3"/>
        <v>-5066,65   (-8,5%)</v>
      </c>
      <c r="AF14" s="34" t="str">
        <f>ROUND(AD14-AC14,2) &amp; "  (" &amp; ROUND(100*(AD14-AC14)/AC14,1) &amp;"%)"</f>
        <v>19032,18  (53,4%)</v>
      </c>
      <c r="AG14" s="31">
        <f>AD14/AD$34</f>
        <v>0.10816050537157944</v>
      </c>
      <c r="AH14" s="28">
        <v>36250</v>
      </c>
      <c r="AI14" s="27">
        <f>SUM(AI83:AI86,AI88:AI91,AI97:AI99,AI102:AI107,AI133,AI177:AI178,AI180:AI181,AI184:AI187,AI189,AI192,AI196:AI197,AI200:AI202,AI204:AI205,AI209,AI223,AI290,AI303:AI305)</f>
        <v>46755.799999999996</v>
      </c>
      <c r="AJ14" s="35" t="str">
        <f t="shared" si="4"/>
        <v>-7906,38   (-14,5%)</v>
      </c>
      <c r="AK14" s="34" t="str">
        <f>ROUND(AI14-AH14,2) &amp; "  (" &amp; ROUND(100*(AI14-AH14)/AH14,1) &amp;"%)"</f>
        <v>10505,8  (29%)</v>
      </c>
      <c r="AL14" s="31">
        <f t="shared" si="5"/>
        <v>6.9975291483283145E-2</v>
      </c>
      <c r="AM14" s="28">
        <f>SUM(AM83:AM86,AM88:AM91,AM97:AM98,AM102:AM107,AM133,AM177:AM178,AM180:AM181,AM184:AM187,AM189,AM192,AM196:AM197,AM200:AM202,AM204:AM205,AM209,AM223,AM290,AM303:AM305)</f>
        <v>36880</v>
      </c>
      <c r="AN14" s="27">
        <f>SUM(AN83:AN86,AN88:AN91,AN97:AN99,AN102:AN107,AN133,AN177:AN178,AN180:AN181,AN184:AN187,AN189,AN192,AN196:AN197,AN200:AN202,AN204:AN205,AN209,AN223,AN250,AN290,AN303:AN305)</f>
        <v>44088.010000000009</v>
      </c>
      <c r="AO14" s="35" t="str">
        <f t="shared" si="6"/>
        <v>-2667,79   (-5,7%)</v>
      </c>
      <c r="AP14" s="34" t="str">
        <f>ROUND(AN14-AM14,2) &amp; "  (" &amp; ROUND(100*(AN14-AM14)/AM14,1) &amp;"%)"</f>
        <v>7208,01  (19,5%)</v>
      </c>
      <c r="AQ14" s="31">
        <f>AN14/AN$34</f>
        <v>0.11848496124434341</v>
      </c>
      <c r="AR14" s="28">
        <f>SUM(AR83:AR86,AR88:AR91,AR97:AR98,AR102:AR107,AR133,AR177:AR178,AR180:AR181,AR184:AR187,AR189,AR192,AR196:AR197,AR200:AR202,AR204:AR205,AR209,AR223,AR290,AR303:AR305)</f>
        <v>25820</v>
      </c>
      <c r="AS14" s="27">
        <f>SUM(AS83:AS86,AS88:AS91,AS97:AS98,AS102:AS107,AS133,AS177:AS178,AS180:AS181,AS184:AS187,AS189,AS192,AS196:AS197,AS200:AS202,AS204:AS205,AS209,AS223,AS290,AS303:AS305)</f>
        <v>0</v>
      </c>
      <c r="AT14" s="35" t="str">
        <f t="shared" si="12"/>
        <v>-44088,01   (-100%)</v>
      </c>
      <c r="AU14" s="34" t="str">
        <f>ROUND(AS14-AR14,2) &amp; "  (" &amp; ROUND(100*(AS14-AR14)/AR14,1) &amp;"%)"</f>
        <v>-25820  (-100%)</v>
      </c>
      <c r="AV14" s="31">
        <f>AS14/AS$34</f>
        <v>0</v>
      </c>
    </row>
    <row r="15" spans="1:48" x14ac:dyDescent="0.3">
      <c r="A15" s="23" t="str">
        <f t="shared" si="1"/>
        <v>6160</v>
      </c>
      <c r="B15" s="24" t="s">
        <v>39</v>
      </c>
      <c r="D15" s="26"/>
      <c r="E15" s="26"/>
      <c r="F15" s="27">
        <v>28263.14</v>
      </c>
      <c r="G15" s="27">
        <v>29411.34</v>
      </c>
      <c r="H15" s="27">
        <v>30397.63</v>
      </c>
      <c r="I15" s="27">
        <v>31201.15</v>
      </c>
      <c r="J15" s="27">
        <v>31811.51</v>
      </c>
      <c r="K15" s="28">
        <v>32500</v>
      </c>
      <c r="L15" s="27">
        <v>32156.34</v>
      </c>
      <c r="M15" s="29">
        <f t="shared" si="8"/>
        <v>1.0839787234243259E-2</v>
      </c>
      <c r="N15" s="28">
        <v>32500</v>
      </c>
      <c r="O15" s="27">
        <v>28906.880000000001</v>
      </c>
      <c r="P15" s="29">
        <f t="shared" si="9"/>
        <v>-0.10105192319772707</v>
      </c>
      <c r="Q15" s="30" t="str">
        <f>(O15-N15) &amp; "  (" &amp; ROUND(100*(O15-N15)/N15,1) &amp;"%)"</f>
        <v>-3593,12  (-11,1%)</v>
      </c>
      <c r="R15" s="31">
        <f>O15/O$34</f>
        <v>5.6583885483778171E-2</v>
      </c>
      <c r="S15" s="28">
        <v>32500</v>
      </c>
      <c r="T15" s="27">
        <v>29107.06</v>
      </c>
      <c r="U15" s="29">
        <f t="shared" si="10"/>
        <v>6.9249950184869583E-3</v>
      </c>
      <c r="V15" s="30" t="str">
        <f t="shared" si="0"/>
        <v>-3392,94  (-10,4%)</v>
      </c>
      <c r="W15" s="31">
        <f>T15/T$34</f>
        <v>5.8609438317071112E-2</v>
      </c>
      <c r="X15" s="28">
        <v>32000</v>
      </c>
      <c r="Y15" s="27">
        <v>30294.2</v>
      </c>
      <c r="Z15" s="37" t="str">
        <f t="shared" si="2"/>
        <v>1187,14   (4,1%)</v>
      </c>
      <c r="AA15" s="34" t="str">
        <f>ROUND(Y15-X15,2) &amp; "  (" &amp; ROUND(100*(Y15-X15)/X15,1) &amp;"%)"</f>
        <v>-1705,8  (-5,3%)</v>
      </c>
      <c r="AB15" s="31">
        <f>Y15/Y$34</f>
        <v>5.5813831050625852E-2</v>
      </c>
      <c r="AC15" s="28">
        <v>32000</v>
      </c>
      <c r="AD15" s="32">
        <f>SUM(AD169,)</f>
        <v>25346.54</v>
      </c>
      <c r="AE15" s="35" t="str">
        <f t="shared" si="3"/>
        <v>-4947,66   (-16,3%)</v>
      </c>
      <c r="AF15" s="34" t="str">
        <f>ROUND(AD15-AC15,2) &amp; "  (" &amp; ROUND(100*(AD15-AC15)/AC15,1) &amp;"%)"</f>
        <v>-6653,46  (-20,8%)</v>
      </c>
      <c r="AG15" s="31">
        <f>AD15/AD$34</f>
        <v>5.0153407270272669E-2</v>
      </c>
      <c r="AH15" s="28">
        <v>32480</v>
      </c>
      <c r="AI15" s="27">
        <f>SUM(AI169,)</f>
        <v>25500.799999999999</v>
      </c>
      <c r="AJ15" s="35" t="str">
        <f t="shared" si="4"/>
        <v>154,26   (0,6%)</v>
      </c>
      <c r="AK15" s="34" t="str">
        <f>ROUND(AI15-AH15,2) &amp; "  (" &amp; ROUND(100*(AI15-AH15)/AH15,1) &amp;"%)"</f>
        <v>-6979,2  (-21,5%)</v>
      </c>
      <c r="AL15" s="31">
        <f t="shared" si="5"/>
        <v>6.2697861169021693E-2</v>
      </c>
      <c r="AM15" s="28">
        <f>SUM(AM169,)</f>
        <v>32970</v>
      </c>
      <c r="AN15" s="27">
        <f>SUM(AN169:AN170)</f>
        <v>22667.4</v>
      </c>
      <c r="AO15" s="35" t="str">
        <f t="shared" si="6"/>
        <v>-2833,4   (-11,1%)</v>
      </c>
      <c r="AP15" s="34" t="str">
        <f>ROUND(AN15-AM15,2) &amp; "  (" &amp; ROUND(100*(AN15-AM15)/AM15,1) &amp;"%)"</f>
        <v>-10302,6  (-31,2%)</v>
      </c>
      <c r="AQ15" s="31">
        <f>AN15/AN$34</f>
        <v>6.0917832546990194E-2</v>
      </c>
      <c r="AR15" s="28">
        <f>SUM(AR169,)</f>
        <v>32970</v>
      </c>
      <c r="AS15" s="27">
        <f>SUM(AS169,)</f>
        <v>0</v>
      </c>
      <c r="AT15" s="35" t="str">
        <f t="shared" si="12"/>
        <v>-22667,4   (-100%)</v>
      </c>
      <c r="AU15" s="34" t="str">
        <f>ROUND(AS15-AR15,2) &amp; "  (" &amp; ROUND(100*(AS15-AR15)/AR15,1) &amp;"%)"</f>
        <v>-32970  (-100%)</v>
      </c>
      <c r="AV15" s="31">
        <f>AS15/AS$34</f>
        <v>0</v>
      </c>
    </row>
    <row r="16" spans="1:48" x14ac:dyDescent="0.3">
      <c r="A16" s="23" t="str">
        <f t="shared" ref="A16:A21" si="13">LEFT(B16,FIND(" ",B16,1))</f>
        <v xml:space="preserve">6210 </v>
      </c>
      <c r="B16" s="24" t="s">
        <v>40</v>
      </c>
      <c r="D16" s="26"/>
      <c r="E16" s="26"/>
      <c r="M16" s="29"/>
      <c r="P16" s="29"/>
      <c r="Q16" s="30"/>
      <c r="R16" s="31"/>
      <c r="U16" s="29"/>
      <c r="V16" s="30"/>
      <c r="W16" s="31"/>
      <c r="Z16" s="37"/>
      <c r="AA16" s="34"/>
      <c r="AB16" s="31"/>
      <c r="AD16" s="27">
        <f>SUM(0)</f>
        <v>0</v>
      </c>
      <c r="AE16" s="35"/>
      <c r="AF16" s="34"/>
      <c r="AG16" s="31"/>
      <c r="AI16" s="27">
        <f>SUM(0)</f>
        <v>0</v>
      </c>
      <c r="AJ16" s="35"/>
      <c r="AK16" s="34"/>
      <c r="AL16" s="31">
        <f t="shared" si="5"/>
        <v>0</v>
      </c>
      <c r="AM16" s="28">
        <f>SUM(0)</f>
        <v>0</v>
      </c>
      <c r="AN16" s="27">
        <f>SUM(0)</f>
        <v>0</v>
      </c>
      <c r="AO16" s="35"/>
      <c r="AP16" s="34"/>
      <c r="AQ16" s="31"/>
      <c r="AR16" s="28">
        <f>SUM(0)</f>
        <v>0</v>
      </c>
      <c r="AS16" s="27">
        <f>SUM(0)</f>
        <v>0</v>
      </c>
      <c r="AT16" s="35"/>
      <c r="AU16" s="34"/>
      <c r="AV16" s="31"/>
    </row>
    <row r="17" spans="1:48" x14ac:dyDescent="0.3">
      <c r="A17" s="23" t="str">
        <f t="shared" si="13"/>
        <v xml:space="preserve">6211 </v>
      </c>
      <c r="B17" s="24" t="s">
        <v>41</v>
      </c>
      <c r="D17" s="26"/>
      <c r="E17" s="26"/>
      <c r="F17" s="27">
        <v>27662</v>
      </c>
      <c r="G17" s="27">
        <v>28400</v>
      </c>
      <c r="H17" s="27">
        <v>29000</v>
      </c>
      <c r="I17" s="27">
        <v>29850</v>
      </c>
      <c r="J17" s="27">
        <v>31500</v>
      </c>
      <c r="K17" s="28">
        <v>33000</v>
      </c>
      <c r="L17" s="27">
        <v>32000</v>
      </c>
      <c r="M17" s="29">
        <f t="shared" si="8"/>
        <v>1.5873015873015872E-2</v>
      </c>
      <c r="N17" s="28">
        <v>33000</v>
      </c>
      <c r="O17" s="27">
        <v>38340</v>
      </c>
      <c r="P17" s="29">
        <f t="shared" si="9"/>
        <v>0.198125</v>
      </c>
      <c r="Q17" s="30" t="str">
        <f>(O17-N17) &amp; "  (" &amp; ROUND(100*(O17-N17)/N17,1) &amp;"%)"</f>
        <v>5340  (16,2%)</v>
      </c>
      <c r="R17" s="31">
        <f t="shared" ref="R17:R31" si="14">O17/O$34</f>
        <v>7.5048783177155576E-2</v>
      </c>
      <c r="S17" s="28">
        <v>38340</v>
      </c>
      <c r="T17" s="27">
        <v>38340</v>
      </c>
      <c r="U17" s="29">
        <f t="shared" si="10"/>
        <v>0</v>
      </c>
      <c r="V17" s="30" t="str">
        <f t="shared" si="0"/>
        <v>0  (0%)</v>
      </c>
      <c r="W17" s="31">
        <f t="shared" ref="W17:W31" si="15">T17/T$34</f>
        <v>7.7200715739635203E-2</v>
      </c>
      <c r="X17" s="28">
        <v>38340</v>
      </c>
      <c r="Y17" s="27">
        <v>38700</v>
      </c>
      <c r="Z17" s="37" t="str">
        <f t="shared" si="2"/>
        <v>360   (0,9%)</v>
      </c>
      <c r="AA17" s="34" t="str">
        <f>ROUND(Y17-X17,2) &amp; "  (" &amp; ROUND(100*(Y17-X17)/X17,1) &amp;"%)"</f>
        <v>360  (0,9%)</v>
      </c>
      <c r="AB17" s="31">
        <f t="shared" ref="AB17:AB31" si="16">Y17/Y$34</f>
        <v>7.1300620635607492E-2</v>
      </c>
      <c r="AC17" s="28">
        <v>38800</v>
      </c>
      <c r="AD17" s="27">
        <f>SUM(AD161,,)</f>
        <v>38800</v>
      </c>
      <c r="AE17" s="35" t="str">
        <f t="shared" si="3"/>
        <v>100   (0,3%)</v>
      </c>
      <c r="AF17" s="34" t="str">
        <f>ROUND(AD17-AC17,2) &amp; "  (" &amp; ROUND(100*(AD17-AC17)/AC17,1) &amp;"%)"</f>
        <v>0  (0%)</v>
      </c>
      <c r="AG17" s="31">
        <f t="shared" ref="AG17:AG31" si="17">AD17/AD$34</f>
        <v>7.6773879278456927E-2</v>
      </c>
      <c r="AH17" s="28">
        <v>39000</v>
      </c>
      <c r="AI17" s="27">
        <f>SUM(AI161,,)</f>
        <v>38800</v>
      </c>
      <c r="AJ17" s="35" t="str">
        <f t="shared" si="4"/>
        <v>0   (0%)</v>
      </c>
      <c r="AK17" s="34" t="str">
        <f>ROUND(AI17-AH17,2) &amp; "  (" &amp; ROUND(100*(AI17-AH17)/AH17,1) &amp;"%)"</f>
        <v>-200  (-0,5%)</v>
      </c>
      <c r="AL17" s="31">
        <f t="shared" si="5"/>
        <v>7.5283761871670143E-2</v>
      </c>
      <c r="AM17" s="28">
        <f>SUM(AM161,,)</f>
        <v>39000</v>
      </c>
      <c r="AN17" s="27">
        <f>SUM(AN161,,)</f>
        <v>39295.480000000003</v>
      </c>
      <c r="AO17" s="35" t="str">
        <f t="shared" si="6"/>
        <v>495,48   (1,3%)</v>
      </c>
      <c r="AP17" s="34" t="str">
        <f>ROUND(AN17-AM17,2) &amp; "  (" &amp; ROUND(100*(AN17-AM17)/AM17,1) &amp;"%)"</f>
        <v>295,48  (0,8%)</v>
      </c>
      <c r="AQ17" s="31">
        <f t="shared" ref="AQ17:AQ31" si="18">AN17/AN$34</f>
        <v>0.10560520705919525</v>
      </c>
      <c r="AR17" s="28">
        <f>SUM(AR161,,)</f>
        <v>39000</v>
      </c>
      <c r="AS17" s="27">
        <f>SUM(AS161,,)</f>
        <v>1</v>
      </c>
      <c r="AT17" s="35" t="str">
        <f t="shared" ref="AT17" si="19">ROUND(AS17-AN17,2) &amp; "   (" &amp; ROUND(100*(AS17-AN17)/AN17,1) &amp;"%)"</f>
        <v>-39294,48   (-100%)</v>
      </c>
      <c r="AU17" s="34" t="str">
        <f>ROUND(AS17-AR17,2) &amp; "  (" &amp; ROUND(100*(AS17-AR17)/AR17,1) &amp;"%)"</f>
        <v>-38999  (-100%)</v>
      </c>
      <c r="AV17" s="31">
        <f t="shared" ref="AV17:AV31" si="20">AS17/AS$34</f>
        <v>1</v>
      </c>
    </row>
    <row r="18" spans="1:48" x14ac:dyDescent="0.3">
      <c r="A18" s="23" t="str">
        <f t="shared" si="13"/>
        <v xml:space="preserve">6212 </v>
      </c>
      <c r="B18" s="24" t="s">
        <v>42</v>
      </c>
      <c r="D18" s="26"/>
      <c r="E18" s="26"/>
      <c r="F18" s="27">
        <v>0</v>
      </c>
      <c r="G18" s="27">
        <v>5112.76</v>
      </c>
      <c r="H18" s="27">
        <v>5373.39</v>
      </c>
      <c r="I18" s="27">
        <v>3543.6</v>
      </c>
      <c r="J18" s="27">
        <v>3277.82</v>
      </c>
      <c r="K18" s="28">
        <v>3500</v>
      </c>
      <c r="L18" s="27">
        <v>4553.47</v>
      </c>
      <c r="M18" s="29">
        <f t="shared" si="8"/>
        <v>0.38917634281321123</v>
      </c>
      <c r="N18" s="28">
        <v>3500</v>
      </c>
      <c r="O18" s="27">
        <v>0</v>
      </c>
      <c r="P18" s="29">
        <f t="shared" si="9"/>
        <v>-1</v>
      </c>
      <c r="Q18" s="30"/>
      <c r="R18" s="31">
        <f t="shared" si="14"/>
        <v>0</v>
      </c>
      <c r="T18" s="27">
        <v>600</v>
      </c>
      <c r="U18" s="29"/>
      <c r="V18" s="30"/>
      <c r="W18" s="31">
        <f t="shared" si="15"/>
        <v>1.208148916113227E-3</v>
      </c>
      <c r="Y18" s="27">
        <v>0</v>
      </c>
      <c r="Z18" s="37" t="str">
        <f t="shared" si="2"/>
        <v>-600   (-100%)</v>
      </c>
      <c r="AA18" s="34"/>
      <c r="AB18" s="31">
        <f t="shared" si="16"/>
        <v>0</v>
      </c>
      <c r="AD18" s="27">
        <f>SUM(AD136,AD166,)</f>
        <v>0</v>
      </c>
      <c r="AE18" s="35" t="e">
        <f t="shared" si="3"/>
        <v>#DIV/0!</v>
      </c>
      <c r="AF18" s="34"/>
      <c r="AG18" s="31">
        <f t="shared" si="17"/>
        <v>0</v>
      </c>
      <c r="AI18" s="27">
        <f>SUM(AI136,AI166,)</f>
        <v>0</v>
      </c>
      <c r="AJ18" s="35"/>
      <c r="AK18" s="34"/>
      <c r="AL18" s="31">
        <f t="shared" si="5"/>
        <v>0</v>
      </c>
      <c r="AM18" s="28">
        <f>SUM(AM136,AM166,)</f>
        <v>0</v>
      </c>
      <c r="AN18" s="27">
        <f>SUM(AN136,AN166,)</f>
        <v>3492.48</v>
      </c>
      <c r="AO18" s="35"/>
      <c r="AP18" s="34"/>
      <c r="AQ18" s="31">
        <f t="shared" si="18"/>
        <v>9.3859159768527618E-3</v>
      </c>
      <c r="AR18" s="28">
        <f>SUM(AR136,AR166,)</f>
        <v>0</v>
      </c>
      <c r="AS18" s="27">
        <f>SUM(AS136,AS166,)</f>
        <v>0</v>
      </c>
      <c r="AT18" s="35"/>
      <c r="AU18" s="34"/>
      <c r="AV18" s="31">
        <f t="shared" si="20"/>
        <v>0</v>
      </c>
    </row>
    <row r="19" spans="1:48" x14ac:dyDescent="0.3">
      <c r="A19" s="23" t="str">
        <f t="shared" si="13"/>
        <v xml:space="preserve">6213 </v>
      </c>
      <c r="B19" s="24" t="s">
        <v>43</v>
      </c>
      <c r="D19" s="26"/>
      <c r="E19" s="26"/>
      <c r="F19" s="27">
        <v>2160</v>
      </c>
      <c r="G19" s="27">
        <v>3436.31</v>
      </c>
      <c r="H19" s="27">
        <v>4284.3</v>
      </c>
      <c r="I19" s="27">
        <v>2967.04</v>
      </c>
      <c r="J19" s="27">
        <v>4370.07</v>
      </c>
      <c r="K19" s="28">
        <v>3700</v>
      </c>
      <c r="L19" s="27">
        <v>4811.88</v>
      </c>
      <c r="M19" s="29">
        <f t="shared" si="8"/>
        <v>0.10109906706299909</v>
      </c>
      <c r="N19" s="28">
        <v>3700</v>
      </c>
      <c r="O19" s="27">
        <v>2387.2800000000002</v>
      </c>
      <c r="P19" s="29">
        <f t="shared" si="9"/>
        <v>-0.50387790219207462</v>
      </c>
      <c r="Q19" s="30" t="str">
        <f>(O19-N19) &amp; "  (" &amp; ROUND(100*(O19-N19)/N19,1) &amp;"%)"</f>
        <v>-1312,72  (-35,5%)</v>
      </c>
      <c r="R19" s="31">
        <f t="shared" si="14"/>
        <v>4.6729905869368803E-3</v>
      </c>
      <c r="S19" s="28">
        <v>1500</v>
      </c>
      <c r="T19" s="27">
        <v>2675.21</v>
      </c>
      <c r="U19" s="29">
        <f t="shared" si="10"/>
        <v>0.12061006668677315</v>
      </c>
      <c r="V19" s="30" t="str">
        <f t="shared" si="0"/>
        <v>1175,21  (78,3%)</v>
      </c>
      <c r="W19" s="31">
        <f t="shared" si="15"/>
        <v>5.3867534364587764E-3</v>
      </c>
      <c r="X19" s="28">
        <v>2400</v>
      </c>
      <c r="Y19" s="27">
        <v>2784.81</v>
      </c>
      <c r="Z19" s="37" t="str">
        <f t="shared" si="2"/>
        <v>109,6   (4,1%)</v>
      </c>
      <c r="AA19" s="34" t="str">
        <f>ROUND(Y19-X19,2) &amp; "  (" &amp; ROUND(100*(Y19-X19)/X19,1) &amp;"%)"</f>
        <v>384,81  (16%)</v>
      </c>
      <c r="AB19" s="31">
        <f t="shared" si="16"/>
        <v>5.1307152804197951E-3</v>
      </c>
      <c r="AC19" s="28">
        <v>2600</v>
      </c>
      <c r="AD19" s="27">
        <f>SUM(AD134:AD135,)</f>
        <v>2646.04</v>
      </c>
      <c r="AE19" s="35" t="str">
        <f t="shared" si="3"/>
        <v>-138,77   (-5%)</v>
      </c>
      <c r="AF19" s="34" t="str">
        <f>ROUND(AD19-AC19,2) &amp; "  (" &amp; ROUND(100*(AD19-AC19)/AC19,1) &amp;"%)"</f>
        <v>46,04  (1,8%)</v>
      </c>
      <c r="AG19" s="31">
        <f t="shared" si="17"/>
        <v>5.235741121803303E-3</v>
      </c>
      <c r="AH19" s="28">
        <v>2640</v>
      </c>
      <c r="AI19" s="27">
        <f>SUM(AI134:AI135,)</f>
        <v>1773.19</v>
      </c>
      <c r="AJ19" s="35" t="str">
        <f t="shared" si="4"/>
        <v>-872,85   (-33%)</v>
      </c>
      <c r="AK19" s="34" t="str">
        <f>ROUND(AI19-AH19,2) &amp; "  (" &amp; ROUND(100*(AI19-AH19)/AH19,1) &amp;"%)"</f>
        <v>-866,81  (-32,8%)</v>
      </c>
      <c r="AL19" s="31">
        <f t="shared" si="5"/>
        <v>5.0961315728515174E-3</v>
      </c>
      <c r="AM19" s="28">
        <f>SUM(AM134:AM135,)</f>
        <v>2680</v>
      </c>
      <c r="AN19" s="27">
        <f>SUM(AN134:AN135,)</f>
        <v>2202.14</v>
      </c>
      <c r="AO19" s="35"/>
      <c r="AP19" s="34" t="str">
        <f>ROUND(AN19-AM19,2) &amp; "  (" &amp; ROUND(100*(AN19-AM19)/AM19,1) &amp;"%)"</f>
        <v>-477,86  (-17,8%)</v>
      </c>
      <c r="AQ19" s="31">
        <f t="shared" si="18"/>
        <v>5.9181730487408773E-3</v>
      </c>
      <c r="AR19" s="28">
        <f>SUM(AR134:AR135,)</f>
        <v>2680</v>
      </c>
      <c r="AS19" s="27">
        <f>SUM(AS134:AS135,)</f>
        <v>0</v>
      </c>
      <c r="AT19" s="35"/>
      <c r="AU19" s="34" t="str">
        <f>ROUND(AS19-AR19,2) &amp; "  (" &amp; ROUND(100*(AS19-AR19)/AR19,1) &amp;"%)"</f>
        <v>-2680  (-100%)</v>
      </c>
      <c r="AV19" s="31">
        <f t="shared" si="20"/>
        <v>0</v>
      </c>
    </row>
    <row r="20" spans="1:48" x14ac:dyDescent="0.3">
      <c r="A20" s="23" t="str">
        <f t="shared" si="13"/>
        <v xml:space="preserve">6222 </v>
      </c>
      <c r="B20" s="24" t="s">
        <v>44</v>
      </c>
      <c r="F20" s="27">
        <v>1285.7</v>
      </c>
      <c r="G20" s="27">
        <v>956.8</v>
      </c>
      <c r="H20" s="27">
        <v>1435.2</v>
      </c>
      <c r="I20" s="27">
        <v>490.36</v>
      </c>
      <c r="J20" s="27">
        <v>336</v>
      </c>
      <c r="K20" s="28">
        <v>450</v>
      </c>
      <c r="L20" s="27">
        <v>1728</v>
      </c>
      <c r="M20" s="29">
        <f t="shared" si="8"/>
        <v>4.1428571428571432</v>
      </c>
      <c r="N20" s="28">
        <v>450</v>
      </c>
      <c r="O20" s="27">
        <v>-79.84</v>
      </c>
      <c r="P20" s="29">
        <f t="shared" si="9"/>
        <v>-1.0462037037037037</v>
      </c>
      <c r="Q20" s="30" t="str">
        <f>(O20-N20) &amp; "  (" &amp; ROUND(100*(O20-N20)/N20,1) &amp;"%)"</f>
        <v>-529,84  (-117,7%)</v>
      </c>
      <c r="R20" s="31">
        <f t="shared" si="14"/>
        <v>-1.5628312073197971E-4</v>
      </c>
      <c r="S20" s="28">
        <v>450</v>
      </c>
      <c r="T20" s="27">
        <v>960</v>
      </c>
      <c r="U20" s="29">
        <f t="shared" si="10"/>
        <v>-13.024048096192383</v>
      </c>
      <c r="V20" s="30" t="str">
        <f t="shared" si="0"/>
        <v>510  (113,3%)</v>
      </c>
      <c r="W20" s="31">
        <f t="shared" si="15"/>
        <v>1.9330382657811633E-3</v>
      </c>
      <c r="X20" s="28">
        <v>450</v>
      </c>
      <c r="Y20" s="27">
        <v>360</v>
      </c>
      <c r="Z20" s="37" t="str">
        <f t="shared" si="2"/>
        <v>-600   (-62,5%)</v>
      </c>
      <c r="AA20" s="34" t="str">
        <f>ROUND(Y20-X20,2) &amp; "  (" &amp; ROUND(100*(Y20-X20)/X20,1) &amp;"%)"</f>
        <v>-90  (-20%)</v>
      </c>
      <c r="AB20" s="31">
        <f t="shared" si="16"/>
        <v>6.6326158730797662E-4</v>
      </c>
      <c r="AC20" s="28">
        <v>460</v>
      </c>
      <c r="AD20" s="27">
        <f>SUM(AD162,AD165,)</f>
        <v>600</v>
      </c>
      <c r="AE20" s="35" t="str">
        <f t="shared" si="3"/>
        <v>240   (66,7%)</v>
      </c>
      <c r="AF20" s="34" t="str">
        <f>ROUND(AD20-AC20,2) &amp; "  (" &amp; ROUND(100*(AD20-AC20)/AC20,1) &amp;"%)"</f>
        <v>140  (30,4%)</v>
      </c>
      <c r="AG20" s="31">
        <f t="shared" si="17"/>
        <v>1.1872249372957256E-3</v>
      </c>
      <c r="AH20" s="28">
        <v>470</v>
      </c>
      <c r="AI20" s="27">
        <f>SUM(AI162,AI165,)</f>
        <v>960</v>
      </c>
      <c r="AJ20" s="35" t="str">
        <f t="shared" si="4"/>
        <v>360   (60%)</v>
      </c>
      <c r="AK20" s="34" t="str">
        <f>ROUND(AI20-AH20,2) &amp; "  (" &amp; ROUND(100*(AI20-AH20)/AH20,1) &amp;"%)"</f>
        <v>490  (104,3%)</v>
      </c>
      <c r="AL20" s="31">
        <f t="shared" si="5"/>
        <v>9.0726584819705045E-4</v>
      </c>
      <c r="AM20" s="28">
        <f>SUM(AM162,AM165,)</f>
        <v>480</v>
      </c>
      <c r="AN20" s="27">
        <f>SUM(AN162,AN165,)</f>
        <v>3144</v>
      </c>
      <c r="AO20" s="35"/>
      <c r="AP20" s="34" t="str">
        <f>ROUND(AN20-AM20,2) &amp; "  (" &amp; ROUND(100*(AN20-AM20)/AM20,1) &amp;"%)"</f>
        <v>2664  (555%)</v>
      </c>
      <c r="AQ20" s="31">
        <f t="shared" si="18"/>
        <v>8.4493883518946666E-3</v>
      </c>
      <c r="AR20" s="28">
        <f>SUM(AR162,AR165,)</f>
        <v>480</v>
      </c>
      <c r="AS20" s="27">
        <f>SUM(AS162,AS165,)</f>
        <v>0</v>
      </c>
      <c r="AT20" s="35"/>
      <c r="AU20" s="34" t="str">
        <f>ROUND(AS20-AR20,2) &amp; "  (" &amp; ROUND(100*(AS20-AR20)/AR20,1) &amp;"%)"</f>
        <v>-480  (-100%)</v>
      </c>
      <c r="AV20" s="31">
        <f t="shared" si="20"/>
        <v>0</v>
      </c>
    </row>
    <row r="21" spans="1:48" x14ac:dyDescent="0.3">
      <c r="A21" s="23" t="str">
        <f t="shared" si="13"/>
        <v xml:space="preserve">6223 </v>
      </c>
      <c r="B21" s="24" t="s">
        <v>45</v>
      </c>
      <c r="D21" s="26"/>
      <c r="E21" s="26"/>
      <c r="M21" s="29"/>
      <c r="O21" s="27">
        <v>2611.02</v>
      </c>
      <c r="P21" s="29"/>
      <c r="Q21" s="30"/>
      <c r="R21" s="31">
        <f t="shared" si="14"/>
        <v>5.1109513263228159E-3</v>
      </c>
      <c r="U21" s="29"/>
      <c r="V21" s="30"/>
      <c r="W21" s="31">
        <f t="shared" si="15"/>
        <v>0</v>
      </c>
      <c r="Y21" s="27">
        <v>120</v>
      </c>
      <c r="Z21" s="37"/>
      <c r="AA21" s="34"/>
      <c r="AB21" s="31">
        <f t="shared" si="16"/>
        <v>2.2108719576932555E-4</v>
      </c>
      <c r="AD21" s="27">
        <f>SUM(AD163:AD164,)</f>
        <v>0</v>
      </c>
      <c r="AE21" s="35"/>
      <c r="AF21" s="34"/>
      <c r="AG21" s="31">
        <f t="shared" si="17"/>
        <v>0</v>
      </c>
      <c r="AI21" s="27">
        <f>SUM(AI163:AI164,)</f>
        <v>0</v>
      </c>
      <c r="AJ21" s="35"/>
      <c r="AK21" s="34"/>
      <c r="AL21" s="31">
        <f t="shared" si="5"/>
        <v>0</v>
      </c>
      <c r="AM21" s="28">
        <f>SUM(AM163:AM164,)</f>
        <v>0</v>
      </c>
      <c r="AN21" s="27">
        <f>SUM(AN163:AN164,)</f>
        <v>0</v>
      </c>
      <c r="AO21" s="35"/>
      <c r="AP21" s="34"/>
      <c r="AQ21" s="31">
        <f t="shared" si="18"/>
        <v>0</v>
      </c>
      <c r="AR21" s="28">
        <f>SUM(AR163:AR164,)</f>
        <v>0</v>
      </c>
      <c r="AS21" s="27">
        <f>SUM(AS163:AS164,)</f>
        <v>0</v>
      </c>
      <c r="AT21" s="35"/>
      <c r="AU21" s="34"/>
      <c r="AV21" s="31">
        <f t="shared" si="20"/>
        <v>0</v>
      </c>
    </row>
    <row r="22" spans="1:48" x14ac:dyDescent="0.3">
      <c r="A22" s="23" t="str">
        <f t="shared" ref="A22:A33" si="21">LEFT(B22,FIND(" ",B22,1)-1)&amp;0</f>
        <v>6230</v>
      </c>
      <c r="B22" s="24" t="s">
        <v>46</v>
      </c>
      <c r="D22" s="26"/>
      <c r="E22" s="26"/>
      <c r="F22" s="27">
        <v>9965.4699999999993</v>
      </c>
      <c r="G22" s="27">
        <v>8996.2999999999993</v>
      </c>
      <c r="H22" s="27">
        <v>9687.6</v>
      </c>
      <c r="I22" s="27">
        <v>7521.32</v>
      </c>
      <c r="J22" s="27">
        <v>8997.02</v>
      </c>
      <c r="K22" s="28">
        <v>4630</v>
      </c>
      <c r="L22" s="27">
        <v>5180.63</v>
      </c>
      <c r="M22" s="29">
        <f t="shared" si="8"/>
        <v>-0.4241837852977986</v>
      </c>
      <c r="N22" s="28">
        <v>4630</v>
      </c>
      <c r="O22" s="27">
        <v>4552.43</v>
      </c>
      <c r="P22" s="29">
        <f t="shared" si="9"/>
        <v>-0.12125938351127176</v>
      </c>
      <c r="Q22" s="30" t="str">
        <f>ROUND(O22-N22,2) &amp; "  (" &amp; ROUND(100*(O22-N22)/N22,1) &amp;"%)"</f>
        <v>-77,57  (-1,7%)</v>
      </c>
      <c r="R22" s="31">
        <f t="shared" si="14"/>
        <v>8.9111719352941675E-3</v>
      </c>
      <c r="S22" s="28">
        <v>6430</v>
      </c>
      <c r="T22" s="27">
        <v>330.43</v>
      </c>
      <c r="U22" s="29">
        <f t="shared" si="10"/>
        <v>-0.92741678619989754</v>
      </c>
      <c r="V22" s="30" t="str">
        <f t="shared" si="0"/>
        <v>-6099,57  (-94,9%)</v>
      </c>
      <c r="W22" s="31">
        <f t="shared" si="15"/>
        <v>6.6534774391882265E-4</v>
      </c>
      <c r="X22" s="28">
        <v>5630</v>
      </c>
      <c r="Y22" s="27">
        <v>2497.6</v>
      </c>
      <c r="Z22" s="37" t="str">
        <f t="shared" si="2"/>
        <v>2167,17   (655,9%)</v>
      </c>
      <c r="AA22" s="34" t="str">
        <f t="shared" ref="AA22:AA31" si="22">ROUND(Y22-X22,2) &amp; "  (" &amp; ROUND(100*(Y22-X22)/X22,1) &amp;"%)"</f>
        <v>-3132,4  (-55,6%)</v>
      </c>
      <c r="AB22" s="31">
        <f t="shared" si="16"/>
        <v>4.6015615012788957E-3</v>
      </c>
      <c r="AC22" s="28">
        <v>3160</v>
      </c>
      <c r="AD22" s="27">
        <f>SUM(AD138:AD139,AD148:AD151,AD168,AD291,AD307)</f>
        <v>3431.24</v>
      </c>
      <c r="AE22" s="35" t="str">
        <f t="shared" si="3"/>
        <v>933,64   (37,4%)</v>
      </c>
      <c r="AF22" s="34" t="str">
        <f t="shared" ref="AF22:AF31" si="23">ROUND(AD22-AC22,2) &amp; "  (" &amp; ROUND(100*(AD22-AC22)/AC22,1) &amp;"%)"</f>
        <v>271,24  (8,6%)</v>
      </c>
      <c r="AG22" s="31">
        <f t="shared" si="17"/>
        <v>6.7894228230776423E-3</v>
      </c>
      <c r="AH22" s="28">
        <v>3230</v>
      </c>
      <c r="AI22" s="27">
        <f>SUM(AI138:AI139,AI148:AI151,AI168,AI291:AI292,AI307,)</f>
        <v>3637.75</v>
      </c>
      <c r="AJ22" s="35" t="str">
        <f t="shared" si="4"/>
        <v>206,51   (6%)</v>
      </c>
      <c r="AK22" s="34" t="str">
        <f t="shared" ref="AK22:AK31" si="24">ROUND(AI22-AH22,2) &amp; "  (" &amp; ROUND(100*(AI22-AH22)/AH22,1) &amp;"%)"</f>
        <v>407,75  (12,6%)</v>
      </c>
      <c r="AL22" s="31">
        <f t="shared" si="5"/>
        <v>6.2350397652690915E-3</v>
      </c>
      <c r="AM22" s="28">
        <f>SUM(AM138:AM139,AM148:AM151,AM168,AM291,AM307)</f>
        <v>3300</v>
      </c>
      <c r="AN22" s="27">
        <f>SUM(AN138:AN139,AN148:AN151,AN168,AN291:AN292,AN307,)</f>
        <v>3474.23</v>
      </c>
      <c r="AO22" s="35" t="str">
        <f t="shared" si="6"/>
        <v>-163,52   (-4,5%)</v>
      </c>
      <c r="AP22" s="34" t="str">
        <f t="shared" ref="AP22:AP31" si="25">ROUND(AN22-AM22,2) &amp; "  (" &amp; ROUND(100*(AN22-AM22)/AM22,1) &amp;"%)"</f>
        <v>174,23  (5,3%)</v>
      </c>
      <c r="AQ22" s="31">
        <f t="shared" si="18"/>
        <v>9.3368697499373425E-3</v>
      </c>
      <c r="AR22" s="28">
        <f>SUM(AR138:AR139,AR148:AR151,AR168,AR291,AR307)</f>
        <v>2080</v>
      </c>
      <c r="AS22" s="27">
        <f>SUM(AS138:AS139,AS148:AS151,AS168,AS291,AS307)</f>
        <v>0</v>
      </c>
      <c r="AT22" s="35" t="str">
        <f t="shared" ref="AT22" si="26">ROUND(AS22-AN22,2) &amp; "   (" &amp; ROUND(100*(AS22-AN22)/AN22,1) &amp;"%)"</f>
        <v>-3474,23   (-100%)</v>
      </c>
      <c r="AU22" s="34" t="str">
        <f t="shared" ref="AU22:AU31" si="27">ROUND(AS22-AR22,2) &amp; "  (" &amp; ROUND(100*(AS22-AR22)/AR22,1) &amp;"%)"</f>
        <v>-2080  (-100%)</v>
      </c>
      <c r="AV22" s="31">
        <f t="shared" si="20"/>
        <v>0</v>
      </c>
    </row>
    <row r="23" spans="1:48" x14ac:dyDescent="0.3">
      <c r="A23" s="23" t="str">
        <f t="shared" si="21"/>
        <v>6240</v>
      </c>
      <c r="B23" s="24" t="s">
        <v>47</v>
      </c>
      <c r="F23" s="27">
        <v>59.7</v>
      </c>
      <c r="G23" s="27">
        <v>320</v>
      </c>
      <c r="H23" s="27">
        <v>320</v>
      </c>
      <c r="I23" s="27">
        <v>619.94000000000005</v>
      </c>
      <c r="J23" s="27">
        <v>476.56</v>
      </c>
      <c r="K23" s="28">
        <v>500</v>
      </c>
      <c r="L23" s="27">
        <v>437.91</v>
      </c>
      <c r="M23" s="29">
        <f t="shared" si="8"/>
        <v>-8.1102064797716922E-2</v>
      </c>
      <c r="N23" s="28">
        <v>500</v>
      </c>
      <c r="O23" s="27">
        <v>433.69</v>
      </c>
      <c r="P23" s="29">
        <f t="shared" si="9"/>
        <v>-9.6366833367587564E-3</v>
      </c>
      <c r="Q23" s="30" t="str">
        <f t="shared" ref="Q23:Q31" si="28">(O23-N23) &amp; "  (" &amp; ROUND(100*(O23-N23)/N23,1) &amp;"%)"</f>
        <v>-66,31  (-13,3%)</v>
      </c>
      <c r="R23" s="31">
        <f t="shared" si="14"/>
        <v>8.4892818925666675E-4</v>
      </c>
      <c r="S23" s="28">
        <v>500</v>
      </c>
      <c r="T23" s="27">
        <v>197.48</v>
      </c>
      <c r="U23" s="29">
        <f t="shared" si="10"/>
        <v>-0.54465170974659316</v>
      </c>
      <c r="V23" s="30" t="str">
        <f t="shared" si="0"/>
        <v>-302,52  (-60,5%)</v>
      </c>
      <c r="W23" s="31">
        <f t="shared" si="15"/>
        <v>3.9764207992340012E-4</v>
      </c>
      <c r="X23" s="28">
        <v>500</v>
      </c>
      <c r="Y23" s="27">
        <v>161.63999999999999</v>
      </c>
      <c r="Z23" s="37" t="str">
        <f t="shared" si="2"/>
        <v>-35,84   (-18,1%)</v>
      </c>
      <c r="AA23" s="34" t="str">
        <f t="shared" si="22"/>
        <v>-338,36  (-67,7%)</v>
      </c>
      <c r="AB23" s="31">
        <f t="shared" si="16"/>
        <v>2.978044527012815E-4</v>
      </c>
      <c r="AC23" s="28">
        <v>510</v>
      </c>
      <c r="AD23" s="27">
        <f>SUM(AD167,)</f>
        <v>25</v>
      </c>
      <c r="AE23" s="35" t="str">
        <f t="shared" si="3"/>
        <v>-136,64   (-84,5%)</v>
      </c>
      <c r="AF23" s="34" t="str">
        <f t="shared" si="23"/>
        <v>-485  (-95,1%)</v>
      </c>
      <c r="AG23" s="31">
        <f t="shared" si="17"/>
        <v>4.9467705720655233E-5</v>
      </c>
      <c r="AH23" s="28">
        <v>520</v>
      </c>
      <c r="AI23" s="27">
        <f>SUM(AI167,)</f>
        <v>0</v>
      </c>
      <c r="AJ23" s="35" t="str">
        <f t="shared" si="4"/>
        <v>-25   (-100%)</v>
      </c>
      <c r="AK23" s="34" t="str">
        <f t="shared" si="24"/>
        <v>-520  (-100%)</v>
      </c>
      <c r="AL23" s="31">
        <f t="shared" si="5"/>
        <v>1.0037834916222686E-3</v>
      </c>
      <c r="AM23" s="28">
        <f>SUM(AM167,)</f>
        <v>530</v>
      </c>
      <c r="AN23" s="27">
        <f>SUM(AN167,)</f>
        <v>0</v>
      </c>
      <c r="AO23" s="35"/>
      <c r="AP23" s="34" t="str">
        <f t="shared" si="25"/>
        <v>-530  (-100%)</v>
      </c>
      <c r="AQ23" s="31">
        <f t="shared" si="18"/>
        <v>0</v>
      </c>
      <c r="AR23" s="28">
        <f>SUM(AR167,)</f>
        <v>530</v>
      </c>
      <c r="AS23" s="27">
        <f>SUM(AS167,)</f>
        <v>0</v>
      </c>
      <c r="AT23" s="35"/>
      <c r="AU23" s="34" t="str">
        <f t="shared" si="27"/>
        <v>-530  (-100%)</v>
      </c>
      <c r="AV23" s="31">
        <f t="shared" si="20"/>
        <v>0</v>
      </c>
    </row>
    <row r="24" spans="1:48" x14ac:dyDescent="0.3">
      <c r="A24" s="23" t="str">
        <f t="shared" si="21"/>
        <v>6320</v>
      </c>
      <c r="B24" s="24" t="s">
        <v>48</v>
      </c>
      <c r="D24" s="26"/>
      <c r="E24" s="26"/>
      <c r="F24" s="27">
        <v>1623</v>
      </c>
      <c r="G24" s="27">
        <v>773</v>
      </c>
      <c r="H24" s="27">
        <v>3317</v>
      </c>
      <c r="I24" s="27">
        <v>3317</v>
      </c>
      <c r="J24" s="27">
        <v>3317</v>
      </c>
      <c r="K24" s="28">
        <v>3400</v>
      </c>
      <c r="L24" s="27">
        <v>3317</v>
      </c>
      <c r="M24" s="29">
        <f t="shared" si="8"/>
        <v>0</v>
      </c>
      <c r="N24" s="28">
        <v>3400</v>
      </c>
      <c r="O24" s="27">
        <v>3317</v>
      </c>
      <c r="P24" s="29">
        <f t="shared" si="9"/>
        <v>0</v>
      </c>
      <c r="Q24" s="30" t="str">
        <f t="shared" si="28"/>
        <v>-83  (-2,4%)</v>
      </c>
      <c r="R24" s="31">
        <f t="shared" si="14"/>
        <v>6.4928746426349774E-3</v>
      </c>
      <c r="S24" s="28">
        <v>3400</v>
      </c>
      <c r="T24" s="27">
        <v>3317</v>
      </c>
      <c r="U24" s="29">
        <f t="shared" si="10"/>
        <v>0</v>
      </c>
      <c r="V24" s="30" t="str">
        <f t="shared" si="0"/>
        <v>-83  (-2,4%)</v>
      </c>
      <c r="W24" s="31">
        <f t="shared" si="15"/>
        <v>6.6790499245792901E-3</v>
      </c>
      <c r="X24" s="28">
        <v>3450</v>
      </c>
      <c r="Y24" s="27">
        <v>3317</v>
      </c>
      <c r="Z24" s="37" t="str">
        <f t="shared" si="2"/>
        <v>0   (0%)</v>
      </c>
      <c r="AA24" s="34" t="str">
        <f t="shared" si="22"/>
        <v>-133  (-3,9%)</v>
      </c>
      <c r="AB24" s="31">
        <f t="shared" si="16"/>
        <v>6.1112185697237732E-3</v>
      </c>
      <c r="AC24" s="28">
        <v>3450</v>
      </c>
      <c r="AD24" s="27">
        <f>SUM(AD176,)</f>
        <v>3176.75</v>
      </c>
      <c r="AE24" s="35" t="str">
        <f t="shared" si="3"/>
        <v>-140,25   (-4,2%)</v>
      </c>
      <c r="AF24" s="34" t="str">
        <f t="shared" si="23"/>
        <v>-273,25  (-7,9%)</v>
      </c>
      <c r="AG24" s="31">
        <f t="shared" si="17"/>
        <v>6.2858613659236605E-3</v>
      </c>
      <c r="AH24" s="28">
        <v>3510</v>
      </c>
      <c r="AI24" s="27">
        <f>SUM(AI176,)</f>
        <v>3176.75</v>
      </c>
      <c r="AJ24" s="35" t="str">
        <f t="shared" si="4"/>
        <v>0   (0%)</v>
      </c>
      <c r="AK24" s="34" t="str">
        <f t="shared" si="24"/>
        <v>-333,25  (-9,5%)</v>
      </c>
      <c r="AL24" s="31">
        <f t="shared" si="5"/>
        <v>6.7755385684503131E-3</v>
      </c>
      <c r="AM24" s="28">
        <f>SUM(AM176,)</f>
        <v>3570</v>
      </c>
      <c r="AN24" s="27">
        <f>SUM(AN176,)</f>
        <v>3176.75</v>
      </c>
      <c r="AO24" s="35" t="str">
        <f t="shared" si="6"/>
        <v>0   (0%)</v>
      </c>
      <c r="AP24" s="34" t="str">
        <f t="shared" si="25"/>
        <v>-393,25  (-11%)</v>
      </c>
      <c r="AQ24" s="31">
        <f t="shared" si="18"/>
        <v>8.5374028138935684E-3</v>
      </c>
      <c r="AR24" s="28">
        <f>SUM(AR176,)</f>
        <v>3570</v>
      </c>
      <c r="AS24" s="27">
        <f>SUM(AS176,)</f>
        <v>0</v>
      </c>
      <c r="AT24" s="35" t="str">
        <f t="shared" ref="AT24:AT31" si="29">ROUND(AS24-AN24,2) &amp; "   (" &amp; ROUND(100*(AS24-AN24)/AN24,1) &amp;"%)"</f>
        <v>-3176,75   (-100%)</v>
      </c>
      <c r="AU24" s="34" t="str">
        <f t="shared" si="27"/>
        <v>-3570  (-100%)</v>
      </c>
      <c r="AV24" s="31">
        <f t="shared" si="20"/>
        <v>0</v>
      </c>
    </row>
    <row r="25" spans="1:48" x14ac:dyDescent="0.3">
      <c r="A25" s="23" t="str">
        <f t="shared" si="21"/>
        <v>6330</v>
      </c>
      <c r="B25" s="24" t="s">
        <v>49</v>
      </c>
      <c r="D25" s="26"/>
      <c r="E25" s="26"/>
      <c r="F25" s="27">
        <v>1102</v>
      </c>
      <c r="G25" s="27">
        <v>1142</v>
      </c>
      <c r="H25" s="27">
        <v>1157</v>
      </c>
      <c r="I25" s="27">
        <v>1181</v>
      </c>
      <c r="J25" s="27">
        <v>1196</v>
      </c>
      <c r="K25" s="28">
        <v>1250</v>
      </c>
      <c r="L25" s="27">
        <v>1227</v>
      </c>
      <c r="M25" s="29">
        <f t="shared" si="8"/>
        <v>2.5919732441471572E-2</v>
      </c>
      <c r="N25" s="28">
        <v>1250</v>
      </c>
      <c r="O25" s="27">
        <v>1240</v>
      </c>
      <c r="P25" s="29">
        <f t="shared" si="9"/>
        <v>1.0594947025264874E-2</v>
      </c>
      <c r="Q25" s="30" t="str">
        <f t="shared" si="28"/>
        <v>-10  (-0,8%)</v>
      </c>
      <c r="R25" s="31">
        <f t="shared" si="14"/>
        <v>2.4272428570598047E-3</v>
      </c>
      <c r="S25" s="28">
        <v>1250</v>
      </c>
      <c r="T25" s="27">
        <v>1245</v>
      </c>
      <c r="U25" s="29">
        <f t="shared" si="10"/>
        <v>4.0322580645161289E-3</v>
      </c>
      <c r="V25" s="30" t="str">
        <f t="shared" si="0"/>
        <v>-5  (-0,4%)</v>
      </c>
      <c r="W25" s="31">
        <f t="shared" si="15"/>
        <v>2.506909000934946E-3</v>
      </c>
      <c r="X25" s="28">
        <v>1300</v>
      </c>
      <c r="Y25" s="27">
        <v>1258</v>
      </c>
      <c r="Z25" s="37" t="str">
        <f t="shared" si="2"/>
        <v>13   (1%)</v>
      </c>
      <c r="AA25" s="34" t="str">
        <f t="shared" si="22"/>
        <v>-42  (-3,2%)</v>
      </c>
      <c r="AB25" s="31">
        <f t="shared" si="16"/>
        <v>2.3177307689817629E-3</v>
      </c>
      <c r="AC25" s="28">
        <v>1300</v>
      </c>
      <c r="AD25" s="27">
        <f>SUM(AD173:AD174)</f>
        <v>1286</v>
      </c>
      <c r="AE25" s="35" t="str">
        <f t="shared" si="3"/>
        <v>28   (2,2%)</v>
      </c>
      <c r="AF25" s="34" t="str">
        <f t="shared" si="23"/>
        <v>-14  (-1,1%)</v>
      </c>
      <c r="AG25" s="31">
        <f t="shared" si="17"/>
        <v>2.5446187822705051E-3</v>
      </c>
      <c r="AH25" s="28">
        <v>1320</v>
      </c>
      <c r="AI25" s="27">
        <f>SUM(AI173:AI174)</f>
        <v>1301</v>
      </c>
      <c r="AJ25" s="35" t="str">
        <f t="shared" si="4"/>
        <v>15   (1,2%)</v>
      </c>
      <c r="AK25" s="34" t="str">
        <f t="shared" si="24"/>
        <v>-19  (-1,4%)</v>
      </c>
      <c r="AL25" s="31">
        <f t="shared" si="5"/>
        <v>2.5480657864257587E-3</v>
      </c>
      <c r="AM25" s="28">
        <f>SUM(AM173:AM174)</f>
        <v>1340</v>
      </c>
      <c r="AN25" s="27">
        <f>SUM(AN173:AN174)</f>
        <v>1305</v>
      </c>
      <c r="AO25" s="35" t="str">
        <f t="shared" si="6"/>
        <v>4   (0,3%)</v>
      </c>
      <c r="AP25" s="34" t="str">
        <f t="shared" si="25"/>
        <v>-35  (-2,6%)</v>
      </c>
      <c r="AQ25" s="31">
        <f t="shared" si="18"/>
        <v>3.5071411575135305E-3</v>
      </c>
      <c r="AR25" s="28">
        <f>SUM(AR173:AR174)</f>
        <v>1340</v>
      </c>
      <c r="AS25" s="27">
        <f>SUM(AS173:AS174)</f>
        <v>0</v>
      </c>
      <c r="AT25" s="35" t="str">
        <f t="shared" si="29"/>
        <v>-1305   (-100%)</v>
      </c>
      <c r="AU25" s="34" t="str">
        <f t="shared" si="27"/>
        <v>-1340  (-100%)</v>
      </c>
      <c r="AV25" s="31">
        <f t="shared" si="20"/>
        <v>0</v>
      </c>
    </row>
    <row r="26" spans="1:48" x14ac:dyDescent="0.3">
      <c r="A26" s="23" t="str">
        <f t="shared" si="21"/>
        <v>6340</v>
      </c>
      <c r="B26" s="24" t="s">
        <v>50</v>
      </c>
      <c r="D26" s="26"/>
      <c r="E26" s="26"/>
      <c r="F26" s="27">
        <v>1299</v>
      </c>
      <c r="G26" s="27">
        <v>469</v>
      </c>
      <c r="H26" s="27">
        <v>477</v>
      </c>
      <c r="I26" s="27">
        <v>486</v>
      </c>
      <c r="J26" s="27">
        <v>490</v>
      </c>
      <c r="K26" s="28">
        <v>500</v>
      </c>
      <c r="L26" s="27">
        <v>495</v>
      </c>
      <c r="M26" s="29">
        <f t="shared" si="8"/>
        <v>1.020408163265306E-2</v>
      </c>
      <c r="N26" s="28">
        <v>500</v>
      </c>
      <c r="O26" s="27">
        <v>500</v>
      </c>
      <c r="P26" s="29">
        <f t="shared" si="9"/>
        <v>1.0101010101010102E-2</v>
      </c>
      <c r="Q26" s="30" t="str">
        <f t="shared" si="28"/>
        <v>0  (0%)</v>
      </c>
      <c r="R26" s="31">
        <f t="shared" si="14"/>
        <v>9.7872695849185671E-4</v>
      </c>
      <c r="S26" s="28">
        <v>500</v>
      </c>
      <c r="T26" s="27">
        <v>502</v>
      </c>
      <c r="U26" s="29">
        <f t="shared" si="10"/>
        <v>4.0000000000000001E-3</v>
      </c>
      <c r="V26" s="30" t="str">
        <f t="shared" si="0"/>
        <v>2  (0,4%)</v>
      </c>
      <c r="W26" s="31">
        <f t="shared" si="15"/>
        <v>1.0108179264813999E-3</v>
      </c>
      <c r="X26" s="28">
        <v>550</v>
      </c>
      <c r="Y26" s="27">
        <v>508</v>
      </c>
      <c r="Z26" s="37" t="str">
        <f t="shared" si="2"/>
        <v>6   (1,2%)</v>
      </c>
      <c r="AA26" s="34" t="str">
        <f t="shared" si="22"/>
        <v>-42  (-7,6%)</v>
      </c>
      <c r="AB26" s="31">
        <f t="shared" si="16"/>
        <v>9.359357954234781E-4</v>
      </c>
      <c r="AC26" s="28">
        <v>550</v>
      </c>
      <c r="AD26" s="27">
        <f>SUM(AD175,)</f>
        <v>519</v>
      </c>
      <c r="AE26" s="35" t="str">
        <f t="shared" si="3"/>
        <v>11   (2,2%)</v>
      </c>
      <c r="AF26" s="34" t="str">
        <f t="shared" si="23"/>
        <v>-31  (-5,6%)</v>
      </c>
      <c r="AG26" s="31">
        <f t="shared" si="17"/>
        <v>1.0269495707608026E-3</v>
      </c>
      <c r="AH26" s="28">
        <v>560</v>
      </c>
      <c r="AI26" s="27">
        <f>SUM(AI175,)</f>
        <v>525</v>
      </c>
      <c r="AJ26" s="35" t="str">
        <f t="shared" si="4"/>
        <v>6   (1,2%)</v>
      </c>
      <c r="AK26" s="34" t="str">
        <f t="shared" si="24"/>
        <v>-35  (-6,3%)</v>
      </c>
      <c r="AL26" s="31">
        <f t="shared" si="5"/>
        <v>1.0809976063624431E-3</v>
      </c>
      <c r="AM26" s="28">
        <f>SUM(AM175,)</f>
        <v>570</v>
      </c>
      <c r="AN26" s="27">
        <f>SUM(AN175,)</f>
        <v>526</v>
      </c>
      <c r="AO26" s="35" t="str">
        <f t="shared" si="6"/>
        <v>1   (0,2%)</v>
      </c>
      <c r="AP26" s="34" t="str">
        <f t="shared" si="25"/>
        <v>-44  (-7,7%)</v>
      </c>
      <c r="AQ26" s="31">
        <f t="shared" si="18"/>
        <v>1.4136063209594766E-3</v>
      </c>
      <c r="AR26" s="28">
        <f>SUM(AR175,)</f>
        <v>570</v>
      </c>
      <c r="AS26" s="27">
        <f>SUM(AS175,)</f>
        <v>0</v>
      </c>
      <c r="AT26" s="35" t="str">
        <f t="shared" si="29"/>
        <v>-526   (-100%)</v>
      </c>
      <c r="AU26" s="34" t="str">
        <f t="shared" si="27"/>
        <v>-570  (-100%)</v>
      </c>
      <c r="AV26" s="31">
        <f t="shared" si="20"/>
        <v>0</v>
      </c>
    </row>
    <row r="27" spans="1:48" x14ac:dyDescent="0.3">
      <c r="A27" s="23" t="str">
        <f t="shared" si="21"/>
        <v>6410</v>
      </c>
      <c r="B27" s="24" t="s">
        <v>51</v>
      </c>
      <c r="D27" s="26"/>
      <c r="E27" s="26"/>
      <c r="F27" s="27">
        <v>89503.95</v>
      </c>
      <c r="G27" s="27">
        <v>92323.62</v>
      </c>
      <c r="H27" s="27">
        <v>96191.63</v>
      </c>
      <c r="I27" s="27">
        <v>109336.38</v>
      </c>
      <c r="J27" s="27">
        <v>70560.44</v>
      </c>
      <c r="K27" s="28">
        <v>73150</v>
      </c>
      <c r="L27" s="27">
        <v>68486.7</v>
      </c>
      <c r="M27" s="29">
        <f t="shared" si="8"/>
        <v>-2.9389555960818912E-2</v>
      </c>
      <c r="N27" s="28">
        <v>73150</v>
      </c>
      <c r="O27" s="27">
        <v>74732.58</v>
      </c>
      <c r="P27" s="29">
        <f t="shared" si="9"/>
        <v>9.1198437068803206E-2</v>
      </c>
      <c r="Q27" s="30" t="str">
        <f t="shared" si="28"/>
        <v>1582,58  (2,2%)</v>
      </c>
      <c r="R27" s="31">
        <f t="shared" si="14"/>
        <v>0.14628558144729872</v>
      </c>
      <c r="S27" s="28">
        <v>73150</v>
      </c>
      <c r="T27" s="27">
        <v>71924.39</v>
      </c>
      <c r="U27" s="29">
        <f t="shared" si="10"/>
        <v>-3.7576516159351148E-2</v>
      </c>
      <c r="V27" s="30" t="str">
        <f t="shared" si="0"/>
        <v>-1225,61  (-1,7%)</v>
      </c>
      <c r="W27" s="31">
        <f t="shared" si="15"/>
        <v>0.14482562303434171</v>
      </c>
      <c r="X27" s="28">
        <v>79450</v>
      </c>
      <c r="Y27" s="27">
        <v>68417.16</v>
      </c>
      <c r="Z27" s="37" t="str">
        <f t="shared" si="2"/>
        <v>-3507,23   (-4,9%)</v>
      </c>
      <c r="AA27" s="34" t="str">
        <f t="shared" si="22"/>
        <v>-11032,84  (-13,9%)</v>
      </c>
      <c r="AB27" s="31">
        <f t="shared" si="16"/>
        <v>0.12605131705751058</v>
      </c>
      <c r="AC27" s="28">
        <v>80570</v>
      </c>
      <c r="AD27" s="27">
        <f>SUM(AD111,AD116,AD120:AD121,AD132,AD152,AD155)</f>
        <v>68520.09</v>
      </c>
      <c r="AE27" s="35" t="str">
        <f t="shared" si="3"/>
        <v>102,93   (0,2%)</v>
      </c>
      <c r="AF27" s="34" t="str">
        <f t="shared" si="23"/>
        <v>-12049,91  (-15%)</v>
      </c>
      <c r="AG27" s="31">
        <f t="shared" si="17"/>
        <v>0.13558126592291245</v>
      </c>
      <c r="AH27" s="28">
        <v>81780</v>
      </c>
      <c r="AI27" s="27">
        <f>SUM(AI111,AI116,AI120:AI121,AI132,AI152,AI155)</f>
        <v>78045.17</v>
      </c>
      <c r="AJ27" s="35" t="str">
        <f t="shared" si="4"/>
        <v>9525,08   (13,9%)</v>
      </c>
      <c r="AK27" s="34" t="str">
        <f t="shared" si="24"/>
        <v>-3734,83  (-4,6%)</v>
      </c>
      <c r="AL27" s="31">
        <f t="shared" si="5"/>
        <v>0.15786425758628678</v>
      </c>
      <c r="AM27" s="28">
        <f>SUM(AM111,AM116,AM120:AM121,AM132,AM152,AM155)</f>
        <v>83020</v>
      </c>
      <c r="AN27" s="27">
        <f>SUM(AN111,AN116,AN120:AN121,AN132,AN152,AN155)</f>
        <v>51762.520000000004</v>
      </c>
      <c r="AO27" s="35" t="str">
        <f t="shared" si="6"/>
        <v>-26282,65   (-33,7%)</v>
      </c>
      <c r="AP27" s="34" t="str">
        <f t="shared" si="25"/>
        <v>-31257,48  (-37,7%)</v>
      </c>
      <c r="AQ27" s="31">
        <f t="shared" si="18"/>
        <v>0.13910993433610519</v>
      </c>
      <c r="AR27" s="28">
        <f>SUM(AR111,AR116,AR120:AR121,AR132,AR152,AR155)</f>
        <v>83020</v>
      </c>
      <c r="AS27" s="27">
        <f>SUM(AS111,AS116,AS120:AS121,AS132,AS152,AS155)</f>
        <v>0</v>
      </c>
      <c r="AT27" s="35" t="str">
        <f t="shared" si="29"/>
        <v>-51762,52   (-100%)</v>
      </c>
      <c r="AU27" s="34" t="str">
        <f t="shared" si="27"/>
        <v>-83020  (-100%)</v>
      </c>
      <c r="AV27" s="31">
        <f t="shared" si="20"/>
        <v>0</v>
      </c>
    </row>
    <row r="28" spans="1:48" x14ac:dyDescent="0.3">
      <c r="A28" s="23" t="str">
        <f t="shared" si="21"/>
        <v>6420</v>
      </c>
      <c r="B28" s="24" t="s">
        <v>52</v>
      </c>
      <c r="D28" s="26"/>
      <c r="E28" s="26"/>
      <c r="F28" s="27">
        <v>35092.519999999997</v>
      </c>
      <c r="G28" s="27">
        <v>38048.379999999997</v>
      </c>
      <c r="H28" s="27">
        <v>40310.92</v>
      </c>
      <c r="I28" s="27">
        <v>-12989.03</v>
      </c>
      <c r="J28" s="27">
        <v>22012.43</v>
      </c>
      <c r="K28" s="28">
        <v>23000</v>
      </c>
      <c r="L28" s="27">
        <v>21979.13</v>
      </c>
      <c r="M28" s="29">
        <f t="shared" si="8"/>
        <v>-1.5127816420085957E-3</v>
      </c>
      <c r="N28" s="28">
        <v>23000</v>
      </c>
      <c r="O28" s="27">
        <v>23678.799999999999</v>
      </c>
      <c r="P28" s="29">
        <f t="shared" si="9"/>
        <v>7.7331086353281411E-2</v>
      </c>
      <c r="Q28" s="30" t="str">
        <f>ROUND(O28-N28,2) &amp; "  (" &amp; ROUND(100*(O28-N28)/N28,1) &amp;"%)"</f>
        <v>678,8  (3%)</v>
      </c>
      <c r="R28" s="31">
        <f t="shared" si="14"/>
        <v>4.6350159809473955E-2</v>
      </c>
      <c r="S28" s="28">
        <v>23000</v>
      </c>
      <c r="T28" s="27">
        <v>24805.9</v>
      </c>
      <c r="U28" s="29">
        <f t="shared" si="10"/>
        <v>4.7599540517256032E-2</v>
      </c>
      <c r="V28" s="30" t="str">
        <f t="shared" si="0"/>
        <v>1805,9  (7,9%)</v>
      </c>
      <c r="W28" s="31">
        <f t="shared" si="15"/>
        <v>4.9948701997021831E-2</v>
      </c>
      <c r="X28" s="28">
        <v>25790</v>
      </c>
      <c r="Y28" s="27">
        <v>22809.49</v>
      </c>
      <c r="Z28" s="37" t="str">
        <f t="shared" si="2"/>
        <v>-1996,41   (-8%)</v>
      </c>
      <c r="AA28" s="34" t="str">
        <f t="shared" si="22"/>
        <v>-2980,51  (-11,6%)</v>
      </c>
      <c r="AB28" s="31">
        <f t="shared" si="16"/>
        <v>4.2024051508570616E-2</v>
      </c>
      <c r="AC28" s="28">
        <v>27910</v>
      </c>
      <c r="AD28" s="27">
        <f>SUM(AD112:AD114,AD117:AD118,AD122:AD124,AD126,AD129,AD143:AD144,AD147,AD153,AD156:AD158,)</f>
        <v>18901.849999999999</v>
      </c>
      <c r="AE28" s="35" t="str">
        <f t="shared" si="3"/>
        <v>-3907,64   (-17,1%)</v>
      </c>
      <c r="AF28" s="34" t="str">
        <f t="shared" si="23"/>
        <v>-9008,15  (-32,3%)</v>
      </c>
      <c r="AG28" s="31">
        <f t="shared" si="17"/>
        <v>3.7401246135038681E-2</v>
      </c>
      <c r="AH28" s="28">
        <v>28370</v>
      </c>
      <c r="AI28" s="27">
        <f>SUM(AI112:AI114,AI117:AI118,AI122:AI124,AI126,AI129,AI143:AI144,AI147,AI153,AI156:AI158,)</f>
        <v>21644.829999999998</v>
      </c>
      <c r="AJ28" s="35" t="str">
        <f t="shared" si="4"/>
        <v>2742,98   (14,5%)</v>
      </c>
      <c r="AK28" s="34" t="str">
        <f t="shared" si="24"/>
        <v>-6725,17  (-23,7%)</v>
      </c>
      <c r="AL28" s="31">
        <f t="shared" si="5"/>
        <v>5.4764110879468766E-2</v>
      </c>
      <c r="AM28" s="28">
        <f>SUM(AM112:AM114,AM117:AM118,AM122:AM124,AM126,AM129,AM143:AM144,AM147,AM153,AM156:AM158,)</f>
        <v>28840</v>
      </c>
      <c r="AN28" s="27">
        <f>SUM(AN112:AN114,AN117:AN118,AN122:AN124,AN126,AN129,AN143:AN144,AN147,AN153,AN156:AN158,)</f>
        <v>12065.43</v>
      </c>
      <c r="AO28" s="35" t="str">
        <f t="shared" si="6"/>
        <v>-9579,4   (-44,3%)</v>
      </c>
      <c r="AP28" s="34" t="str">
        <f t="shared" si="25"/>
        <v>-16774,57  (-58,2%)</v>
      </c>
      <c r="AQ28" s="31">
        <f t="shared" si="18"/>
        <v>3.2425414663676995E-2</v>
      </c>
      <c r="AR28" s="28">
        <f>SUM(AR112:AR114,AR117:AR118,AR122:AR124,AR126,AR129,AR143:AR144,AR147,AR153,AR156:AR158,)</f>
        <v>28840</v>
      </c>
      <c r="AS28" s="27">
        <f>SUM(AS112:AS114,AS117:AS118,AS122:AS124,AS126,AS129,AS143:AS144,AS147,AS153,AS156:AS158,)</f>
        <v>0</v>
      </c>
      <c r="AT28" s="35" t="str">
        <f t="shared" si="29"/>
        <v>-12065,43   (-100%)</v>
      </c>
      <c r="AU28" s="34" t="str">
        <f t="shared" si="27"/>
        <v>-28840  (-100%)</v>
      </c>
      <c r="AV28" s="31">
        <f t="shared" si="20"/>
        <v>0</v>
      </c>
    </row>
    <row r="29" spans="1:48" x14ac:dyDescent="0.3">
      <c r="A29" s="23" t="str">
        <f t="shared" si="21"/>
        <v>6430</v>
      </c>
      <c r="B29" s="24" t="s">
        <v>53</v>
      </c>
      <c r="D29" s="26"/>
      <c r="E29" s="26"/>
      <c r="F29" s="27">
        <v>9128</v>
      </c>
      <c r="G29" s="27">
        <v>10116</v>
      </c>
      <c r="H29" s="27">
        <v>8915</v>
      </c>
      <c r="I29" s="27">
        <v>9583</v>
      </c>
      <c r="J29" s="27">
        <v>5696</v>
      </c>
      <c r="K29" s="28">
        <v>6900</v>
      </c>
      <c r="L29" s="27">
        <v>4891.66</v>
      </c>
      <c r="M29" s="29">
        <f t="shared" si="8"/>
        <v>-0.14121137640449441</v>
      </c>
      <c r="N29" s="28">
        <v>6900</v>
      </c>
      <c r="O29" s="27">
        <v>6428.04</v>
      </c>
      <c r="P29" s="29">
        <f t="shared" si="9"/>
        <v>0.31408151833937764</v>
      </c>
      <c r="Q29" s="30" t="str">
        <f t="shared" si="28"/>
        <v>-471,96  (-6,8%)</v>
      </c>
      <c r="R29" s="31">
        <f t="shared" si="14"/>
        <v>1.2582592076527991E-2</v>
      </c>
      <c r="S29" s="28">
        <v>6900</v>
      </c>
      <c r="T29" s="27">
        <v>6080</v>
      </c>
      <c r="U29" s="29">
        <f t="shared" si="10"/>
        <v>-5.4144031462156419E-2</v>
      </c>
      <c r="V29" s="30" t="str">
        <f t="shared" si="0"/>
        <v>-820  (-11,9%)</v>
      </c>
      <c r="W29" s="31">
        <f t="shared" si="15"/>
        <v>1.22425756832807E-2</v>
      </c>
      <c r="X29" s="28">
        <v>6750</v>
      </c>
      <c r="Y29" s="27">
        <v>5825</v>
      </c>
      <c r="Z29" s="37" t="str">
        <f t="shared" si="2"/>
        <v>-255   (-4,2%)</v>
      </c>
      <c r="AA29" s="34" t="str">
        <f t="shared" si="22"/>
        <v>-925  (-13,7%)</v>
      </c>
      <c r="AB29" s="31">
        <f t="shared" si="16"/>
        <v>1.0731940961302677E-2</v>
      </c>
      <c r="AC29" s="28">
        <v>6990</v>
      </c>
      <c r="AD29" s="27">
        <f>SUM(AD119,AD127,AD146,AD160,)</f>
        <v>6262</v>
      </c>
      <c r="AE29" s="35" t="str">
        <f t="shared" si="3"/>
        <v>437   (7,5%)</v>
      </c>
      <c r="AF29" s="34" t="str">
        <f t="shared" si="23"/>
        <v>-728  (-10,4%)</v>
      </c>
      <c r="AG29" s="31">
        <f t="shared" si="17"/>
        <v>1.2390670928909723E-2</v>
      </c>
      <c r="AH29" s="28">
        <v>7100</v>
      </c>
      <c r="AI29" s="27">
        <f>SUM(AI119,AI127,AI146,AI160,)</f>
        <v>6504</v>
      </c>
      <c r="AJ29" s="35" t="str">
        <f t="shared" si="4"/>
        <v>242   (3,9%)</v>
      </c>
      <c r="AK29" s="34" t="str">
        <f t="shared" si="24"/>
        <v>-596  (-8,4%)</v>
      </c>
      <c r="AL29" s="31">
        <f t="shared" si="5"/>
        <v>1.3705505366380974E-2</v>
      </c>
      <c r="AM29" s="28">
        <f>SUM(AM119,AM127,AM146,AM160,)</f>
        <v>7210</v>
      </c>
      <c r="AN29" s="27">
        <f>SUM(AN119,AN127,AN146,AN160,)</f>
        <v>4345</v>
      </c>
      <c r="AO29" s="35" t="str">
        <f t="shared" si="6"/>
        <v>-2159   (-33,2%)</v>
      </c>
      <c r="AP29" s="34" t="str">
        <f t="shared" si="25"/>
        <v>-2865  (-39,7%)</v>
      </c>
      <c r="AQ29" s="31">
        <f t="shared" si="18"/>
        <v>1.1677033202602521E-2</v>
      </c>
      <c r="AR29" s="28">
        <f>SUM(AR119,AR127,AR146,AR160,)</f>
        <v>7210</v>
      </c>
      <c r="AS29" s="27">
        <f>SUM(AS119,AS127,AS146,AS160,)</f>
        <v>0</v>
      </c>
      <c r="AT29" s="35" t="str">
        <f t="shared" si="29"/>
        <v>-4345   (-100%)</v>
      </c>
      <c r="AU29" s="34" t="str">
        <f t="shared" si="27"/>
        <v>-7210  (-100%)</v>
      </c>
      <c r="AV29" s="31">
        <f t="shared" si="20"/>
        <v>0</v>
      </c>
    </row>
    <row r="30" spans="1:48" x14ac:dyDescent="0.3">
      <c r="A30" s="23" t="str">
        <f t="shared" si="21"/>
        <v>6440</v>
      </c>
      <c r="B30" s="24" t="s">
        <v>54</v>
      </c>
      <c r="D30" s="26"/>
      <c r="E30" s="26"/>
      <c r="F30" s="27">
        <v>755.65</v>
      </c>
      <c r="G30" s="27">
        <v>253.83</v>
      </c>
      <c r="H30" s="27">
        <v>402.41</v>
      </c>
      <c r="I30" s="27">
        <v>420.15</v>
      </c>
      <c r="J30" s="27">
        <v>425.14</v>
      </c>
      <c r="K30" s="28">
        <v>530</v>
      </c>
      <c r="L30" s="27">
        <v>2821.73</v>
      </c>
      <c r="M30" s="29">
        <f t="shared" si="8"/>
        <v>5.6371783412522936</v>
      </c>
      <c r="N30" s="28">
        <v>530</v>
      </c>
      <c r="O30" s="27">
        <v>2351.59</v>
      </c>
      <c r="P30" s="29">
        <f t="shared" si="9"/>
        <v>-0.16661409844315361</v>
      </c>
      <c r="Q30" s="30" t="str">
        <f t="shared" si="28"/>
        <v>1821,59  (343,7%)</v>
      </c>
      <c r="R30" s="31">
        <f t="shared" si="14"/>
        <v>4.6031290566397312E-3</v>
      </c>
      <c r="S30" s="28">
        <v>530</v>
      </c>
      <c r="T30" s="27">
        <v>2535.63</v>
      </c>
      <c r="U30" s="29">
        <f t="shared" si="10"/>
        <v>7.8261941920147626E-2</v>
      </c>
      <c r="V30" s="30" t="str">
        <f t="shared" si="0"/>
        <v>2005,63  (378,4%)</v>
      </c>
      <c r="W30" s="31">
        <f t="shared" si="15"/>
        <v>5.1056977269403033E-3</v>
      </c>
      <c r="X30" s="28">
        <v>1130</v>
      </c>
      <c r="Y30" s="27">
        <v>2202.37</v>
      </c>
      <c r="Z30" s="37" t="str">
        <f t="shared" si="2"/>
        <v>-333,26   (-13,1%)</v>
      </c>
      <c r="AA30" s="34" t="str">
        <f t="shared" si="22"/>
        <v>1072,37  (94,9%)</v>
      </c>
      <c r="AB30" s="31">
        <f t="shared" si="16"/>
        <v>4.0576317278874126E-3</v>
      </c>
      <c r="AC30" s="28">
        <v>1180</v>
      </c>
      <c r="AD30" s="27">
        <f>SUM(AD115,AD125,AD128,AD130,AD131,AD145,AD154,AD159,)</f>
        <v>2110.88</v>
      </c>
      <c r="AE30" s="35" t="str">
        <f t="shared" si="3"/>
        <v>-91,49   (-4,2%)</v>
      </c>
      <c r="AF30" s="34" t="str">
        <f t="shared" si="23"/>
        <v>930,88  (78,9%)</v>
      </c>
      <c r="AG30" s="31">
        <f t="shared" si="17"/>
        <v>4.1768156260646692E-3</v>
      </c>
      <c r="AH30" s="28">
        <v>1230</v>
      </c>
      <c r="AI30" s="27">
        <f>SUM(AI115,AI125,AI128,AI130,AI131,AI145,AI154,AI159,)</f>
        <v>2693.33</v>
      </c>
      <c r="AJ30" s="35" t="str">
        <f t="shared" si="4"/>
        <v>582,45   (27,6%)</v>
      </c>
      <c r="AK30" s="34" t="str">
        <f t="shared" si="24"/>
        <v>1463,33  (119%)</v>
      </c>
      <c r="AL30" s="31">
        <f t="shared" si="5"/>
        <v>2.3743340282603659E-3</v>
      </c>
      <c r="AM30" s="28">
        <f>SUM(AM115,AM125,AM128,AM130,AM131,AM145,AM154,AM159,)</f>
        <v>1280</v>
      </c>
      <c r="AN30" s="27">
        <f>SUM(AN115,AN125,AN128,AN130,AN131,AN145,AN154,AN159,)</f>
        <v>1804.0500000000002</v>
      </c>
      <c r="AO30" s="35" t="str">
        <f t="shared" si="6"/>
        <v>-889,28   (-33%)</v>
      </c>
      <c r="AP30" s="34" t="str">
        <f t="shared" si="25"/>
        <v>524,05  (40,9%)</v>
      </c>
      <c r="AQ30" s="31">
        <f t="shared" si="18"/>
        <v>4.8483203105074979E-3</v>
      </c>
      <c r="AR30" s="28">
        <f>SUM(AR115,AR125,AR128,AR130,AR131,AR145,AR154,AR159,)</f>
        <v>1280</v>
      </c>
      <c r="AS30" s="27">
        <f>SUM(AS115,AS125,AS128,AS130,AS131,AS145,AS154,AS159,)</f>
        <v>0</v>
      </c>
      <c r="AT30" s="35" t="str">
        <f t="shared" si="29"/>
        <v>-1804,05   (-100%)</v>
      </c>
      <c r="AU30" s="34" t="str">
        <f t="shared" si="27"/>
        <v>-1280  (-100%)</v>
      </c>
      <c r="AV30" s="31">
        <f t="shared" si="20"/>
        <v>0</v>
      </c>
    </row>
    <row r="31" spans="1:48" x14ac:dyDescent="0.3">
      <c r="A31" s="23" t="str">
        <f t="shared" si="21"/>
        <v>6620</v>
      </c>
      <c r="B31" s="24" t="s">
        <v>55</v>
      </c>
      <c r="D31" s="26"/>
      <c r="E31" s="26"/>
      <c r="F31" s="27">
        <v>0</v>
      </c>
      <c r="G31" s="27">
        <v>0</v>
      </c>
      <c r="H31" s="27">
        <v>0</v>
      </c>
      <c r="I31" s="27">
        <v>0</v>
      </c>
      <c r="J31" s="27">
        <v>156.71</v>
      </c>
      <c r="K31" s="28">
        <v>160</v>
      </c>
      <c r="L31" s="27">
        <v>81.12</v>
      </c>
      <c r="M31" s="29">
        <f t="shared" si="8"/>
        <v>-0.48235594410056792</v>
      </c>
      <c r="N31" s="28">
        <v>160</v>
      </c>
      <c r="O31" s="27">
        <v>34.32</v>
      </c>
      <c r="P31" s="29">
        <f t="shared" si="9"/>
        <v>-0.57692307692307698</v>
      </c>
      <c r="Q31" s="30" t="str">
        <f t="shared" si="28"/>
        <v>-125,68  (-78,6%)</v>
      </c>
      <c r="R31" s="31">
        <f t="shared" si="14"/>
        <v>6.7179818430881052E-5</v>
      </c>
      <c r="S31" s="28">
        <v>160</v>
      </c>
      <c r="T31" s="27">
        <v>0</v>
      </c>
      <c r="U31" s="29">
        <f t="shared" si="10"/>
        <v>-1</v>
      </c>
      <c r="V31" s="30" t="str">
        <f t="shared" si="0"/>
        <v>-160  (-100%)</v>
      </c>
      <c r="W31" s="31">
        <f t="shared" si="15"/>
        <v>0</v>
      </c>
      <c r="X31" s="28">
        <v>90</v>
      </c>
      <c r="Y31" s="27">
        <v>117.47</v>
      </c>
      <c r="Z31" s="37"/>
      <c r="AA31" s="34" t="str">
        <f t="shared" si="22"/>
        <v>27,47  (30,5%)</v>
      </c>
      <c r="AB31" s="31">
        <f t="shared" si="16"/>
        <v>2.1642594072518892E-4</v>
      </c>
      <c r="AC31" s="28">
        <v>100</v>
      </c>
      <c r="AD31" s="27">
        <f>SUM(AD137)</f>
        <v>97.92</v>
      </c>
      <c r="AE31" s="35"/>
      <c r="AF31" s="34" t="str">
        <f t="shared" si="23"/>
        <v>-2,08  (-2,1%)</v>
      </c>
      <c r="AG31" s="31">
        <f t="shared" si="17"/>
        <v>1.9375510976666244E-4</v>
      </c>
      <c r="AH31" s="28">
        <v>110</v>
      </c>
      <c r="AI31" s="27">
        <f>SUM(AI137)</f>
        <v>97.92</v>
      </c>
      <c r="AJ31" s="35" t="str">
        <f t="shared" si="4"/>
        <v>0   (0%)</v>
      </c>
      <c r="AK31" s="34" t="str">
        <f t="shared" si="24"/>
        <v>-12,08  (-11%)</v>
      </c>
      <c r="AL31" s="31">
        <f t="shared" si="5"/>
        <v>2.123388155354799E-4</v>
      </c>
      <c r="AM31" s="28">
        <f>SUM(AM137)</f>
        <v>120</v>
      </c>
      <c r="AN31" s="27">
        <f>SUM(AN137)</f>
        <v>73.44</v>
      </c>
      <c r="AO31" s="35" t="str">
        <f t="shared" si="6"/>
        <v>-24,48   (-25%)</v>
      </c>
      <c r="AP31" s="34" t="str">
        <f t="shared" si="25"/>
        <v>-46,56  (-38,8%)</v>
      </c>
      <c r="AQ31" s="31">
        <f t="shared" si="18"/>
        <v>1.9736739203662351E-4</v>
      </c>
      <c r="AR31" s="28">
        <f>SUM(AR137)</f>
        <v>120</v>
      </c>
      <c r="AS31" s="27">
        <f>SUM(AS137)</f>
        <v>0</v>
      </c>
      <c r="AT31" s="35" t="str">
        <f t="shared" si="29"/>
        <v>-73,44   (-100%)</v>
      </c>
      <c r="AU31" s="34" t="str">
        <f t="shared" si="27"/>
        <v>-120  (-100%)</v>
      </c>
      <c r="AV31" s="31">
        <f t="shared" si="20"/>
        <v>0</v>
      </c>
    </row>
    <row r="32" spans="1:48" x14ac:dyDescent="0.3">
      <c r="A32" s="23" t="str">
        <f t="shared" si="21"/>
        <v>6730</v>
      </c>
      <c r="B32" s="24" t="s">
        <v>56</v>
      </c>
      <c r="G32" s="38"/>
      <c r="I32" s="27">
        <v>705.64</v>
      </c>
      <c r="L32" s="27">
        <v>894</v>
      </c>
      <c r="M32" s="29"/>
      <c r="P32" s="29"/>
      <c r="Q32" s="30"/>
      <c r="R32" s="31"/>
      <c r="U32" s="29"/>
      <c r="V32" s="30"/>
      <c r="W32" s="31"/>
      <c r="AA32" s="34"/>
      <c r="AB32" s="31"/>
      <c r="AD32" s="27">
        <f>SUM(AD140,,AD293,AD308)</f>
        <v>0</v>
      </c>
      <c r="AF32" s="34"/>
      <c r="AG32" s="31"/>
      <c r="AI32" s="27">
        <f>SUM(AI140,,AI293,AI308)</f>
        <v>0</v>
      </c>
      <c r="AK32" s="34"/>
      <c r="AL32" s="31">
        <f t="shared" si="5"/>
        <v>0</v>
      </c>
      <c r="AM32" s="28">
        <f>SUM(AM140,,AM293,AM308)</f>
        <v>0</v>
      </c>
      <c r="AN32" s="27">
        <f>SUM(AN140,,AN293,AN308)</f>
        <v>1434</v>
      </c>
      <c r="AP32" s="34"/>
      <c r="AQ32" s="31"/>
      <c r="AR32" s="28">
        <f>SUM(AR140,,AR293,AR308)</f>
        <v>0</v>
      </c>
      <c r="AS32" s="27">
        <f>SUM(AS140,,AS293,AS308)</f>
        <v>0</v>
      </c>
      <c r="AU32" s="34"/>
      <c r="AV32" s="31"/>
    </row>
    <row r="33" spans="1:48" s="51" customFormat="1" x14ac:dyDescent="0.3">
      <c r="A33" s="40" t="str">
        <f t="shared" si="21"/>
        <v>6780</v>
      </c>
      <c r="B33" s="41" t="s">
        <v>57</v>
      </c>
      <c r="C33" s="42"/>
      <c r="D33" s="42"/>
      <c r="E33" s="42"/>
      <c r="F33" s="43"/>
      <c r="G33" s="44"/>
      <c r="H33" s="44">
        <v>6878.62</v>
      </c>
      <c r="I33" s="43">
        <v>3436.42</v>
      </c>
      <c r="J33" s="43">
        <v>3104.36</v>
      </c>
      <c r="K33" s="45"/>
      <c r="L33" s="43">
        <v>-6.09</v>
      </c>
      <c r="M33" s="46">
        <f t="shared" si="8"/>
        <v>-1.0019617570127177</v>
      </c>
      <c r="N33" s="45"/>
      <c r="O33" s="43">
        <v>5226.08</v>
      </c>
      <c r="P33" s="46"/>
      <c r="Q33" s="47"/>
      <c r="R33" s="48">
        <f>O33/O$34</f>
        <v>1.0229810766470246E-2</v>
      </c>
      <c r="S33" s="45"/>
      <c r="T33" s="43">
        <v>5867.24</v>
      </c>
      <c r="U33" s="46"/>
      <c r="V33" s="47"/>
      <c r="W33" s="48">
        <f>T33/T$34</f>
        <v>1.1814166077626949E-2</v>
      </c>
      <c r="X33" s="45"/>
      <c r="Y33" s="43">
        <v>26577.1</v>
      </c>
      <c r="Z33" s="46"/>
      <c r="AA33" s="49"/>
      <c r="AB33" s="48">
        <f>Y33/Y$34</f>
        <v>4.896547092234118E-2</v>
      </c>
      <c r="AC33" s="45"/>
      <c r="AD33" s="43">
        <f>SUM(AD82,AD171:AD172,AD217)</f>
        <v>764.69</v>
      </c>
      <c r="AE33" s="50"/>
      <c r="AF33" s="49"/>
      <c r="AG33" s="48">
        <f>AD33/AD$34</f>
        <v>1.5130983955011141E-3</v>
      </c>
      <c r="AH33" s="45"/>
      <c r="AI33" s="43">
        <f>SUM(AI82,AI171:AI172,AI217)</f>
        <v>-6.41</v>
      </c>
      <c r="AJ33" s="46"/>
      <c r="AK33" s="49"/>
      <c r="AL33" s="48">
        <f t="shared" si="5"/>
        <v>0</v>
      </c>
      <c r="AM33" s="45">
        <f>SUM(AM82,AM171:AM172,AM217)</f>
        <v>0</v>
      </c>
      <c r="AN33" s="43">
        <f>SUM(AN82,AN171:AN172,AN217)</f>
        <v>-0.14000000000000001</v>
      </c>
      <c r="AO33" s="46"/>
      <c r="AP33" s="49"/>
      <c r="AQ33" s="48">
        <f>AN33/AN$34</f>
        <v>-3.7624502839225615E-7</v>
      </c>
      <c r="AR33" s="45">
        <f>SUM(AR82,AR171:AR172,AR217)</f>
        <v>0</v>
      </c>
      <c r="AS33" s="43">
        <f>SUM(AS82,AS171:AS172,AS217)</f>
        <v>0</v>
      </c>
      <c r="AT33" s="46"/>
      <c r="AU33" s="49"/>
      <c r="AV33" s="48">
        <f>AS33/AS$34</f>
        <v>0</v>
      </c>
    </row>
    <row r="34" spans="1:48" s="62" customFormat="1" x14ac:dyDescent="0.3">
      <c r="A34" s="52"/>
      <c r="B34" s="53" t="s">
        <v>58</v>
      </c>
      <c r="C34" s="54"/>
      <c r="D34" s="54"/>
      <c r="E34" s="54"/>
      <c r="F34" s="55">
        <f t="shared" ref="F34:L34" si="30">SUM(F4:F33)</f>
        <v>476382.90000000008</v>
      </c>
      <c r="G34" s="55">
        <f t="shared" si="30"/>
        <v>479627.72000000003</v>
      </c>
      <c r="H34" s="55">
        <f>SUM(H4:H33)</f>
        <v>504119.93999999994</v>
      </c>
      <c r="I34" s="55">
        <f t="shared" si="30"/>
        <v>500608.57</v>
      </c>
      <c r="J34" s="55">
        <f t="shared" si="30"/>
        <v>456469.38000000006</v>
      </c>
      <c r="K34" s="56">
        <f t="shared" si="30"/>
        <v>461220</v>
      </c>
      <c r="L34" s="55">
        <f t="shared" si="30"/>
        <v>483423.61999999988</v>
      </c>
      <c r="M34" s="57">
        <f>(L34-J34)</f>
        <v>26954.239999999816</v>
      </c>
      <c r="N34" s="56">
        <f>SUM(N4:N33)</f>
        <v>461220</v>
      </c>
      <c r="O34" s="55">
        <f>SUM(O4:O33)</f>
        <v>510867.71000000008</v>
      </c>
      <c r="P34" s="57">
        <f>(O34-L34)</f>
        <v>27444.0900000002</v>
      </c>
      <c r="Q34" s="30" t="str">
        <f>ROUND(O34-N34,2) &amp; "  (" &amp; ROUND(100*(O34-N34)/N34,1) &amp;"%)"</f>
        <v>49647,71  (10,8%)</v>
      </c>
      <c r="R34" s="58"/>
      <c r="S34" s="56">
        <f>SUM(S4:S33)</f>
        <v>474180</v>
      </c>
      <c r="T34" s="55">
        <f>SUM(T4:T33)</f>
        <v>496627.52</v>
      </c>
      <c r="U34" s="59" t="str">
        <f>ROUND(T34-O34,2) &amp; "   (" &amp; ROUND(100*(T34-O34)/O34,1) &amp;"%)"</f>
        <v>-14240,19   (-2,8%)</v>
      </c>
      <c r="V34" s="30" t="str">
        <f>(T34-S34) &amp; " (" &amp; ROUND(100*(T34-S34)/S34,1) &amp;"%)"</f>
        <v>22447,52 (4,7%)</v>
      </c>
      <c r="W34" s="58"/>
      <c r="X34" s="56">
        <f>SUM(X4:X33)</f>
        <v>514220</v>
      </c>
      <c r="Y34" s="60">
        <f>SUM(Y4:Y33)</f>
        <v>542772.27399999998</v>
      </c>
      <c r="Z34" s="61" t="str">
        <f>ROUND(Y34-T34,2) &amp; "   (" &amp; ROUND(100*(Y34-T34)/T34,1) &amp;"%)"</f>
        <v>46144,75   (9,3%)</v>
      </c>
      <c r="AA34" s="30" t="str">
        <f>ROUND(Y34-X34,2) &amp; "  (" &amp; ROUND(100*(Y34-X34)/X34,1) &amp;"%)"</f>
        <v>28552,27  (5,6%)</v>
      </c>
      <c r="AB34" s="58"/>
      <c r="AC34" s="56">
        <f>SUM(AC4:AC33)</f>
        <v>510380</v>
      </c>
      <c r="AD34" s="55">
        <f>SUM(AD4:AD33)</f>
        <v>505380.22</v>
      </c>
      <c r="AE34" s="35" t="str">
        <f>ROUND(AD34-Y34,2) &amp; "   (" &amp; ROUND(100*(AD34-Y34)/Y34,1) &amp;"%)"</f>
        <v>-37392,05   (-6,9%)</v>
      </c>
      <c r="AF34" s="30" t="str">
        <f>ROUND(AD34-AC34,2) &amp; "  (" &amp; ROUND(100*(AD34-AC34)/AC34,1) &amp;"%)"</f>
        <v>-4999,78  (-1%)</v>
      </c>
      <c r="AG34" s="58"/>
      <c r="AH34" s="56">
        <f>SUM(AH4:AH33)</f>
        <v>518040</v>
      </c>
      <c r="AI34" s="55">
        <f>SUM(AI4:AI33)</f>
        <v>485638.74</v>
      </c>
      <c r="AJ34" s="35" t="str">
        <f t="shared" ref="AJ34" si="31">ROUND(AI34-AD34,2) &amp; "   (" &amp; ROUND(100*(AI34-AD34)/AD34,1) &amp;"%)"</f>
        <v>-19741,48   (-3,9%)</v>
      </c>
      <c r="AK34" s="30" t="str">
        <f>ROUND(AI34-AH34,2) &amp; "  (" &amp; ROUND(100*(AI34-AH34)/AH34,1) &amp;"%)"</f>
        <v>-32401,26  (-6,3%)</v>
      </c>
      <c r="AL34" s="58"/>
      <c r="AM34" s="56">
        <f>SUM(AM4:AM33)</f>
        <v>525630</v>
      </c>
      <c r="AN34" s="55">
        <f>SUM(AN4:AN33)</f>
        <v>372097.93999999994</v>
      </c>
      <c r="AO34" s="35" t="str">
        <f t="shared" ref="AO34" si="32">ROUND(AN34-AI34,2) &amp; "   (" &amp; ROUND(100*(AN34-AI34)/AI34,1) &amp;"%)"</f>
        <v>-113540,8   (-23,4%)</v>
      </c>
      <c r="AP34" s="30" t="str">
        <f>ROUND(AN34-AM34,2) &amp; "  (" &amp; ROUND(100*(AN34-AM34)/AM34,1) &amp;"%)"</f>
        <v>-153532,06  (-29,2%)</v>
      </c>
      <c r="AQ34" s="58"/>
      <c r="AR34" s="56">
        <f>SUM(AR4:AR33)</f>
        <v>504000</v>
      </c>
      <c r="AS34" s="55">
        <f>SUM(AS4:AS33)</f>
        <v>1</v>
      </c>
      <c r="AT34" s="35" t="str">
        <f t="shared" ref="AT34" si="33">ROUND(AS34-AN34,2) &amp; "   (" &amp; ROUND(100*(AS34-AN34)/AN34,1) &amp;"%)"</f>
        <v>-372096,94   (-100%)</v>
      </c>
      <c r="AU34" s="30" t="str">
        <f>ROUND(AS34-AR34,2) &amp; "  (" &amp; ROUND(100*(AS34-AR34)/AR34,1) &amp;"%)"</f>
        <v>-503999  (-100%)</v>
      </c>
      <c r="AV34" s="58"/>
    </row>
    <row r="35" spans="1:48" s="74" customFormat="1" x14ac:dyDescent="0.3">
      <c r="A35" s="64"/>
      <c r="B35" s="65" t="s">
        <v>59</v>
      </c>
      <c r="C35" s="66"/>
      <c r="D35" s="66"/>
      <c r="E35" s="66"/>
      <c r="F35" s="67">
        <f t="shared" ref="F35:L35" si="34">IF(F34&lt;=F45,F45-F34,0)</f>
        <v>0</v>
      </c>
      <c r="G35" s="67">
        <f t="shared" si="34"/>
        <v>6214.1599999999744</v>
      </c>
      <c r="H35" s="67">
        <f t="shared" si="34"/>
        <v>0</v>
      </c>
      <c r="I35" s="67">
        <f t="shared" si="34"/>
        <v>0</v>
      </c>
      <c r="J35" s="67">
        <f t="shared" si="34"/>
        <v>22165.069999999949</v>
      </c>
      <c r="K35" s="68">
        <f t="shared" si="34"/>
        <v>0</v>
      </c>
      <c r="L35" s="67">
        <f t="shared" si="34"/>
        <v>0</v>
      </c>
      <c r="M35" s="69"/>
      <c r="N35" s="68">
        <f>IF(N34&lt;=N45,N45-N34,0)</f>
        <v>0</v>
      </c>
      <c r="O35" s="67">
        <f>IF(O34&lt;=O45,O45-O34,0)</f>
        <v>0</v>
      </c>
      <c r="P35" s="69"/>
      <c r="Q35" s="70"/>
      <c r="R35" s="71"/>
      <c r="S35" s="68">
        <f>IF(S34&lt;=S45,S45-S34,0)</f>
        <v>0</v>
      </c>
      <c r="T35" s="67">
        <f>IF(T34&lt;=T45,T45-T34,0)</f>
        <v>0</v>
      </c>
      <c r="U35" s="72"/>
      <c r="V35" s="70"/>
      <c r="W35" s="71"/>
      <c r="X35" s="68">
        <f>IF(X34&lt;=X45,X45-X34,0)</f>
        <v>0</v>
      </c>
      <c r="Y35" s="67">
        <f>IF(Y34&lt;=Y45,Y45-Y34,0)</f>
        <v>4832.706000000122</v>
      </c>
      <c r="Z35" s="72"/>
      <c r="AA35" s="70"/>
      <c r="AB35" s="71"/>
      <c r="AC35" s="68">
        <f>IF(AC34&lt;=AC45,AC45-AC34,0)</f>
        <v>0</v>
      </c>
      <c r="AD35" s="67">
        <f>IF(AD34&lt;=AD45,AD45-AD34,0)</f>
        <v>6797.0100000000675</v>
      </c>
      <c r="AE35" s="73"/>
      <c r="AF35" s="70"/>
      <c r="AG35" s="71"/>
      <c r="AH35" s="68">
        <f>IF(AH34&lt;=AH45,AH45-AH34,0)</f>
        <v>0</v>
      </c>
      <c r="AI35" s="67">
        <f>IF(AI34&lt;=AI45,AI45-AI34,0)</f>
        <v>35970.210000000021</v>
      </c>
      <c r="AJ35" s="72"/>
      <c r="AK35" s="70"/>
      <c r="AL35" s="71"/>
      <c r="AM35" s="68">
        <f>IF(AM34&lt;=AM45,AM45-AM34,0)</f>
        <v>0</v>
      </c>
      <c r="AN35" s="67">
        <f>IF(AN34&lt;=AN45,AN45-AN34,0)</f>
        <v>0</v>
      </c>
      <c r="AO35" s="72"/>
      <c r="AP35" s="70"/>
      <c r="AQ35" s="71"/>
      <c r="AR35" s="68">
        <f>IF(AR34&lt;=AR45,AR45-AR34,0)</f>
        <v>14040</v>
      </c>
      <c r="AS35" s="67">
        <f>IF(AS34&lt;=AS45,AS45-AS34,0)</f>
        <v>0</v>
      </c>
      <c r="AT35" s="72"/>
      <c r="AU35" s="70"/>
      <c r="AV35" s="71"/>
    </row>
    <row r="36" spans="1:48" s="62" customFormat="1" ht="18" thickBot="1" x14ac:dyDescent="0.35">
      <c r="A36" s="52"/>
      <c r="B36" s="53" t="s">
        <v>60</v>
      </c>
      <c r="C36" s="54"/>
      <c r="D36" s="54"/>
      <c r="E36" s="54"/>
      <c r="F36" s="55">
        <f t="shared" ref="F36:L36" si="35">SUM(F34:F35)</f>
        <v>476382.90000000008</v>
      </c>
      <c r="G36" s="55">
        <f t="shared" si="35"/>
        <v>485841.88</v>
      </c>
      <c r="H36" s="55">
        <f t="shared" si="35"/>
        <v>504119.93999999994</v>
      </c>
      <c r="I36" s="55">
        <f t="shared" si="35"/>
        <v>500608.57</v>
      </c>
      <c r="J36" s="55">
        <f t="shared" si="35"/>
        <v>478634.45</v>
      </c>
      <c r="K36" s="56">
        <f t="shared" si="35"/>
        <v>461220</v>
      </c>
      <c r="L36" s="55">
        <f t="shared" si="35"/>
        <v>483423.61999999988</v>
      </c>
      <c r="M36" s="29">
        <f>(L36-J36)/J36</f>
        <v>1.0005903252471415E-2</v>
      </c>
      <c r="N36" s="56">
        <f>SUM(N34:N35)</f>
        <v>461220</v>
      </c>
      <c r="O36" s="55">
        <f>SUM(O34:O35)</f>
        <v>510867.71000000008</v>
      </c>
      <c r="P36" s="29">
        <f>(O36-L36)/L36</f>
        <v>5.6770271175413826E-2</v>
      </c>
      <c r="Q36" s="30" t="str">
        <f>ROUND(O36-N36,2) &amp; "  (" &amp; ROUND(100*(O36-N36)/N36,1) &amp;"%)"</f>
        <v>49647,71  (10,8%)</v>
      </c>
      <c r="R36" s="58"/>
      <c r="S36" s="56">
        <f>SUM(S34:S35)</f>
        <v>474180</v>
      </c>
      <c r="T36" s="55">
        <f>SUM(T34:T35)</f>
        <v>496627.52</v>
      </c>
      <c r="U36" s="29">
        <f>(T36-O36)/O36</f>
        <v>-2.7874515694092425E-2</v>
      </c>
      <c r="V36" s="30" t="str">
        <f>(T36-S36) &amp; " (" &amp; ROUND(100*(T36-S36)/S36,1) &amp;"%)"</f>
        <v>22447,52 (4,7%)</v>
      </c>
      <c r="W36" s="58"/>
      <c r="X36" s="56">
        <f>SUM(X34:X35)</f>
        <v>514220</v>
      </c>
      <c r="Y36" s="55">
        <f>SUM(Y34:Y35)</f>
        <v>547604.9800000001</v>
      </c>
      <c r="Z36" s="37" t="str">
        <f>ROUND(Y36-T36,2) &amp; "   (" &amp; ROUND(100*(Y36-T36)/T36,1) &amp;"%)"</f>
        <v>50977,46   (10,3%)</v>
      </c>
      <c r="AA36" s="30" t="str">
        <f>ROUND(Y36-X36,2) &amp; "  (" &amp; ROUND(100*(Y36-X36)/X36,1) &amp;"%)"</f>
        <v>33384,98  (6,5%)</v>
      </c>
      <c r="AB36" s="58"/>
      <c r="AC36" s="56">
        <f>SUM(AC34:AC35)</f>
        <v>510380</v>
      </c>
      <c r="AD36" s="55">
        <f>SUM(AD34:AD35)</f>
        <v>512177.23000000004</v>
      </c>
      <c r="AE36" s="35" t="str">
        <f>ROUND(AD36-Y36,2) &amp; "   (" &amp; ROUND(100*(AD36-Y36)/Y36,1) &amp;"%)"</f>
        <v>-35427,75   (-6,5%)</v>
      </c>
      <c r="AF36" s="30" t="str">
        <f>ROUND(AD36-AC36,2) &amp; "  (" &amp; ROUND(100*(AD36-AC36)/AC36,1) &amp;"%)"</f>
        <v>1797,23  (0,4%)</v>
      </c>
      <c r="AG36" s="58"/>
      <c r="AH36" s="56">
        <f>SUM(AH34:AH35)</f>
        <v>518040</v>
      </c>
      <c r="AI36" s="55">
        <f>SUM(AI34:AI35)</f>
        <v>521608.95</v>
      </c>
      <c r="AJ36" s="35" t="str">
        <f t="shared" ref="AJ36" si="36">ROUND(AI36-AD36,2) &amp; "   (" &amp; ROUND(100*(AI36-AD36)/AD36,1) &amp;"%)"</f>
        <v>9431,72   (1,8%)</v>
      </c>
      <c r="AK36" s="30" t="str">
        <f>ROUND(AI36-AH36,2) &amp; "  (" &amp; ROUND(100*(AI36-AH36)/AH36,1) &amp;"%)"</f>
        <v>3568,95  (0,7%)</v>
      </c>
      <c r="AL36" s="58"/>
      <c r="AM36" s="56">
        <f>SUM(AM34:AM35)</f>
        <v>525630</v>
      </c>
      <c r="AN36" s="55">
        <f>SUM(AN34:AN35)</f>
        <v>372097.93999999994</v>
      </c>
      <c r="AO36" s="35" t="str">
        <f t="shared" ref="AO36" si="37">ROUND(AN36-AI36,2) &amp; "   (" &amp; ROUND(100*(AN36-AI36)/AI36,1) &amp;"%)"</f>
        <v>-149511,01   (-28,7%)</v>
      </c>
      <c r="AP36" s="30" t="str">
        <f>ROUND(AN36-AM36,2) &amp; "  (" &amp; ROUND(100*(AN36-AM36)/AM36,1) &amp;"%)"</f>
        <v>-153532,06  (-29,2%)</v>
      </c>
      <c r="AQ36" s="58"/>
      <c r="AR36" s="56">
        <f>SUM(AR34:AR35)</f>
        <v>518040</v>
      </c>
      <c r="AS36" s="55">
        <f>SUM(AS34:AS35)</f>
        <v>1</v>
      </c>
      <c r="AT36" s="35" t="str">
        <f t="shared" ref="AT36" si="38">ROUND(AS36-AN36,2) &amp; "   (" &amp; ROUND(100*(AS36-AN36)/AN36,1) &amp;"%)"</f>
        <v>-372096,94   (-100%)</v>
      </c>
      <c r="AU36" s="30" t="str">
        <f>ROUND(AS36-AR36,2) &amp; "  (" &amp; ROUND(100*(AS36-AR36)/AR36,1) &amp;"%)"</f>
        <v>-518039  (-100%)</v>
      </c>
      <c r="AV36" s="58"/>
    </row>
    <row r="37" spans="1:48" s="86" customFormat="1" ht="18" thickBot="1" x14ac:dyDescent="0.35">
      <c r="A37" s="75"/>
      <c r="B37" s="76"/>
      <c r="C37" s="77"/>
      <c r="D37" s="77"/>
      <c r="E37" s="77"/>
      <c r="F37" s="78"/>
      <c r="G37" s="78"/>
      <c r="H37" s="78"/>
      <c r="I37" s="78"/>
      <c r="J37" s="78"/>
      <c r="K37" s="79"/>
      <c r="L37" s="78"/>
      <c r="M37" s="80"/>
      <c r="N37" s="79"/>
      <c r="O37" s="78"/>
      <c r="P37" s="80"/>
      <c r="Q37" s="81"/>
      <c r="R37" s="82"/>
      <c r="S37" s="79"/>
      <c r="T37" s="78"/>
      <c r="U37" s="83"/>
      <c r="V37" s="81"/>
      <c r="W37" s="82"/>
      <c r="X37" s="79"/>
      <c r="Y37" s="78"/>
      <c r="Z37" s="83"/>
      <c r="AA37" s="84"/>
      <c r="AB37" s="82"/>
      <c r="AC37" s="79"/>
      <c r="AD37" s="78"/>
      <c r="AE37" s="85"/>
      <c r="AF37" s="84"/>
      <c r="AG37" s="82"/>
      <c r="AH37" s="79"/>
      <c r="AI37" s="78"/>
      <c r="AJ37" s="83"/>
      <c r="AK37" s="84"/>
      <c r="AL37" s="82"/>
      <c r="AM37" s="79"/>
      <c r="AN37" s="78"/>
      <c r="AO37" s="83"/>
      <c r="AP37" s="84"/>
      <c r="AQ37" s="82"/>
      <c r="AR37" s="79"/>
      <c r="AS37" s="78"/>
      <c r="AT37" s="83"/>
      <c r="AU37" s="84"/>
      <c r="AV37" s="82"/>
    </row>
    <row r="38" spans="1:48" s="62" customFormat="1" x14ac:dyDescent="0.3">
      <c r="A38" s="23" t="str">
        <f t="shared" ref="A38:A43" si="39">LEFT(B38,FIND(" ",B38,1))</f>
        <v xml:space="preserve">701 </v>
      </c>
      <c r="B38" s="24" t="s">
        <v>61</v>
      </c>
      <c r="C38" s="25"/>
      <c r="D38" s="54"/>
      <c r="E38" s="54"/>
      <c r="F38" s="87">
        <v>463979.31</v>
      </c>
      <c r="G38" s="87">
        <v>480393.13</v>
      </c>
      <c r="H38" s="87">
        <v>489440.83</v>
      </c>
      <c r="I38" s="87">
        <v>459283.13</v>
      </c>
      <c r="J38" s="87">
        <v>471054.38</v>
      </c>
      <c r="K38" s="88">
        <v>461220</v>
      </c>
      <c r="L38" s="87">
        <v>461219.84000000003</v>
      </c>
      <c r="M38" s="29">
        <f>(L38-J38)/J38</f>
        <v>-2.0877716920921059E-2</v>
      </c>
      <c r="N38" s="88">
        <v>461220</v>
      </c>
      <c r="O38" s="87">
        <v>461219.49</v>
      </c>
      <c r="P38" s="29">
        <f>(O38-L38)/L38</f>
        <v>-7.5885720795298961E-7</v>
      </c>
      <c r="Q38" s="30"/>
      <c r="R38" s="58"/>
      <c r="S38" s="88">
        <v>474180</v>
      </c>
      <c r="T38" s="87">
        <v>474179.29</v>
      </c>
      <c r="U38" s="29">
        <f>(T38-O38)/O38</f>
        <v>2.8098986016397504E-2</v>
      </c>
      <c r="V38" s="30"/>
      <c r="W38" s="58"/>
      <c r="X38" s="88">
        <v>514220</v>
      </c>
      <c r="Y38" s="87">
        <v>514217.64</v>
      </c>
      <c r="Z38" s="37" t="str">
        <f>ROUND(Y38-T38,2) &amp; "   (" &amp; ROUND(100*(Y38-T38)/T38,1) &amp;"%)"</f>
        <v>40038,35   (8,4%)</v>
      </c>
      <c r="AA38" s="34" t="str">
        <f>ROUND(Y38-X38,2) &amp; "  (" &amp; ROUND(100*(Y38-X38)/X38,1) &amp;"%)"</f>
        <v>-2,36  (0%)</v>
      </c>
      <c r="AB38" s="58"/>
      <c r="AC38" s="88">
        <v>510380</v>
      </c>
      <c r="AD38" s="87">
        <v>510379.96</v>
      </c>
      <c r="AE38" s="35" t="str">
        <f>ROUND(AD38-Y38,2) &amp; "   (" &amp; ROUND(100*(AD38-Y38)/Y38,1) &amp;"%)"</f>
        <v>-3837,68   (-0,7%)</v>
      </c>
      <c r="AF38" s="34" t="str">
        <f>ROUND(AD38-AC38,2) &amp; "  (" &amp; ROUND(100*(AD38-AC38)/AC38,1) &amp;"%)"</f>
        <v>-0,04  (0%)</v>
      </c>
      <c r="AG38" s="58"/>
      <c r="AH38" s="88">
        <v>518040</v>
      </c>
      <c r="AI38" s="87">
        <v>517834.28</v>
      </c>
      <c r="AJ38" s="29">
        <f>(AH38-AC38)/AC38</f>
        <v>1.5008425095027235E-2</v>
      </c>
      <c r="AK38" s="34" t="str">
        <f>ROUND(AI38-AH38,2) &amp; "  (" &amp; ROUND(100*(AI38-AH38)/AH38,1) &amp;"%)"</f>
        <v>-205,72  (0%)</v>
      </c>
      <c r="AL38" s="58"/>
      <c r="AM38" s="88">
        <v>518040</v>
      </c>
      <c r="AN38" s="87">
        <v>0</v>
      </c>
      <c r="AO38" s="29">
        <f>(AM38-AH38)/AH38</f>
        <v>0</v>
      </c>
      <c r="AP38" s="34" t="str">
        <f>ROUND(AN38-AM38,2) &amp; "  (" &amp; ROUND(100*(AN38-AM38)/AM38,1) &amp;"%)"</f>
        <v>-518040  (-100%)</v>
      </c>
      <c r="AQ38" s="58"/>
      <c r="AR38" s="88">
        <v>518040</v>
      </c>
      <c r="AS38" s="87">
        <v>0</v>
      </c>
      <c r="AT38" s="29">
        <f>(AR38-AM38)/AM38</f>
        <v>0</v>
      </c>
      <c r="AU38" s="34" t="str">
        <f>ROUND(AS38-AR38,2) &amp; "  (" &amp; ROUND(100*(AS38-AR38)/AR38,1) &amp;"%)"</f>
        <v>-518040  (-100%)</v>
      </c>
      <c r="AV38" s="58"/>
    </row>
    <row r="39" spans="1:48" x14ac:dyDescent="0.3">
      <c r="A39" s="23" t="str">
        <f t="shared" si="39"/>
        <v xml:space="preserve">7130 </v>
      </c>
      <c r="B39" s="24" t="s">
        <v>62</v>
      </c>
      <c r="F39" s="87">
        <v>265.58</v>
      </c>
      <c r="G39" s="87">
        <v>3511.78</v>
      </c>
      <c r="H39" s="87">
        <v>7101.32</v>
      </c>
      <c r="I39" s="27">
        <v>3419.74</v>
      </c>
      <c r="J39" s="27">
        <v>6029.23</v>
      </c>
      <c r="L39" s="27">
        <v>1284.04</v>
      </c>
      <c r="M39" s="29">
        <f>(L39-J39)/J39</f>
        <v>-0.78703084805190715</v>
      </c>
      <c r="O39" s="27">
        <v>5350.55</v>
      </c>
      <c r="P39" s="29">
        <f>(O39-L39)/L39</f>
        <v>3.166965203576213</v>
      </c>
      <c r="Q39" s="30"/>
      <c r="R39" s="58"/>
      <c r="T39" s="27">
        <v>5871.65</v>
      </c>
      <c r="U39" s="29">
        <f>(T39-O39)/O39</f>
        <v>9.7391856911906147E-2</v>
      </c>
      <c r="V39" s="30"/>
      <c r="W39" s="58"/>
      <c r="Y39" s="27">
        <v>30443.29</v>
      </c>
      <c r="Z39" s="89" t="str">
        <f>ROUND(Y39-T39,2) &amp; "   (" &amp; ROUND(100*(Y39-T39)/T39,1) &amp;"%)"</f>
        <v>24571,64   (418,5%)</v>
      </c>
      <c r="AA39" s="34"/>
      <c r="AB39" s="58"/>
      <c r="AD39" s="27">
        <f>-SUM(AD211,)</f>
        <v>757.94</v>
      </c>
      <c r="AE39" s="9" t="str">
        <f>ROUND(AD39-Y39,2) &amp; "   (" &amp; ROUND(100*(AD39-Y39)/Y39,1) &amp;"%)"</f>
        <v>-29685,35   (-97,5%)</v>
      </c>
      <c r="AF39" s="34"/>
      <c r="AG39" s="58"/>
      <c r="AI39" s="27">
        <f>-SUM(AI211,)</f>
        <v>2112</v>
      </c>
      <c r="AK39" s="34"/>
      <c r="AL39" s="58"/>
      <c r="AN39" s="27">
        <f>-SUM(AN211,)</f>
        <v>0</v>
      </c>
      <c r="AP39" s="34"/>
      <c r="AQ39" s="58"/>
      <c r="AS39" s="27">
        <v>0</v>
      </c>
      <c r="AU39" s="34"/>
      <c r="AV39" s="58"/>
    </row>
    <row r="40" spans="1:48" x14ac:dyDescent="0.3">
      <c r="A40" s="23" t="str">
        <f t="shared" si="39"/>
        <v xml:space="preserve">7140 </v>
      </c>
      <c r="B40" s="24" t="s">
        <v>63</v>
      </c>
      <c r="F40" s="87">
        <v>2398.11</v>
      </c>
      <c r="G40" s="87">
        <v>1936.97</v>
      </c>
      <c r="H40" s="87">
        <v>1373.04</v>
      </c>
      <c r="I40" s="27">
        <v>1444.78</v>
      </c>
      <c r="J40" s="27">
        <v>1550.84</v>
      </c>
      <c r="L40" s="27">
        <v>1664.94</v>
      </c>
      <c r="M40" s="29">
        <f>(L40-J40)/J40</f>
        <v>7.3573031389440657E-2</v>
      </c>
      <c r="O40" s="27">
        <v>3951.48</v>
      </c>
      <c r="P40" s="29">
        <f>(O40-L40)/L40</f>
        <v>1.3733467872716134</v>
      </c>
      <c r="Q40" s="30"/>
      <c r="R40" s="58"/>
      <c r="T40" s="27">
        <v>1684.37</v>
      </c>
      <c r="U40" s="29">
        <f>(T40-O40)/O40</f>
        <v>-0.57373692894814099</v>
      </c>
      <c r="V40" s="30"/>
      <c r="W40" s="58"/>
      <c r="Y40" s="27">
        <v>2444.0500000000002</v>
      </c>
      <c r="Z40" s="89" t="str">
        <f>ROUND(Y40-T40,2) &amp; "   (" &amp; ROUND(100*(Y40-T40)/T40,1) &amp;"%)"</f>
        <v>759,68   (45,1%)</v>
      </c>
      <c r="AA40" s="34"/>
      <c r="AB40" s="58"/>
      <c r="AD40" s="27">
        <f>-SUM(,AD214:AD215,AD309)</f>
        <v>1039.33</v>
      </c>
      <c r="AE40" s="9" t="str">
        <f>ROUND(AD40-Y40,2) &amp; "   (" &amp; ROUND(100*(AD40-Y40)/Y40,1) &amp;"%)"</f>
        <v>-1404,72   (-57,5%)</v>
      </c>
      <c r="AF40" s="34"/>
      <c r="AG40" s="58"/>
      <c r="AI40" s="27">
        <f>-SUM(,AI214:AI215,AI309)</f>
        <v>1662.67</v>
      </c>
      <c r="AK40" s="34"/>
      <c r="AL40" s="58"/>
      <c r="AN40" s="27">
        <f>-SUM(,AN214:AN215,AN309)</f>
        <v>1159.1400000000001</v>
      </c>
      <c r="AP40" s="34"/>
      <c r="AQ40" s="58"/>
      <c r="AS40" s="27">
        <v>0</v>
      </c>
      <c r="AU40" s="34"/>
      <c r="AV40" s="58"/>
    </row>
    <row r="41" spans="1:48" x14ac:dyDescent="0.3">
      <c r="A41" s="23" t="str">
        <f t="shared" si="39"/>
        <v xml:space="preserve">7141 </v>
      </c>
      <c r="B41" s="24" t="s">
        <v>64</v>
      </c>
      <c r="F41" s="87"/>
      <c r="G41" s="87"/>
      <c r="H41" s="87"/>
      <c r="M41" s="29"/>
      <c r="P41" s="29"/>
      <c r="Q41" s="30"/>
      <c r="R41" s="58"/>
      <c r="U41" s="29"/>
      <c r="V41" s="30"/>
      <c r="W41" s="58"/>
      <c r="Z41" s="89"/>
      <c r="AA41" s="34"/>
      <c r="AB41" s="58"/>
      <c r="AD41" s="27">
        <f>-SUM(AD212,)</f>
        <v>0</v>
      </c>
      <c r="AF41" s="34"/>
      <c r="AG41" s="58"/>
      <c r="AI41" s="27">
        <f>-SUM(AI212,)</f>
        <v>0</v>
      </c>
      <c r="AK41" s="34"/>
      <c r="AL41" s="58"/>
      <c r="AN41" s="27">
        <f>-SUM(AN212,)</f>
        <v>0</v>
      </c>
      <c r="AP41" s="34"/>
      <c r="AQ41" s="58"/>
      <c r="AU41" s="34"/>
      <c r="AV41" s="58"/>
    </row>
    <row r="42" spans="1:48" x14ac:dyDescent="0.3">
      <c r="A42" s="23" t="str">
        <f t="shared" si="39"/>
        <v xml:space="preserve">7160 </v>
      </c>
      <c r="B42" s="24" t="s">
        <v>65</v>
      </c>
      <c r="Y42" s="27">
        <v>0</v>
      </c>
      <c r="Z42" s="89"/>
      <c r="AA42" s="93"/>
      <c r="AD42" s="27">
        <f>SUM(AD216)</f>
        <v>0</v>
      </c>
      <c r="AF42" s="93"/>
      <c r="AI42" s="27">
        <f>SUM(AI216)</f>
        <v>0</v>
      </c>
      <c r="AK42" s="93"/>
      <c r="AN42" s="27">
        <f>SUM(AN216)</f>
        <v>0</v>
      </c>
      <c r="AP42" s="93"/>
      <c r="AS42" s="27">
        <v>0</v>
      </c>
      <c r="AU42" s="93"/>
    </row>
    <row r="43" spans="1:48" x14ac:dyDescent="0.3">
      <c r="A43" s="23" t="str">
        <f t="shared" si="39"/>
        <v xml:space="preserve">7180 </v>
      </c>
      <c r="B43" s="24" t="s">
        <v>66</v>
      </c>
      <c r="O43" s="27">
        <v>1300</v>
      </c>
      <c r="Y43" s="27">
        <v>500</v>
      </c>
      <c r="Z43" s="89"/>
      <c r="AA43" s="93"/>
      <c r="AD43" s="27">
        <f>SUM(AD213)</f>
        <v>0</v>
      </c>
      <c r="AF43" s="93"/>
      <c r="AI43" s="27">
        <f>SUM(AI213)</f>
        <v>0</v>
      </c>
      <c r="AK43" s="93"/>
      <c r="AN43" s="27">
        <f>SUM(AN213)</f>
        <v>0</v>
      </c>
      <c r="AP43" s="93"/>
      <c r="AU43" s="93"/>
    </row>
    <row r="44" spans="1:48" s="51" customFormat="1" x14ac:dyDescent="0.3">
      <c r="A44" s="40"/>
      <c r="B44" s="41"/>
      <c r="C44" s="42"/>
      <c r="D44" s="42"/>
      <c r="E44" s="42"/>
      <c r="F44" s="43"/>
      <c r="G44" s="43"/>
      <c r="H44" s="43"/>
      <c r="I44" s="43"/>
      <c r="J44" s="43"/>
      <c r="K44" s="45"/>
      <c r="L44" s="43"/>
      <c r="M44" s="94"/>
      <c r="N44" s="45"/>
      <c r="O44" s="43"/>
      <c r="P44" s="94"/>
      <c r="Q44" s="95"/>
      <c r="R44" s="96"/>
      <c r="S44" s="45"/>
      <c r="T44" s="43"/>
      <c r="U44" s="46"/>
      <c r="V44" s="95"/>
      <c r="W44" s="96"/>
      <c r="X44" s="45"/>
      <c r="Y44" s="43"/>
      <c r="Z44" s="46"/>
      <c r="AA44" s="49"/>
      <c r="AB44" s="96"/>
      <c r="AC44" s="45"/>
      <c r="AD44" s="43"/>
      <c r="AE44" s="50"/>
      <c r="AF44" s="49"/>
      <c r="AG44" s="96"/>
      <c r="AH44" s="45"/>
      <c r="AI44" s="43"/>
      <c r="AJ44" s="46"/>
      <c r="AK44" s="49"/>
      <c r="AL44" s="96"/>
      <c r="AM44" s="45"/>
      <c r="AN44" s="43"/>
      <c r="AO44" s="46"/>
      <c r="AP44" s="49"/>
      <c r="AQ44" s="96"/>
      <c r="AR44" s="45"/>
      <c r="AS44" s="43"/>
      <c r="AT44" s="46"/>
      <c r="AU44" s="49"/>
      <c r="AV44" s="96"/>
    </row>
    <row r="45" spans="1:48" s="62" customFormat="1" x14ac:dyDescent="0.3">
      <c r="A45" s="52"/>
      <c r="B45" s="53" t="s">
        <v>58</v>
      </c>
      <c r="C45" s="54"/>
      <c r="D45" s="54"/>
      <c r="E45" s="54"/>
      <c r="F45" s="55">
        <f t="shared" ref="F45:L45" si="40">SUM(F38:F44)</f>
        <v>466643</v>
      </c>
      <c r="G45" s="55">
        <f t="shared" si="40"/>
        <v>485841.88</v>
      </c>
      <c r="H45" s="55">
        <f t="shared" si="40"/>
        <v>497915.19</v>
      </c>
      <c r="I45" s="55">
        <f t="shared" si="40"/>
        <v>464147.65</v>
      </c>
      <c r="J45" s="55">
        <f t="shared" si="40"/>
        <v>478634.45</v>
      </c>
      <c r="K45" s="56">
        <f t="shared" si="40"/>
        <v>461220</v>
      </c>
      <c r="L45" s="55">
        <f t="shared" si="40"/>
        <v>464168.82</v>
      </c>
      <c r="M45" s="57">
        <f>(L45-J45)</f>
        <v>-14465.630000000005</v>
      </c>
      <c r="N45" s="56">
        <f>SUM(N38:N44)</f>
        <v>461220</v>
      </c>
      <c r="O45" s="55">
        <f>SUM(O38:O44)</f>
        <v>471821.51999999996</v>
      </c>
      <c r="P45" s="29">
        <f>(O45-L45)/L45</f>
        <v>1.6486889403730207E-2</v>
      </c>
      <c r="Q45" s="30" t="str">
        <f>(O45-N45) &amp; " (" &amp; ROUND(100*(O45-N45)/N45,1) &amp;"%)"</f>
        <v>10601,52 (2,3%)</v>
      </c>
      <c r="R45" s="97"/>
      <c r="S45" s="56">
        <f>SUM(S38:S44)</f>
        <v>474180</v>
      </c>
      <c r="T45" s="55">
        <f>SUM(T38:T44)</f>
        <v>481735.31</v>
      </c>
      <c r="U45" s="57">
        <f>(T45-O45)</f>
        <v>9913.7900000000373</v>
      </c>
      <c r="V45" s="30" t="str">
        <f>(T45-S45) &amp; " (" &amp; ROUND(100*(T45-S45)/S45,1) &amp;"%)"</f>
        <v>7555,31 (1,6%)</v>
      </c>
      <c r="W45" s="97"/>
      <c r="X45" s="56">
        <f>SUM(X38:X44)</f>
        <v>514220</v>
      </c>
      <c r="Y45" s="55">
        <f>SUM(Y38:Y44)</f>
        <v>547604.9800000001</v>
      </c>
      <c r="Z45" s="37" t="str">
        <f>ROUND(Y45-T45,2) &amp; "   (" &amp; ROUND(100*(Y45-T45)/T45,1) &amp;"%)"</f>
        <v>65869,67   (13,7%)</v>
      </c>
      <c r="AA45" s="34" t="str">
        <f>ROUND(Y45-X45,2) &amp; "  (" &amp; ROUND(100*(Y45-X45)/X45,1) &amp;"%)"</f>
        <v>33384,98  (6,5%)</v>
      </c>
      <c r="AB45" s="97"/>
      <c r="AC45" s="56">
        <f>SUM(AC38:AC44)</f>
        <v>510380</v>
      </c>
      <c r="AD45" s="55">
        <f>SUM(AD38:AD44)</f>
        <v>512177.23000000004</v>
      </c>
      <c r="AE45" s="35" t="str">
        <f>ROUND(AD45-Y45,2) &amp; "   (" &amp; ROUND(100*(AD45-Y45)/Y45,1) &amp;"%)"</f>
        <v>-35427,75   (-6,5%)</v>
      </c>
      <c r="AF45" s="34" t="str">
        <f>ROUND(AD45-AC45,2) &amp; "  (" &amp; ROUND(100*(AD45-AC45)/AC45,1) &amp;"%)"</f>
        <v>1797,23  (0,4%)</v>
      </c>
      <c r="AG45" s="97"/>
      <c r="AH45" s="56">
        <f>SUM(AH38:AH44)</f>
        <v>518040</v>
      </c>
      <c r="AI45" s="55">
        <f>SUM(AI38:AI44)</f>
        <v>521608.95</v>
      </c>
      <c r="AJ45" s="35" t="str">
        <f t="shared" ref="AJ45" si="41">ROUND(AI45-AD45,2) &amp; "   (" &amp; ROUND(100*(AI45-AD45)/AD45,1) &amp;"%)"</f>
        <v>9431,72   (1,8%)</v>
      </c>
      <c r="AK45" s="34" t="str">
        <f>ROUND(AI45-AH45,2) &amp; "  (" &amp; ROUND(100*(AI45-AH45)/AH45,1) &amp;"%)"</f>
        <v>3568,95  (0,7%)</v>
      </c>
      <c r="AL45" s="97"/>
      <c r="AM45" s="56">
        <f>SUM(AM38:AM44)</f>
        <v>518040</v>
      </c>
      <c r="AN45" s="55">
        <f>SUM(AN38:AN44)</f>
        <v>1159.1400000000001</v>
      </c>
      <c r="AO45" s="35" t="str">
        <f t="shared" ref="AO45" si="42">ROUND(AN45-AI45,2) &amp; "   (" &amp; ROUND(100*(AN45-AI45)/AI45,1) &amp;"%)"</f>
        <v>-520449,81   (-99,8%)</v>
      </c>
      <c r="AP45" s="34" t="str">
        <f>ROUND(AN45-AM45,2) &amp; "  (" &amp; ROUND(100*(AN45-AM45)/AM45,1) &amp;"%)"</f>
        <v>-516880,86  (-99,8%)</v>
      </c>
      <c r="AQ45" s="97"/>
      <c r="AR45" s="56">
        <f>SUM(AR38:AR44)</f>
        <v>518040</v>
      </c>
      <c r="AS45" s="55">
        <f>SUM(AS38:AS44)</f>
        <v>0</v>
      </c>
      <c r="AT45" s="35" t="str">
        <f t="shared" ref="AT45" si="43">ROUND(AS45-AN45,2) &amp; "   (" &amp; ROUND(100*(AS45-AN45)/AN45,1) &amp;"%)"</f>
        <v>-1159,14   (-100%)</v>
      </c>
      <c r="AU45" s="34" t="str">
        <f>ROUND(AS45-AR45,2) &amp; "  (" &amp; ROUND(100*(AS45-AR45)/AR45,1) &amp;"%)"</f>
        <v>-518040  (-100%)</v>
      </c>
      <c r="AV45" s="97"/>
    </row>
    <row r="46" spans="1:48" s="110" customFormat="1" x14ac:dyDescent="0.3">
      <c r="A46" s="98"/>
      <c r="B46" s="99" t="s">
        <v>67</v>
      </c>
      <c r="C46" s="100"/>
      <c r="D46" s="100"/>
      <c r="E46" s="100"/>
      <c r="F46" s="101">
        <f t="shared" ref="F46:L46" si="44">IF(F34&lt;=F45,0,-(F45-F34))</f>
        <v>9739.9000000000815</v>
      </c>
      <c r="G46" s="101">
        <f t="shared" si="44"/>
        <v>0</v>
      </c>
      <c r="H46" s="101">
        <f t="shared" si="44"/>
        <v>6204.7499999999418</v>
      </c>
      <c r="I46" s="101">
        <f t="shared" si="44"/>
        <v>36460.919999999984</v>
      </c>
      <c r="J46" s="101">
        <f t="shared" si="44"/>
        <v>0</v>
      </c>
      <c r="K46" s="102">
        <f t="shared" si="44"/>
        <v>0</v>
      </c>
      <c r="L46" s="101">
        <f t="shared" si="44"/>
        <v>19254.799999999872</v>
      </c>
      <c r="M46" s="103">
        <f>(L45-J45)/J45</f>
        <v>-3.022270962735759E-2</v>
      </c>
      <c r="N46" s="102">
        <f>IF(N34&lt;=N45,0,-(N45-N34))</f>
        <v>0</v>
      </c>
      <c r="O46" s="101">
        <f>IF(O34&lt;=O45,0,-(O45-O34))</f>
        <v>39046.190000000119</v>
      </c>
      <c r="P46" s="104"/>
      <c r="Q46" s="105">
        <f>O46-N46</f>
        <v>39046.190000000119</v>
      </c>
      <c r="R46" s="106"/>
      <c r="S46" s="102">
        <f>IF(S34&lt;=S45,0,-(S45-S34))</f>
        <v>0</v>
      </c>
      <c r="T46" s="101">
        <f>IF(T34&lt;=T45,0,-(T45-T34))</f>
        <v>14892.210000000021</v>
      </c>
      <c r="U46" s="103">
        <f>(T45-O45)/O45</f>
        <v>2.1011737658765624E-2</v>
      </c>
      <c r="V46" s="105">
        <f>T46-S46</f>
        <v>14892.210000000021</v>
      </c>
      <c r="W46" s="106"/>
      <c r="X46" s="102">
        <f>IF(X34&lt;=X45,0,-(X45-X34))</f>
        <v>0</v>
      </c>
      <c r="Y46" s="101">
        <f>IF(Y34&lt;=Y45,0,-(Y45-Y34))</f>
        <v>0</v>
      </c>
      <c r="Z46" s="107"/>
      <c r="AA46" s="108"/>
      <c r="AB46" s="106"/>
      <c r="AC46" s="102">
        <f>IF(AC34&lt;=AC45,0,-(AC45-AC34))</f>
        <v>0</v>
      </c>
      <c r="AD46" s="101">
        <f>IF(AD34&lt;=AD45,0,-(AD45-AD34))</f>
        <v>0</v>
      </c>
      <c r="AE46" s="109"/>
      <c r="AF46" s="108"/>
      <c r="AG46" s="106"/>
      <c r="AH46" s="102">
        <f>IF(AH34&lt;=AH45,0,-(AH45-AH34))</f>
        <v>0</v>
      </c>
      <c r="AI46" s="101">
        <f>IF(AI34&lt;=AI45,0,-(AI45-AI34))</f>
        <v>0</v>
      </c>
      <c r="AJ46" s="107"/>
      <c r="AK46" s="108"/>
      <c r="AL46" s="106"/>
      <c r="AM46" s="102">
        <f>IF(AM34&lt;=AM45,0,-(AM45-AM34))</f>
        <v>7590</v>
      </c>
      <c r="AN46" s="101">
        <f>IF(AN34&lt;=AN45,0,-(AN45-AN34))</f>
        <v>370938.79999999993</v>
      </c>
      <c r="AO46" s="107"/>
      <c r="AP46" s="108"/>
      <c r="AQ46" s="106"/>
      <c r="AR46" s="102">
        <f>IF(AR34&lt;=AR45,0,-(AR45-AR34))</f>
        <v>0</v>
      </c>
      <c r="AS46" s="101">
        <f>IF(AS34&lt;=AS45,0,-(AS45-AS34))</f>
        <v>1</v>
      </c>
      <c r="AT46" s="107"/>
      <c r="AU46" s="108"/>
      <c r="AV46" s="106"/>
    </row>
    <row r="47" spans="1:48" s="122" customFormat="1" ht="18" thickBot="1" x14ac:dyDescent="0.35">
      <c r="A47" s="111"/>
      <c r="B47" s="112" t="s">
        <v>68</v>
      </c>
      <c r="C47" s="113"/>
      <c r="D47" s="113"/>
      <c r="E47" s="113"/>
      <c r="F47" s="114">
        <f t="shared" ref="F47:L47" si="45">SUM(F45:F46)</f>
        <v>476382.90000000008</v>
      </c>
      <c r="G47" s="114">
        <f t="shared" si="45"/>
        <v>485841.88</v>
      </c>
      <c r="H47" s="114">
        <f t="shared" si="45"/>
        <v>504119.93999999994</v>
      </c>
      <c r="I47" s="114">
        <f t="shared" si="45"/>
        <v>500608.57</v>
      </c>
      <c r="J47" s="114">
        <f t="shared" si="45"/>
        <v>478634.45</v>
      </c>
      <c r="K47" s="115">
        <f t="shared" si="45"/>
        <v>461220</v>
      </c>
      <c r="L47" s="114">
        <f t="shared" si="45"/>
        <v>483423.61999999988</v>
      </c>
      <c r="M47" s="116"/>
      <c r="N47" s="115">
        <f>SUM(N45:N46)</f>
        <v>461220</v>
      </c>
      <c r="O47" s="114">
        <f>SUM(O45:O46)</f>
        <v>510867.71000000008</v>
      </c>
      <c r="P47" s="116">
        <f>(O47-L47)/L47</f>
        <v>5.6770271175413826E-2</v>
      </c>
      <c r="Q47" s="30" t="str">
        <f>ROUND(O47-N47,2) &amp; "  (" &amp; ROUND(100*(O47-N47)/N47,1) &amp;"%)"</f>
        <v>49647,71  (10,8%)</v>
      </c>
      <c r="R47" s="117"/>
      <c r="S47" s="115">
        <f>SUM(S45:S46)</f>
        <v>474180</v>
      </c>
      <c r="T47" s="114">
        <f>SUM(T45:T46)</f>
        <v>496627.52</v>
      </c>
      <c r="U47" s="116"/>
      <c r="V47" s="118" t="str">
        <f>(T47-S47) &amp; " (" &amp; ROUND(100*(T47-S47)/S47,1) &amp;"%)"</f>
        <v>22447,52 (4,7%)</v>
      </c>
      <c r="W47" s="117"/>
      <c r="X47" s="115">
        <f>SUM(X45:X46)</f>
        <v>514220</v>
      </c>
      <c r="Y47" s="114">
        <f>SUM(Y45:Y46)</f>
        <v>547604.9800000001</v>
      </c>
      <c r="Z47" s="119" t="str">
        <f>ROUND(Y47-T47,2) &amp; "   (" &amp; ROUND(100*(Y47-T47)/T47,1) &amp;"%)"</f>
        <v>50977,46   (10,3%)</v>
      </c>
      <c r="AA47" s="120" t="str">
        <f>ROUND(Y47-X47,2) &amp; "  (" &amp; ROUND(100*(Y47-X47)/X47,1) &amp;"%)"</f>
        <v>33384,98  (6,5%)</v>
      </c>
      <c r="AB47" s="117"/>
      <c r="AC47" s="115">
        <f>SUM(AC45:AC46)</f>
        <v>510380</v>
      </c>
      <c r="AD47" s="114">
        <f>SUM(AD45:AD46)</f>
        <v>512177.23000000004</v>
      </c>
      <c r="AE47" s="121" t="str">
        <f>ROUND(AD47-Y47,2) &amp; "   (" &amp; ROUND(100*(AD47-Y47)/Y47,1) &amp;"%)"</f>
        <v>-35427,75   (-6,5%)</v>
      </c>
      <c r="AF47" s="120" t="str">
        <f>ROUND(AD47-AC47,2) &amp; "  (" &amp; ROUND(100*(AD47-AC47)/AC47,1) &amp;"%)"</f>
        <v>1797,23  (0,4%)</v>
      </c>
      <c r="AG47" s="117"/>
      <c r="AH47" s="115">
        <f>SUM(AH45:AH46)</f>
        <v>518040</v>
      </c>
      <c r="AI47" s="114">
        <f>SUM(AI45:AI46)</f>
        <v>521608.95</v>
      </c>
      <c r="AJ47" s="121" t="str">
        <f t="shared" ref="AJ47" si="46">ROUND(AI47-AD47,2) &amp; "   (" &amp; ROUND(100*(AI47-AD47)/AD47,1) &amp;"%)"</f>
        <v>9431,72   (1,8%)</v>
      </c>
      <c r="AK47" s="120" t="str">
        <f>ROUND(AI47-AH47,2) &amp; "  (" &amp; ROUND(100*(AI47-AH47)/AH47,1) &amp;"%)"</f>
        <v>3568,95  (0,7%)</v>
      </c>
      <c r="AL47" s="117"/>
      <c r="AM47" s="115">
        <f>SUM(AM45:AM46)</f>
        <v>525630</v>
      </c>
      <c r="AN47" s="114">
        <f>SUM(AN45:AN46)</f>
        <v>372097.93999999994</v>
      </c>
      <c r="AO47" s="121" t="str">
        <f t="shared" ref="AO47" si="47">ROUND(AN47-AI47,2) &amp; "   (" &amp; ROUND(100*(AN47-AI47)/AI47,1) &amp;"%)"</f>
        <v>-149511,01   (-28,7%)</v>
      </c>
      <c r="AP47" s="120" t="str">
        <f>ROUND(AN47-AM47,2) &amp; "  (" &amp; ROUND(100*(AN47-AM47)/AM47,1) &amp;"%)"</f>
        <v>-153532,06  (-29,2%)</v>
      </c>
      <c r="AQ47" s="117"/>
      <c r="AR47" s="115">
        <f>SUM(AR45:AR46)</f>
        <v>518040</v>
      </c>
      <c r="AS47" s="114">
        <f>SUM(AS45:AS46)</f>
        <v>1</v>
      </c>
      <c r="AT47" s="121" t="str">
        <f t="shared" ref="AT47" si="48">ROUND(AS47-AN47,2) &amp; "   (" &amp; ROUND(100*(AS47-AN47)/AN47,1) &amp;"%)"</f>
        <v>-372096,94   (-100%)</v>
      </c>
      <c r="AU47" s="120" t="str">
        <f>ROUND(AS47-AR47,2) &amp; "  (" &amp; ROUND(100*(AS47-AR47)/AR47,1) &amp;"%)"</f>
        <v>-518039  (-100%)</v>
      </c>
      <c r="AV47" s="117"/>
    </row>
    <row r="48" spans="1:48" s="62" customFormat="1" x14ac:dyDescent="0.3">
      <c r="A48" s="52"/>
      <c r="B48" s="53"/>
      <c r="C48" s="54"/>
      <c r="D48" s="54"/>
      <c r="E48" s="54"/>
      <c r="F48" s="55"/>
      <c r="G48" s="55"/>
      <c r="H48" s="55"/>
      <c r="I48" s="55"/>
      <c r="J48" s="55"/>
      <c r="K48" s="56"/>
      <c r="L48" s="55"/>
      <c r="M48" s="29"/>
      <c r="N48" s="56"/>
      <c r="O48" s="55"/>
      <c r="P48" s="29"/>
      <c r="Q48" s="123"/>
      <c r="R48" s="124"/>
      <c r="S48" s="56"/>
      <c r="T48" s="55"/>
      <c r="U48" s="29"/>
      <c r="V48" s="123"/>
      <c r="W48" s="124"/>
      <c r="X48" s="56"/>
      <c r="Y48" s="55"/>
      <c r="Z48" s="29"/>
      <c r="AA48" s="30"/>
      <c r="AB48" s="124"/>
      <c r="AC48" s="56"/>
      <c r="AD48" s="55"/>
      <c r="AE48" s="35"/>
      <c r="AF48" s="30"/>
      <c r="AG48" s="124"/>
      <c r="AH48" s="56"/>
      <c r="AI48" s="55"/>
      <c r="AJ48" s="29"/>
      <c r="AK48" s="30"/>
      <c r="AL48" s="124"/>
      <c r="AM48" s="56"/>
      <c r="AN48" s="55"/>
      <c r="AO48" s="29"/>
      <c r="AP48" s="30"/>
      <c r="AQ48" s="124"/>
      <c r="AR48" s="56"/>
      <c r="AS48" s="55"/>
      <c r="AT48" s="29"/>
      <c r="AU48" s="30"/>
      <c r="AV48" s="124"/>
    </row>
    <row r="49" spans="1:48" s="122" customFormat="1" ht="21.75" thickBot="1" x14ac:dyDescent="0.35">
      <c r="A49" s="460" t="s">
        <v>620</v>
      </c>
      <c r="B49" s="112"/>
      <c r="C49" s="113"/>
      <c r="D49" s="113"/>
      <c r="E49" s="113"/>
      <c r="F49" s="114"/>
      <c r="G49" s="114"/>
      <c r="H49" s="114"/>
      <c r="I49" s="114"/>
      <c r="J49" s="114"/>
      <c r="K49" s="115"/>
      <c r="L49" s="114"/>
      <c r="M49" s="116"/>
      <c r="N49" s="115"/>
      <c r="O49" s="114"/>
      <c r="P49" s="116"/>
      <c r="Q49" s="125"/>
      <c r="R49" s="126"/>
      <c r="S49" s="115"/>
      <c r="T49" s="114"/>
      <c r="U49" s="116"/>
      <c r="V49" s="125"/>
      <c r="W49" s="126"/>
      <c r="X49" s="115"/>
      <c r="Y49" s="114"/>
      <c r="Z49" s="116"/>
      <c r="AA49" s="118"/>
      <c r="AB49" s="126"/>
      <c r="AC49" s="115"/>
      <c r="AD49" s="114"/>
      <c r="AE49" s="121"/>
      <c r="AF49" s="118"/>
      <c r="AG49" s="126"/>
      <c r="AH49" s="115"/>
      <c r="AI49" s="114"/>
      <c r="AJ49" s="116"/>
      <c r="AK49" s="118"/>
      <c r="AL49" s="126"/>
      <c r="AM49" s="115"/>
      <c r="AN49" s="114"/>
      <c r="AO49" s="116"/>
      <c r="AP49" s="118"/>
      <c r="AQ49" s="126"/>
      <c r="AR49" s="115"/>
      <c r="AS49" s="114"/>
      <c r="AT49" s="116"/>
      <c r="AU49" s="118"/>
      <c r="AV49" s="126"/>
    </row>
    <row r="50" spans="1:48" s="62" customFormat="1" x14ac:dyDescent="0.3">
      <c r="A50" s="23" t="str">
        <f>LEFT(B50,FIND(" ",B50,1))</f>
        <v xml:space="preserve">671 </v>
      </c>
      <c r="B50" s="53" t="s">
        <v>69</v>
      </c>
      <c r="C50" s="54"/>
      <c r="D50" s="54"/>
      <c r="E50" s="54"/>
      <c r="F50" s="87"/>
      <c r="G50" s="87">
        <v>5797.29</v>
      </c>
      <c r="H50" s="87"/>
      <c r="I50" s="87"/>
      <c r="J50" s="87"/>
      <c r="K50" s="88">
        <v>5797.29</v>
      </c>
      <c r="L50" s="87">
        <v>5797.29</v>
      </c>
      <c r="M50" s="90"/>
      <c r="N50" s="88">
        <v>4036.26</v>
      </c>
      <c r="O50" s="87">
        <v>5356.22</v>
      </c>
      <c r="P50" s="29"/>
      <c r="Q50" s="30" t="str">
        <f>ROUND(O50-N50,2) &amp; "  (" &amp; ROUND(100*(O50-N50)/N50,1) &amp;"%)"</f>
        <v>1319,96  (32,7%)</v>
      </c>
      <c r="R50" s="97"/>
      <c r="S50" s="88">
        <v>18909</v>
      </c>
      <c r="T50" s="87">
        <v>21719.5</v>
      </c>
      <c r="U50" s="29"/>
      <c r="V50" s="30" t="str">
        <f>(T50-S50) &amp; " (" &amp; ROUND(100*(T50-S50)/S50,1) &amp;"%)"</f>
        <v>2810,5 (14,9%)</v>
      </c>
      <c r="W50" s="97"/>
      <c r="X50" s="88">
        <v>983700</v>
      </c>
      <c r="Y50" s="87">
        <v>970188.01</v>
      </c>
      <c r="Z50" s="29"/>
      <c r="AA50" s="34">
        <f>Y50-X50</f>
        <v>-13511.989999999991</v>
      </c>
      <c r="AB50" s="97"/>
      <c r="AC50" s="88"/>
      <c r="AD50" s="87">
        <v>29555.58</v>
      </c>
      <c r="AE50" s="35"/>
      <c r="AF50" s="34">
        <f>AD50-AC50</f>
        <v>29555.58</v>
      </c>
      <c r="AG50" s="97"/>
      <c r="AH50" s="88">
        <v>58209.71</v>
      </c>
      <c r="AI50" s="87">
        <v>46006.44</v>
      </c>
      <c r="AJ50" s="29"/>
      <c r="AK50" s="34">
        <f>AI50-AH50</f>
        <v>-12203.269999999997</v>
      </c>
      <c r="AL50" s="97"/>
      <c r="AM50" s="88"/>
      <c r="AN50" s="87">
        <v>0</v>
      </c>
      <c r="AO50" s="29"/>
      <c r="AP50" s="34">
        <f>AN50-AM50</f>
        <v>0</v>
      </c>
      <c r="AQ50" s="97"/>
      <c r="AR50" s="88"/>
      <c r="AS50" s="87">
        <v>0</v>
      </c>
      <c r="AT50" s="29"/>
      <c r="AU50" s="34">
        <f>AS50-AR50</f>
        <v>0</v>
      </c>
      <c r="AV50" s="97"/>
    </row>
    <row r="51" spans="1:48" s="62" customFormat="1" x14ac:dyDescent="0.3">
      <c r="A51" s="23"/>
      <c r="B51" s="53"/>
      <c r="C51" s="54"/>
      <c r="D51" s="54"/>
      <c r="E51" s="54"/>
      <c r="F51" s="87"/>
      <c r="G51" s="87"/>
      <c r="H51" s="87"/>
      <c r="I51" s="87"/>
      <c r="J51" s="87"/>
      <c r="K51" s="88"/>
      <c r="L51" s="87"/>
      <c r="M51" s="90"/>
      <c r="N51" s="88">
        <v>12500</v>
      </c>
      <c r="O51" s="87">
        <v>12498.67</v>
      </c>
      <c r="P51" s="29"/>
      <c r="Q51" s="30"/>
      <c r="R51" s="97"/>
      <c r="S51" s="88"/>
      <c r="T51" s="87"/>
      <c r="U51" s="29"/>
      <c r="V51" s="30"/>
      <c r="W51" s="97"/>
      <c r="X51" s="88"/>
      <c r="Y51" s="87"/>
      <c r="Z51" s="29"/>
      <c r="AA51" s="34"/>
      <c r="AB51" s="97"/>
      <c r="AC51" s="88">
        <v>30006.12</v>
      </c>
      <c r="AD51" s="87"/>
      <c r="AE51" s="35"/>
      <c r="AF51" s="34"/>
      <c r="AG51" s="97"/>
      <c r="AH51" s="88">
        <v>58209.71</v>
      </c>
      <c r="AI51" s="87">
        <v>12203.27</v>
      </c>
      <c r="AJ51" s="29"/>
      <c r="AK51" s="34"/>
      <c r="AL51" s="97"/>
      <c r="AM51" s="88"/>
      <c r="AN51" s="87"/>
      <c r="AO51" s="29"/>
      <c r="AP51" s="34"/>
      <c r="AQ51" s="97"/>
      <c r="AR51" s="88"/>
      <c r="AS51" s="87"/>
      <c r="AT51" s="29"/>
      <c r="AU51" s="34"/>
      <c r="AV51" s="97"/>
    </row>
    <row r="52" spans="1:48" s="62" customFormat="1" x14ac:dyDescent="0.3">
      <c r="A52" s="23"/>
      <c r="B52" s="53"/>
      <c r="C52" s="54"/>
      <c r="D52" s="54"/>
      <c r="E52" s="54"/>
      <c r="F52" s="87"/>
      <c r="G52" s="87"/>
      <c r="H52" s="87"/>
      <c r="I52" s="87"/>
      <c r="J52" s="87"/>
      <c r="K52" s="88"/>
      <c r="L52" s="87"/>
      <c r="M52" s="90"/>
      <c r="N52" s="88">
        <v>33606.17</v>
      </c>
      <c r="O52" s="87">
        <v>33591.019999999997</v>
      </c>
      <c r="P52" s="29"/>
      <c r="Q52" s="30"/>
      <c r="R52" s="97"/>
      <c r="S52" s="88"/>
      <c r="T52" s="87"/>
      <c r="U52" s="29"/>
      <c r="V52" s="30"/>
      <c r="W52" s="97"/>
      <c r="X52" s="88"/>
      <c r="Y52" s="87"/>
      <c r="Z52" s="29"/>
      <c r="AA52" s="34"/>
      <c r="AB52" s="97"/>
      <c r="AC52" s="88"/>
      <c r="AD52" s="87"/>
      <c r="AE52" s="35"/>
      <c r="AF52" s="34"/>
      <c r="AG52" s="97"/>
      <c r="AH52" s="88"/>
      <c r="AI52" s="87"/>
      <c r="AJ52" s="29"/>
      <c r="AK52" s="34"/>
      <c r="AL52" s="97"/>
      <c r="AM52" s="88"/>
      <c r="AN52" s="87"/>
      <c r="AO52" s="29"/>
      <c r="AP52" s="34"/>
      <c r="AQ52" s="97"/>
      <c r="AR52" s="88"/>
      <c r="AS52" s="87"/>
      <c r="AT52" s="29"/>
      <c r="AU52" s="34"/>
      <c r="AV52" s="97"/>
    </row>
    <row r="53" spans="1:48" s="62" customFormat="1" x14ac:dyDescent="0.3">
      <c r="A53" s="23"/>
      <c r="B53" s="53"/>
      <c r="C53" s="54"/>
      <c r="D53" s="54"/>
      <c r="E53" s="54"/>
      <c r="F53" s="87"/>
      <c r="G53" s="87"/>
      <c r="H53" s="87"/>
      <c r="I53" s="87"/>
      <c r="J53" s="87"/>
      <c r="K53" s="88"/>
      <c r="L53" s="87"/>
      <c r="M53" s="90"/>
      <c r="N53" s="88">
        <v>33508.730000000003</v>
      </c>
      <c r="O53" s="87">
        <v>33487.050000000003</v>
      </c>
      <c r="P53" s="29"/>
      <c r="Q53" s="30"/>
      <c r="R53" s="97"/>
      <c r="S53" s="88"/>
      <c r="T53" s="87"/>
      <c r="U53" s="29"/>
      <c r="V53" s="30"/>
      <c r="W53" s="97"/>
      <c r="X53" s="88"/>
      <c r="Y53" s="87"/>
      <c r="Z53" s="29"/>
      <c r="AA53" s="34"/>
      <c r="AB53" s="97"/>
      <c r="AC53" s="88"/>
      <c r="AD53" s="87"/>
      <c r="AE53" s="35"/>
      <c r="AF53" s="34"/>
      <c r="AG53" s="97"/>
      <c r="AH53" s="88">
        <v>12799.62</v>
      </c>
      <c r="AI53" s="87">
        <v>14637.52</v>
      </c>
      <c r="AJ53" s="29"/>
      <c r="AK53" s="34"/>
      <c r="AL53" s="97"/>
      <c r="AM53" s="88"/>
      <c r="AN53" s="87"/>
      <c r="AO53" s="29"/>
      <c r="AP53" s="34"/>
      <c r="AQ53" s="97"/>
      <c r="AR53" s="88"/>
      <c r="AS53" s="87"/>
      <c r="AT53" s="29"/>
      <c r="AU53" s="34"/>
      <c r="AV53" s="97"/>
    </row>
    <row r="54" spans="1:48" s="62" customFormat="1" x14ac:dyDescent="0.3">
      <c r="A54" s="23"/>
      <c r="B54" s="53"/>
      <c r="C54" s="54"/>
      <c r="D54" s="54"/>
      <c r="E54" s="54"/>
      <c r="F54" s="87"/>
      <c r="G54" s="87"/>
      <c r="H54" s="87"/>
      <c r="I54" s="87"/>
      <c r="J54" s="87"/>
      <c r="K54" s="88"/>
      <c r="L54" s="87"/>
      <c r="M54" s="90"/>
      <c r="N54" s="88">
        <v>33086.49</v>
      </c>
      <c r="O54" s="87">
        <v>33070.129999999997</v>
      </c>
      <c r="P54" s="29"/>
      <c r="Q54" s="30"/>
      <c r="R54" s="97"/>
      <c r="S54" s="88"/>
      <c r="T54" s="87"/>
      <c r="U54" s="29"/>
      <c r="V54" s="30"/>
      <c r="W54" s="97"/>
      <c r="X54" s="88"/>
      <c r="Y54" s="87"/>
      <c r="Z54" s="29"/>
      <c r="AA54" s="34"/>
      <c r="AB54" s="97"/>
      <c r="AC54" s="88"/>
      <c r="AD54" s="87"/>
      <c r="AE54" s="35"/>
      <c r="AF54" s="34"/>
      <c r="AG54" s="97"/>
      <c r="AH54" s="88"/>
      <c r="AI54" s="87"/>
      <c r="AJ54" s="29"/>
      <c r="AK54" s="34"/>
      <c r="AL54" s="97"/>
      <c r="AM54" s="88"/>
      <c r="AN54" s="87"/>
      <c r="AO54" s="29"/>
      <c r="AP54" s="34"/>
      <c r="AQ54" s="97"/>
      <c r="AR54" s="88"/>
      <c r="AS54" s="87"/>
      <c r="AT54" s="29"/>
      <c r="AU54" s="34"/>
      <c r="AV54" s="97"/>
    </row>
    <row r="55" spans="1:48" s="62" customFormat="1" x14ac:dyDescent="0.3">
      <c r="A55" s="23"/>
      <c r="B55" s="53"/>
      <c r="C55" s="54"/>
      <c r="D55" s="54"/>
      <c r="E55" s="54"/>
      <c r="F55" s="87"/>
      <c r="G55" s="87"/>
      <c r="H55" s="87"/>
      <c r="I55" s="87"/>
      <c r="J55" s="87"/>
      <c r="K55" s="88"/>
      <c r="L55" s="87"/>
      <c r="M55" s="90"/>
      <c r="N55" s="88">
        <v>32566.799999999999</v>
      </c>
      <c r="O55" s="87">
        <v>32548.95</v>
      </c>
      <c r="P55" s="29"/>
      <c r="Q55" s="30"/>
      <c r="R55" s="97"/>
      <c r="S55" s="88"/>
      <c r="T55" s="87"/>
      <c r="U55" s="29"/>
      <c r="V55" s="30"/>
      <c r="W55" s="97"/>
      <c r="X55" s="88"/>
      <c r="Y55" s="87"/>
      <c r="Z55" s="29"/>
      <c r="AA55" s="34"/>
      <c r="AB55" s="97"/>
      <c r="AC55" s="88"/>
      <c r="AD55" s="87"/>
      <c r="AE55" s="35"/>
      <c r="AF55" s="34"/>
      <c r="AG55" s="97"/>
      <c r="AH55" s="88"/>
      <c r="AI55" s="87"/>
      <c r="AJ55" s="29"/>
      <c r="AK55" s="34"/>
      <c r="AL55" s="97"/>
      <c r="AM55" s="88"/>
      <c r="AN55" s="87"/>
      <c r="AO55" s="29"/>
      <c r="AP55" s="34"/>
      <c r="AQ55" s="97"/>
      <c r="AR55" s="88"/>
      <c r="AS55" s="87"/>
      <c r="AT55" s="29"/>
      <c r="AU55" s="34"/>
      <c r="AV55" s="97"/>
    </row>
    <row r="56" spans="1:48" s="62" customFormat="1" x14ac:dyDescent="0.3">
      <c r="A56" s="23"/>
      <c r="B56" s="53"/>
      <c r="C56" s="54"/>
      <c r="D56" s="54"/>
      <c r="E56" s="54"/>
      <c r="F56" s="87"/>
      <c r="G56" s="87"/>
      <c r="H56" s="87"/>
      <c r="I56" s="87"/>
      <c r="J56" s="87"/>
      <c r="K56" s="88"/>
      <c r="L56" s="87"/>
      <c r="M56" s="90"/>
      <c r="N56" s="88">
        <v>27608.16</v>
      </c>
      <c r="O56" s="87">
        <v>27600.07</v>
      </c>
      <c r="P56" s="29"/>
      <c r="Q56" s="30"/>
      <c r="R56" s="97"/>
      <c r="S56" s="88"/>
      <c r="T56" s="87"/>
      <c r="U56" s="29"/>
      <c r="V56" s="30"/>
      <c r="W56" s="97"/>
      <c r="X56" s="88"/>
      <c r="Y56" s="87"/>
      <c r="Z56" s="29"/>
      <c r="AA56" s="34"/>
      <c r="AB56" s="97"/>
      <c r="AC56" s="88"/>
      <c r="AD56" s="87"/>
      <c r="AE56" s="35"/>
      <c r="AF56" s="34"/>
      <c r="AG56" s="97"/>
      <c r="AH56" s="88"/>
      <c r="AI56" s="87"/>
      <c r="AJ56" s="29"/>
      <c r="AK56" s="34"/>
      <c r="AL56" s="97"/>
      <c r="AM56" s="88"/>
      <c r="AN56" s="87"/>
      <c r="AO56" s="29"/>
      <c r="AP56" s="34"/>
      <c r="AQ56" s="97"/>
      <c r="AR56" s="88"/>
      <c r="AS56" s="87"/>
      <c r="AT56" s="29"/>
      <c r="AU56" s="34"/>
      <c r="AV56" s="97"/>
    </row>
    <row r="57" spans="1:48" s="62" customFormat="1" x14ac:dyDescent="0.3">
      <c r="A57" s="23"/>
      <c r="B57" s="53"/>
      <c r="C57" s="54"/>
      <c r="D57" s="54"/>
      <c r="E57" s="54"/>
      <c r="F57" s="87"/>
      <c r="G57" s="87"/>
      <c r="H57" s="87"/>
      <c r="I57" s="87"/>
      <c r="J57" s="87"/>
      <c r="K57" s="88"/>
      <c r="L57" s="87"/>
      <c r="M57" s="90"/>
      <c r="N57" s="88">
        <v>96153.09</v>
      </c>
      <c r="O57" s="87">
        <v>98162.7</v>
      </c>
      <c r="P57" s="29"/>
      <c r="Q57" s="30"/>
      <c r="R57" s="97"/>
      <c r="S57" s="88"/>
      <c r="T57" s="87"/>
      <c r="U57" s="29"/>
      <c r="V57" s="30"/>
      <c r="W57" s="97"/>
      <c r="X57" s="88"/>
      <c r="Y57" s="87"/>
      <c r="Z57" s="29"/>
      <c r="AA57" s="34"/>
      <c r="AB57" s="97"/>
      <c r="AC57" s="88"/>
      <c r="AD57" s="87"/>
      <c r="AE57" s="35"/>
      <c r="AF57" s="34"/>
      <c r="AG57" s="97"/>
      <c r="AH57" s="88"/>
      <c r="AI57" s="87"/>
      <c r="AJ57" s="29"/>
      <c r="AK57" s="34"/>
      <c r="AL57" s="97"/>
      <c r="AM57" s="88"/>
      <c r="AN57" s="87"/>
      <c r="AO57" s="29"/>
      <c r="AP57" s="34"/>
      <c r="AQ57" s="97"/>
      <c r="AR57" s="88"/>
      <c r="AS57" s="87"/>
      <c r="AT57" s="29"/>
      <c r="AU57" s="34"/>
      <c r="AV57" s="97"/>
    </row>
    <row r="58" spans="1:48" s="62" customFormat="1" x14ac:dyDescent="0.3">
      <c r="A58" s="23"/>
      <c r="B58" s="53"/>
      <c r="C58" s="54"/>
      <c r="D58" s="54"/>
      <c r="E58" s="54"/>
      <c r="F58" s="87"/>
      <c r="G58" s="87"/>
      <c r="H58" s="87"/>
      <c r="I58" s="87"/>
      <c r="J58" s="87"/>
      <c r="K58" s="88"/>
      <c r="L58" s="87"/>
      <c r="M58" s="90"/>
      <c r="N58" s="88">
        <v>32175.88</v>
      </c>
      <c r="O58" s="87">
        <v>32842.18</v>
      </c>
      <c r="P58" s="29"/>
      <c r="Q58" s="30"/>
      <c r="R58" s="97"/>
      <c r="S58" s="88"/>
      <c r="T58" s="87"/>
      <c r="U58" s="29"/>
      <c r="V58" s="30"/>
      <c r="W58" s="97"/>
      <c r="X58" s="88"/>
      <c r="Y58" s="87"/>
      <c r="Z58" s="29"/>
      <c r="AA58" s="34"/>
      <c r="AB58" s="97"/>
      <c r="AC58" s="88"/>
      <c r="AD58" s="87"/>
      <c r="AE58" s="35"/>
      <c r="AF58" s="34"/>
      <c r="AG58" s="97"/>
      <c r="AH58" s="88"/>
      <c r="AI58" s="87"/>
      <c r="AJ58" s="29"/>
      <c r="AK58" s="34"/>
      <c r="AL58" s="97"/>
      <c r="AM58" s="88"/>
      <c r="AN58" s="87"/>
      <c r="AO58" s="29"/>
      <c r="AP58" s="34"/>
      <c r="AQ58" s="97"/>
      <c r="AR58" s="88"/>
      <c r="AS58" s="87"/>
      <c r="AT58" s="29"/>
      <c r="AU58" s="34"/>
      <c r="AV58" s="97"/>
    </row>
    <row r="59" spans="1:48" s="62" customFormat="1" x14ac:dyDescent="0.3">
      <c r="A59" s="23"/>
      <c r="B59" s="53"/>
      <c r="C59" s="54"/>
      <c r="D59" s="54"/>
      <c r="E59" s="54"/>
      <c r="F59" s="87"/>
      <c r="G59" s="87"/>
      <c r="H59" s="87"/>
      <c r="I59" s="87"/>
      <c r="J59" s="87"/>
      <c r="K59" s="88"/>
      <c r="L59" s="87"/>
      <c r="M59" s="90"/>
      <c r="N59" s="88">
        <v>36185.620000000003</v>
      </c>
      <c r="O59" s="87">
        <v>33319.550000000003</v>
      </c>
      <c r="P59" s="29"/>
      <c r="Q59" s="30"/>
      <c r="R59" s="97"/>
      <c r="S59" s="88"/>
      <c r="T59" s="87"/>
      <c r="U59" s="29"/>
      <c r="V59" s="30"/>
      <c r="W59" s="97"/>
      <c r="X59" s="88"/>
      <c r="Y59" s="87"/>
      <c r="Z59" s="29"/>
      <c r="AA59" s="34"/>
      <c r="AB59" s="97"/>
      <c r="AC59" s="88"/>
      <c r="AD59" s="87"/>
      <c r="AE59" s="35"/>
      <c r="AF59" s="34"/>
      <c r="AG59" s="97"/>
      <c r="AH59" s="88"/>
      <c r="AI59" s="87"/>
      <c r="AJ59" s="29"/>
      <c r="AK59" s="34"/>
      <c r="AL59" s="97"/>
      <c r="AM59" s="88"/>
      <c r="AN59" s="87"/>
      <c r="AO59" s="29"/>
      <c r="AP59" s="34"/>
      <c r="AQ59" s="97"/>
      <c r="AR59" s="88"/>
      <c r="AS59" s="87"/>
      <c r="AT59" s="29"/>
      <c r="AU59" s="34"/>
      <c r="AV59" s="97"/>
    </row>
    <row r="60" spans="1:48" s="62" customFormat="1" x14ac:dyDescent="0.3">
      <c r="A60" s="23" t="str">
        <f>LEFT(B60,FIND(" ",B60,1)-1)&amp;0</f>
        <v>6730</v>
      </c>
      <c r="B60" s="24" t="s">
        <v>56</v>
      </c>
      <c r="C60" s="25"/>
      <c r="D60" s="25"/>
      <c r="E60" s="25"/>
      <c r="F60" s="27"/>
      <c r="G60" s="38">
        <v>2637.5</v>
      </c>
      <c r="H60" s="87"/>
      <c r="I60" s="87"/>
      <c r="J60" s="87"/>
      <c r="K60" s="88"/>
      <c r="L60" s="87"/>
      <c r="M60" s="90"/>
      <c r="N60" s="88"/>
      <c r="O60" s="87"/>
      <c r="P60" s="29"/>
      <c r="Q60" s="30"/>
      <c r="R60" s="97"/>
      <c r="S60" s="88"/>
      <c r="T60" s="87"/>
      <c r="U60" s="29"/>
      <c r="V60" s="30"/>
      <c r="W60" s="97"/>
      <c r="X60" s="88"/>
      <c r="Y60" s="87"/>
      <c r="Z60" s="29"/>
      <c r="AA60" s="34"/>
      <c r="AB60" s="97"/>
      <c r="AC60" s="88"/>
      <c r="AD60" s="87"/>
      <c r="AE60" s="35"/>
      <c r="AF60" s="34"/>
      <c r="AG60" s="97"/>
      <c r="AH60" s="88"/>
      <c r="AI60" s="87"/>
      <c r="AJ60" s="29"/>
      <c r="AK60" s="34"/>
      <c r="AL60" s="97"/>
      <c r="AM60" s="88"/>
      <c r="AN60" s="87"/>
      <c r="AO60" s="29"/>
      <c r="AP60" s="34"/>
      <c r="AQ60" s="97"/>
      <c r="AR60" s="88"/>
      <c r="AS60" s="87"/>
      <c r="AT60" s="29"/>
      <c r="AU60" s="34"/>
      <c r="AV60" s="97"/>
    </row>
    <row r="61" spans="1:48" x14ac:dyDescent="0.3">
      <c r="A61" s="455" t="s">
        <v>616</v>
      </c>
      <c r="B61" s="456" t="s">
        <v>57</v>
      </c>
      <c r="C61" s="457"/>
      <c r="D61" s="457"/>
      <c r="E61" s="457"/>
      <c r="F61" s="458">
        <v>311.31</v>
      </c>
      <c r="G61" s="38">
        <v>6721.04</v>
      </c>
      <c r="I61" s="87"/>
      <c r="K61" s="28">
        <v>983700</v>
      </c>
      <c r="L61" s="27">
        <v>17649.560000000001</v>
      </c>
      <c r="N61" s="28">
        <v>53236</v>
      </c>
      <c r="O61" s="27">
        <v>53237.43</v>
      </c>
      <c r="Q61" s="30"/>
      <c r="R61" s="97"/>
      <c r="T61" s="27">
        <v>0</v>
      </c>
      <c r="V61" s="30"/>
      <c r="W61" s="97"/>
      <c r="X61" s="28">
        <v>8179.2</v>
      </c>
      <c r="Y61" s="27">
        <v>8179.2</v>
      </c>
      <c r="AA61" s="34">
        <f>Y61-X61</f>
        <v>0</v>
      </c>
      <c r="AB61" s="97"/>
      <c r="AD61" s="27">
        <v>0</v>
      </c>
      <c r="AF61" s="34">
        <f>AD61-AC61</f>
        <v>0</v>
      </c>
      <c r="AG61" s="97"/>
      <c r="AI61" s="27">
        <v>0</v>
      </c>
      <c r="AK61" s="34">
        <f>AI61-AH61</f>
        <v>0</v>
      </c>
      <c r="AL61" s="97"/>
      <c r="AN61" s="27">
        <v>0</v>
      </c>
      <c r="AP61" s="34">
        <f>AN61-AM61</f>
        <v>0</v>
      </c>
      <c r="AQ61" s="97"/>
      <c r="AS61" s="27">
        <v>0</v>
      </c>
      <c r="AU61" s="34">
        <f>AS61-AR61</f>
        <v>0</v>
      </c>
      <c r="AV61" s="97"/>
    </row>
    <row r="62" spans="1:48" x14ac:dyDescent="0.3">
      <c r="A62" s="455"/>
      <c r="B62" s="456"/>
      <c r="C62" s="457"/>
      <c r="D62" s="457"/>
      <c r="E62" s="457"/>
      <c r="F62" s="458"/>
      <c r="G62" s="38"/>
      <c r="I62" s="87"/>
      <c r="Q62" s="30"/>
      <c r="R62" s="97"/>
      <c r="V62" s="30"/>
      <c r="W62" s="97"/>
      <c r="AA62" s="30"/>
      <c r="AB62" s="97"/>
      <c r="AF62" s="30"/>
      <c r="AG62" s="97"/>
      <c r="AK62" s="30"/>
      <c r="AL62" s="97"/>
      <c r="AP62" s="30"/>
      <c r="AQ62" s="97"/>
      <c r="AU62" s="30"/>
      <c r="AV62" s="97"/>
    </row>
    <row r="63" spans="1:48" x14ac:dyDescent="0.3">
      <c r="B63" s="24" t="s">
        <v>617</v>
      </c>
      <c r="L63" s="27">
        <v>111116.96</v>
      </c>
      <c r="Q63" s="47"/>
      <c r="V63" s="47"/>
      <c r="AA63" s="47"/>
      <c r="AF63" s="47"/>
      <c r="AK63" s="47"/>
      <c r="AP63" s="47"/>
      <c r="AU63" s="47"/>
    </row>
    <row r="64" spans="1:48" s="136" customFormat="1" x14ac:dyDescent="0.3">
      <c r="A64" s="127"/>
      <c r="B64" s="128" t="s">
        <v>70</v>
      </c>
      <c r="C64" s="129"/>
      <c r="D64" s="129"/>
      <c r="E64" s="129"/>
      <c r="F64" s="130">
        <f t="shared" ref="F64:K64" si="49">SUM(F50:F61)</f>
        <v>311.31</v>
      </c>
      <c r="G64" s="130">
        <f t="shared" si="49"/>
        <v>15155.830000000002</v>
      </c>
      <c r="H64" s="130">
        <f t="shared" si="49"/>
        <v>0</v>
      </c>
      <c r="I64" s="130">
        <f t="shared" si="49"/>
        <v>0</v>
      </c>
      <c r="J64" s="130">
        <f t="shared" si="49"/>
        <v>0</v>
      </c>
      <c r="K64" s="131">
        <f t="shared" si="49"/>
        <v>989497.29</v>
      </c>
      <c r="L64" s="130">
        <f>SUM(L50:L63)</f>
        <v>134563.81</v>
      </c>
      <c r="M64" s="132">
        <f>(L64-J64)</f>
        <v>134563.81</v>
      </c>
      <c r="N64" s="131">
        <f>SUM(N50:N63)</f>
        <v>394663.19999999995</v>
      </c>
      <c r="O64" s="130">
        <f>SUM(O50:O63)</f>
        <v>395713.97</v>
      </c>
      <c r="P64" s="132"/>
      <c r="Q64" s="30" t="str">
        <f>ROUND(O64-N64,2) &amp; "  (" &amp; ROUND(100*(O64-N64)/N64,1) &amp;"%)"</f>
        <v>1050,77  (0,3%)</v>
      </c>
      <c r="R64" s="133"/>
      <c r="S64" s="131">
        <f>SUM(S50:S61)</f>
        <v>18909</v>
      </c>
      <c r="T64" s="130">
        <f>SUM(T50:T61)</f>
        <v>21719.5</v>
      </c>
      <c r="U64" s="132">
        <f>(T64-P64)</f>
        <v>21719.5</v>
      </c>
      <c r="V64" s="30" t="str">
        <f>(T64-S64) &amp; " (" &amp; ROUND(100*(T64-S64)/S64,1) &amp;"%)"</f>
        <v>2810,5 (14,9%)</v>
      </c>
      <c r="W64" s="133"/>
      <c r="X64" s="131">
        <f>SUM(X50:X61)</f>
        <v>991879.2</v>
      </c>
      <c r="Y64" s="130">
        <f>SUM(Y50:Y61)</f>
        <v>978367.21</v>
      </c>
      <c r="Z64" s="134"/>
      <c r="AA64" s="34">
        <f>Y64-X64</f>
        <v>-13511.989999999991</v>
      </c>
      <c r="AB64" s="133"/>
      <c r="AC64" s="131">
        <f>SUM(AC50:AC61)</f>
        <v>30006.12</v>
      </c>
      <c r="AD64" s="130">
        <f>SUM(AD50:AD61)</f>
        <v>29555.58</v>
      </c>
      <c r="AE64" s="135"/>
      <c r="AF64" s="34">
        <f>AD64-AC64</f>
        <v>-450.53999999999724</v>
      </c>
      <c r="AG64" s="133"/>
      <c r="AH64" s="131">
        <f>SUM(AH50:AH61)</f>
        <v>129219.04</v>
      </c>
      <c r="AI64" s="130">
        <f>SUM(AI50:AI61)</f>
        <v>72847.23000000001</v>
      </c>
      <c r="AJ64" s="134"/>
      <c r="AK64" s="34">
        <f>AI64-AH64</f>
        <v>-56371.809999999983</v>
      </c>
      <c r="AL64" s="133"/>
      <c r="AM64" s="131">
        <f>SUM(AM50:AM61)</f>
        <v>0</v>
      </c>
      <c r="AN64" s="130">
        <f>SUM(AN50:AN61)</f>
        <v>0</v>
      </c>
      <c r="AO64" s="134"/>
      <c r="AP64" s="34">
        <f>AN64-AM64</f>
        <v>0</v>
      </c>
      <c r="AQ64" s="133"/>
      <c r="AR64" s="131">
        <f>SUM(AR50:AR61)</f>
        <v>0</v>
      </c>
      <c r="AS64" s="130">
        <f>SUM(AS50:AS61)</f>
        <v>0</v>
      </c>
      <c r="AT64" s="134"/>
      <c r="AU64" s="34">
        <f>AS64-AR64</f>
        <v>0</v>
      </c>
      <c r="AV64" s="133"/>
    </row>
    <row r="65" spans="1:48" s="74" customFormat="1" x14ac:dyDescent="0.3">
      <c r="A65" s="64"/>
      <c r="B65" s="65" t="s">
        <v>71</v>
      </c>
      <c r="C65" s="66"/>
      <c r="D65" s="66"/>
      <c r="E65" s="66"/>
      <c r="F65" s="67">
        <f t="shared" ref="F65:L65" si="50">IF(F64&lt;=F75,F75-F64,0)</f>
        <v>0</v>
      </c>
      <c r="G65" s="67">
        <f t="shared" si="50"/>
        <v>0</v>
      </c>
      <c r="H65" s="67">
        <f t="shared" si="50"/>
        <v>0</v>
      </c>
      <c r="I65" s="67">
        <f t="shared" si="50"/>
        <v>0</v>
      </c>
      <c r="J65" s="67">
        <f t="shared" si="50"/>
        <v>0</v>
      </c>
      <c r="K65" s="68">
        <f t="shared" si="50"/>
        <v>0</v>
      </c>
      <c r="L65" s="67">
        <f t="shared" si="50"/>
        <v>267706.46000000002</v>
      </c>
      <c r="M65" s="137"/>
      <c r="N65" s="68">
        <f>IF(N64&lt;=N75,N75-N64,0)</f>
        <v>0</v>
      </c>
      <c r="O65" s="67">
        <f>IF(O64&lt;=O75,O75-O64,0)</f>
        <v>0</v>
      </c>
      <c r="P65" s="69"/>
      <c r="Q65" s="138">
        <f>O65-N65</f>
        <v>0</v>
      </c>
      <c r="R65" s="139"/>
      <c r="S65" s="68">
        <f>IF(S64&lt;=S75,S75-S64,0)</f>
        <v>0</v>
      </c>
      <c r="T65" s="67">
        <f>IF(T64&lt;=T75,T75-T64,0)</f>
        <v>0</v>
      </c>
      <c r="U65" s="137"/>
      <c r="V65" s="138">
        <f>T65-S65</f>
        <v>0</v>
      </c>
      <c r="W65" s="139"/>
      <c r="X65" s="68">
        <f>IF(X64&lt;=X75,X75-X64,0)</f>
        <v>0</v>
      </c>
      <c r="Y65" s="67">
        <f>IF(Y64&lt;=Y75,Y75-Y64,0)</f>
        <v>13511.810000000056</v>
      </c>
      <c r="Z65" s="72"/>
      <c r="AA65" s="140">
        <f>Y65-X65</f>
        <v>13511.810000000056</v>
      </c>
      <c r="AB65" s="139"/>
      <c r="AC65" s="68">
        <f>IF(AC64&lt;=AC75,AC75-AC64,0)</f>
        <v>0</v>
      </c>
      <c r="AD65" s="67">
        <f>IF(AD64&lt;=AD75,AD75-AD64,0)</f>
        <v>451.96999999999753</v>
      </c>
      <c r="AE65" s="73"/>
      <c r="AF65" s="140">
        <f>AD65-AC65</f>
        <v>451.96999999999753</v>
      </c>
      <c r="AG65" s="139"/>
      <c r="AH65" s="68">
        <f>IF(AH64&lt;=AH75,AH75-AH64,0)</f>
        <v>0</v>
      </c>
      <c r="AI65" s="67">
        <f>IF(AI64&lt;=AI75,AI75-AI64,0)</f>
        <v>0</v>
      </c>
      <c r="AJ65" s="72"/>
      <c r="AK65" s="140">
        <f>AI65-AH65</f>
        <v>0</v>
      </c>
      <c r="AL65" s="139"/>
      <c r="AM65" s="68">
        <f>IF(AM64&lt;=AM75,AM75-AM64,0)</f>
        <v>0</v>
      </c>
      <c r="AN65" s="67">
        <f>IF(AN64&lt;=AN75,AN75-AN64,0)</f>
        <v>0</v>
      </c>
      <c r="AO65" s="72"/>
      <c r="AP65" s="140">
        <f>AN65-AM65</f>
        <v>0</v>
      </c>
      <c r="AQ65" s="139"/>
      <c r="AR65" s="68">
        <f>IF(AR64&lt;=AR75,AR75-AR64,0)</f>
        <v>0</v>
      </c>
      <c r="AS65" s="67">
        <f>IF(AS64&lt;=AS75,AS75-AS64,0)</f>
        <v>0</v>
      </c>
      <c r="AT65" s="72"/>
      <c r="AU65" s="140">
        <f>AS65-AR65</f>
        <v>0</v>
      </c>
      <c r="AV65" s="139"/>
    </row>
    <row r="66" spans="1:48" s="122" customFormat="1" ht="18" thickBot="1" x14ac:dyDescent="0.35">
      <c r="A66" s="111"/>
      <c r="B66" s="112" t="s">
        <v>72</v>
      </c>
      <c r="C66" s="113"/>
      <c r="D66" s="113"/>
      <c r="E66" s="113"/>
      <c r="F66" s="114">
        <f t="shared" ref="F66:L66" si="51">SUM(F64:F65)</f>
        <v>311.31</v>
      </c>
      <c r="G66" s="114">
        <f t="shared" si="51"/>
        <v>15155.830000000002</v>
      </c>
      <c r="H66" s="114">
        <f t="shared" si="51"/>
        <v>0</v>
      </c>
      <c r="I66" s="114">
        <f t="shared" si="51"/>
        <v>0</v>
      </c>
      <c r="J66" s="114">
        <f t="shared" si="51"/>
        <v>0</v>
      </c>
      <c r="K66" s="115">
        <f t="shared" si="51"/>
        <v>989497.29</v>
      </c>
      <c r="L66" s="114">
        <f t="shared" si="51"/>
        <v>402270.27</v>
      </c>
      <c r="M66" s="116"/>
      <c r="N66" s="115">
        <f>SUM(N64:N65)</f>
        <v>394663.19999999995</v>
      </c>
      <c r="O66" s="114">
        <f>SUM(O64:O65)</f>
        <v>395713.97</v>
      </c>
      <c r="P66" s="116"/>
      <c r="Q66" s="30" t="str">
        <f>ROUND(O66-N66,2) &amp; "  (" &amp; ROUND(100*(O66-N66)/N66,1) &amp;"%)"</f>
        <v>1050,77  (0,3%)</v>
      </c>
      <c r="R66" s="117"/>
      <c r="S66" s="115">
        <f>SUM(S64:S65)</f>
        <v>18909</v>
      </c>
      <c r="T66" s="114">
        <f>SUM(T64:T65)</f>
        <v>21719.5</v>
      </c>
      <c r="U66" s="116"/>
      <c r="V66" s="118" t="str">
        <f>(T66-S66) &amp; " (" &amp; ROUND(100*(T66-S66)/S66,1) &amp;"%)"</f>
        <v>2810,5 (14,9%)</v>
      </c>
      <c r="W66" s="117"/>
      <c r="X66" s="115">
        <f>SUM(X64:X65)</f>
        <v>991879.2</v>
      </c>
      <c r="Y66" s="114">
        <f>SUM(Y64:Y65)</f>
        <v>991879.02</v>
      </c>
      <c r="Z66" s="116"/>
      <c r="AA66" s="120">
        <f>Y66-X66</f>
        <v>-0.17999999993480742</v>
      </c>
      <c r="AB66" s="117"/>
      <c r="AC66" s="115">
        <f>SUM(AC64:AC65)</f>
        <v>30006.12</v>
      </c>
      <c r="AD66" s="114">
        <f>SUM(AD64:AD65)</f>
        <v>30007.55</v>
      </c>
      <c r="AE66" s="121"/>
      <c r="AF66" s="120">
        <f>AD66-AC66</f>
        <v>1.430000000000291</v>
      </c>
      <c r="AG66" s="117"/>
      <c r="AH66" s="115">
        <f>SUM(AH64:AH65)</f>
        <v>129219.04</v>
      </c>
      <c r="AI66" s="114">
        <f>SUM(AI64:AI65)</f>
        <v>72847.23000000001</v>
      </c>
      <c r="AJ66" s="116"/>
      <c r="AK66" s="120">
        <f>AI66-AH66</f>
        <v>-56371.809999999983</v>
      </c>
      <c r="AL66" s="117"/>
      <c r="AM66" s="115">
        <f>SUM(AM64:AM65)</f>
        <v>0</v>
      </c>
      <c r="AN66" s="114">
        <f>SUM(AN64:AN65)</f>
        <v>0</v>
      </c>
      <c r="AO66" s="116"/>
      <c r="AP66" s="120">
        <f>AN66-AM66</f>
        <v>0</v>
      </c>
      <c r="AQ66" s="117"/>
      <c r="AR66" s="115">
        <f>SUM(AR64:AR65)</f>
        <v>0</v>
      </c>
      <c r="AS66" s="114">
        <f>SUM(AS64:AS65)</f>
        <v>0</v>
      </c>
      <c r="AT66" s="116"/>
      <c r="AU66" s="120">
        <f>AS66-AR66</f>
        <v>0</v>
      </c>
      <c r="AV66" s="117"/>
    </row>
    <row r="67" spans="1:48" ht="18" thickBot="1" x14ac:dyDescent="0.35"/>
    <row r="68" spans="1:48" s="152" customFormat="1" x14ac:dyDescent="0.3">
      <c r="A68" s="23" t="str">
        <f>LEFT(B68,FIND(" ",B68,1))</f>
        <v xml:space="preserve">700 </v>
      </c>
      <c r="B68" s="141" t="s">
        <v>73</v>
      </c>
      <c r="C68" s="142"/>
      <c r="D68" s="142"/>
      <c r="E68" s="142"/>
      <c r="F68" s="143"/>
      <c r="G68" s="143"/>
      <c r="H68" s="143"/>
      <c r="I68" s="143"/>
      <c r="J68" s="143"/>
      <c r="K68" s="144">
        <v>5797.29</v>
      </c>
      <c r="L68" s="143">
        <v>8789.09</v>
      </c>
      <c r="M68" s="145"/>
      <c r="N68" s="144">
        <v>4036.26</v>
      </c>
      <c r="O68" s="143">
        <v>4036.61</v>
      </c>
      <c r="P68" s="146"/>
      <c r="Q68" s="147">
        <f t="shared" ref="Q68:Q77" si="52">O68-N68</f>
        <v>0.34999999999990905</v>
      </c>
      <c r="R68" s="148"/>
      <c r="S68" s="149">
        <v>18909</v>
      </c>
      <c r="T68" s="143">
        <v>18909.55</v>
      </c>
      <c r="U68" s="146"/>
      <c r="V68" s="147">
        <f t="shared" ref="V68:V77" si="53">T68-S68</f>
        <v>0.5499999999992724</v>
      </c>
      <c r="W68" s="148"/>
      <c r="X68" s="144">
        <v>983700</v>
      </c>
      <c r="Y68" s="143">
        <v>983700.91</v>
      </c>
      <c r="Z68" s="146"/>
      <c r="AA68" s="150">
        <f t="shared" ref="AA68:AA77" si="54">Y68-X68</f>
        <v>0.91000000003259629</v>
      </c>
      <c r="AB68" s="148"/>
      <c r="AC68" s="144">
        <v>30006.12</v>
      </c>
      <c r="AD68" s="143">
        <v>30007.55</v>
      </c>
      <c r="AE68" s="151"/>
      <c r="AF68" s="150">
        <f t="shared" ref="AF68:AF77" si="55">AD68-AC68</f>
        <v>1.430000000000291</v>
      </c>
      <c r="AG68" s="148"/>
      <c r="AH68" s="144">
        <v>58209.71</v>
      </c>
      <c r="AI68" s="143">
        <v>14201.65</v>
      </c>
      <c r="AJ68" s="146"/>
      <c r="AK68" s="150">
        <f t="shared" ref="AK68:AK77" si="56">AI68-AH68</f>
        <v>-44008.06</v>
      </c>
      <c r="AL68" s="148"/>
      <c r="AM68" s="144"/>
      <c r="AN68" s="143">
        <v>0</v>
      </c>
      <c r="AO68" s="146"/>
      <c r="AP68" s="150">
        <f t="shared" ref="AP68:AP77" si="57">AN68-AM68</f>
        <v>0</v>
      </c>
      <c r="AQ68" s="148"/>
      <c r="AR68" s="144"/>
      <c r="AS68" s="143">
        <v>0</v>
      </c>
      <c r="AT68" s="146"/>
      <c r="AU68" s="150">
        <f t="shared" ref="AU68" si="58">AS68-AR68</f>
        <v>0</v>
      </c>
      <c r="AV68" s="148"/>
    </row>
    <row r="69" spans="1:48" s="62" customFormat="1" x14ac:dyDescent="0.3">
      <c r="A69" s="23"/>
      <c r="B69" s="53"/>
      <c r="C69" s="54"/>
      <c r="D69" s="54"/>
      <c r="E69" s="54"/>
      <c r="F69" s="87"/>
      <c r="G69" s="87"/>
      <c r="H69" s="87"/>
      <c r="I69" s="87"/>
      <c r="J69" s="87"/>
      <c r="K69" s="88"/>
      <c r="L69" s="87"/>
      <c r="M69" s="189"/>
      <c r="N69" s="88">
        <v>12500</v>
      </c>
      <c r="O69" s="87">
        <v>2447.6799999999998</v>
      </c>
      <c r="P69" s="29"/>
      <c r="Q69" s="123"/>
      <c r="R69" s="97"/>
      <c r="S69" s="459"/>
      <c r="T69" s="87"/>
      <c r="U69" s="29"/>
      <c r="V69" s="123"/>
      <c r="W69" s="97"/>
      <c r="X69" s="88"/>
      <c r="Y69" s="87"/>
      <c r="Z69" s="29"/>
      <c r="AA69" s="34"/>
      <c r="AB69" s="97"/>
      <c r="AC69" s="88"/>
      <c r="AD69" s="87"/>
      <c r="AE69" s="35"/>
      <c r="AF69" s="34"/>
      <c r="AG69" s="97"/>
      <c r="AH69" s="88"/>
      <c r="AI69" s="87">
        <v>44008.15</v>
      </c>
      <c r="AJ69" s="29"/>
      <c r="AK69" s="34"/>
      <c r="AL69" s="97"/>
      <c r="AM69" s="88"/>
      <c r="AN69" s="87"/>
      <c r="AO69" s="29"/>
      <c r="AP69" s="34"/>
      <c r="AQ69" s="97"/>
      <c r="AR69" s="88"/>
      <c r="AS69" s="87"/>
      <c r="AT69" s="29"/>
      <c r="AU69" s="34"/>
      <c r="AV69" s="97"/>
    </row>
    <row r="70" spans="1:48" s="62" customFormat="1" x14ac:dyDescent="0.3">
      <c r="A70" s="23"/>
      <c r="B70" s="53"/>
      <c r="C70" s="54"/>
      <c r="D70" s="54"/>
      <c r="E70" s="54"/>
      <c r="F70" s="87"/>
      <c r="G70" s="87"/>
      <c r="H70" s="87"/>
      <c r="I70" s="87"/>
      <c r="J70" s="87"/>
      <c r="K70" s="88"/>
      <c r="L70" s="87"/>
      <c r="M70" s="189"/>
      <c r="N70" s="88">
        <f>33606.17+33508.73+33086.49+32566.8+27608.16</f>
        <v>160376.34999999998</v>
      </c>
      <c r="O70" s="87">
        <f>33606.17+33508.76+33086.51+32566.81+27608.17</f>
        <v>160376.41999999998</v>
      </c>
      <c r="P70" s="29"/>
      <c r="Q70" s="123"/>
      <c r="R70" s="97"/>
      <c r="S70" s="459"/>
      <c r="T70" s="87"/>
      <c r="U70" s="29"/>
      <c r="V70" s="123"/>
      <c r="W70" s="97"/>
      <c r="X70" s="88"/>
      <c r="Y70" s="87"/>
      <c r="Z70" s="29"/>
      <c r="AA70" s="34"/>
      <c r="AB70" s="97"/>
      <c r="AC70" s="88"/>
      <c r="AD70" s="87"/>
      <c r="AE70" s="35"/>
      <c r="AF70" s="34"/>
      <c r="AG70" s="97"/>
      <c r="AH70" s="88"/>
      <c r="AI70" s="87"/>
      <c r="AJ70" s="29"/>
      <c r="AK70" s="34"/>
      <c r="AL70" s="97"/>
      <c r="AM70" s="88"/>
      <c r="AN70" s="87"/>
      <c r="AO70" s="29"/>
      <c r="AP70" s="34"/>
      <c r="AQ70" s="97"/>
      <c r="AR70" s="88"/>
      <c r="AS70" s="87"/>
      <c r="AT70" s="29"/>
      <c r="AU70" s="34"/>
      <c r="AV70" s="97"/>
    </row>
    <row r="71" spans="1:48" s="62" customFormat="1" x14ac:dyDescent="0.3">
      <c r="A71" s="23"/>
      <c r="B71" s="53"/>
      <c r="C71" s="54"/>
      <c r="D71" s="54"/>
      <c r="E71" s="54"/>
      <c r="F71" s="87"/>
      <c r="G71" s="87"/>
      <c r="H71" s="87"/>
      <c r="I71" s="87"/>
      <c r="J71" s="87"/>
      <c r="K71" s="88"/>
      <c r="L71" s="87"/>
      <c r="M71" s="189"/>
      <c r="N71" s="88">
        <v>32175.88</v>
      </c>
      <c r="O71" s="87">
        <v>32174.78</v>
      </c>
      <c r="P71" s="29"/>
      <c r="Q71" s="123"/>
      <c r="R71" s="97"/>
      <c r="S71" s="459"/>
      <c r="T71" s="87"/>
      <c r="U71" s="29"/>
      <c r="V71" s="123"/>
      <c r="W71" s="97"/>
      <c r="X71" s="88"/>
      <c r="Y71" s="87"/>
      <c r="Z71" s="29"/>
      <c r="AA71" s="34"/>
      <c r="AB71" s="97"/>
      <c r="AC71" s="88"/>
      <c r="AD71" s="87"/>
      <c r="AE71" s="35"/>
      <c r="AF71" s="34"/>
      <c r="AG71" s="97"/>
      <c r="AH71" s="88">
        <v>12799.62</v>
      </c>
      <c r="AI71" s="87">
        <v>12799.92</v>
      </c>
      <c r="AJ71" s="29"/>
      <c r="AK71" s="34"/>
      <c r="AL71" s="97"/>
      <c r="AM71" s="88"/>
      <c r="AN71" s="87"/>
      <c r="AO71" s="29"/>
      <c r="AP71" s="34"/>
      <c r="AQ71" s="97"/>
      <c r="AR71" s="88"/>
      <c r="AS71" s="87"/>
      <c r="AT71" s="29"/>
      <c r="AU71" s="34"/>
      <c r="AV71" s="97"/>
    </row>
    <row r="72" spans="1:48" x14ac:dyDescent="0.3">
      <c r="A72" s="23" t="str">
        <f>LEFT(B72,FIND(" ",B72,1))</f>
        <v xml:space="preserve">701 </v>
      </c>
      <c r="B72" s="24" t="s">
        <v>74</v>
      </c>
      <c r="N72" s="28">
        <v>36185.620000000003</v>
      </c>
      <c r="O72" s="27">
        <v>36184.660000000003</v>
      </c>
      <c r="Q72" s="123">
        <f t="shared" si="52"/>
        <v>-0.95999999999912689</v>
      </c>
      <c r="R72" s="97"/>
      <c r="V72" s="123">
        <f t="shared" si="53"/>
        <v>0</v>
      </c>
      <c r="W72" s="97"/>
      <c r="X72" s="28">
        <v>8179.2</v>
      </c>
      <c r="Y72" s="27">
        <v>8178.11</v>
      </c>
      <c r="AA72" s="34">
        <f t="shared" si="54"/>
        <v>-1.0900000000001455</v>
      </c>
      <c r="AB72" s="97"/>
      <c r="AF72" s="34">
        <f t="shared" si="55"/>
        <v>0</v>
      </c>
      <c r="AG72" s="97"/>
      <c r="AK72" s="34">
        <f t="shared" si="56"/>
        <v>0</v>
      </c>
      <c r="AL72" s="97"/>
      <c r="AP72" s="34">
        <f t="shared" si="57"/>
        <v>0</v>
      </c>
      <c r="AQ72" s="97"/>
      <c r="AU72" s="34">
        <f t="shared" ref="AU72:AU77" si="59">AS72-AR72</f>
        <v>0</v>
      </c>
      <c r="AV72" s="97"/>
    </row>
    <row r="73" spans="1:48" x14ac:dyDescent="0.3">
      <c r="A73" s="23" t="str">
        <f>LEFT(B73,FIND(" ",B73,1))</f>
        <v xml:space="preserve">702 </v>
      </c>
      <c r="B73" s="24" t="s">
        <v>618</v>
      </c>
      <c r="L73" s="27">
        <v>393481.18</v>
      </c>
      <c r="N73" s="28">
        <v>96153.09</v>
      </c>
      <c r="O73" s="27">
        <v>96153.02</v>
      </c>
      <c r="Q73" s="123">
        <f t="shared" si="52"/>
        <v>-6.9999999992433004E-2</v>
      </c>
      <c r="R73" s="97"/>
      <c r="T73" s="27">
        <v>0</v>
      </c>
      <c r="V73" s="123">
        <f t="shared" si="53"/>
        <v>0</v>
      </c>
      <c r="W73" s="97"/>
      <c r="Y73" s="27">
        <v>0</v>
      </c>
      <c r="AA73" s="34">
        <f t="shared" si="54"/>
        <v>0</v>
      </c>
      <c r="AB73" s="97"/>
      <c r="AD73" s="27">
        <v>0</v>
      </c>
      <c r="AF73" s="34">
        <f t="shared" si="55"/>
        <v>0</v>
      </c>
      <c r="AG73" s="97"/>
      <c r="AI73" s="27">
        <v>0</v>
      </c>
      <c r="AK73" s="34">
        <f t="shared" si="56"/>
        <v>0</v>
      </c>
      <c r="AL73" s="97"/>
      <c r="AN73" s="27">
        <v>0</v>
      </c>
      <c r="AP73" s="34">
        <f t="shared" si="57"/>
        <v>0</v>
      </c>
      <c r="AQ73" s="97"/>
      <c r="AS73" s="27">
        <v>0</v>
      </c>
      <c r="AU73" s="34">
        <f t="shared" si="59"/>
        <v>0</v>
      </c>
      <c r="AV73" s="97"/>
    </row>
    <row r="74" spans="1:48" s="122" customFormat="1" ht="18" thickBot="1" x14ac:dyDescent="0.35">
      <c r="A74" s="111"/>
      <c r="B74" s="112"/>
      <c r="C74" s="113"/>
      <c r="D74" s="113"/>
      <c r="E74" s="113"/>
      <c r="F74" s="153"/>
      <c r="G74" s="153"/>
      <c r="H74" s="153"/>
      <c r="I74" s="153"/>
      <c r="J74" s="153"/>
      <c r="K74" s="154"/>
      <c r="L74" s="153"/>
      <c r="M74" s="155"/>
      <c r="N74" s="154">
        <v>53236</v>
      </c>
      <c r="O74" s="153">
        <v>53237.43</v>
      </c>
      <c r="P74" s="155"/>
      <c r="Q74" s="125">
        <f t="shared" si="52"/>
        <v>1.430000000000291</v>
      </c>
      <c r="R74" s="117"/>
      <c r="S74" s="154"/>
      <c r="T74" s="153">
        <v>0</v>
      </c>
      <c r="U74" s="116"/>
      <c r="V74" s="125">
        <f t="shared" si="53"/>
        <v>0</v>
      </c>
      <c r="W74" s="117"/>
      <c r="X74" s="154"/>
      <c r="Y74" s="153">
        <v>0</v>
      </c>
      <c r="Z74" s="116"/>
      <c r="AA74" s="120">
        <f t="shared" si="54"/>
        <v>0</v>
      </c>
      <c r="AB74" s="117"/>
      <c r="AC74" s="154"/>
      <c r="AD74" s="153">
        <v>0</v>
      </c>
      <c r="AE74" s="121"/>
      <c r="AF74" s="120">
        <f t="shared" si="55"/>
        <v>0</v>
      </c>
      <c r="AG74" s="117"/>
      <c r="AH74" s="154"/>
      <c r="AI74" s="153">
        <v>0</v>
      </c>
      <c r="AJ74" s="116"/>
      <c r="AK74" s="120">
        <f t="shared" si="56"/>
        <v>0</v>
      </c>
      <c r="AL74" s="117"/>
      <c r="AM74" s="154"/>
      <c r="AN74" s="153">
        <v>0</v>
      </c>
      <c r="AO74" s="116"/>
      <c r="AP74" s="120">
        <f t="shared" si="57"/>
        <v>0</v>
      </c>
      <c r="AQ74" s="117"/>
      <c r="AR74" s="154"/>
      <c r="AS74" s="153">
        <v>0</v>
      </c>
      <c r="AT74" s="116"/>
      <c r="AU74" s="120">
        <f t="shared" si="59"/>
        <v>0</v>
      </c>
      <c r="AV74" s="117"/>
    </row>
    <row r="75" spans="1:48" s="62" customFormat="1" x14ac:dyDescent="0.3">
      <c r="A75" s="52"/>
      <c r="B75" s="53" t="s">
        <v>75</v>
      </c>
      <c r="C75" s="54"/>
      <c r="D75" s="54"/>
      <c r="E75" s="54"/>
      <c r="F75" s="55">
        <f t="shared" ref="F75:L75" si="60">SUM(F68:F74)</f>
        <v>0</v>
      </c>
      <c r="G75" s="55">
        <f t="shared" si="60"/>
        <v>0</v>
      </c>
      <c r="H75" s="55">
        <f t="shared" si="60"/>
        <v>0</v>
      </c>
      <c r="I75" s="55">
        <f t="shared" si="60"/>
        <v>0</v>
      </c>
      <c r="J75" s="55">
        <f t="shared" si="60"/>
        <v>0</v>
      </c>
      <c r="K75" s="56">
        <f t="shared" si="60"/>
        <v>5797.29</v>
      </c>
      <c r="L75" s="55">
        <f t="shared" si="60"/>
        <v>402270.27</v>
      </c>
      <c r="M75" s="29"/>
      <c r="N75" s="56">
        <f>SUM(N68:N74)</f>
        <v>394663.19999999995</v>
      </c>
      <c r="O75" s="55">
        <f>SUM(O68:O74)</f>
        <v>384610.6</v>
      </c>
      <c r="P75" s="29"/>
      <c r="Q75" s="91">
        <f t="shared" si="52"/>
        <v>-10052.599999999977</v>
      </c>
      <c r="R75" s="156"/>
      <c r="S75" s="56">
        <f>SUM(S68:S74)</f>
        <v>18909</v>
      </c>
      <c r="T75" s="55">
        <f>SUM(T68:T74)</f>
        <v>18909.55</v>
      </c>
      <c r="U75" s="29"/>
      <c r="V75" s="91">
        <f t="shared" si="53"/>
        <v>0.5499999999992724</v>
      </c>
      <c r="W75" s="156"/>
      <c r="X75" s="56">
        <f>SUM(X68:X74)</f>
        <v>991879.2</v>
      </c>
      <c r="Y75" s="55">
        <f>SUM(Y68:Y74)</f>
        <v>991879.02</v>
      </c>
      <c r="Z75" s="29"/>
      <c r="AA75" s="93">
        <f t="shared" si="54"/>
        <v>-0.17999999993480742</v>
      </c>
      <c r="AB75" s="156"/>
      <c r="AC75" s="56">
        <f>SUM(AC68:AC74)</f>
        <v>30006.12</v>
      </c>
      <c r="AD75" s="55">
        <f>SUM(AD68:AD74)</f>
        <v>30007.55</v>
      </c>
      <c r="AE75" s="35"/>
      <c r="AF75" s="93">
        <f t="shared" si="55"/>
        <v>1.430000000000291</v>
      </c>
      <c r="AG75" s="156"/>
      <c r="AH75" s="56">
        <f>SUM(AH68:AH74)</f>
        <v>71009.33</v>
      </c>
      <c r="AI75" s="55">
        <f>SUM(AI68:AI74)</f>
        <v>71009.72</v>
      </c>
      <c r="AJ75" s="29"/>
      <c r="AK75" s="93">
        <f t="shared" si="56"/>
        <v>0.38999999999941792</v>
      </c>
      <c r="AL75" s="156"/>
      <c r="AM75" s="56">
        <f>SUM(AM68:AM74)</f>
        <v>0</v>
      </c>
      <c r="AN75" s="55">
        <f>SUM(AN68:AN74)</f>
        <v>0</v>
      </c>
      <c r="AO75" s="29"/>
      <c r="AP75" s="93">
        <f t="shared" si="57"/>
        <v>0</v>
      </c>
      <c r="AQ75" s="156"/>
      <c r="AR75" s="56">
        <f>SUM(AR68:AR74)</f>
        <v>0</v>
      </c>
      <c r="AS75" s="55">
        <f>SUM(AS68:AS74)</f>
        <v>0</v>
      </c>
      <c r="AT75" s="29"/>
      <c r="AU75" s="93">
        <f t="shared" si="59"/>
        <v>0</v>
      </c>
      <c r="AV75" s="156"/>
    </row>
    <row r="76" spans="1:48" s="168" customFormat="1" x14ac:dyDescent="0.3">
      <c r="A76" s="157"/>
      <c r="B76" s="158" t="s">
        <v>76</v>
      </c>
      <c r="C76" s="159"/>
      <c r="D76" s="159"/>
      <c r="E76" s="159"/>
      <c r="F76" s="160">
        <f t="shared" ref="F76:L76" si="61">IF(F64&lt;=F75,0,-(F75-F64))</f>
        <v>311.31</v>
      </c>
      <c r="G76" s="160">
        <f t="shared" si="61"/>
        <v>15155.830000000002</v>
      </c>
      <c r="H76" s="160">
        <f t="shared" si="61"/>
        <v>0</v>
      </c>
      <c r="I76" s="160">
        <f t="shared" si="61"/>
        <v>0</v>
      </c>
      <c r="J76" s="160">
        <f t="shared" si="61"/>
        <v>0</v>
      </c>
      <c r="K76" s="161">
        <f t="shared" si="61"/>
        <v>983700</v>
      </c>
      <c r="L76" s="160">
        <f t="shared" si="61"/>
        <v>0</v>
      </c>
      <c r="M76" s="162"/>
      <c r="N76" s="161">
        <f>IF(N64&lt;=N75,0,-(N75-N64))</f>
        <v>0</v>
      </c>
      <c r="O76" s="160">
        <f>IF(O64&lt;=O75,0,-(O75-O64))</f>
        <v>11103.369999999995</v>
      </c>
      <c r="P76" s="162"/>
      <c r="Q76" s="163">
        <f t="shared" si="52"/>
        <v>11103.369999999995</v>
      </c>
      <c r="R76" s="164"/>
      <c r="S76" s="161">
        <f>IF(S64&lt;=S75,0,-(S75-S64))</f>
        <v>0</v>
      </c>
      <c r="T76" s="160">
        <f>IF(T64&lt;=T75,0,-(T75-T64))</f>
        <v>2809.9500000000007</v>
      </c>
      <c r="U76" s="165"/>
      <c r="V76" s="163">
        <f t="shared" si="53"/>
        <v>2809.9500000000007</v>
      </c>
      <c r="W76" s="164"/>
      <c r="X76" s="161">
        <f>IF(X64&lt;=X75,0,-(X75-X64))</f>
        <v>0</v>
      </c>
      <c r="Y76" s="160">
        <f>IF(Y64&lt;=Y75,0,-(Y75-Y64))</f>
        <v>0</v>
      </c>
      <c r="Z76" s="165"/>
      <c r="AA76" s="166">
        <f t="shared" si="54"/>
        <v>0</v>
      </c>
      <c r="AB76" s="164"/>
      <c r="AC76" s="161">
        <f>IF(AC64&lt;=AC75,0,-(AC75-AC64))</f>
        <v>0</v>
      </c>
      <c r="AD76" s="160">
        <f>IF(AD64&lt;=AD75,0,-(AD75-AD64))</f>
        <v>0</v>
      </c>
      <c r="AE76" s="167"/>
      <c r="AF76" s="166">
        <f t="shared" si="55"/>
        <v>0</v>
      </c>
      <c r="AG76" s="164"/>
      <c r="AH76" s="161">
        <f>IF(AH64&lt;=AH75,0,-(AH75-AH64))</f>
        <v>58209.709999999992</v>
      </c>
      <c r="AI76" s="160">
        <f>IF(AI64&lt;=AI75,0,-(AI75-AI64))</f>
        <v>1837.5100000000093</v>
      </c>
      <c r="AJ76" s="165"/>
      <c r="AK76" s="166">
        <f t="shared" si="56"/>
        <v>-56372.199999999983</v>
      </c>
      <c r="AL76" s="164"/>
      <c r="AM76" s="161">
        <f>IF(AM64&lt;=AM75,0,-(AM75-AM64))</f>
        <v>0</v>
      </c>
      <c r="AN76" s="160">
        <f>IF(AN64&lt;=AN75,0,-(AN75-AN64))</f>
        <v>0</v>
      </c>
      <c r="AO76" s="165"/>
      <c r="AP76" s="166">
        <f t="shared" si="57"/>
        <v>0</v>
      </c>
      <c r="AQ76" s="164"/>
      <c r="AR76" s="161">
        <f>IF(AR64&lt;=AR75,0,-(AR75-AR64))</f>
        <v>0</v>
      </c>
      <c r="AS76" s="160">
        <f>IF(AS64&lt;=AS75,0,-(AS75-AS64))</f>
        <v>0</v>
      </c>
      <c r="AT76" s="165"/>
      <c r="AU76" s="166">
        <f t="shared" si="59"/>
        <v>0</v>
      </c>
      <c r="AV76" s="164"/>
    </row>
    <row r="77" spans="1:48" s="62" customFormat="1" ht="18" thickBot="1" x14ac:dyDescent="0.35">
      <c r="A77" s="52"/>
      <c r="B77" s="53" t="s">
        <v>77</v>
      </c>
      <c r="C77" s="54"/>
      <c r="D77" s="54"/>
      <c r="E77" s="54"/>
      <c r="F77" s="55">
        <f t="shared" ref="F77:L77" si="62">SUM(F75:F76)</f>
        <v>311.31</v>
      </c>
      <c r="G77" s="55">
        <f t="shared" si="62"/>
        <v>15155.830000000002</v>
      </c>
      <c r="H77" s="55">
        <f t="shared" si="62"/>
        <v>0</v>
      </c>
      <c r="I77" s="55">
        <f t="shared" si="62"/>
        <v>0</v>
      </c>
      <c r="J77" s="55">
        <f t="shared" si="62"/>
        <v>0</v>
      </c>
      <c r="K77" s="56">
        <f t="shared" si="62"/>
        <v>989497.29</v>
      </c>
      <c r="L77" s="55">
        <f t="shared" si="62"/>
        <v>402270.27</v>
      </c>
      <c r="M77" s="29"/>
      <c r="N77" s="56">
        <f>SUM(N75:N76)</f>
        <v>394663.19999999995</v>
      </c>
      <c r="O77" s="55">
        <f>SUM(O75:O76)</f>
        <v>395713.97</v>
      </c>
      <c r="P77" s="29"/>
      <c r="Q77" s="91">
        <f t="shared" si="52"/>
        <v>1050.7700000000186</v>
      </c>
      <c r="R77" s="156"/>
      <c r="S77" s="56">
        <f>SUM(S75:S76)</f>
        <v>18909</v>
      </c>
      <c r="T77" s="55">
        <f>SUM(T75:T76)</f>
        <v>21719.5</v>
      </c>
      <c r="U77" s="29"/>
      <c r="V77" s="91">
        <f t="shared" si="53"/>
        <v>2810.5</v>
      </c>
      <c r="W77" s="156"/>
      <c r="X77" s="56">
        <f>SUM(X75:X76)</f>
        <v>991879.2</v>
      </c>
      <c r="Y77" s="55">
        <f>SUM(Y75:Y76)</f>
        <v>991879.02</v>
      </c>
      <c r="Z77" s="29"/>
      <c r="AA77" s="93">
        <f t="shared" si="54"/>
        <v>-0.17999999993480742</v>
      </c>
      <c r="AB77" s="156"/>
      <c r="AC77" s="56">
        <f>SUM(AC75:AC76)</f>
        <v>30006.12</v>
      </c>
      <c r="AD77" s="55">
        <f>SUM(AD75:AD76)</f>
        <v>30007.55</v>
      </c>
      <c r="AE77" s="35"/>
      <c r="AF77" s="93">
        <f t="shared" si="55"/>
        <v>1.430000000000291</v>
      </c>
      <c r="AG77" s="156"/>
      <c r="AH77" s="56">
        <f>SUM(AH75:AH76)</f>
        <v>129219.04</v>
      </c>
      <c r="AI77" s="55">
        <f>SUM(AI75:AI76)</f>
        <v>72847.23000000001</v>
      </c>
      <c r="AJ77" s="29"/>
      <c r="AK77" s="93">
        <f t="shared" si="56"/>
        <v>-56371.809999999983</v>
      </c>
      <c r="AL77" s="156"/>
      <c r="AM77" s="56">
        <f>SUM(AM75:AM76)</f>
        <v>0</v>
      </c>
      <c r="AN77" s="55">
        <f>SUM(AN75:AN76)</f>
        <v>0</v>
      </c>
      <c r="AO77" s="29"/>
      <c r="AP77" s="93">
        <f t="shared" si="57"/>
        <v>0</v>
      </c>
      <c r="AQ77" s="156"/>
      <c r="AR77" s="56">
        <f>SUM(AR75:AR76)</f>
        <v>0</v>
      </c>
      <c r="AS77" s="55">
        <f>SUM(AS75:AS76)</f>
        <v>0</v>
      </c>
      <c r="AT77" s="29"/>
      <c r="AU77" s="93">
        <f t="shared" si="59"/>
        <v>0</v>
      </c>
      <c r="AV77" s="156"/>
    </row>
    <row r="78" spans="1:48" s="180" customFormat="1" ht="18" thickTop="1" x14ac:dyDescent="0.3">
      <c r="A78" s="169"/>
      <c r="B78" s="170"/>
      <c r="C78" s="171"/>
      <c r="D78" s="171"/>
      <c r="E78" s="171"/>
      <c r="F78" s="172"/>
      <c r="G78" s="172"/>
      <c r="H78" s="172"/>
      <c r="I78" s="172"/>
      <c r="J78" s="172"/>
      <c r="K78" s="173"/>
      <c r="L78" s="172"/>
      <c r="M78" s="174"/>
      <c r="N78" s="173"/>
      <c r="O78" s="172"/>
      <c r="P78" s="174"/>
      <c r="Q78" s="175"/>
      <c r="R78" s="176"/>
      <c r="S78" s="173"/>
      <c r="T78" s="172"/>
      <c r="U78" s="177"/>
      <c r="V78" s="175"/>
      <c r="W78" s="176"/>
      <c r="X78" s="173"/>
      <c r="Y78" s="172"/>
      <c r="Z78" s="177"/>
      <c r="AA78" s="178"/>
      <c r="AB78" s="176"/>
      <c r="AC78" s="173"/>
      <c r="AD78" s="172"/>
      <c r="AE78" s="179"/>
      <c r="AF78" s="178"/>
      <c r="AG78" s="176"/>
      <c r="AH78" s="173"/>
      <c r="AI78" s="172"/>
      <c r="AJ78" s="177"/>
      <c r="AK78" s="178"/>
      <c r="AL78" s="176"/>
      <c r="AM78" s="173"/>
      <c r="AN78" s="172"/>
      <c r="AO78" s="177"/>
      <c r="AP78" s="178"/>
      <c r="AQ78" s="176"/>
      <c r="AR78" s="173"/>
      <c r="AS78" s="172"/>
      <c r="AT78" s="177"/>
      <c r="AU78" s="178"/>
      <c r="AV78" s="176"/>
    </row>
    <row r="80" spans="1:48" ht="18" thickBot="1" x14ac:dyDescent="0.35"/>
    <row r="81" spans="1:48" s="152" customFormat="1" x14ac:dyDescent="0.3">
      <c r="A81" s="181"/>
      <c r="B81" s="182" t="s">
        <v>78</v>
      </c>
      <c r="C81" s="183"/>
      <c r="D81" s="183"/>
      <c r="E81" s="183"/>
      <c r="F81" s="143"/>
      <c r="G81" s="143"/>
      <c r="H81" s="143"/>
      <c r="I81" s="143"/>
      <c r="J81" s="143"/>
      <c r="K81" s="144"/>
      <c r="L81" s="143"/>
      <c r="M81" s="145"/>
      <c r="N81" s="144"/>
      <c r="O81" s="143"/>
      <c r="P81" s="145"/>
      <c r="Q81" s="147"/>
      <c r="R81" s="184"/>
      <c r="S81" s="144"/>
      <c r="T81" s="143"/>
      <c r="U81" s="146"/>
      <c r="V81" s="147"/>
      <c r="W81" s="184"/>
      <c r="X81" s="144"/>
      <c r="Y81" s="143"/>
      <c r="Z81" s="146"/>
      <c r="AA81" s="150"/>
      <c r="AB81" s="184"/>
      <c r="AC81" s="144"/>
      <c r="AD81" s="143"/>
      <c r="AE81" s="151"/>
      <c r="AF81" s="150"/>
      <c r="AG81" s="184"/>
      <c r="AH81" s="144"/>
      <c r="AI81" s="143"/>
      <c r="AJ81" s="146"/>
      <c r="AK81" s="150"/>
      <c r="AL81" s="184"/>
      <c r="AM81" s="144"/>
      <c r="AN81" s="465"/>
      <c r="AO81" s="146"/>
      <c r="AP81" s="150"/>
      <c r="AQ81" s="184"/>
      <c r="AR81" s="144"/>
      <c r="AS81" s="143"/>
      <c r="AT81" s="146"/>
      <c r="AU81" s="150"/>
      <c r="AV81" s="184"/>
    </row>
    <row r="82" spans="1:48" s="62" customFormat="1" x14ac:dyDescent="0.3">
      <c r="A82" s="23" t="str">
        <f t="shared" ref="A82:A147" si="63">LEFT(B82,4)</f>
        <v>6780</v>
      </c>
      <c r="B82" s="185" t="s">
        <v>79</v>
      </c>
      <c r="C82" s="186" t="str">
        <f t="shared" ref="C82:C147" si="64">LEFT(B82,4) &amp;"/"&amp; RIGHT(B82,6)</f>
        <v>6780/(0005)</v>
      </c>
      <c r="D82" s="187" t="str">
        <f t="shared" ref="D82:D147" si="65">RIGHT(B82,6) &amp;"  "&amp; RIGHT(LEFT(B82,10),5) &amp;"/"&amp;LEFT(B$81,6)&amp;"."&amp;RIGHT(LEFT(B$81,14),3)&amp;"."</f>
        <v>(0005)  0009 /050 Ch.Gén.</v>
      </c>
      <c r="E82" s="188" t="str">
        <f xml:space="preserve"> A621</f>
        <v>6789 – Régularisation Comptable</v>
      </c>
      <c r="F82" s="27">
        <v>0</v>
      </c>
      <c r="G82" s="87">
        <v>1668.93</v>
      </c>
      <c r="H82" s="87"/>
      <c r="I82" s="87"/>
      <c r="J82" s="87"/>
      <c r="K82" s="88"/>
      <c r="L82" s="87"/>
      <c r="M82" s="189"/>
      <c r="N82" s="88"/>
      <c r="O82" s="87"/>
      <c r="P82" s="189"/>
      <c r="Q82" s="123"/>
      <c r="R82" s="124"/>
      <c r="S82" s="88"/>
      <c r="T82" s="87"/>
      <c r="U82" s="29"/>
      <c r="V82" s="123"/>
      <c r="W82" s="124"/>
      <c r="X82" s="88"/>
      <c r="Y82" s="87"/>
      <c r="Z82" s="29"/>
      <c r="AA82" s="34"/>
      <c r="AB82" s="124"/>
      <c r="AC82" s="88"/>
      <c r="AD82" s="87"/>
      <c r="AE82" s="35"/>
      <c r="AF82" s="34"/>
      <c r="AG82" s="124"/>
      <c r="AH82" s="88"/>
      <c r="AI82" s="87"/>
      <c r="AJ82" s="29"/>
      <c r="AK82" s="34"/>
      <c r="AL82" s="124"/>
      <c r="AM82" s="88"/>
      <c r="AN82" s="38"/>
      <c r="AO82" s="29"/>
      <c r="AP82" s="34"/>
      <c r="AQ82" s="124"/>
      <c r="AR82" s="88"/>
      <c r="AS82" s="87"/>
      <c r="AT82" s="29"/>
      <c r="AU82" s="34"/>
      <c r="AV82" s="124"/>
    </row>
    <row r="83" spans="1:48" x14ac:dyDescent="0.3">
      <c r="A83" s="23" t="str">
        <f t="shared" si="63"/>
        <v>6150</v>
      </c>
      <c r="B83" s="185" t="s">
        <v>80</v>
      </c>
      <c r="C83" s="186" t="str">
        <f t="shared" si="64"/>
        <v>6150/(0010)</v>
      </c>
      <c r="D83" s="187" t="str">
        <f t="shared" si="65"/>
        <v>(0010)  01105/050 Ch.Gén.</v>
      </c>
      <c r="E83" s="190" t="str">
        <f>A404</f>
        <v>61411 -  Entretien Plomberie</v>
      </c>
      <c r="F83" s="27">
        <v>0</v>
      </c>
      <c r="I83" s="27">
        <v>244.21</v>
      </c>
      <c r="K83" s="28">
        <v>1500</v>
      </c>
      <c r="L83" s="27">
        <v>249</v>
      </c>
      <c r="N83" s="28">
        <v>1500</v>
      </c>
      <c r="P83" s="39"/>
      <c r="Q83" s="123">
        <f>O83-N83</f>
        <v>-1500</v>
      </c>
      <c r="R83" s="191" t="str">
        <f t="shared" ref="R83:R88" si="66">IF(O83&gt;0,O83/O$219,"")</f>
        <v/>
      </c>
      <c r="S83" s="28">
        <v>1500</v>
      </c>
      <c r="T83" s="27">
        <v>633.29999999999995</v>
      </c>
      <c r="V83" s="123">
        <f>T83-S83</f>
        <v>-866.7</v>
      </c>
      <c r="W83" s="191">
        <f t="shared" ref="W83:W88" si="67">IF(T83&gt;0,T83/T$219,"")</f>
        <v>2.160483350581153E-3</v>
      </c>
      <c r="X83" s="28">
        <v>1500</v>
      </c>
      <c r="AA83" s="34" t="str">
        <f>ROUND(Y83-X83,2) &amp; "  (" &amp; ROUND(100*(Y83-X83)/X83,1) &amp;"%)"</f>
        <v>-1500  (-100%)</v>
      </c>
      <c r="AB83" s="191" t="str">
        <f t="shared" ref="AB83:AB88" si="68">IF(Y83&gt;0,Y83/Y$219,"")</f>
        <v/>
      </c>
      <c r="AC83" s="28">
        <v>1530</v>
      </c>
      <c r="AD83" s="4">
        <v>0</v>
      </c>
      <c r="AE83" s="35"/>
      <c r="AF83" s="34" t="str">
        <f>ROUND(AD83-AC83,2) &amp; "  (" &amp; ROUND(100*(AD83-AC83)/AC83,1) &amp;"%)"</f>
        <v>-1530  (-100%)</v>
      </c>
      <c r="AG83" s="191" t="str">
        <f t="shared" ref="AG83:AG88" si="69">IF(AD83&gt;0,AD83/AD$219,"")</f>
        <v/>
      </c>
      <c r="AH83" s="28">
        <v>1560</v>
      </c>
      <c r="AI83" s="4">
        <v>0</v>
      </c>
      <c r="AJ83" s="35" t="str">
        <f>ROUND(AI83-AD83,2) &amp; "   (" &amp; ROUND(100*(AI83-AD83)/(AD83+0.001),1) &amp;"%)"</f>
        <v>0   (0%)</v>
      </c>
      <c r="AK83" s="34" t="str">
        <f>ROUND(AI83-AH83,2) &amp; "  (" &amp; ROUND(100*(AI83-AH83)/AH83,1) &amp;"%)"</f>
        <v>-1560  (-100%)</v>
      </c>
      <c r="AL83" s="191" t="str">
        <f t="shared" ref="AL83:AL88" si="70">IF(AI83&gt;0,AI83/AI$219,"")</f>
        <v/>
      </c>
      <c r="AM83" s="28">
        <v>1590</v>
      </c>
      <c r="AN83" s="205">
        <v>729.32</v>
      </c>
      <c r="AO83" s="35" t="str">
        <f>ROUND(AN83-AI83,2) &amp; "   (" &amp; ROUND(100*(AN83-AI83)/(AI83+0.0001),1) &amp;"%)"</f>
        <v>729,32   (729320000%)</v>
      </c>
      <c r="AP83" s="34" t="str">
        <f>ROUND(AN83-AM83,2) &amp; "  (" &amp; ROUND(100*(AN83-AM83)/AM83,1) &amp;"%)"</f>
        <v>-860,68  (-54,1%)</v>
      </c>
      <c r="AQ83" s="191">
        <f t="shared" ref="AQ83:AQ88" si="71">IF(AN83&gt;0,AN83/AN$219,"")</f>
        <v>3.0689657174833005E-3</v>
      </c>
      <c r="AR83" s="28">
        <v>1740</v>
      </c>
      <c r="AS83" s="4">
        <v>0</v>
      </c>
      <c r="AT83" s="35" t="str">
        <f t="shared" ref="AT83:AT86" si="72">ROUND(AS83-AN83,2) &amp; "   (" &amp; ROUND(100*(AS83-AN83)/AN83,1) &amp;"%)"</f>
        <v>-729,32   (-100%)</v>
      </c>
      <c r="AU83" s="34" t="str">
        <f>ROUND(AS83-AR83,2) &amp; "  (" &amp; ROUND(100*(AS83-AR83)/AR83,1) &amp;"%)"</f>
        <v>-1740  (-100%)</v>
      </c>
      <c r="AV83" s="191" t="str">
        <f t="shared" ref="AV83:AV88" si="73">IF(AS83&gt;0,AS83/AS$219,"")</f>
        <v/>
      </c>
    </row>
    <row r="84" spans="1:48" x14ac:dyDescent="0.3">
      <c r="A84" s="23" t="str">
        <f t="shared" si="63"/>
        <v>6150</v>
      </c>
      <c r="B84" s="185" t="s">
        <v>81</v>
      </c>
      <c r="C84" s="186" t="str">
        <f t="shared" si="64"/>
        <v>6150/(0020)</v>
      </c>
      <c r="D84" s="187" t="str">
        <f t="shared" si="65"/>
        <v>(0020)  01106/050 Ch.Gén.</v>
      </c>
      <c r="E84" s="190" t="str">
        <f>A440</f>
        <v>61511 – Travaux Entretien Plomberie</v>
      </c>
      <c r="F84" s="27">
        <v>5358.01</v>
      </c>
      <c r="G84" s="27">
        <v>5164.66</v>
      </c>
      <c r="H84" s="27">
        <v>9523.86</v>
      </c>
      <c r="I84" s="27">
        <v>17469.75</v>
      </c>
      <c r="J84" s="27">
        <v>19171.29</v>
      </c>
      <c r="K84" s="28">
        <v>8000</v>
      </c>
      <c r="L84" s="27">
        <v>10814.2</v>
      </c>
      <c r="M84" s="39">
        <f>(L84-J84)/J84</f>
        <v>-0.43591693621034366</v>
      </c>
      <c r="N84" s="28">
        <v>8000</v>
      </c>
      <c r="O84" s="27">
        <v>19942.39</v>
      </c>
      <c r="P84" s="39">
        <f>(O84-L84)/L84</f>
        <v>0.84409295185959188</v>
      </c>
      <c r="Q84" s="123">
        <f>O84-N84</f>
        <v>11942.39</v>
      </c>
      <c r="R84" s="191">
        <f t="shared" si="66"/>
        <v>6.6791192416162812E-2</v>
      </c>
      <c r="S84" s="28">
        <v>8000</v>
      </c>
      <c r="T84" s="27">
        <v>20110.32</v>
      </c>
      <c r="U84" s="39">
        <f>(T84-O84)/O84</f>
        <v>8.4207559876223609E-3</v>
      </c>
      <c r="V84" s="123">
        <f>T84-S84</f>
        <v>12110.32</v>
      </c>
      <c r="W84" s="191">
        <f t="shared" si="67"/>
        <v>6.8605734304214711E-2</v>
      </c>
      <c r="X84" s="28">
        <v>8000</v>
      </c>
      <c r="Y84" s="27">
        <v>22338.34</v>
      </c>
      <c r="Z84" s="89" t="str">
        <f>ROUND(Y84-T84,2) &amp; "   (" &amp; ROUND(100*(Y84-T84)/T84,1) &amp;"%)"</f>
        <v>2228,02   (11,1%)</v>
      </c>
      <c r="AA84" s="34" t="str">
        <f>ROUND(Y84-X84,2) &amp; "  (" &amp; ROUND(100*(Y84-X84)/X84,1) &amp;"%)"</f>
        <v>14338,34  (179,2%)</v>
      </c>
      <c r="AB84" s="191">
        <f t="shared" si="68"/>
        <v>7.185615374834084E-2</v>
      </c>
      <c r="AC84" s="28">
        <v>15000</v>
      </c>
      <c r="AD84" s="192">
        <v>13295.87</v>
      </c>
      <c r="AE84" s="193" t="str">
        <f>ROUND(AD84-Y84,2) &amp; "   (" &amp; ROUND(100*(AD84-Y84)/Y84,1) &amp;"%)"</f>
        <v>-9042,47   (-40,5%)</v>
      </c>
      <c r="AF84" s="194" t="str">
        <f>ROUND(AD84-AC84,2) &amp; "  (" &amp; ROUND(100*(AD84-AC84)/AC84,1) &amp;"%)"</f>
        <v>-1704,13  (-11,4%)</v>
      </c>
      <c r="AG84" s="191">
        <f t="shared" si="69"/>
        <v>4.4540603867419121E-2</v>
      </c>
      <c r="AH84" s="28">
        <v>15230</v>
      </c>
      <c r="AI84" s="463">
        <v>20902.060000000001</v>
      </c>
      <c r="AJ84" s="471" t="str">
        <f t="shared" ref="AJ84:AJ86" si="74">ROUND(AI84-AD84,2) &amp; "   (" &amp; ROUND(100*(AI84-AD84)/AD84,1) &amp;"%)"</f>
        <v>7606,19   (57,2%)</v>
      </c>
      <c r="AK84" s="34" t="str">
        <f>ROUND(AI84-AH84,2) &amp; "  (" &amp; ROUND(100*(AI84-AH84)/AH84,1) &amp;"%)"</f>
        <v>5672,06  (37,2%)</v>
      </c>
      <c r="AL84" s="191">
        <f t="shared" si="70"/>
        <v>7.0324662349561654E-2</v>
      </c>
      <c r="AM84" s="28">
        <v>15460</v>
      </c>
      <c r="AN84" s="467">
        <v>20634.27</v>
      </c>
      <c r="AO84" s="35" t="str">
        <f t="shared" ref="AO84:AO86" si="75">ROUND(AN84-AI84,2) &amp; "   (" &amp; ROUND(100*(AN84-AI84)/AI84,1) &amp;"%)"</f>
        <v>-267,79   (-1,3%)</v>
      </c>
      <c r="AP84" s="34" t="str">
        <f>ROUND(AN84-AM84,2) &amp; "  (" &amp; ROUND(100*(AN84-AM84)/AM84,1) &amp;"%)"</f>
        <v>5174,27  (33,5%)</v>
      </c>
      <c r="AQ84" s="191">
        <f t="shared" si="71"/>
        <v>8.6828644813379777E-2</v>
      </c>
      <c r="AR84" s="28">
        <v>14000</v>
      </c>
      <c r="AS84" s="4">
        <v>0</v>
      </c>
      <c r="AT84" s="35" t="str">
        <f t="shared" si="72"/>
        <v>-20634,27   (-100%)</v>
      </c>
      <c r="AU84" s="34" t="str">
        <f>ROUND(AS84-AR84,2) &amp; "  (" &amp; ROUND(100*(AS84-AR84)/AR84,1) &amp;"%)"</f>
        <v>-14000  (-100%)</v>
      </c>
      <c r="AV84" s="191" t="str">
        <f t="shared" si="73"/>
        <v/>
      </c>
    </row>
    <row r="85" spans="1:48" x14ac:dyDescent="0.3">
      <c r="A85" s="23" t="str">
        <f t="shared" si="63"/>
        <v>6150</v>
      </c>
      <c r="B85" s="185" t="s">
        <v>82</v>
      </c>
      <c r="C85" s="186" t="str">
        <f t="shared" si="64"/>
        <v>6150/(0030)</v>
      </c>
      <c r="D85" s="187" t="str">
        <f t="shared" si="65"/>
        <v>(0030)  01115/050 Ch.Gén.</v>
      </c>
      <c r="E85" s="188" t="str">
        <f>A406</f>
        <v>6142 - Contrat Entretien Électricité</v>
      </c>
      <c r="F85" s="27">
        <v>0</v>
      </c>
      <c r="G85" s="27">
        <v>1800.88</v>
      </c>
      <c r="H85" s="27">
        <v>370.22</v>
      </c>
      <c r="K85" s="28">
        <v>1700</v>
      </c>
      <c r="M85" s="39"/>
      <c r="N85" s="28">
        <v>1700</v>
      </c>
      <c r="P85" s="39"/>
      <c r="Q85" s="123">
        <f>O85-N85</f>
        <v>-1700</v>
      </c>
      <c r="R85" s="191" t="str">
        <f t="shared" si="66"/>
        <v/>
      </c>
      <c r="S85" s="28">
        <v>1700</v>
      </c>
      <c r="T85" s="27">
        <v>709.5</v>
      </c>
      <c r="V85" s="123">
        <f>T85-S85</f>
        <v>-990.5</v>
      </c>
      <c r="W85" s="191">
        <f t="shared" si="67"/>
        <v>2.4204372923374833E-3</v>
      </c>
      <c r="X85" s="28">
        <v>1700</v>
      </c>
      <c r="Y85" s="27">
        <v>244.2</v>
      </c>
      <c r="Z85" s="89" t="str">
        <f>ROUND(Y85-T85,2) &amp; "   (" &amp; ROUND(100*(Y85-T85)/T85,1) &amp;"%)"</f>
        <v>-465,3   (-65,6%)</v>
      </c>
      <c r="AA85" s="34" t="str">
        <f>ROUND(Y85-X85,2) &amp; "  (" &amp; ROUND(100*(Y85-X85)/X85,1) &amp;"%)"</f>
        <v>-1455,8  (-85,6%)</v>
      </c>
      <c r="AB85" s="191">
        <f t="shared" si="68"/>
        <v>7.855226818709373E-4</v>
      </c>
      <c r="AC85" s="28">
        <v>1740</v>
      </c>
      <c r="AD85" s="4">
        <v>0</v>
      </c>
      <c r="AE85" s="35" t="str">
        <f>ROUND(AD85-Y85,2) &amp; "   (" &amp; ROUND(100*(AD85-Y85)/Y85,1) &amp;"%)"</f>
        <v>-244,2   (-100%)</v>
      </c>
      <c r="AF85" s="34" t="str">
        <f>ROUND(AD85-AC85,2) &amp; "  (" &amp; ROUND(100*(AD85-AC85)/AC85,1) &amp;"%)"</f>
        <v>-1740  (-100%)</v>
      </c>
      <c r="AG85" s="191" t="str">
        <f t="shared" si="69"/>
        <v/>
      </c>
      <c r="AH85" s="28">
        <v>1770</v>
      </c>
      <c r="AI85" s="4">
        <v>0</v>
      </c>
      <c r="AJ85" s="35" t="str">
        <f>ROUND(AI85-AD85,2) &amp; "   (" &amp; ROUND(100*(AI85-AD85)/(AD85+0.001),1) &amp;"%)"</f>
        <v>0   (0%)</v>
      </c>
      <c r="AK85" s="34" t="str">
        <f>ROUND(AI85-AH85,2) &amp; "  (" &amp; ROUND(100*(AI85-AH85)/AH85,1) &amp;"%)"</f>
        <v>-1770  (-100%)</v>
      </c>
      <c r="AL85" s="191" t="str">
        <f t="shared" si="70"/>
        <v/>
      </c>
      <c r="AM85" s="28">
        <v>1800</v>
      </c>
      <c r="AN85" s="205">
        <v>0</v>
      </c>
      <c r="AO85" s="35" t="str">
        <f>ROUND(AN85-AI85,2) &amp; "   (" &amp; ROUND(100*(AN85-AI85)/(AI85+0.0001),1) &amp;"%)"</f>
        <v>0   (0%)</v>
      </c>
      <c r="AP85" s="34" t="str">
        <f>ROUND(AN85-AM85,2) &amp; "  (" &amp; ROUND(100*(AN85-AM85)/AM85,1) &amp;"%)"</f>
        <v>-1800  (-100%)</v>
      </c>
      <c r="AQ85" s="191" t="str">
        <f t="shared" si="71"/>
        <v/>
      </c>
      <c r="AR85" s="28">
        <v>1800</v>
      </c>
      <c r="AS85" s="4">
        <v>0</v>
      </c>
      <c r="AT85" s="35" t="e">
        <f t="shared" si="72"/>
        <v>#DIV/0!</v>
      </c>
      <c r="AU85" s="34" t="str">
        <f>ROUND(AS85-AR85,2) &amp; "  (" &amp; ROUND(100*(AS85-AR85)/AR85,1) &amp;"%)"</f>
        <v>-1800  (-100%)</v>
      </c>
      <c r="AV85" s="191" t="str">
        <f t="shared" si="73"/>
        <v/>
      </c>
    </row>
    <row r="86" spans="1:48" x14ac:dyDescent="0.3">
      <c r="A86" s="23" t="str">
        <f t="shared" si="63"/>
        <v>6150</v>
      </c>
      <c r="B86" s="195" t="s">
        <v>83</v>
      </c>
      <c r="C86" s="186" t="str">
        <f t="shared" si="64"/>
        <v>6150/(0040)</v>
      </c>
      <c r="D86" s="187" t="str">
        <f t="shared" si="65"/>
        <v>(0040)  01116/050 Ch.Gén.</v>
      </c>
      <c r="E86" s="188" t="str">
        <f>A442</f>
        <v>6152 – Travaux Électricité</v>
      </c>
      <c r="F86" s="27">
        <v>789.57</v>
      </c>
      <c r="G86" s="27">
        <v>1681.67</v>
      </c>
      <c r="I86" s="27">
        <v>1685.25</v>
      </c>
      <c r="K86" s="28">
        <v>1000</v>
      </c>
      <c r="M86" s="39"/>
      <c r="N86" s="28">
        <v>1000</v>
      </c>
      <c r="O86" s="27">
        <v>1615.9</v>
      </c>
      <c r="P86" s="39"/>
      <c r="Q86" s="123">
        <f>O86-N86</f>
        <v>615.90000000000009</v>
      </c>
      <c r="R86" s="191">
        <f t="shared" si="66"/>
        <v>5.4119836100526312E-3</v>
      </c>
      <c r="S86" s="28">
        <v>1000</v>
      </c>
      <c r="T86" s="27">
        <v>209</v>
      </c>
      <c r="U86" s="39">
        <f>(T86-O86)/O86</f>
        <v>-0.87066031313818926</v>
      </c>
      <c r="V86" s="123">
        <f>T86-S86</f>
        <v>-791</v>
      </c>
      <c r="W86" s="191">
        <f t="shared" si="67"/>
        <v>7.1299703185135168E-4</v>
      </c>
      <c r="X86" s="28">
        <v>1000</v>
      </c>
      <c r="Y86" s="27">
        <v>1101.0999999999999</v>
      </c>
      <c r="Z86" s="89" t="str">
        <f>ROUND(Y86-T86,2) &amp; "   (" &amp; ROUND(100*(Y86-T86)/T86,1) &amp;"%)"</f>
        <v>892,1   (426,8%)</v>
      </c>
      <c r="AA86" s="34" t="str">
        <f>ROUND(Y86-X86,2) &amp; "  (" &amp; ROUND(100*(Y86-X86)/X86,1) &amp;"%)"</f>
        <v>101,1  (10,1%)</v>
      </c>
      <c r="AB86" s="191">
        <f t="shared" si="68"/>
        <v>3.5419288493369738E-3</v>
      </c>
      <c r="AC86" s="28">
        <v>1020</v>
      </c>
      <c r="AD86" s="4">
        <v>264</v>
      </c>
      <c r="AE86" s="35" t="str">
        <f>ROUND(AD86-Y86,2) &amp; "   (" &amp; ROUND(100*(AD86-Y86)/Y86,1) &amp;"%)"</f>
        <v>-837,1   (-76%)</v>
      </c>
      <c r="AF86" s="34" t="str">
        <f>ROUND(AD86-AC86,2) &amp; "  (" &amp; ROUND(100*(AD86-AC86)/AC86,1) &amp;"%)"</f>
        <v>-756  (-74,1%)</v>
      </c>
      <c r="AG86" s="191">
        <f t="shared" si="69"/>
        <v>8.8438886819731596E-4</v>
      </c>
      <c r="AH86" s="28">
        <v>1040</v>
      </c>
      <c r="AI86" s="4">
        <v>902</v>
      </c>
      <c r="AJ86" s="35" t="str">
        <f t="shared" si="74"/>
        <v>638   (241,7%)</v>
      </c>
      <c r="AK86" s="34" t="str">
        <f>ROUND(AI86-AH86,2) &amp; "  (" &amp; ROUND(100*(AI86-AH86)/AH86,1) &amp;"%)"</f>
        <v>-138  (-13,3%)</v>
      </c>
      <c r="AL86" s="191">
        <f t="shared" si="70"/>
        <v>3.0347652546832515E-3</v>
      </c>
      <c r="AM86" s="28">
        <v>1060</v>
      </c>
      <c r="AN86" s="205">
        <v>379.5</v>
      </c>
      <c r="AO86" s="35" t="str">
        <f t="shared" si="75"/>
        <v>-522,5   (-57,9%)</v>
      </c>
      <c r="AP86" s="34" t="str">
        <f>ROUND(AN86-AM86,2) &amp; "  (" &amp; ROUND(100*(AN86-AM86)/AM86,1) &amp;"%)"</f>
        <v>-680,5  (-64,2%)</v>
      </c>
      <c r="AQ86" s="191">
        <f t="shared" si="71"/>
        <v>1.5969293174257011E-3</v>
      </c>
      <c r="AR86" s="28">
        <v>1060</v>
      </c>
      <c r="AS86" s="4">
        <v>0</v>
      </c>
      <c r="AT86" s="35" t="str">
        <f t="shared" si="72"/>
        <v>-379,5   (-100%)</v>
      </c>
      <c r="AU86" s="34" t="str">
        <f>ROUND(AS86-AR86,2) &amp; "  (" &amp; ROUND(100*(AS86-AR86)/AR86,1) &amp;"%)"</f>
        <v>-1060  (-100%)</v>
      </c>
      <c r="AV86" s="191" t="str">
        <f t="shared" si="73"/>
        <v/>
      </c>
    </row>
    <row r="87" spans="1:48" x14ac:dyDescent="0.3">
      <c r="A87" s="23" t="str">
        <f t="shared" si="63"/>
        <v>6060</v>
      </c>
      <c r="B87" s="195" t="s">
        <v>84</v>
      </c>
      <c r="C87" s="186" t="str">
        <f t="shared" si="64"/>
        <v>6060/(0060)</v>
      </c>
      <c r="D87" s="187" t="str">
        <f t="shared" si="65"/>
        <v>(0060)  01117/050 Ch.Gén.</v>
      </c>
      <c r="E87" s="188" t="s">
        <v>642</v>
      </c>
      <c r="F87" s="27" t="s">
        <v>85</v>
      </c>
      <c r="I87" s="27">
        <v>1254.5</v>
      </c>
      <c r="J87" s="27">
        <v>104.5</v>
      </c>
      <c r="L87" s="27">
        <v>913.92</v>
      </c>
      <c r="M87" s="39">
        <f>(L87-J87)/J87</f>
        <v>7.7456459330143534</v>
      </c>
      <c r="P87" s="39"/>
      <c r="Q87" s="123">
        <f>O87-N87</f>
        <v>0</v>
      </c>
      <c r="R87" s="191" t="str">
        <f t="shared" si="66"/>
        <v/>
      </c>
      <c r="T87" s="27">
        <v>704</v>
      </c>
      <c r="V87" s="123">
        <f>T87-S87</f>
        <v>704</v>
      </c>
      <c r="W87" s="191">
        <f t="shared" si="67"/>
        <v>2.4016742125519217E-3</v>
      </c>
      <c r="Z87" s="89" t="str">
        <f>ROUND(Y87-T87,2) &amp; "   (" &amp; ROUND(100*(Y87-T87)/T87,1) &amp;"%)"</f>
        <v>-704   (-100%)</v>
      </c>
      <c r="AA87" s="34"/>
      <c r="AB87" s="191" t="str">
        <f t="shared" si="68"/>
        <v/>
      </c>
      <c r="AD87" s="192">
        <v>2016.3</v>
      </c>
      <c r="AE87" s="35"/>
      <c r="AF87" s="34"/>
      <c r="AG87" s="191">
        <f t="shared" si="69"/>
        <v>6.7545199808570003E-3</v>
      </c>
      <c r="AI87" s="205">
        <v>3498</v>
      </c>
      <c r="AJ87" s="29"/>
      <c r="AK87" s="34"/>
      <c r="AL87" s="191">
        <f t="shared" si="70"/>
        <v>1.1768967694991146E-2</v>
      </c>
      <c r="AN87" s="205">
        <v>143</v>
      </c>
      <c r="AO87" s="29"/>
      <c r="AP87" s="34"/>
      <c r="AQ87" s="191">
        <f t="shared" si="71"/>
        <v>6.0174148192852512E-4</v>
      </c>
      <c r="AS87" s="4"/>
      <c r="AT87" s="29"/>
      <c r="AU87" s="34"/>
      <c r="AV87" s="191" t="str">
        <f t="shared" si="73"/>
        <v/>
      </c>
    </row>
    <row r="88" spans="1:48" x14ac:dyDescent="0.3">
      <c r="A88" s="23" t="str">
        <f t="shared" si="63"/>
        <v>6150</v>
      </c>
      <c r="B88" s="185" t="s">
        <v>86</v>
      </c>
      <c r="C88" s="186" t="str">
        <f t="shared" si="64"/>
        <v>6150/(0070)</v>
      </c>
      <c r="D88" s="187" t="str">
        <f t="shared" si="65"/>
        <v>(0070)  01126/050 Ch.Gén.</v>
      </c>
      <c r="E88" s="190" t="str">
        <f>A477</f>
        <v>61587 – Travaux Maçonnerie</v>
      </c>
      <c r="F88" s="27">
        <v>717.4</v>
      </c>
      <c r="G88" s="27">
        <v>717.4</v>
      </c>
      <c r="M88" s="39"/>
      <c r="P88" s="39"/>
      <c r="Q88" s="123"/>
      <c r="R88" s="191" t="str">
        <f t="shared" si="66"/>
        <v/>
      </c>
      <c r="V88" s="123"/>
      <c r="W88" s="191" t="str">
        <f t="shared" si="67"/>
        <v/>
      </c>
      <c r="Y88" s="27">
        <v>4434.1000000000004</v>
      </c>
      <c r="Z88" s="89"/>
      <c r="AA88" s="34"/>
      <c r="AB88" s="191">
        <f t="shared" si="68"/>
        <v>1.4263251939737607E-2</v>
      </c>
      <c r="AD88" s="4"/>
      <c r="AE88" s="35"/>
      <c r="AF88" s="34"/>
      <c r="AG88" s="191" t="str">
        <f t="shared" si="69"/>
        <v/>
      </c>
      <c r="AI88" s="4"/>
      <c r="AJ88" s="29"/>
      <c r="AK88" s="34"/>
      <c r="AL88" s="191" t="str">
        <f t="shared" si="70"/>
        <v/>
      </c>
      <c r="AN88" s="205">
        <v>1254</v>
      </c>
      <c r="AO88" s="29"/>
      <c r="AP88" s="34"/>
      <c r="AQ88" s="191">
        <f t="shared" si="71"/>
        <v>5.2768099184501436E-3</v>
      </c>
      <c r="AS88" s="4"/>
      <c r="AT88" s="29"/>
      <c r="AU88" s="34"/>
      <c r="AV88" s="191" t="str">
        <f t="shared" si="73"/>
        <v/>
      </c>
    </row>
    <row r="89" spans="1:48" x14ac:dyDescent="0.3">
      <c r="A89" s="23" t="str">
        <f>LEFT(B89,4)</f>
        <v>6150</v>
      </c>
      <c r="B89" s="185" t="s">
        <v>624</v>
      </c>
      <c r="C89" s="186" t="str">
        <f t="shared" ref="C89" si="76">LEFT(B89,4) &amp;"/"&amp; RIGHT(B89,6)</f>
        <v>6150/(0080)</v>
      </c>
      <c r="D89" s="187" t="str">
        <f t="shared" ref="D89" si="77">RIGHT(B89,6) &amp;"  "&amp; RIGHT(LEFT(B89,10),5) &amp;"/"&amp;LEFT(B$81,6)&amp;"."&amp;RIGHT(LEFT(B$81,14),3)&amp;"."</f>
        <v>(0080)  01135/050 Ch.Gén.</v>
      </c>
      <c r="E89" s="190" t="str">
        <f>A464</f>
        <v>615625 – Entretien Menuiserie</v>
      </c>
      <c r="M89" s="39"/>
      <c r="P89" s="39"/>
      <c r="Q89" s="123"/>
      <c r="R89" s="191"/>
      <c r="V89" s="123"/>
      <c r="W89" s="191"/>
      <c r="Z89" s="89"/>
      <c r="AA89" s="34"/>
      <c r="AB89" s="191"/>
      <c r="AD89" s="4"/>
      <c r="AE89" s="35"/>
      <c r="AF89" s="34"/>
      <c r="AG89" s="191"/>
      <c r="AI89" s="4">
        <v>451</v>
      </c>
      <c r="AJ89" s="29"/>
      <c r="AK89" s="34"/>
      <c r="AL89" s="191"/>
      <c r="AN89" s="4">
        <v>0</v>
      </c>
      <c r="AO89" s="29"/>
      <c r="AP89" s="34"/>
      <c r="AQ89" s="191"/>
      <c r="AS89" s="4"/>
      <c r="AT89" s="29"/>
      <c r="AU89" s="34"/>
      <c r="AV89" s="191"/>
    </row>
    <row r="90" spans="1:48" x14ac:dyDescent="0.3">
      <c r="A90" s="23" t="str">
        <f t="shared" si="63"/>
        <v>6150</v>
      </c>
      <c r="B90" s="185" t="s">
        <v>87</v>
      </c>
      <c r="C90" s="186" t="str">
        <f t="shared" si="64"/>
        <v>6150/(0080)</v>
      </c>
      <c r="D90" s="187" t="str">
        <f t="shared" si="65"/>
        <v>(0080)  01136/050 Ch.Gén.</v>
      </c>
      <c r="E90" s="190" t="s">
        <v>643</v>
      </c>
      <c r="F90" s="27">
        <v>0</v>
      </c>
      <c r="M90" s="39"/>
      <c r="O90" s="27">
        <v>778.76</v>
      </c>
      <c r="P90" s="39"/>
      <c r="Q90" s="123">
        <f t="shared" ref="Q90:Q95" si="78">O90-N90</f>
        <v>778.76</v>
      </c>
      <c r="R90" s="191">
        <f t="shared" ref="R90:R98" si="79">IF(O90&gt;0,O90/O$219,"")</f>
        <v>2.6082284523575635E-3</v>
      </c>
      <c r="V90" s="123">
        <f t="shared" ref="V90:V95" si="80">T90-S90</f>
        <v>0</v>
      </c>
      <c r="W90" s="191" t="str">
        <f t="shared" ref="W90:W98" si="81">IF(T90&gt;0,T90/T$219,"")</f>
        <v/>
      </c>
      <c r="Z90" s="89"/>
      <c r="AA90" s="34"/>
      <c r="AB90" s="191" t="str">
        <f t="shared" ref="AB90:AB98" si="82">IF(Y90&gt;0,Y90/Y$219,"")</f>
        <v/>
      </c>
      <c r="AD90" s="4"/>
      <c r="AE90" s="35"/>
      <c r="AF90" s="34"/>
      <c r="AG90" s="191" t="str">
        <f t="shared" ref="AG90:AG98" si="83">IF(AD90&gt;0,AD90/AD$219,"")</f>
        <v/>
      </c>
      <c r="AI90" s="4"/>
      <c r="AJ90" s="29"/>
      <c r="AK90" s="34"/>
      <c r="AL90" s="191" t="str">
        <f t="shared" ref="AL90:AL110" si="84">IF(AI90&gt;0,AI90/AI$219,"")</f>
        <v/>
      </c>
      <c r="AN90" s="205"/>
      <c r="AO90" s="29"/>
      <c r="AP90" s="34"/>
      <c r="AQ90" s="191" t="str">
        <f t="shared" ref="AQ90:AQ98" si="85">IF(AN90&gt;0,AN90/AN$219,"")</f>
        <v/>
      </c>
      <c r="AS90" s="4"/>
      <c r="AT90" s="29"/>
      <c r="AU90" s="34"/>
      <c r="AV90" s="191" t="str">
        <f t="shared" ref="AV90:AV98" si="86">IF(AS90&gt;0,AS90/AS$219,"")</f>
        <v/>
      </c>
    </row>
    <row r="91" spans="1:48" x14ac:dyDescent="0.3">
      <c r="A91" s="23" t="str">
        <f t="shared" si="63"/>
        <v>6150</v>
      </c>
      <c r="B91" s="185" t="s">
        <v>88</v>
      </c>
      <c r="C91" s="186" t="str">
        <f t="shared" si="64"/>
        <v>6150/(0090)</v>
      </c>
      <c r="D91" s="187" t="str">
        <f t="shared" si="65"/>
        <v>(0090)  01146/050 Ch.Gén.</v>
      </c>
      <c r="E91" s="190" t="str">
        <f>A474</f>
        <v>61581 – Travaux PeintureRevêtt</v>
      </c>
      <c r="F91" s="27">
        <v>2161.6999999999998</v>
      </c>
      <c r="G91" s="27">
        <v>2519.34</v>
      </c>
      <c r="H91" s="27">
        <v>1298.98</v>
      </c>
      <c r="I91" s="27">
        <v>11516.84</v>
      </c>
      <c r="K91" s="28">
        <v>2000</v>
      </c>
      <c r="M91" s="39"/>
      <c r="N91" s="28">
        <v>2000</v>
      </c>
      <c r="O91" s="27">
        <v>1254.8399999999999</v>
      </c>
      <c r="P91" s="39"/>
      <c r="Q91" s="123">
        <f t="shared" si="78"/>
        <v>-745.16000000000008</v>
      </c>
      <c r="R91" s="191">
        <f t="shared" si="79"/>
        <v>4.2027189264425046E-3</v>
      </c>
      <c r="S91" s="28">
        <v>2000</v>
      </c>
      <c r="T91" s="27">
        <v>2502.5</v>
      </c>
      <c r="U91" s="39">
        <f>(T91-O91)/O91</f>
        <v>0.99427815498390248</v>
      </c>
      <c r="V91" s="123">
        <f t="shared" si="80"/>
        <v>502.5</v>
      </c>
      <c r="W91" s="191">
        <f t="shared" si="81"/>
        <v>8.5372013024306581E-3</v>
      </c>
      <c r="X91" s="28">
        <v>2000</v>
      </c>
      <c r="Y91" s="27">
        <v>3019.83</v>
      </c>
      <c r="Z91" s="89" t="str">
        <f>ROUND(Y91-T91,2) &amp; "   (" &amp; ROUND(100*(Y91-T91)/T91,1) &amp;"%)"</f>
        <v>517,33   (20,7%)</v>
      </c>
      <c r="AA91" s="34" t="str">
        <f>ROUND(Y91-X91,2) &amp; "  (" &amp; ROUND(100*(Y91-X91)/X91,1) &amp;"%)"</f>
        <v>1019,83  (51%)</v>
      </c>
      <c r="AB91" s="191">
        <f t="shared" si="82"/>
        <v>9.7139433267580365E-3</v>
      </c>
      <c r="AC91" s="28">
        <v>2000</v>
      </c>
      <c r="AD91" s="192">
        <v>2323.1</v>
      </c>
      <c r="AE91" s="35" t="str">
        <f>ROUND(AD91-Y91,2) &amp; "   (" &amp; ROUND(100*(AD91-Y91)/Y91,1) &amp;"%)"</f>
        <v>-696,73   (-23,1%)</v>
      </c>
      <c r="AF91" s="34" t="str">
        <f>ROUND(AD91-AC91,2) &amp; "  (" &amp; ROUND(100*(AD91-AC91)/AC91,1) &amp;"%)"</f>
        <v>323,1  (16,2%)</v>
      </c>
      <c r="AG91" s="191">
        <f t="shared" si="83"/>
        <v>7.7822870443529715E-3</v>
      </c>
      <c r="AH91" s="28">
        <v>2030</v>
      </c>
      <c r="AI91" s="4">
        <v>648</v>
      </c>
      <c r="AJ91" s="35" t="str">
        <f t="shared" ref="AJ91" si="87">ROUND(AI91-AD91,2) &amp; "   (" &amp; ROUND(100*(AI91-AD91)/AD91,1) &amp;"%)"</f>
        <v>-1675,1   (-72,1%)</v>
      </c>
      <c r="AK91" s="34" t="str">
        <f>ROUND(AI91-AH91,2) &amp; "  (" &amp; ROUND(100*(AI91-AH91)/AH91,1) &amp;"%)"</f>
        <v>-1382  (-68,1%)</v>
      </c>
      <c r="AL91" s="191">
        <f t="shared" si="84"/>
        <v>2.1801861253156838E-3</v>
      </c>
      <c r="AM91" s="28">
        <v>2070</v>
      </c>
      <c r="AN91" s="205">
        <v>0</v>
      </c>
      <c r="AO91" s="35" t="str">
        <f t="shared" ref="AO91" si="88">ROUND(AN91-AI91,2) &amp; "   (" &amp; ROUND(100*(AN91-AI91)/AI91,1) &amp;"%)"</f>
        <v>-648   (-100%)</v>
      </c>
      <c r="AP91" s="34" t="str">
        <f>ROUND(AN91-AM91,2) &amp; "  (" &amp; ROUND(100*(AN91-AM91)/AM91,1) &amp;"%)"</f>
        <v>-2070  (-100%)</v>
      </c>
      <c r="AQ91" s="191" t="str">
        <f t="shared" si="85"/>
        <v/>
      </c>
      <c r="AR91" s="28">
        <v>2070</v>
      </c>
      <c r="AS91" s="4">
        <v>0</v>
      </c>
      <c r="AT91" s="35" t="e">
        <f t="shared" ref="AT91" si="89">ROUND(AS91-AN91,2) &amp; "   (" &amp; ROUND(100*(AS91-AN91)/AN91,1) &amp;"%)"</f>
        <v>#DIV/0!</v>
      </c>
      <c r="AU91" s="34" t="str">
        <f>ROUND(AS91-AR91,2) &amp; "  (" &amp; ROUND(100*(AS91-AR91)/AR91,1) &amp;"%)"</f>
        <v>-2070  (-100%)</v>
      </c>
      <c r="AV91" s="191" t="str">
        <f t="shared" si="86"/>
        <v/>
      </c>
    </row>
    <row r="92" spans="1:48" x14ac:dyDescent="0.3">
      <c r="A92" s="23" t="str">
        <f t="shared" si="63"/>
        <v>6050</v>
      </c>
      <c r="B92" s="185" t="s">
        <v>89</v>
      </c>
      <c r="C92" s="186" t="str">
        <f t="shared" si="64"/>
        <v>6050/(0100)</v>
      </c>
      <c r="D92" s="187" t="str">
        <f t="shared" si="65"/>
        <v>(0100)  01158/050 Ch.Gén.</v>
      </c>
      <c r="E92" s="188" t="str">
        <f>A379</f>
        <v xml:space="preserve">6054 – Matériels Hygiène Entretien </v>
      </c>
      <c r="F92" s="27" t="s">
        <v>85</v>
      </c>
      <c r="L92" s="27">
        <v>39.99</v>
      </c>
      <c r="M92" s="39"/>
      <c r="O92" s="27">
        <v>726</v>
      </c>
      <c r="P92" s="39">
        <f>(O92-L92)/L92</f>
        <v>17.154538634658664</v>
      </c>
      <c r="Q92" s="123">
        <f t="shared" si="78"/>
        <v>726</v>
      </c>
      <c r="R92" s="191">
        <f t="shared" si="79"/>
        <v>2.4315242904252802E-3</v>
      </c>
      <c r="T92" s="27">
        <v>259.22000000000003</v>
      </c>
      <c r="U92" s="39">
        <f>(T92-O92)/O92</f>
        <v>-0.6429476584022038</v>
      </c>
      <c r="V92" s="123">
        <f t="shared" si="80"/>
        <v>259.22000000000003</v>
      </c>
      <c r="W92" s="191">
        <f t="shared" si="81"/>
        <v>8.8432100763879149E-4</v>
      </c>
      <c r="Y92" s="27">
        <v>199.95</v>
      </c>
      <c r="Z92" s="89" t="str">
        <f>ROUND(Y92-T92,2) &amp; "   (" &amp; ROUND(100*(Y92-T92)/T92,1) &amp;"%)"</f>
        <v>-59,27   (-22,9%)</v>
      </c>
      <c r="AA92" s="34"/>
      <c r="AB92" s="191">
        <f t="shared" si="82"/>
        <v>6.431828838660684E-4</v>
      </c>
      <c r="AD92" s="4"/>
      <c r="AE92" s="35" t="str">
        <f>ROUND(AD92-Y92,2) &amp; "   (" &amp; ROUND(100*(AD92-Y92)/Y92,1) &amp;"%)"</f>
        <v>-199,95   (-100%)</v>
      </c>
      <c r="AF92" s="34"/>
      <c r="AG92" s="191" t="str">
        <f t="shared" si="83"/>
        <v/>
      </c>
      <c r="AI92" s="463">
        <v>675.49</v>
      </c>
      <c r="AJ92" s="35" t="str">
        <f>ROUND(AI92-AD92,2) &amp; "   (" &amp; ROUND(100*(AI92-AD92)/(AD92+0.001),1) &amp;"%)"</f>
        <v>675,49   (67549000%)</v>
      </c>
      <c r="AK92" s="34"/>
      <c r="AL92" s="191">
        <f t="shared" si="84"/>
        <v>2.272675811403536E-3</v>
      </c>
      <c r="AN92" s="467">
        <v>250.71</v>
      </c>
      <c r="AO92" s="29"/>
      <c r="AP92" s="34"/>
      <c r="AQ92" s="191">
        <f t="shared" si="85"/>
        <v>1.0549832652748288E-3</v>
      </c>
      <c r="AS92" s="4"/>
      <c r="AT92" s="29"/>
      <c r="AU92" s="34"/>
      <c r="AV92" s="191" t="str">
        <f t="shared" si="86"/>
        <v/>
      </c>
    </row>
    <row r="93" spans="1:48" x14ac:dyDescent="0.3">
      <c r="A93" s="23" t="str">
        <f t="shared" si="63"/>
        <v>6140</v>
      </c>
      <c r="B93" s="185" t="s">
        <v>90</v>
      </c>
      <c r="C93" s="186" t="str">
        <f t="shared" si="64"/>
        <v>6140/(0110)</v>
      </c>
      <c r="D93" s="187" t="str">
        <f t="shared" si="65"/>
        <v>(0110)  00161/050 Ch.Gén.</v>
      </c>
      <c r="E93" s="190" t="str">
        <f>A413</f>
        <v>61452 – Contrat Dératisation</v>
      </c>
      <c r="F93" s="27">
        <v>453.61</v>
      </c>
      <c r="G93" s="27">
        <v>465.51</v>
      </c>
      <c r="H93" s="27">
        <v>484.8</v>
      </c>
      <c r="I93" s="27">
        <v>499.34</v>
      </c>
      <c r="J93" s="27">
        <v>530.23</v>
      </c>
      <c r="K93" s="28">
        <v>490</v>
      </c>
      <c r="L93" s="27">
        <v>547.24</v>
      </c>
      <c r="M93" s="39">
        <f>(L93-J93)/J93</f>
        <v>3.2080417931840882E-2</v>
      </c>
      <c r="N93" s="28">
        <v>490</v>
      </c>
      <c r="O93" s="27">
        <v>574.88</v>
      </c>
      <c r="P93" s="39">
        <f>(O93-L93)/L93</f>
        <v>5.0508003800891724E-2</v>
      </c>
      <c r="Q93" s="123">
        <f t="shared" si="78"/>
        <v>84.88</v>
      </c>
      <c r="R93" s="191">
        <f t="shared" si="79"/>
        <v>1.9253921268315222E-3</v>
      </c>
      <c r="S93" s="28">
        <v>490</v>
      </c>
      <c r="T93" s="27">
        <v>587.80999999999995</v>
      </c>
      <c r="U93" s="39">
        <f>(T93-O93)/O93</f>
        <v>2.249165043139429E-2</v>
      </c>
      <c r="V93" s="123">
        <f t="shared" si="80"/>
        <v>97.809999999999945</v>
      </c>
      <c r="W93" s="191">
        <f t="shared" si="81"/>
        <v>2.0052956234092967E-3</v>
      </c>
      <c r="X93" s="28">
        <v>580</v>
      </c>
      <c r="Y93" s="27">
        <v>528</v>
      </c>
      <c r="Z93" s="89" t="str">
        <f>ROUND(Y93-T93,2) &amp; "   (" &amp; ROUND(100*(Y93-T93)/T93,1) &amp;"%)"</f>
        <v>-59,81   (-10,2%)</v>
      </c>
      <c r="AA93" s="34" t="str">
        <f>ROUND(Y93-X93,2) &amp; "  (" &amp; ROUND(100*(Y93-X93)/X93,1) &amp;"%)"</f>
        <v>-52  (-9%)</v>
      </c>
      <c r="AB93" s="191">
        <f t="shared" si="82"/>
        <v>1.6984274202614862E-3</v>
      </c>
      <c r="AC93" s="28">
        <v>500</v>
      </c>
      <c r="AD93" s="4">
        <v>0</v>
      </c>
      <c r="AE93" s="35" t="str">
        <f>ROUND(AD93-Y93,2) &amp; "   (" &amp; ROUND(100*(AD93-Y93)/Y93,1) &amp;"%)"</f>
        <v>-528   (-100%)</v>
      </c>
      <c r="AF93" s="34" t="str">
        <f>ROUND(AD93-AC93,2) &amp; "  (" &amp; ROUND(100*(AD93-AC93)/AC93,1) &amp;"%)"</f>
        <v>-500  (-100%)</v>
      </c>
      <c r="AG93" s="191" t="str">
        <f t="shared" si="83"/>
        <v/>
      </c>
      <c r="AH93" s="28">
        <v>510</v>
      </c>
      <c r="AI93" s="4">
        <v>0</v>
      </c>
      <c r="AJ93" s="35" t="str">
        <f t="shared" ref="AJ93:AJ94" si="90">ROUND(AI93-AD93,2) &amp; "   (" &amp; ROUND(100*(AI93-AD93)/(AD93+0.001),1) &amp;"%)"</f>
        <v>0   (0%)</v>
      </c>
      <c r="AK93" s="34" t="str">
        <f>ROUND(AI93-AH93,2) &amp; "  (" &amp; ROUND(100*(AI93-AH93)/AH93,1) &amp;"%)"</f>
        <v>-510  (-100%)</v>
      </c>
      <c r="AL93" s="191" t="str">
        <f t="shared" si="84"/>
        <v/>
      </c>
      <c r="AM93" s="28">
        <v>520</v>
      </c>
      <c r="AN93" s="205">
        <v>0</v>
      </c>
      <c r="AO93" s="35" t="str">
        <f t="shared" ref="AO93:AO94" si="91">ROUND(AN93-AI93,2) &amp; "   (" &amp; ROUND(100*(AN93-AI93)/(AI93+0.0001),1) &amp;"%)"</f>
        <v>0   (0%)</v>
      </c>
      <c r="AP93" s="34" t="str">
        <f>ROUND(AN93-AM93,2) &amp; "  (" &amp; ROUND(100*(AN93-AM93)/AM93,1) &amp;"%)"</f>
        <v>-520  (-100%)</v>
      </c>
      <c r="AQ93" s="191" t="str">
        <f t="shared" si="85"/>
        <v/>
      </c>
      <c r="AR93" s="28">
        <v>520</v>
      </c>
      <c r="AS93" s="4">
        <v>0</v>
      </c>
      <c r="AT93" s="35" t="e">
        <f t="shared" ref="AT93:AT94" si="92">ROUND(AS93-AN93,2) &amp; "   (" &amp; ROUND(100*(AS93-AN93)/AN93,1) &amp;"%)"</f>
        <v>#DIV/0!</v>
      </c>
      <c r="AU93" s="34" t="str">
        <f>ROUND(AS93-AR93,2) &amp; "  (" &amp; ROUND(100*(AS93-AR93)/AR93,1) &amp;"%)"</f>
        <v>-520  (-100%)</v>
      </c>
      <c r="AV93" s="191" t="str">
        <f t="shared" si="86"/>
        <v/>
      </c>
    </row>
    <row r="94" spans="1:48" x14ac:dyDescent="0.3">
      <c r="A94" s="23" t="str">
        <f t="shared" si="63"/>
        <v>6140</v>
      </c>
      <c r="B94" s="185" t="s">
        <v>91</v>
      </c>
      <c r="C94" s="186" t="str">
        <f t="shared" si="64"/>
        <v>6140/(0120)</v>
      </c>
      <c r="D94" s="187" t="str">
        <f t="shared" si="65"/>
        <v>(0120)  00162/050 Ch.Gén.</v>
      </c>
      <c r="E94" s="190" t="str">
        <f>A414</f>
        <v>61453 – Contrat Désinsectisation</v>
      </c>
      <c r="F94" s="27">
        <v>1521.69</v>
      </c>
      <c r="G94" s="27">
        <v>1556.9</v>
      </c>
      <c r="H94" s="27">
        <v>1618.5</v>
      </c>
      <c r="I94" s="27">
        <v>1655.03</v>
      </c>
      <c r="J94" s="27">
        <v>669.74</v>
      </c>
      <c r="K94" s="28">
        <v>1750</v>
      </c>
      <c r="L94" s="27">
        <v>2847.66</v>
      </c>
      <c r="M94" s="39">
        <f>(L94-J94)/J94</f>
        <v>3.2518887926658109</v>
      </c>
      <c r="N94" s="28">
        <v>1750</v>
      </c>
      <c r="O94" s="27">
        <v>1818.34</v>
      </c>
      <c r="P94" s="39">
        <f>(O94-L94)/L94</f>
        <v>-0.36146169135360262</v>
      </c>
      <c r="Q94" s="123">
        <f t="shared" si="78"/>
        <v>68.339999999999918</v>
      </c>
      <c r="R94" s="191">
        <f t="shared" si="79"/>
        <v>6.0899970774819607E-3</v>
      </c>
      <c r="S94" s="28">
        <v>1750</v>
      </c>
      <c r="T94" s="27">
        <v>740.47</v>
      </c>
      <c r="U94" s="39">
        <f>(T94-O94)/O94</f>
        <v>-0.59277692840722851</v>
      </c>
      <c r="V94" s="123">
        <f t="shared" si="80"/>
        <v>-1009.53</v>
      </c>
      <c r="W94" s="191">
        <f t="shared" si="81"/>
        <v>2.5260904888754565E-3</v>
      </c>
      <c r="X94" s="28">
        <v>1900</v>
      </c>
      <c r="Z94" s="89" t="str">
        <f>ROUND(Y94-T94,2) &amp; "   (" &amp; ROUND(100*(Y94-T94)/T94,1) &amp;"%)"</f>
        <v>-740,47   (-100%)</v>
      </c>
      <c r="AA94" s="34" t="str">
        <f>ROUND(Y94-X94,2) &amp; "  (" &amp; ROUND(100*(Y94-X94)/X94,1) &amp;"%)"</f>
        <v>-1900  (-100%)</v>
      </c>
      <c r="AB94" s="191" t="str">
        <f t="shared" si="82"/>
        <v/>
      </c>
      <c r="AC94" s="28">
        <v>1500</v>
      </c>
      <c r="AD94" s="4">
        <v>0</v>
      </c>
      <c r="AE94" s="35"/>
      <c r="AF94" s="34" t="str">
        <f>ROUND(AD94-AC94,2) &amp; "  (" &amp; ROUND(100*(AD94-AC94)/AC94,1) &amp;"%)"</f>
        <v>-1500  (-100%)</v>
      </c>
      <c r="AG94" s="191" t="str">
        <f t="shared" si="83"/>
        <v/>
      </c>
      <c r="AH94" s="28">
        <v>1530</v>
      </c>
      <c r="AI94" s="4">
        <v>0</v>
      </c>
      <c r="AJ94" s="35" t="str">
        <f t="shared" si="90"/>
        <v>0   (0%)</v>
      </c>
      <c r="AK94" s="34" t="str">
        <f>ROUND(AI94-AH94,2) &amp; "  (" &amp; ROUND(100*(AI94-AH94)/AH94,1) &amp;"%)"</f>
        <v>-1530  (-100%)</v>
      </c>
      <c r="AL94" s="191" t="str">
        <f t="shared" si="84"/>
        <v/>
      </c>
      <c r="AM94" s="28">
        <v>1560</v>
      </c>
      <c r="AN94" s="205">
        <v>0</v>
      </c>
      <c r="AO94" s="35" t="str">
        <f t="shared" si="91"/>
        <v>0   (0%)</v>
      </c>
      <c r="AP94" s="34" t="str">
        <f>ROUND(AN94-AM94,2) &amp; "  (" &amp; ROUND(100*(AN94-AM94)/AM94,1) &amp;"%)"</f>
        <v>-1560  (-100%)</v>
      </c>
      <c r="AQ94" s="191" t="str">
        <f t="shared" si="85"/>
        <v/>
      </c>
      <c r="AR94" s="28">
        <v>1560</v>
      </c>
      <c r="AS94" s="4">
        <v>0</v>
      </c>
      <c r="AT94" s="35" t="e">
        <f t="shared" si="92"/>
        <v>#DIV/0!</v>
      </c>
      <c r="AU94" s="34" t="str">
        <f>ROUND(AS94-AR94,2) &amp; "  (" &amp; ROUND(100*(AS94-AR94)/AR94,1) &amp;"%)"</f>
        <v>-1560  (-100%)</v>
      </c>
      <c r="AV94" s="191" t="str">
        <f t="shared" si="86"/>
        <v/>
      </c>
    </row>
    <row r="95" spans="1:48" x14ac:dyDescent="0.3">
      <c r="A95" s="23" t="str">
        <f t="shared" si="63"/>
        <v>6140</v>
      </c>
      <c r="B95" s="185" t="s">
        <v>92</v>
      </c>
      <c r="C95" s="186" t="str">
        <f t="shared" si="64"/>
        <v>6140/(0130)</v>
      </c>
      <c r="D95" s="187" t="str">
        <f t="shared" si="65"/>
        <v>(0130)  01165/050 Ch.Gén.</v>
      </c>
      <c r="E95" s="190" t="str">
        <f>A455</f>
        <v>61552 – Intervention Dératisation</v>
      </c>
      <c r="F95" s="27">
        <v>0</v>
      </c>
      <c r="M95" s="39"/>
      <c r="P95" s="39"/>
      <c r="Q95" s="123">
        <f t="shared" si="78"/>
        <v>0</v>
      </c>
      <c r="R95" s="191" t="str">
        <f t="shared" si="79"/>
        <v/>
      </c>
      <c r="T95" s="27">
        <v>528</v>
      </c>
      <c r="V95" s="123">
        <f t="shared" si="80"/>
        <v>528</v>
      </c>
      <c r="W95" s="191">
        <f t="shared" si="81"/>
        <v>1.8012556594139411E-3</v>
      </c>
      <c r="Z95" s="89" t="str">
        <f>ROUND(Y95-T95,2) &amp; "   (" &amp; ROUND(100*(Y95-T95)/T95,1) &amp;"%)"</f>
        <v>-528   (-100%)</v>
      </c>
      <c r="AA95" s="34"/>
      <c r="AB95" s="191" t="str">
        <f t="shared" si="82"/>
        <v/>
      </c>
      <c r="AD95" s="4">
        <v>528</v>
      </c>
      <c r="AE95" s="35"/>
      <c r="AF95" s="34"/>
      <c r="AG95" s="191">
        <f t="shared" si="83"/>
        <v>1.7687777363946319E-3</v>
      </c>
      <c r="AI95" s="4"/>
      <c r="AJ95" s="29"/>
      <c r="AK95" s="34"/>
      <c r="AL95" s="191" t="str">
        <f t="shared" si="84"/>
        <v/>
      </c>
      <c r="AN95" s="205"/>
      <c r="AO95" s="29"/>
      <c r="AP95" s="34"/>
      <c r="AQ95" s="191" t="str">
        <f t="shared" si="85"/>
        <v/>
      </c>
      <c r="AS95" s="4"/>
      <c r="AT95" s="29"/>
      <c r="AU95" s="34"/>
      <c r="AV95" s="191" t="str">
        <f t="shared" si="86"/>
        <v/>
      </c>
    </row>
    <row r="96" spans="1:48" x14ac:dyDescent="0.3">
      <c r="A96" s="23" t="str">
        <f t="shared" si="63"/>
        <v>6140</v>
      </c>
      <c r="B96" s="185" t="s">
        <v>93</v>
      </c>
      <c r="C96" s="186" t="str">
        <f t="shared" si="64"/>
        <v>6140/(0140)</v>
      </c>
      <c r="D96" s="187" t="str">
        <f t="shared" si="65"/>
        <v>(0140)  01163/050 Ch.Gén.</v>
      </c>
      <c r="E96" s="196" t="str">
        <f xml:space="preserve"> A457</f>
        <v>615531 – Travaux Désinsectisation</v>
      </c>
      <c r="F96" s="27">
        <v>0</v>
      </c>
      <c r="M96" s="39"/>
      <c r="P96" s="39"/>
      <c r="Q96" s="123"/>
      <c r="R96" s="191" t="str">
        <f t="shared" si="79"/>
        <v/>
      </c>
      <c r="V96" s="123"/>
      <c r="W96" s="191" t="str">
        <f t="shared" si="81"/>
        <v/>
      </c>
      <c r="Z96" s="89"/>
      <c r="AA96" s="34"/>
      <c r="AB96" s="191" t="str">
        <f t="shared" si="82"/>
        <v/>
      </c>
      <c r="AD96" s="4"/>
      <c r="AE96" s="35"/>
      <c r="AF96" s="34"/>
      <c r="AG96" s="191" t="str">
        <f t="shared" si="83"/>
        <v/>
      </c>
      <c r="AI96" s="4"/>
      <c r="AJ96" s="29"/>
      <c r="AK96" s="34"/>
      <c r="AL96" s="191" t="str">
        <f t="shared" si="84"/>
        <v/>
      </c>
      <c r="AN96" s="205"/>
      <c r="AO96" s="29"/>
      <c r="AP96" s="34"/>
      <c r="AQ96" s="191" t="str">
        <f t="shared" si="85"/>
        <v/>
      </c>
      <c r="AS96" s="4"/>
      <c r="AT96" s="29"/>
      <c r="AU96" s="34"/>
      <c r="AV96" s="191" t="str">
        <f t="shared" si="86"/>
        <v/>
      </c>
    </row>
    <row r="97" spans="1:48" x14ac:dyDescent="0.3">
      <c r="A97" s="23" t="str">
        <f t="shared" si="63"/>
        <v>6150</v>
      </c>
      <c r="B97" s="185" t="s">
        <v>94</v>
      </c>
      <c r="C97" s="186" t="str">
        <f t="shared" si="64"/>
        <v>6150/(0150)</v>
      </c>
      <c r="D97" s="187" t="str">
        <f t="shared" si="65"/>
        <v>(0150)  01166/050 Ch.Gén.</v>
      </c>
      <c r="E97" s="196" t="str">
        <f xml:space="preserve"> A458</f>
        <v>615532 – Intervention Désinsectisation</v>
      </c>
      <c r="F97" s="27">
        <v>0</v>
      </c>
      <c r="J97" s="27">
        <v>233.2</v>
      </c>
      <c r="M97" s="39"/>
      <c r="P97" s="39"/>
      <c r="Q97" s="123"/>
      <c r="R97" s="191" t="str">
        <f t="shared" si="79"/>
        <v/>
      </c>
      <c r="V97" s="123"/>
      <c r="W97" s="191" t="str">
        <f t="shared" si="81"/>
        <v/>
      </c>
      <c r="Y97" s="27">
        <v>858</v>
      </c>
      <c r="Z97" s="89"/>
      <c r="AA97" s="34"/>
      <c r="AB97" s="191">
        <f t="shared" si="82"/>
        <v>2.7599445579249149E-3</v>
      </c>
      <c r="AD97" s="4">
        <v>192.5</v>
      </c>
      <c r="AE97" s="35"/>
      <c r="AF97" s="34"/>
      <c r="AG97" s="191">
        <f t="shared" si="83"/>
        <v>6.4486688306054289E-4</v>
      </c>
      <c r="AI97" s="4">
        <v>209</v>
      </c>
      <c r="AJ97" s="29"/>
      <c r="AK97" s="34"/>
      <c r="AL97" s="191">
        <f t="shared" si="84"/>
        <v>7.0317731510953388E-4</v>
      </c>
      <c r="AN97" s="205">
        <v>0</v>
      </c>
      <c r="AO97" s="29"/>
      <c r="AP97" s="34"/>
      <c r="AQ97" s="191" t="str">
        <f t="shared" si="85"/>
        <v/>
      </c>
      <c r="AS97" s="4"/>
      <c r="AT97" s="29"/>
      <c r="AU97" s="34"/>
      <c r="AV97" s="191" t="str">
        <f t="shared" si="86"/>
        <v/>
      </c>
    </row>
    <row r="98" spans="1:48" x14ac:dyDescent="0.3">
      <c r="A98" s="23" t="str">
        <f>LEFT(B98,4)</f>
        <v>6150</v>
      </c>
      <c r="B98" s="185" t="s">
        <v>95</v>
      </c>
      <c r="C98" s="186" t="str">
        <f>LEFT(B98,4) &amp;"/"&amp; RIGHT(B98,6)</f>
        <v>6150/(0160)</v>
      </c>
      <c r="D98" s="187" t="str">
        <f>RIGHT(B98,6) &amp;"  "&amp; RIGHT(LEFT(B98,10),5) &amp;"/"&amp;LEFT(B$81,6)&amp;"."&amp;RIGHT(LEFT(B$81,14),3)&amp;"."</f>
        <v>(0160)  01175/050 Ch.Gén.</v>
      </c>
      <c r="E98" s="188" t="str">
        <f>A397</f>
        <v xml:space="preserve">6115 – Entretien Nettoyage Hygiène </v>
      </c>
      <c r="F98" s="27">
        <v>0</v>
      </c>
      <c r="M98" s="39"/>
      <c r="P98" s="39"/>
      <c r="Q98" s="123">
        <f>O98-N98</f>
        <v>0</v>
      </c>
      <c r="R98" s="191" t="str">
        <f t="shared" si="79"/>
        <v/>
      </c>
      <c r="T98" s="27">
        <v>588</v>
      </c>
      <c r="V98" s="123">
        <f>T98-S98</f>
        <v>588</v>
      </c>
      <c r="W98" s="191">
        <f t="shared" si="81"/>
        <v>2.0059438025291617E-3</v>
      </c>
      <c r="Y98" s="32">
        <v>1944</v>
      </c>
      <c r="Z98" s="197" t="str">
        <f>ROUND(Y98-T98,2) &amp; "   (" &amp; ROUND(100*(Y98-T98)/T98,1) &amp;"%)"</f>
        <v>1356   (230,6%)</v>
      </c>
      <c r="AA98" s="34"/>
      <c r="AB98" s="191">
        <f t="shared" si="82"/>
        <v>6.2533009564172898E-3</v>
      </c>
      <c r="AD98" s="4"/>
      <c r="AE98" s="35" t="str">
        <f>ROUND(AD98-Y98,2) &amp; "   (" &amp; ROUND(100*(AD98-Y98)/Y98,1) &amp;"%)"</f>
        <v>-1944   (-100%)</v>
      </c>
      <c r="AF98" s="34"/>
      <c r="AG98" s="191" t="str">
        <f t="shared" si="83"/>
        <v/>
      </c>
      <c r="AI98" s="4">
        <v>0</v>
      </c>
      <c r="AJ98" s="29"/>
      <c r="AK98" s="34"/>
      <c r="AL98" s="191" t="str">
        <f t="shared" si="84"/>
        <v/>
      </c>
      <c r="AN98" s="205"/>
      <c r="AO98" s="29"/>
      <c r="AP98" s="34"/>
      <c r="AQ98" s="191" t="str">
        <f t="shared" si="85"/>
        <v/>
      </c>
      <c r="AS98" s="4"/>
      <c r="AT98" s="29"/>
      <c r="AU98" s="34"/>
      <c r="AV98" s="191" t="str">
        <f t="shared" si="86"/>
        <v/>
      </c>
    </row>
    <row r="99" spans="1:48" x14ac:dyDescent="0.3">
      <c r="A99" s="23" t="str">
        <f>LEFT(B99,4)</f>
        <v>6150</v>
      </c>
      <c r="B99" s="185" t="s">
        <v>621</v>
      </c>
      <c r="C99" s="186" t="str">
        <f t="shared" ref="C99" si="93">LEFT(B99,4) &amp;"/"&amp; RIGHT(B99,6)</f>
        <v>6150/(0165)</v>
      </c>
      <c r="D99" s="187" t="str">
        <f t="shared" ref="D99" si="94">RIGHT(B99,6) &amp;"  "&amp; RIGHT(LEFT(B99,10),5) &amp;"/"&amp;LEFT(B$81,6)&amp;"."&amp;RIGHT(LEFT(B$81,14),3)&amp;"."</f>
        <v>(0165)  01176/050 Ch.Gén.</v>
      </c>
      <c r="E99" s="188"/>
      <c r="M99" s="39"/>
      <c r="P99" s="39"/>
      <c r="Q99" s="123"/>
      <c r="R99" s="191"/>
      <c r="V99" s="123"/>
      <c r="W99" s="191"/>
      <c r="Y99" s="32"/>
      <c r="Z99" s="197"/>
      <c r="AA99" s="34"/>
      <c r="AB99" s="191"/>
      <c r="AD99" s="4"/>
      <c r="AE99" s="35"/>
      <c r="AF99" s="34"/>
      <c r="AG99" s="191"/>
      <c r="AI99" s="4">
        <v>4219.2</v>
      </c>
      <c r="AJ99" s="29"/>
      <c r="AK99" s="34"/>
      <c r="AL99" s="191">
        <f t="shared" si="84"/>
        <v>1.419543410483323E-2</v>
      </c>
      <c r="AN99" s="4">
        <v>936</v>
      </c>
      <c r="AO99" s="29"/>
      <c r="AP99" s="34"/>
      <c r="AQ99" s="191"/>
      <c r="AS99" s="4"/>
      <c r="AT99" s="29"/>
      <c r="AU99" s="34"/>
      <c r="AV99" s="191"/>
    </row>
    <row r="100" spans="1:48" x14ac:dyDescent="0.3">
      <c r="A100" s="23" t="str">
        <f t="shared" si="63"/>
        <v>6060</v>
      </c>
      <c r="B100" s="185" t="s">
        <v>96</v>
      </c>
      <c r="C100" s="186" t="str">
        <f t="shared" si="64"/>
        <v>6060/(0170)</v>
      </c>
      <c r="D100" s="187" t="str">
        <f t="shared" si="65"/>
        <v>(0170)  0177 /050 Ch.Gén.</v>
      </c>
      <c r="E100" s="188" t="str">
        <f>A374</f>
        <v xml:space="preserve">6044 – Produits Hygiène Entretien </v>
      </c>
      <c r="F100" s="27">
        <v>4975.41</v>
      </c>
      <c r="G100" s="27">
        <v>3617.94</v>
      </c>
      <c r="H100" s="27">
        <v>2688.26</v>
      </c>
      <c r="I100" s="27">
        <v>1717.85</v>
      </c>
      <c r="J100" s="27">
        <v>3633.88</v>
      </c>
      <c r="K100" s="28">
        <v>3000</v>
      </c>
      <c r="L100" s="27">
        <v>5035.68</v>
      </c>
      <c r="M100" s="39">
        <f>(L100-J100)/J100</f>
        <v>0.38575847303708438</v>
      </c>
      <c r="N100" s="28">
        <v>3000</v>
      </c>
      <c r="O100" s="27">
        <v>3482.73</v>
      </c>
      <c r="P100" s="39">
        <f>(O100-L100)/L100</f>
        <v>-0.30838933371461258</v>
      </c>
      <c r="Q100" s="123">
        <f>O100-N100</f>
        <v>482.73</v>
      </c>
      <c r="R100" s="191">
        <f t="shared" ref="R100:R110" si="95">IF(O100&gt;0,O100/O$219,"")</f>
        <v>1.1664383735527322E-2</v>
      </c>
      <c r="S100" s="28">
        <v>3000</v>
      </c>
      <c r="T100" s="27">
        <v>3123.45</v>
      </c>
      <c r="U100" s="39">
        <f>(T100-O100)/O100</f>
        <v>-0.10316045171460325</v>
      </c>
      <c r="V100" s="123">
        <f>T100-S100</f>
        <v>123.44999999999982</v>
      </c>
      <c r="W100" s="191">
        <f t="shared" ref="W100:W110" si="96">IF(T100&gt;0,T100/T$219,"")</f>
        <v>1.0655553010220595E-2</v>
      </c>
      <c r="X100" s="28">
        <v>3000</v>
      </c>
      <c r="Y100" s="32">
        <v>4198.3</v>
      </c>
      <c r="Z100" s="197" t="str">
        <f>ROUND(Y100-T100,2) &amp; "   (" &amp; ROUND(100*(Y100-T100)/T100,1) &amp;"%)"</f>
        <v>1074,85   (34,4%)</v>
      </c>
      <c r="AA100" s="34" t="str">
        <f>ROUND(Y100-X100,2) &amp; "  (" &amp; ROUND(100*(Y100-X100)/X100,1) &amp;"%)"</f>
        <v>1198,3  (39,9%)</v>
      </c>
      <c r="AB100" s="191">
        <f t="shared" ref="AB100:AB110" si="97">IF(Y100&gt;0,Y100/Y$219,"")</f>
        <v>1.3504749694098102E-2</v>
      </c>
      <c r="AC100" s="28">
        <v>3000</v>
      </c>
      <c r="AD100" s="192">
        <v>4478.3599999999997</v>
      </c>
      <c r="AE100" s="35" t="str">
        <f>ROUND(AD100-Y100,2) &amp; "   (" &amp; ROUND(100*(AD100-Y100)/Y100,1) &amp;"%)"</f>
        <v>280,06   (6,7%)</v>
      </c>
      <c r="AF100" s="471" t="str">
        <f>ROUND(AD100-AC100,2) &amp; "  (" &amp; ROUND(100*(AD100-AC100)/AC100,1) &amp;"%)"</f>
        <v>1478,36  (49,3%)</v>
      </c>
      <c r="AG100" s="191">
        <f t="shared" ref="AG100:AG111" si="98">IF(AD100&gt;0,AD100/AD$219,"")</f>
        <v>1.500231716583383E-2</v>
      </c>
      <c r="AH100" s="28">
        <v>3050</v>
      </c>
      <c r="AI100" s="4">
        <v>2446.08</v>
      </c>
      <c r="AJ100" s="35" t="str">
        <f t="shared" ref="AJ100" si="99">ROUND(AI100-AD100,2) &amp; "   (" &amp; ROUND(100*(AI100-AD100)/AD100,1) &amp;"%)"</f>
        <v>-2032,28   (-45,4%)</v>
      </c>
      <c r="AK100" s="34" t="str">
        <f>ROUND(AI100-AH100,2) &amp; "  (" &amp; ROUND(100*(AI100-AH100)/AH100,1) &amp;"%)"</f>
        <v>-603,92  (-19,8%)</v>
      </c>
      <c r="AL100" s="191">
        <f t="shared" si="84"/>
        <v>8.2297988848953514E-3</v>
      </c>
      <c r="AM100" s="28">
        <v>3100</v>
      </c>
      <c r="AN100" s="205">
        <v>2962.55</v>
      </c>
      <c r="AO100" s="35" t="str">
        <f t="shared" ref="AO100" si="100">ROUND(AN100-AI100,2) &amp; "   (" &amp; ROUND(100*(AN100-AI100)/AI100,1) &amp;"%)"</f>
        <v>516,47   (21,1%)</v>
      </c>
      <c r="AP100" s="34" t="str">
        <f>ROUND(AN100-AM100,2) &amp; "  (" &amp; ROUND(100*(AN100-AM100)/AM100,1) &amp;"%)"</f>
        <v>-137,45  (-4,4%)</v>
      </c>
      <c r="AQ100" s="191">
        <f t="shared" ref="AQ100:AQ110" si="101">IF(AN100&gt;0,AN100/AN$219,"")</f>
        <v>1.2466358232778686E-2</v>
      </c>
      <c r="AR100" s="28">
        <v>2000</v>
      </c>
      <c r="AS100" s="4">
        <v>0</v>
      </c>
      <c r="AT100" s="35" t="str">
        <f t="shared" ref="AT100" si="102">ROUND(AS100-AN100,2) &amp; "   (" &amp; ROUND(100*(AS100-AN100)/AN100,1) &amp;"%)"</f>
        <v>-2962,55   (-100%)</v>
      </c>
      <c r="AU100" s="34" t="str">
        <f>ROUND(AS100-AR100,2) &amp; "  (" &amp; ROUND(100*(AS100-AR100)/AR100,1) &amp;"%)"</f>
        <v>-2000  (-100%)</v>
      </c>
      <c r="AV100" s="191" t="str">
        <f t="shared" ref="AV100:AV110" si="103">IF(AS100&gt;0,AS100/AS$219,"")</f>
        <v/>
      </c>
    </row>
    <row r="101" spans="1:48" x14ac:dyDescent="0.3">
      <c r="A101" s="23" t="str">
        <f t="shared" si="63"/>
        <v>6060</v>
      </c>
      <c r="B101" s="185" t="s">
        <v>97</v>
      </c>
      <c r="C101" s="186" t="str">
        <f t="shared" si="64"/>
        <v>6060/(0180)</v>
      </c>
      <c r="D101" s="187" t="str">
        <f t="shared" si="65"/>
        <v>(0180)  00187/050 Ch.Gén.</v>
      </c>
      <c r="E101" s="188" t="str">
        <f>A381</f>
        <v>6056 – Remplacement Glaces</v>
      </c>
      <c r="F101" s="27" t="s">
        <v>85</v>
      </c>
      <c r="J101" s="27">
        <v>280.45</v>
      </c>
      <c r="L101" s="27">
        <v>1041.7</v>
      </c>
      <c r="M101" s="39">
        <f>(L101-J101)/J101</f>
        <v>2.7143875913710112</v>
      </c>
      <c r="P101" s="39"/>
      <c r="Q101" s="123"/>
      <c r="R101" s="191" t="str">
        <f t="shared" si="95"/>
        <v/>
      </c>
      <c r="V101" s="123"/>
      <c r="W101" s="191" t="str">
        <f t="shared" si="96"/>
        <v/>
      </c>
      <c r="Z101" s="89"/>
      <c r="AA101" s="34"/>
      <c r="AB101" s="191" t="str">
        <f t="shared" si="97"/>
        <v/>
      </c>
      <c r="AD101" s="4"/>
      <c r="AE101" s="35"/>
      <c r="AF101" s="34"/>
      <c r="AG101" s="191" t="str">
        <f t="shared" si="98"/>
        <v/>
      </c>
      <c r="AI101" s="4"/>
      <c r="AJ101" s="29"/>
      <c r="AK101" s="34"/>
      <c r="AL101" s="191" t="str">
        <f t="shared" si="84"/>
        <v/>
      </c>
      <c r="AN101" s="205"/>
      <c r="AO101" s="29"/>
      <c r="AP101" s="34"/>
      <c r="AQ101" s="191" t="str">
        <f t="shared" si="101"/>
        <v/>
      </c>
      <c r="AS101" s="4"/>
      <c r="AT101" s="29"/>
      <c r="AU101" s="34"/>
      <c r="AV101" s="191" t="str">
        <f t="shared" si="103"/>
        <v/>
      </c>
    </row>
    <row r="102" spans="1:48" x14ac:dyDescent="0.3">
      <c r="A102" s="23" t="str">
        <f t="shared" si="63"/>
        <v>6150</v>
      </c>
      <c r="B102" s="185" t="s">
        <v>98</v>
      </c>
      <c r="C102" s="186" t="str">
        <f t="shared" si="64"/>
        <v>6150/(0190)</v>
      </c>
      <c r="D102" s="187" t="str">
        <f t="shared" si="65"/>
        <v>(0190)  01186/050 Ch.Gén.</v>
      </c>
      <c r="E102" s="190" t="str">
        <f>A476</f>
        <v>61583 – Travaux Vitrerie</v>
      </c>
      <c r="F102" s="27">
        <v>0</v>
      </c>
      <c r="M102" s="39"/>
      <c r="P102" s="39"/>
      <c r="Q102" s="123"/>
      <c r="R102" s="191" t="str">
        <f t="shared" si="95"/>
        <v/>
      </c>
      <c r="V102" s="123"/>
      <c r="W102" s="191" t="str">
        <f t="shared" si="96"/>
        <v/>
      </c>
      <c r="Y102" s="27">
        <v>453.75</v>
      </c>
      <c r="Z102" s="89"/>
      <c r="AA102" s="34"/>
      <c r="AB102" s="191">
        <f t="shared" si="97"/>
        <v>1.4595860642872146E-3</v>
      </c>
      <c r="AD102" s="4"/>
      <c r="AE102" s="35"/>
      <c r="AF102" s="34"/>
      <c r="AG102" s="191" t="str">
        <f t="shared" si="98"/>
        <v/>
      </c>
      <c r="AI102" s="4"/>
      <c r="AJ102" s="29"/>
      <c r="AK102" s="34"/>
      <c r="AL102" s="191" t="str">
        <f t="shared" si="84"/>
        <v/>
      </c>
      <c r="AN102" s="205"/>
      <c r="AO102" s="29"/>
      <c r="AP102" s="34"/>
      <c r="AQ102" s="191" t="str">
        <f t="shared" si="101"/>
        <v/>
      </c>
      <c r="AS102" s="4"/>
      <c r="AT102" s="29"/>
      <c r="AU102" s="34"/>
      <c r="AV102" s="191" t="str">
        <f t="shared" si="103"/>
        <v/>
      </c>
    </row>
    <row r="103" spans="1:48" x14ac:dyDescent="0.3">
      <c r="A103" s="23" t="str">
        <f t="shared" si="63"/>
        <v>6150</v>
      </c>
      <c r="B103" s="185" t="s">
        <v>99</v>
      </c>
      <c r="C103" s="186" t="str">
        <f t="shared" si="64"/>
        <v>6150/(0200)</v>
      </c>
      <c r="D103" s="187" t="str">
        <f t="shared" si="65"/>
        <v>(0200)  01195/050 Ch.Gén.</v>
      </c>
      <c r="E103" s="190" t="str">
        <f>A420</f>
        <v>61466 – Contrat Entretien Serrurerie</v>
      </c>
      <c r="F103" s="27">
        <v>0</v>
      </c>
      <c r="M103" s="39"/>
      <c r="O103" s="27">
        <v>209</v>
      </c>
      <c r="P103" s="39"/>
      <c r="Q103" s="123">
        <f>O103-N103</f>
        <v>209</v>
      </c>
      <c r="R103" s="191">
        <f t="shared" si="95"/>
        <v>6.9998426542545946E-4</v>
      </c>
      <c r="T103" s="27">
        <v>519.41</v>
      </c>
      <c r="U103" s="39">
        <f>(T103-O103)/O103</f>
        <v>1.4852153110047845</v>
      </c>
      <c r="V103" s="123">
        <f>T103-S103</f>
        <v>519.41</v>
      </c>
      <c r="W103" s="191">
        <f t="shared" si="96"/>
        <v>1.7719511402579454E-3</v>
      </c>
      <c r="Y103" s="27">
        <v>214.19</v>
      </c>
      <c r="Z103" s="89" t="str">
        <f>ROUND(Y103-T103,2) &amp; "   (" &amp; ROUND(100*(Y103-T103)/T103,1) &amp;"%)"</f>
        <v>-305,22   (-58,8%)</v>
      </c>
      <c r="AA103" s="34"/>
      <c r="AB103" s="191">
        <f t="shared" si="97"/>
        <v>6.8898895671554486E-4</v>
      </c>
      <c r="AD103" s="4">
        <v>609.4</v>
      </c>
      <c r="AE103" s="35" t="str">
        <f>ROUND(AD103-Y103,2) &amp; "   (" &amp; ROUND(100*(AD103-Y103)/Y103,1) &amp;"%)"</f>
        <v>395,21   (184,5%)</v>
      </c>
      <c r="AF103" s="34"/>
      <c r="AG103" s="191">
        <f t="shared" si="98"/>
        <v>2.0414643040888043E-3</v>
      </c>
      <c r="AI103" s="463">
        <v>140.80000000000001</v>
      </c>
      <c r="AJ103" s="29"/>
      <c r="AK103" s="34"/>
      <c r="AL103" s="191">
        <f t="shared" si="84"/>
        <v>4.7371945438958075E-4</v>
      </c>
      <c r="AN103" s="467">
        <v>0</v>
      </c>
      <c r="AO103" s="29"/>
      <c r="AP103" s="34"/>
      <c r="AQ103" s="191" t="str">
        <f t="shared" si="101"/>
        <v/>
      </c>
      <c r="AS103" s="4"/>
      <c r="AT103" s="29"/>
      <c r="AU103" s="34"/>
      <c r="AV103" s="191" t="str">
        <f t="shared" si="103"/>
        <v/>
      </c>
    </row>
    <row r="104" spans="1:48" x14ac:dyDescent="0.3">
      <c r="A104" s="23" t="str">
        <f t="shared" si="63"/>
        <v>6150</v>
      </c>
      <c r="B104" s="185" t="s">
        <v>100</v>
      </c>
      <c r="C104" s="186" t="str">
        <f t="shared" si="64"/>
        <v>6150/(0210)</v>
      </c>
      <c r="D104" s="187" t="str">
        <f t="shared" si="65"/>
        <v>(0210)  01196/050 Ch.Gén.</v>
      </c>
      <c r="E104" s="198" t="str">
        <f xml:space="preserve"> A467</f>
        <v>61566 – Travaux Serrurerie</v>
      </c>
      <c r="F104" s="27">
        <v>658.25</v>
      </c>
      <c r="G104" s="27">
        <v>658.32</v>
      </c>
      <c r="H104" s="27">
        <v>292.11</v>
      </c>
      <c r="I104" s="27">
        <v>185.36</v>
      </c>
      <c r="J104" s="27">
        <v>835.22</v>
      </c>
      <c r="K104" s="28">
        <v>1000</v>
      </c>
      <c r="L104" s="27">
        <v>587.29999999999995</v>
      </c>
      <c r="M104" s="39">
        <f>(L104-J104)/J104</f>
        <v>-0.29683197241445375</v>
      </c>
      <c r="N104" s="28">
        <v>1000</v>
      </c>
      <c r="O104" s="27">
        <v>765.6</v>
      </c>
      <c r="P104" s="39">
        <f>(O104-L104)/L104</f>
        <v>0.30359271241273639</v>
      </c>
      <c r="Q104" s="123">
        <f>O104-N104</f>
        <v>-234.39999999999998</v>
      </c>
      <c r="R104" s="191">
        <f t="shared" si="95"/>
        <v>2.564152888084841E-3</v>
      </c>
      <c r="S104" s="28">
        <v>1000</v>
      </c>
      <c r="T104" s="27">
        <v>507.03</v>
      </c>
      <c r="U104" s="39">
        <f>(T104-O104)/O104</f>
        <v>-0.33773510971786841</v>
      </c>
      <c r="V104" s="123">
        <f>T104-S104</f>
        <v>-492.97</v>
      </c>
      <c r="W104" s="191">
        <f t="shared" si="96"/>
        <v>1.7297171533951715E-3</v>
      </c>
      <c r="X104" s="28">
        <v>1000</v>
      </c>
      <c r="Y104" s="27">
        <v>1009.7</v>
      </c>
      <c r="Z104" s="89" t="str">
        <f>ROUND(Y104-T104,2) &amp; "   (" &amp; ROUND(100*(Y104-T104)/T104,1) &amp;"%)"</f>
        <v>502,67   (99,1%)</v>
      </c>
      <c r="AA104" s="34"/>
      <c r="AB104" s="191">
        <f t="shared" si="97"/>
        <v>3.2479207693901944E-3</v>
      </c>
      <c r="AC104" s="28">
        <v>1000</v>
      </c>
      <c r="AD104" s="192">
        <v>4430.92</v>
      </c>
      <c r="AE104" s="193" t="str">
        <f>ROUND(AD104-Y104,2) &amp; "   (" &amp; ROUND(100*(AD104-Y104)/Y104,1) &amp;"%)"</f>
        <v>3421,22   (338,8%)</v>
      </c>
      <c r="AF104" s="471" t="str">
        <f>ROUND(AD104-AC104,2) &amp; "  (" &amp; ROUND(100*(AD104-AC104)/AC104,1) &amp;"%)"</f>
        <v>3430,92  (343,1%)</v>
      </c>
      <c r="AG104" s="191">
        <f t="shared" si="98"/>
        <v>1.4843395166185042E-2</v>
      </c>
      <c r="AH104" s="28">
        <v>1020</v>
      </c>
      <c r="AI104" s="463">
        <v>2218.5300000000002</v>
      </c>
      <c r="AJ104" s="471" t="str">
        <f t="shared" ref="AJ104" si="104">ROUND(AI104-AD104,2) &amp; "   (" &amp; ROUND(100*(AI104-AD104)/AD104,1) &amp;"%)"</f>
        <v>-2212,39   (-49,9%)</v>
      </c>
      <c r="AK104" s="34" t="str">
        <f>ROUND(AI104-AH104,2) &amp; "  (" &amp; ROUND(100*(AI104-AH104)/AH104,1) &amp;"%)"</f>
        <v>1198,53  (117,5%)</v>
      </c>
      <c r="AL104" s="191">
        <f t="shared" si="84"/>
        <v>7.4642103774638967E-3</v>
      </c>
      <c r="AM104" s="28">
        <v>1040</v>
      </c>
      <c r="AN104" s="467">
        <v>0</v>
      </c>
      <c r="AO104" s="35" t="str">
        <f t="shared" ref="AO104" si="105">ROUND(AN104-AI104,2) &amp; "   (" &amp; ROUND(100*(AN104-AI104)/AI104,1) &amp;"%)"</f>
        <v>-2218,53   (-100%)</v>
      </c>
      <c r="AP104" s="34" t="str">
        <f>ROUND(AN104-AM104,2) &amp; "  (" &amp; ROUND(100*(AN104-AM104)/AM104,1) &amp;"%)"</f>
        <v>-1040  (-100%)</v>
      </c>
      <c r="AQ104" s="191" t="str">
        <f t="shared" si="101"/>
        <v/>
      </c>
      <c r="AR104" s="28">
        <v>1040</v>
      </c>
      <c r="AS104" s="4">
        <v>0</v>
      </c>
      <c r="AT104" s="35" t="e">
        <f t="shared" ref="AT104" si="106">ROUND(AS104-AN104,2) &amp; "   (" &amp; ROUND(100*(AS104-AN104)/AN104,1) &amp;"%)"</f>
        <v>#DIV/0!</v>
      </c>
      <c r="AU104" s="34" t="str">
        <f>ROUND(AS104-AR104,2) &amp; "  (" &amp; ROUND(100*(AS104-AR104)/AR104,1) &amp;"%)"</f>
        <v>-1040  (-100%)</v>
      </c>
      <c r="AV104" s="191" t="str">
        <f t="shared" si="103"/>
        <v/>
      </c>
    </row>
    <row r="105" spans="1:48" x14ac:dyDescent="0.3">
      <c r="A105" s="23" t="str">
        <f t="shared" si="63"/>
        <v>6150</v>
      </c>
      <c r="B105" s="185" t="s">
        <v>101</v>
      </c>
      <c r="C105" s="186" t="str">
        <f t="shared" si="64"/>
        <v>6150/(0220)</v>
      </c>
      <c r="D105" s="187" t="str">
        <f t="shared" si="65"/>
        <v>(0220)  01206/050 Ch.Gén.</v>
      </c>
      <c r="E105" s="190" t="str">
        <f>A405</f>
        <v>61415 -  Entretien Curage</v>
      </c>
      <c r="F105" s="27">
        <v>0</v>
      </c>
      <c r="L105" s="27">
        <v>2365</v>
      </c>
      <c r="M105" s="39"/>
      <c r="P105" s="39"/>
      <c r="Q105" s="123"/>
      <c r="R105" s="191" t="str">
        <f t="shared" si="95"/>
        <v/>
      </c>
      <c r="V105" s="123"/>
      <c r="W105" s="191" t="str">
        <f t="shared" si="96"/>
        <v/>
      </c>
      <c r="Z105" s="89"/>
      <c r="AA105" s="34"/>
      <c r="AB105" s="191" t="str">
        <f t="shared" si="97"/>
        <v/>
      </c>
      <c r="AD105" s="4"/>
      <c r="AE105" s="35"/>
      <c r="AF105" s="34"/>
      <c r="AG105" s="191" t="str">
        <f t="shared" si="98"/>
        <v/>
      </c>
      <c r="AI105" s="4"/>
      <c r="AJ105" s="29"/>
      <c r="AK105" s="34"/>
      <c r="AL105" s="191" t="str">
        <f t="shared" si="84"/>
        <v/>
      </c>
      <c r="AN105" s="205"/>
      <c r="AO105" s="29"/>
      <c r="AP105" s="34"/>
      <c r="AQ105" s="191" t="str">
        <f t="shared" si="101"/>
        <v/>
      </c>
      <c r="AS105" s="4"/>
      <c r="AT105" s="29"/>
      <c r="AU105" s="34"/>
      <c r="AV105" s="191" t="str">
        <f t="shared" si="103"/>
        <v/>
      </c>
    </row>
    <row r="106" spans="1:48" x14ac:dyDescent="0.3">
      <c r="A106" s="23" t="str">
        <f t="shared" si="63"/>
        <v>6150</v>
      </c>
      <c r="B106" s="185" t="s">
        <v>102</v>
      </c>
      <c r="C106" s="186" t="str">
        <f t="shared" si="64"/>
        <v>6150/(0230)</v>
      </c>
      <c r="D106" s="187" t="str">
        <f t="shared" si="65"/>
        <v>(0230)  01206/050 Ch.Gén.</v>
      </c>
      <c r="E106" s="190" t="str">
        <f>A441</f>
        <v>61515 – Travaux Entretien Curage</v>
      </c>
      <c r="F106" s="27">
        <v>0</v>
      </c>
      <c r="L106" s="27">
        <v>526.5</v>
      </c>
      <c r="M106" s="39"/>
      <c r="O106" s="27">
        <v>1209.45</v>
      </c>
      <c r="P106" s="39">
        <f>(O106-L106)/L106</f>
        <v>1.2971509971509971</v>
      </c>
      <c r="Q106" s="123">
        <f>O106-N106</f>
        <v>1209.45</v>
      </c>
      <c r="R106" s="191">
        <f t="shared" si="95"/>
        <v>4.0506984201857509E-3</v>
      </c>
      <c r="T106" s="27">
        <v>1683.9</v>
      </c>
      <c r="U106" s="39">
        <f>(T106-O106)/O106</f>
        <v>0.39228574972094754</v>
      </c>
      <c r="V106" s="123">
        <f>T106-S106</f>
        <v>1683.9</v>
      </c>
      <c r="W106" s="191">
        <f t="shared" si="96"/>
        <v>5.7445727365286661E-3</v>
      </c>
      <c r="Y106" s="27">
        <v>1071.4000000000001</v>
      </c>
      <c r="Z106" s="89" t="str">
        <f>ROUND(Y106-T106,2) &amp; "   (" &amp; ROUND(100*(Y106-T106)/T106,1) &amp;"%)"</f>
        <v>-612,5   (-36,4%)</v>
      </c>
      <c r="AA106" s="34"/>
      <c r="AB106" s="191">
        <f t="shared" si="97"/>
        <v>3.4463923069472657E-3</v>
      </c>
      <c r="AD106" s="4"/>
      <c r="AE106" s="35" t="str">
        <f>ROUND(AD106-Y106,2) &amp; "   (" &amp; ROUND(100*(AD106-Y106)/Y106,1) &amp;"%)"</f>
        <v>-1071,4   (-100%)</v>
      </c>
      <c r="AF106" s="34"/>
      <c r="AG106" s="191" t="str">
        <f t="shared" si="98"/>
        <v/>
      </c>
      <c r="AI106" s="4"/>
      <c r="AJ106" s="29"/>
      <c r="AK106" s="34"/>
      <c r="AL106" s="191" t="str">
        <f t="shared" si="84"/>
        <v/>
      </c>
      <c r="AN106" s="205"/>
      <c r="AO106" s="29"/>
      <c r="AP106" s="34"/>
      <c r="AQ106" s="191" t="str">
        <f t="shared" si="101"/>
        <v/>
      </c>
      <c r="AS106" s="4"/>
      <c r="AT106" s="29"/>
      <c r="AU106" s="34"/>
      <c r="AV106" s="191" t="str">
        <f t="shared" si="103"/>
        <v/>
      </c>
    </row>
    <row r="107" spans="1:48" x14ac:dyDescent="0.3">
      <c r="A107" s="23" t="str">
        <f t="shared" si="63"/>
        <v>6150</v>
      </c>
      <c r="B107" s="185" t="s">
        <v>103</v>
      </c>
      <c r="C107" s="186" t="str">
        <f t="shared" si="64"/>
        <v>6150/(0240)</v>
      </c>
      <c r="D107" s="187" t="str">
        <f t="shared" si="65"/>
        <v>(0240)  01226/050 Ch.Gén.</v>
      </c>
      <c r="E107" s="190" t="str">
        <f>A466</f>
        <v>61564 – Travaux Signalétique</v>
      </c>
      <c r="F107" s="27">
        <v>0</v>
      </c>
      <c r="M107" s="39"/>
      <c r="P107" s="39"/>
      <c r="Q107" s="123">
        <f>O107-N107</f>
        <v>0</v>
      </c>
      <c r="R107" s="191" t="str">
        <f t="shared" si="95"/>
        <v/>
      </c>
      <c r="T107" s="27">
        <v>444.11</v>
      </c>
      <c r="V107" s="123">
        <f>T107-S107</f>
        <v>444.11</v>
      </c>
      <c r="W107" s="191">
        <f t="shared" si="96"/>
        <v>1.5150675206483436E-3</v>
      </c>
      <c r="Z107" s="89" t="str">
        <f>ROUND(Y107-T107,2) &amp; "   (" &amp; ROUND(100*(Y107-T107)/T107,1) &amp;"%)"</f>
        <v>-444,11   (-100%)</v>
      </c>
      <c r="AA107" s="34"/>
      <c r="AB107" s="191" t="str">
        <f t="shared" si="97"/>
        <v/>
      </c>
      <c r="AD107" s="4"/>
      <c r="AE107" s="35"/>
      <c r="AF107" s="34"/>
      <c r="AG107" s="191" t="str">
        <f t="shared" si="98"/>
        <v/>
      </c>
      <c r="AI107" s="4"/>
      <c r="AJ107" s="29"/>
      <c r="AK107" s="34"/>
      <c r="AL107" s="191" t="str">
        <f t="shared" si="84"/>
        <v/>
      </c>
      <c r="AN107" s="205"/>
      <c r="AO107" s="29"/>
      <c r="AP107" s="34"/>
      <c r="AQ107" s="191" t="str">
        <f t="shared" si="101"/>
        <v/>
      </c>
      <c r="AS107" s="4"/>
      <c r="AT107" s="29"/>
      <c r="AU107" s="34"/>
      <c r="AV107" s="191" t="str">
        <f t="shared" si="103"/>
        <v/>
      </c>
    </row>
    <row r="108" spans="1:48" x14ac:dyDescent="0.3">
      <c r="A108" s="23" t="str">
        <f t="shared" si="63"/>
        <v>6120</v>
      </c>
      <c r="B108" s="185" t="s">
        <v>104</v>
      </c>
      <c r="C108" s="186" t="str">
        <f t="shared" si="64"/>
        <v>6120/(0250)</v>
      </c>
      <c r="D108" s="187" t="str">
        <f t="shared" si="65"/>
        <v>(0250)  00241/050 Ch.Gén.</v>
      </c>
      <c r="E108" s="188" t="str">
        <f>A399</f>
        <v>6121 – Location Salle</v>
      </c>
      <c r="F108" s="27" t="s">
        <v>85</v>
      </c>
      <c r="G108" s="27">
        <v>275</v>
      </c>
      <c r="H108" s="27">
        <v>275</v>
      </c>
      <c r="I108" s="27">
        <v>275</v>
      </c>
      <c r="J108" s="27">
        <v>280</v>
      </c>
      <c r="K108" s="28">
        <v>300</v>
      </c>
      <c r="L108" s="27">
        <v>280</v>
      </c>
      <c r="M108" s="39">
        <f>(L108-J108)/J108</f>
        <v>0</v>
      </c>
      <c r="N108" s="28">
        <v>300</v>
      </c>
      <c r="O108" s="27">
        <v>280</v>
      </c>
      <c r="P108" s="39">
        <f>(O108-L108)/L108</f>
        <v>0</v>
      </c>
      <c r="Q108" s="123">
        <f>O108-N108</f>
        <v>-20</v>
      </c>
      <c r="R108" s="191">
        <f t="shared" si="95"/>
        <v>9.3777796324941935E-4</v>
      </c>
      <c r="S108" s="28">
        <v>300</v>
      </c>
      <c r="T108" s="27">
        <v>280</v>
      </c>
      <c r="U108" s="39">
        <f>(T108-O108)/O108</f>
        <v>0</v>
      </c>
      <c r="V108" s="123">
        <f>T108-S108</f>
        <v>-20</v>
      </c>
      <c r="W108" s="191">
        <f t="shared" si="96"/>
        <v>9.5521133453769613E-4</v>
      </c>
      <c r="X108" s="28">
        <v>350</v>
      </c>
      <c r="Y108" s="27">
        <v>280</v>
      </c>
      <c r="Z108" s="89" t="str">
        <f>ROUND(Y108-T108,2) &amp; "   (" &amp; ROUND(100*(Y108-T108)/T108,1) &amp;"%)"</f>
        <v>0   (0%)</v>
      </c>
      <c r="AA108" s="34" t="str">
        <f>ROUND(Y108-X108,2) &amp; "  (" &amp; ROUND(100*(Y108-X108)/X108,1) &amp;"%)"</f>
        <v>-70  (-20%)</v>
      </c>
      <c r="AB108" s="191">
        <f t="shared" si="97"/>
        <v>9.006812077144244E-4</v>
      </c>
      <c r="AC108" s="28">
        <v>300</v>
      </c>
      <c r="AD108" s="4">
        <v>280</v>
      </c>
      <c r="AE108" s="35" t="str">
        <f>ROUND(AD108-Y108,2) &amp; "   (" &amp; ROUND(100*(AD108-Y108)/Y108,1) &amp;"%)"</f>
        <v>0   (0%)</v>
      </c>
      <c r="AF108" s="34" t="str">
        <f>ROUND(AD108-AC108,2) &amp; "  (" &amp; ROUND(100*(AD108-AC108)/AC108,1) &amp;"%)"</f>
        <v>-20  (-6,7%)</v>
      </c>
      <c r="AG108" s="191">
        <f t="shared" si="98"/>
        <v>9.3798819354260778E-4</v>
      </c>
      <c r="AH108" s="28">
        <v>310</v>
      </c>
      <c r="AI108" s="4">
        <v>280</v>
      </c>
      <c r="AJ108" s="35" t="str">
        <f t="shared" ref="AJ108:AJ110" si="107">ROUND(AI108-AD108,2) &amp; "   (" &amp; ROUND(100*(AI108-AD108)/AD108,1) &amp;"%)"</f>
        <v>0   (0%)</v>
      </c>
      <c r="AK108" s="34" t="str">
        <f>ROUND(AI108-AH108,2) &amp; "  (" &amp; ROUND(100*(AI108-AH108)/AH108,1) &amp;"%)"</f>
        <v>-30  (-9,7%)</v>
      </c>
      <c r="AL108" s="191">
        <f t="shared" si="84"/>
        <v>9.4205573316109804E-4</v>
      </c>
      <c r="AM108" s="28">
        <v>320</v>
      </c>
      <c r="AN108" s="205">
        <v>300</v>
      </c>
      <c r="AO108" s="35" t="str">
        <f t="shared" ref="AO108:AO110" si="108">ROUND(AN108-AI108,2) &amp; "   (" &amp; ROUND(100*(AN108-AI108)/AI108,1) &amp;"%)"</f>
        <v>20   (7,1%)</v>
      </c>
      <c r="AP108" s="34" t="str">
        <f>ROUND(AN108-AM108,2) &amp; "  (" &amp; ROUND(100*(AN108-AM108)/AM108,1) &amp;"%)"</f>
        <v>-20  (-6,3%)</v>
      </c>
      <c r="AQ108" s="191">
        <f t="shared" si="101"/>
        <v>1.2623947173325701E-3</v>
      </c>
      <c r="AR108" s="28">
        <v>320</v>
      </c>
      <c r="AS108" s="4">
        <v>0</v>
      </c>
      <c r="AT108" s="35" t="str">
        <f t="shared" ref="AT108:AT110" si="109">ROUND(AS108-AN108,2) &amp; "   (" &amp; ROUND(100*(AS108-AN108)/AN108,1) &amp;"%)"</f>
        <v>-300   (-100%)</v>
      </c>
      <c r="AU108" s="34" t="str">
        <f>ROUND(AS108-AR108,2) &amp; "  (" &amp; ROUND(100*(AS108-AR108)/AR108,1) &amp;"%)"</f>
        <v>-320  (-100%)</v>
      </c>
      <c r="AV108" s="191" t="str">
        <f t="shared" si="103"/>
        <v/>
      </c>
    </row>
    <row r="109" spans="1:48" x14ac:dyDescent="0.3">
      <c r="A109" s="23" t="str">
        <f t="shared" si="63"/>
        <v>6020</v>
      </c>
      <c r="B109" s="185" t="s">
        <v>105</v>
      </c>
      <c r="C109" s="186" t="str">
        <f t="shared" si="64"/>
        <v>6020/(0260)</v>
      </c>
      <c r="D109" s="187" t="str">
        <f t="shared" si="65"/>
        <v>(0260)  00264/050 Ch.Gén.</v>
      </c>
      <c r="E109" s="199" t="str">
        <f>A365</f>
        <v xml:space="preserve">6021 – Consom.EDF  </v>
      </c>
      <c r="F109" s="27">
        <v>11491</v>
      </c>
      <c r="G109" s="27">
        <v>13196.96</v>
      </c>
      <c r="H109" s="27">
        <v>15030.84</v>
      </c>
      <c r="I109" s="27">
        <v>15728.38</v>
      </c>
      <c r="J109" s="27">
        <v>14728.76</v>
      </c>
      <c r="K109" s="28">
        <v>15000</v>
      </c>
      <c r="L109" s="27">
        <v>12153.96</v>
      </c>
      <c r="M109" s="39">
        <f>(L109-J109)/J109</f>
        <v>-0.17481444466472407</v>
      </c>
      <c r="N109" s="28">
        <v>15000</v>
      </c>
      <c r="O109" s="27">
        <v>14242.19</v>
      </c>
      <c r="P109" s="39">
        <f>(O109-L109)/L109</f>
        <v>0.17181478300076694</v>
      </c>
      <c r="Q109" s="123">
        <f>O109-N109</f>
        <v>-757.80999999999949</v>
      </c>
      <c r="R109" s="191">
        <f t="shared" si="95"/>
        <v>4.7700042608611604E-2</v>
      </c>
      <c r="S109" s="28">
        <v>14500</v>
      </c>
      <c r="T109" s="27">
        <v>14379.92</v>
      </c>
      <c r="U109" s="39">
        <f>(T109-O109)/O109</f>
        <v>9.6705633052219884E-3</v>
      </c>
      <c r="V109" s="123">
        <f>T109-S109</f>
        <v>-120.07999999999993</v>
      </c>
      <c r="W109" s="191">
        <f t="shared" si="96"/>
        <v>4.9056652049090384E-2</v>
      </c>
      <c r="X109" s="28">
        <v>14500</v>
      </c>
      <c r="Y109" s="27">
        <v>15338.7</v>
      </c>
      <c r="Z109" s="89" t="str">
        <f>ROUND(Y109-T109,2) &amp; "   (" &amp; ROUND(100*(Y109-T109)/T109,1) &amp;"%)"</f>
        <v>958,78   (6,7%)</v>
      </c>
      <c r="AA109" s="34" t="str">
        <f>ROUND(Y109-X109,2) &amp; "  (" &amp; ROUND(100*(Y109-X109)/X109,1) &amp;"%)"</f>
        <v>838,7  (5,8%)</v>
      </c>
      <c r="AB109" s="191">
        <f t="shared" si="97"/>
        <v>4.9340281574175866E-2</v>
      </c>
      <c r="AC109" s="28">
        <v>14500</v>
      </c>
      <c r="AD109" s="4">
        <v>19979.66</v>
      </c>
      <c r="AE109" s="193" t="str">
        <f>ROUND(AD109-Y109,2) &amp; "   (" &amp; ROUND(100*(AD109-Y109)/Y109,1) &amp;"%)"</f>
        <v>4640,96   (30,3%)</v>
      </c>
      <c r="AF109" s="471" t="str">
        <f>ROUND(AD109-AC109,2) &amp; "  (" &amp; ROUND(100*(AD109-AC109)/AC109,1) &amp;"%)"</f>
        <v>5479,66  (37,8%)</v>
      </c>
      <c r="AG109" s="191">
        <f t="shared" si="98"/>
        <v>6.6931018539269638E-2</v>
      </c>
      <c r="AH109" s="28">
        <v>14720</v>
      </c>
      <c r="AI109" s="205">
        <v>14546.82</v>
      </c>
      <c r="AJ109" s="35" t="str">
        <f t="shared" si="107"/>
        <v>-5432,84   (-27,2%)</v>
      </c>
      <c r="AK109" s="34" t="str">
        <f>ROUND(AI109-AH109,2) &amp; "  (" &amp; ROUND(100*(AI109-AH109)/AH109,1) &amp;"%)"</f>
        <v>-173,18  (-1,2%)</v>
      </c>
      <c r="AL109" s="191">
        <f t="shared" si="84"/>
        <v>4.8942554215223297E-2</v>
      </c>
      <c r="AM109" s="28">
        <v>14950</v>
      </c>
      <c r="AN109" s="205">
        <v>7150.97</v>
      </c>
      <c r="AO109" s="35" t="str">
        <f t="shared" si="108"/>
        <v>-7395,85   (-50,8%)</v>
      </c>
      <c r="AP109" s="34" t="str">
        <f>ROUND(AN109-AM109,2) &amp; "  (" &amp; ROUND(100*(AN109-AM109)/AM109,1) &amp;"%)"</f>
        <v>-7799,03  (-52,2%)</v>
      </c>
      <c r="AQ109" s="191">
        <f t="shared" si="101"/>
        <v>3.0091155839345633E-2</v>
      </c>
      <c r="AR109" s="28">
        <v>14950</v>
      </c>
      <c r="AS109" s="4">
        <v>0</v>
      </c>
      <c r="AT109" s="35" t="str">
        <f t="shared" si="109"/>
        <v>-7150,97   (-100%)</v>
      </c>
      <c r="AU109" s="34" t="str">
        <f>ROUND(AS109-AR109,2) &amp; "  (" &amp; ROUND(100*(AS109-AR109)/AR109,1) &amp;"%)"</f>
        <v>-14950  (-100%)</v>
      </c>
      <c r="AV109" s="191" t="str">
        <f t="shared" si="103"/>
        <v/>
      </c>
    </row>
    <row r="110" spans="1:48" x14ac:dyDescent="0.3">
      <c r="A110" s="23" t="str">
        <f t="shared" si="63"/>
        <v>6010</v>
      </c>
      <c r="B110" s="185" t="s">
        <v>106</v>
      </c>
      <c r="C110" s="186" t="str">
        <f t="shared" si="64"/>
        <v>6010/(0270)</v>
      </c>
      <c r="D110" s="187" t="str">
        <f t="shared" si="65"/>
        <v>(0270)  00281/050 Ch.Gén.</v>
      </c>
      <c r="E110" s="199" t="str">
        <f>A363</f>
        <v>601 Eau  *</v>
      </c>
      <c r="F110" s="27">
        <v>41802.74</v>
      </c>
      <c r="G110" s="27">
        <v>42334.12</v>
      </c>
      <c r="H110" s="27">
        <v>46435.68</v>
      </c>
      <c r="I110" s="27">
        <v>45034.66</v>
      </c>
      <c r="J110" s="27">
        <v>43951.75</v>
      </c>
      <c r="K110" s="28">
        <v>47000</v>
      </c>
      <c r="L110" s="27">
        <v>45694.84</v>
      </c>
      <c r="M110" s="39">
        <f>(L110-J110)/J110</f>
        <v>3.9659171705335887E-2</v>
      </c>
      <c r="N110" s="28">
        <v>47000</v>
      </c>
      <c r="O110" s="27">
        <v>47521.54</v>
      </c>
      <c r="P110" s="39">
        <f>(O110-L110)/L110</f>
        <v>3.997606731963619E-2</v>
      </c>
      <c r="Q110" s="123">
        <f>O110-N110</f>
        <v>521.54000000000087</v>
      </c>
      <c r="R110" s="191">
        <f t="shared" si="95"/>
        <v>0.15915947497027075</v>
      </c>
      <c r="S110" s="28">
        <v>46000</v>
      </c>
      <c r="T110" s="27">
        <v>38860.959999999999</v>
      </c>
      <c r="U110" s="39">
        <f>(T110-O110)/O110</f>
        <v>-0.18224535652674559</v>
      </c>
      <c r="V110" s="123">
        <f>T110-S110</f>
        <v>-7139.0400000000009</v>
      </c>
      <c r="W110" s="191">
        <f t="shared" si="96"/>
        <v>0.13257296236791438</v>
      </c>
      <c r="X110" s="28">
        <v>47500</v>
      </c>
      <c r="Y110" s="32">
        <v>47337.74</v>
      </c>
      <c r="Z110" s="197" t="str">
        <f>ROUND(Y110-T110,2) &amp; "   (" &amp; ROUND(100*(Y110-T110)/T110,1) &amp;"%)"</f>
        <v>8476,78   (21,8%)</v>
      </c>
      <c r="AA110" s="34" t="str">
        <f>ROUND(Y110-X110,2) &amp; "  (" &amp; ROUND(100*(Y110-X110)/X110,1) &amp;"%)"</f>
        <v>-162,26  (-0,3%)</v>
      </c>
      <c r="AB110" s="191">
        <f t="shared" si="97"/>
        <v>0.15227218869168363</v>
      </c>
      <c r="AC110" s="28">
        <v>40000</v>
      </c>
      <c r="AD110" s="192">
        <v>45137.79</v>
      </c>
      <c r="AE110" s="193" t="str">
        <f>ROUND(AD110-Y110,2) &amp; "   (" &amp; ROUND(100*(AD110-Y110)/Y110,1) &amp;"%)"</f>
        <v>-2199,95   (-4,6%)</v>
      </c>
      <c r="AF110" s="471" t="str">
        <f>ROUND(AD110-AC110,2) &amp; "  (" &amp; ROUND(100*(AD110-AC110)/AC110,1) &amp;"%)"</f>
        <v>5137,79  (12,8%)</v>
      </c>
      <c r="AG110" s="191">
        <f t="shared" si="98"/>
        <v>0.15120969322359137</v>
      </c>
      <c r="AH110" s="28">
        <v>40600</v>
      </c>
      <c r="AI110" s="4">
        <v>36496.21</v>
      </c>
      <c r="AJ110" s="35" t="str">
        <f t="shared" si="107"/>
        <v>-8641,58   (-19,1%)</v>
      </c>
      <c r="AK110" s="34" t="str">
        <f>ROUND(AI110-AH110,2) &amp; "  (" &amp; ROUND(100*(AI110-AH110)/AH110,1) &amp;"%)"</f>
        <v>-4103,79  (-10,1%)</v>
      </c>
      <c r="AL110" s="191">
        <f t="shared" si="84"/>
        <v>0.12279094238982642</v>
      </c>
      <c r="AM110" s="28">
        <v>41210</v>
      </c>
      <c r="AN110" s="205">
        <v>23929.200000000001</v>
      </c>
      <c r="AO110" s="35" t="str">
        <f t="shared" si="108"/>
        <v>-12567,01   (-34,4%)</v>
      </c>
      <c r="AP110" s="34" t="str">
        <f>ROUND(AN110-AM110,2) &amp; "  (" &amp; ROUND(100*(AN110-AM110)/AM110,1) &amp;"%)"</f>
        <v>-17280,8  (-41,9%)</v>
      </c>
      <c r="AQ110" s="191">
        <f t="shared" si="101"/>
        <v>0.10069365223331513</v>
      </c>
      <c r="AR110" s="28">
        <v>40000</v>
      </c>
      <c r="AS110" s="4">
        <v>0</v>
      </c>
      <c r="AT110" s="35" t="str">
        <f t="shared" si="109"/>
        <v>-23929,2   (-100%)</v>
      </c>
      <c r="AU110" s="34" t="str">
        <f>ROUND(AS110-AR110,2) &amp; "  (" &amp; ROUND(100*(AS110-AR110)/AR110,1) &amp;"%)"</f>
        <v>-40000  (-100%)</v>
      </c>
      <c r="AV110" s="191" t="str">
        <f t="shared" si="103"/>
        <v/>
      </c>
    </row>
    <row r="111" spans="1:48" x14ac:dyDescent="0.3">
      <c r="A111" s="23" t="str">
        <f t="shared" si="63"/>
        <v>6410</v>
      </c>
      <c r="B111" s="185" t="s">
        <v>107</v>
      </c>
      <c r="C111" s="186" t="str">
        <f t="shared" si="64"/>
        <v>6410/(0280)</v>
      </c>
      <c r="D111" s="187" t="str">
        <f t="shared" si="65"/>
        <v>(0280)  00301/050 Ch.Gén.</v>
      </c>
      <c r="E111" s="190" t="str">
        <f>A539</f>
        <v>64101 – Salaires Concierges</v>
      </c>
      <c r="F111" s="27">
        <v>62921.84</v>
      </c>
      <c r="G111" s="27">
        <v>64179.22</v>
      </c>
      <c r="H111" s="27">
        <v>66877.440000000002</v>
      </c>
      <c r="I111" s="27">
        <v>79188.28</v>
      </c>
      <c r="J111" s="27">
        <v>41665.46</v>
      </c>
      <c r="K111" s="28">
        <v>42600</v>
      </c>
      <c r="M111" s="39"/>
      <c r="N111" s="28">
        <v>42600</v>
      </c>
      <c r="P111" s="39"/>
      <c r="Q111" s="123"/>
      <c r="R111" s="191"/>
      <c r="S111" s="28">
        <v>42600</v>
      </c>
      <c r="V111" s="123"/>
      <c r="W111" s="191"/>
      <c r="Z111" s="89"/>
      <c r="AA111" s="34"/>
      <c r="AB111" s="191"/>
      <c r="AD111" s="4">
        <v>0</v>
      </c>
      <c r="AE111" s="35"/>
      <c r="AF111" s="34"/>
      <c r="AG111" s="191" t="str">
        <f t="shared" si="98"/>
        <v/>
      </c>
      <c r="AI111" s="4"/>
      <c r="AJ111" s="29"/>
      <c r="AK111" s="34"/>
      <c r="AL111" s="191"/>
      <c r="AN111" s="205"/>
      <c r="AO111" s="29"/>
      <c r="AP111" s="34"/>
      <c r="AQ111" s="191"/>
      <c r="AS111" s="4"/>
      <c r="AT111" s="29"/>
      <c r="AU111" s="34"/>
      <c r="AV111" s="191"/>
    </row>
    <row r="112" spans="1:48" x14ac:dyDescent="0.3">
      <c r="A112" s="23" t="str">
        <f t="shared" si="63"/>
        <v>6420</v>
      </c>
      <c r="B112" s="185" t="s">
        <v>108</v>
      </c>
      <c r="C112" s="186" t="str">
        <f t="shared" si="64"/>
        <v>6420/(0290)</v>
      </c>
      <c r="D112" s="187" t="str">
        <f t="shared" si="65"/>
        <v>(0290)  00302/050 Ch.Gén.</v>
      </c>
      <c r="E112" s="190" t="str">
        <f>A552</f>
        <v>64221 – Cotisation. Urssaf Concierges</v>
      </c>
      <c r="F112" s="27">
        <v>15975.54</v>
      </c>
      <c r="G112" s="200">
        <v>21386.77</v>
      </c>
      <c r="H112" s="27">
        <v>23987.95</v>
      </c>
      <c r="I112" s="27">
        <v>21581.95</v>
      </c>
      <c r="J112" s="27">
        <v>7583.69</v>
      </c>
      <c r="K112" s="28">
        <v>8000</v>
      </c>
      <c r="M112" s="39"/>
      <c r="N112" s="28">
        <v>8000</v>
      </c>
      <c r="P112" s="39"/>
      <c r="Q112" s="123"/>
      <c r="R112" s="191"/>
      <c r="S112" s="28">
        <v>8000</v>
      </c>
      <c r="V112" s="123"/>
      <c r="W112" s="191"/>
      <c r="Z112" s="89"/>
      <c r="AA112" s="34"/>
      <c r="AB112" s="191"/>
      <c r="AD112" s="4"/>
      <c r="AE112" s="35"/>
      <c r="AF112" s="34"/>
      <c r="AG112" s="191"/>
      <c r="AI112" s="4"/>
      <c r="AJ112" s="29"/>
      <c r="AK112" s="34"/>
      <c r="AL112" s="191"/>
      <c r="AN112" s="205"/>
      <c r="AO112" s="29"/>
      <c r="AP112" s="34"/>
      <c r="AQ112" s="191"/>
      <c r="AS112" s="4"/>
      <c r="AT112" s="29"/>
      <c r="AU112" s="34"/>
      <c r="AV112" s="191"/>
    </row>
    <row r="113" spans="1:48" x14ac:dyDescent="0.3">
      <c r="A113" s="23" t="str">
        <f t="shared" si="63"/>
        <v>6420</v>
      </c>
      <c r="B113" s="185" t="s">
        <v>109</v>
      </c>
      <c r="C113" s="186" t="str">
        <f t="shared" si="64"/>
        <v>6420/(0300)</v>
      </c>
      <c r="D113" s="187" t="str">
        <f t="shared" si="65"/>
        <v>(0300)  00303/050 Ch.Gén.</v>
      </c>
      <c r="E113" s="190" t="str">
        <f>A558</f>
        <v>64231 – Cotisation. Retraite Concierges</v>
      </c>
      <c r="F113" s="27">
        <v>4451.9399999999996</v>
      </c>
      <c r="G113" s="27">
        <v>4491.62</v>
      </c>
      <c r="H113" s="27">
        <v>4801.26</v>
      </c>
      <c r="I113" s="27">
        <v>6786.29</v>
      </c>
      <c r="J113" s="27">
        <v>2921.4</v>
      </c>
      <c r="K113" s="28">
        <v>3000</v>
      </c>
      <c r="M113" s="39"/>
      <c r="N113" s="28">
        <v>3000</v>
      </c>
      <c r="P113" s="39"/>
      <c r="Q113" s="123"/>
      <c r="R113" s="191"/>
      <c r="S113" s="28">
        <v>3000</v>
      </c>
      <c r="V113" s="123"/>
      <c r="W113" s="191"/>
      <c r="Z113" s="89"/>
      <c r="AA113" s="34"/>
      <c r="AB113" s="191"/>
      <c r="AD113" s="4"/>
      <c r="AE113" s="35"/>
      <c r="AF113" s="34"/>
      <c r="AG113" s="191"/>
      <c r="AI113" s="4"/>
      <c r="AJ113" s="29"/>
      <c r="AK113" s="34"/>
      <c r="AL113" s="191"/>
      <c r="AN113" s="205"/>
      <c r="AO113" s="29"/>
      <c r="AP113" s="34"/>
      <c r="AQ113" s="191"/>
      <c r="AS113" s="4"/>
      <c r="AT113" s="29"/>
      <c r="AU113" s="34"/>
      <c r="AV113" s="191"/>
    </row>
    <row r="114" spans="1:48" x14ac:dyDescent="0.3">
      <c r="A114" s="23" t="str">
        <f t="shared" si="63"/>
        <v>6420</v>
      </c>
      <c r="B114" s="185" t="s">
        <v>110</v>
      </c>
      <c r="C114" s="186" t="str">
        <f t="shared" si="64"/>
        <v>6420/(0310)</v>
      </c>
      <c r="D114" s="187" t="str">
        <f t="shared" si="65"/>
        <v>(0310)   Coti/050 Ch.Gén.</v>
      </c>
      <c r="E114" s="190" t="str">
        <f>A564</f>
        <v>64241 – Cotisation. Chômage Concierges</v>
      </c>
      <c r="F114" s="27">
        <v>2602.58</v>
      </c>
      <c r="M114" s="39"/>
      <c r="P114" s="39"/>
      <c r="Q114" s="123">
        <f>O114-N114</f>
        <v>0</v>
      </c>
      <c r="R114" s="191" t="str">
        <f t="shared" ref="R114:R130" si="110">IF(O114&gt;0,O114/O$219,"")</f>
        <v/>
      </c>
      <c r="V114" s="123">
        <f>T114-S114</f>
        <v>0</v>
      </c>
      <c r="W114" s="191" t="str">
        <f t="shared" ref="W114:W130" si="111">IF(T114&gt;0,T114/T$219,"")</f>
        <v/>
      </c>
      <c r="X114" s="28">
        <v>190</v>
      </c>
      <c r="Z114" s="89"/>
      <c r="AA114" s="34" t="str">
        <f>ROUND(Y114-X114,2) &amp; "  (" &amp; ROUND(100*(Y114-X114)/X114,1) &amp;"%)"</f>
        <v>-190  (-100%)</v>
      </c>
      <c r="AB114" s="191" t="str">
        <f t="shared" ref="AB114:AB128" si="112">IF(Y114&gt;0,Y114/Y$219,"")</f>
        <v/>
      </c>
      <c r="AC114" s="28">
        <v>200</v>
      </c>
      <c r="AD114" s="4">
        <v>0</v>
      </c>
      <c r="AE114" s="35"/>
      <c r="AF114" s="34" t="str">
        <f>ROUND(AD114-AC114,2) &amp; "  (" &amp; ROUND(100*(AD114-AC114)/AC114,1) &amp;"%)"</f>
        <v>-200  (-100%)</v>
      </c>
      <c r="AG114" s="191" t="str">
        <f t="shared" ref="AG114:AG128" si="113">IF(AD114&gt;0,AD114/AD$219,"")</f>
        <v/>
      </c>
      <c r="AH114" s="28">
        <v>210</v>
      </c>
      <c r="AI114" s="4">
        <v>0</v>
      </c>
      <c r="AJ114" s="29"/>
      <c r="AK114" s="34" t="str">
        <f>ROUND(AI114-AH114,2) &amp; "  (" &amp; ROUND(100*(AI114-AH114)/AH114,1) &amp;"%)"</f>
        <v>-210  (-100%)</v>
      </c>
      <c r="AL114" s="191" t="str">
        <f t="shared" ref="AL114:AL121" si="114">IF(AI114&gt;0,AI114/AI$219,"")</f>
        <v/>
      </c>
      <c r="AM114" s="28">
        <v>220</v>
      </c>
      <c r="AN114" s="205">
        <v>0</v>
      </c>
      <c r="AO114" s="29"/>
      <c r="AP114" s="34" t="str">
        <f>ROUND(AN114-AM114,2) &amp; "  (" &amp; ROUND(100*(AN114-AM114)/AM114,1) &amp;"%)"</f>
        <v>-220  (-100%)</v>
      </c>
      <c r="AQ114" s="191" t="str">
        <f t="shared" ref="AQ114:AQ121" si="115">IF(AN114&gt;0,AN114/AN$219,"")</f>
        <v/>
      </c>
      <c r="AR114" s="28">
        <v>220</v>
      </c>
      <c r="AS114" s="4">
        <v>0</v>
      </c>
      <c r="AT114" s="29"/>
      <c r="AU114" s="34" t="str">
        <f>ROUND(AS114-AR114,2) &amp; "  (" &amp; ROUND(100*(AS114-AR114)/AR114,1) &amp;"%)"</f>
        <v>-220  (-100%)</v>
      </c>
      <c r="AV114" s="191" t="str">
        <f t="shared" ref="AV114:AV121" si="116">IF(AS114&gt;0,AS114/AS$219,"")</f>
        <v/>
      </c>
    </row>
    <row r="115" spans="1:48" x14ac:dyDescent="0.3">
      <c r="A115" s="23" t="str">
        <f t="shared" si="63"/>
        <v>6440</v>
      </c>
      <c r="B115" s="185" t="s">
        <v>111</v>
      </c>
      <c r="C115" s="186" t="str">
        <f t="shared" si="64"/>
        <v>6440/(0320)</v>
      </c>
      <c r="D115" s="187" t="str">
        <f t="shared" si="65"/>
        <v>(0320)  01305/050 Ch.Gén.</v>
      </c>
      <c r="E115" s="190" t="str">
        <f xml:space="preserve"> A585</f>
        <v>64411 – Visites Médicales Concierges</v>
      </c>
      <c r="F115" s="27">
        <v>0</v>
      </c>
      <c r="G115" s="27">
        <v>169.22</v>
      </c>
      <c r="H115" s="27">
        <v>169.22</v>
      </c>
      <c r="I115" s="27">
        <v>177</v>
      </c>
      <c r="J115" s="38">
        <v>266.39999999999998</v>
      </c>
      <c r="K115" s="201">
        <v>260</v>
      </c>
      <c r="M115" s="202"/>
      <c r="N115" s="201">
        <v>260</v>
      </c>
      <c r="O115" s="38">
        <v>184.8</v>
      </c>
      <c r="P115" s="202"/>
      <c r="Q115" s="203"/>
      <c r="R115" s="191">
        <f t="shared" si="110"/>
        <v>6.1893345574461685E-4</v>
      </c>
      <c r="S115" s="201">
        <v>260</v>
      </c>
      <c r="T115" s="38">
        <v>187.2</v>
      </c>
      <c r="U115" s="202"/>
      <c r="V115" s="203"/>
      <c r="W115" s="191">
        <f t="shared" si="111"/>
        <v>6.3862700651948819E-4</v>
      </c>
      <c r="X115" s="201">
        <v>260</v>
      </c>
      <c r="Y115" s="38">
        <v>192</v>
      </c>
      <c r="Z115" s="202"/>
      <c r="AA115" s="204" t="s">
        <v>112</v>
      </c>
      <c r="AB115" s="191">
        <f t="shared" si="112"/>
        <v>6.1760997100417678E-4</v>
      </c>
      <c r="AC115" s="201">
        <v>270</v>
      </c>
      <c r="AD115" s="205">
        <v>192</v>
      </c>
      <c r="AE115" s="206"/>
      <c r="AF115" s="204"/>
      <c r="AG115" s="191">
        <f t="shared" si="113"/>
        <v>6.4319190414350246E-4</v>
      </c>
      <c r="AH115" s="201">
        <v>280</v>
      </c>
      <c r="AI115" s="205">
        <v>100.8</v>
      </c>
      <c r="AJ115" s="35" t="str">
        <f t="shared" ref="AJ115" si="117">ROUND(AI115-AD115,2) &amp; "   (" &amp; ROUND(100*(AI115-AD115)/AD115,1) &amp;"%)"</f>
        <v>-91,2   (-47,5%)</v>
      </c>
      <c r="AK115" s="204"/>
      <c r="AL115" s="191">
        <f t="shared" si="114"/>
        <v>3.3914006393799529E-4</v>
      </c>
      <c r="AM115" s="201">
        <v>290</v>
      </c>
      <c r="AN115" s="205">
        <v>0</v>
      </c>
      <c r="AO115" s="35" t="str">
        <f t="shared" ref="AO115" si="118">ROUND(AN115-AI115,2) &amp; "   (" &amp; ROUND(100*(AN115-AI115)/AI115,1) &amp;"%)"</f>
        <v>-100,8   (-100%)</v>
      </c>
      <c r="AP115" s="204"/>
      <c r="AQ115" s="191" t="str">
        <f t="shared" si="115"/>
        <v/>
      </c>
      <c r="AR115" s="201">
        <v>290</v>
      </c>
      <c r="AS115" s="205">
        <v>0</v>
      </c>
      <c r="AT115" s="35" t="e">
        <f t="shared" ref="AT115" si="119">ROUND(AS115-AN115,2) &amp; "   (" &amp; ROUND(100*(AS115-AN115)/AN115,1) &amp;"%)"</f>
        <v>#DIV/0!</v>
      </c>
      <c r="AU115" s="204"/>
      <c r="AV115" s="191" t="str">
        <f t="shared" si="116"/>
        <v/>
      </c>
    </row>
    <row r="116" spans="1:48" x14ac:dyDescent="0.3">
      <c r="A116" s="23" t="str">
        <f t="shared" si="63"/>
        <v>6410</v>
      </c>
      <c r="B116" s="207" t="s">
        <v>113</v>
      </c>
      <c r="C116" s="186" t="str">
        <f t="shared" si="64"/>
        <v>6410/(0330)</v>
      </c>
      <c r="D116" s="187" t="str">
        <f t="shared" si="65"/>
        <v>(0330)  01307/050 Ch.Gén.</v>
      </c>
      <c r="E116" s="188" t="str">
        <f>A596</f>
        <v>6446 – Indemnités Sec.Soc.</v>
      </c>
      <c r="F116" s="27">
        <v>0</v>
      </c>
      <c r="M116" s="39"/>
      <c r="P116" s="39"/>
      <c r="Q116" s="123">
        <f>O116-N116</f>
        <v>0</v>
      </c>
      <c r="R116" s="191" t="str">
        <f t="shared" si="110"/>
        <v/>
      </c>
      <c r="T116" s="27">
        <v>-4184.8999999999996</v>
      </c>
      <c r="V116" s="123">
        <f>T116-S116</f>
        <v>-4184.8999999999996</v>
      </c>
      <c r="W116" s="191" t="str">
        <f t="shared" si="111"/>
        <v/>
      </c>
      <c r="Y116" s="27">
        <v>-2476.59</v>
      </c>
      <c r="Z116" s="89" t="str">
        <f>ROUND(Y116-T116,2) &amp; "   (" &amp; ROUND(100*(Y116-T116)/T116,1) &amp;"%)"</f>
        <v>1708,31   (-40,8%)</v>
      </c>
      <c r="AA116" s="34"/>
      <c r="AB116" s="191" t="str">
        <f t="shared" si="112"/>
        <v/>
      </c>
      <c r="AD116" s="4"/>
      <c r="AE116" s="35" t="str">
        <f>ROUND(AD116-Y116,2) &amp; "   (" &amp; ROUND(100*(AD116-Y116)/Y116,1) &amp;"%)"</f>
        <v>2476,59   (-100%)</v>
      </c>
      <c r="AF116" s="34"/>
      <c r="AG116" s="191" t="str">
        <f t="shared" si="113"/>
        <v/>
      </c>
      <c r="AI116" s="4">
        <v>-7124.7</v>
      </c>
      <c r="AJ116" s="29"/>
      <c r="AK116" s="34"/>
      <c r="AL116" s="191" t="str">
        <f t="shared" si="114"/>
        <v/>
      </c>
      <c r="AN116" s="205">
        <v>-1569.04</v>
      </c>
      <c r="AO116" s="29"/>
      <c r="AP116" s="34"/>
      <c r="AQ116" s="191" t="str">
        <f t="shared" si="115"/>
        <v/>
      </c>
      <c r="AS116" s="4"/>
      <c r="AT116" s="29"/>
      <c r="AU116" s="34"/>
      <c r="AV116" s="191" t="str">
        <f t="shared" si="116"/>
        <v/>
      </c>
    </row>
    <row r="117" spans="1:48" x14ac:dyDescent="0.3">
      <c r="A117" s="23" t="str">
        <f t="shared" si="63"/>
        <v>6420</v>
      </c>
      <c r="B117" s="185" t="s">
        <v>114</v>
      </c>
      <c r="C117" s="186" t="str">
        <f t="shared" si="64"/>
        <v>6420/(0340)</v>
      </c>
      <c r="D117" s="187" t="str">
        <f t="shared" si="65"/>
        <v>(0340)  00309/050 Ch.Gén.</v>
      </c>
      <c r="E117" s="190" t="str">
        <f>A576</f>
        <v>64299 - Salaires &amp; Charges Sociales</v>
      </c>
      <c r="F117" s="27">
        <v>0</v>
      </c>
      <c r="I117" s="27">
        <v>-53237.43</v>
      </c>
      <c r="M117" s="39"/>
      <c r="P117" s="39"/>
      <c r="Q117" s="123"/>
      <c r="R117" s="191" t="str">
        <f t="shared" si="110"/>
        <v/>
      </c>
      <c r="V117" s="123"/>
      <c r="W117" s="191" t="str">
        <f t="shared" si="111"/>
        <v/>
      </c>
      <c r="Z117" s="89"/>
      <c r="AA117" s="34"/>
      <c r="AB117" s="191" t="str">
        <f t="shared" si="112"/>
        <v/>
      </c>
      <c r="AD117" s="4"/>
      <c r="AE117" s="35"/>
      <c r="AF117" s="34"/>
      <c r="AG117" s="191" t="str">
        <f t="shared" si="113"/>
        <v/>
      </c>
      <c r="AI117" s="4"/>
      <c r="AJ117" s="29"/>
      <c r="AK117" s="34"/>
      <c r="AL117" s="191" t="str">
        <f t="shared" si="114"/>
        <v/>
      </c>
      <c r="AN117" s="205"/>
      <c r="AO117" s="29"/>
      <c r="AP117" s="34"/>
      <c r="AQ117" s="191" t="str">
        <f t="shared" si="115"/>
        <v/>
      </c>
      <c r="AS117" s="4"/>
      <c r="AT117" s="29"/>
      <c r="AU117" s="34"/>
      <c r="AV117" s="191" t="str">
        <f t="shared" si="116"/>
        <v/>
      </c>
    </row>
    <row r="118" spans="1:48" x14ac:dyDescent="0.3">
      <c r="A118" s="23" t="str">
        <f t="shared" si="63"/>
        <v>6420</v>
      </c>
      <c r="B118" s="185" t="s">
        <v>115</v>
      </c>
      <c r="C118" s="186" t="str">
        <f t="shared" si="64"/>
        <v>6420/(0350)</v>
      </c>
      <c r="D118" s="187" t="str">
        <f t="shared" si="65"/>
        <v>(0350)  01312/050 Ch.Gén.</v>
      </c>
      <c r="E118" s="190" t="str">
        <f>A594</f>
        <v>64451  Formation Prof.Concierges</v>
      </c>
      <c r="F118" s="27">
        <v>0</v>
      </c>
      <c r="G118" s="27">
        <v>502.89</v>
      </c>
      <c r="H118" s="27">
        <v>366.89</v>
      </c>
      <c r="I118" s="27">
        <v>381.49</v>
      </c>
      <c r="J118" s="27">
        <v>448.91</v>
      </c>
      <c r="K118" s="28">
        <v>500</v>
      </c>
      <c r="M118" s="39"/>
      <c r="N118" s="28">
        <v>500</v>
      </c>
      <c r="P118" s="39"/>
      <c r="Q118" s="123">
        <f t="shared" ref="Q118:Q134" si="120">O118-N118</f>
        <v>-500</v>
      </c>
      <c r="R118" s="191" t="str">
        <f t="shared" si="110"/>
        <v/>
      </c>
      <c r="S118" s="28">
        <v>500</v>
      </c>
      <c r="V118" s="123">
        <f t="shared" ref="V118:V134" si="121">T118-S118</f>
        <v>-500</v>
      </c>
      <c r="W118" s="191" t="str">
        <f t="shared" si="111"/>
        <v/>
      </c>
      <c r="X118" s="28">
        <v>500</v>
      </c>
      <c r="Z118" s="89"/>
      <c r="AA118" s="34" t="str">
        <f>ROUND(Y118-X118,2) &amp; "  (" &amp; ROUND(100*(Y118-X118)/X118,1) &amp;"%)"</f>
        <v>-500  (-100%)</v>
      </c>
      <c r="AB118" s="191" t="str">
        <f t="shared" si="112"/>
        <v/>
      </c>
      <c r="AC118" s="28">
        <v>510</v>
      </c>
      <c r="AD118" s="4">
        <v>300</v>
      </c>
      <c r="AE118" s="35"/>
      <c r="AF118" s="34" t="str">
        <f t="shared" ref="AF118:AF125" si="122">ROUND(AD118-AC118,2) &amp; "  (" &amp; ROUND(100*(AD118-AC118)/AC118,1) &amp;"%)"</f>
        <v>-210  (-41,2%)</v>
      </c>
      <c r="AG118" s="191">
        <f t="shared" si="113"/>
        <v>1.0049873502242226E-3</v>
      </c>
      <c r="AH118" s="28">
        <v>520</v>
      </c>
      <c r="AI118" s="4">
        <v>60</v>
      </c>
      <c r="AJ118" s="35" t="str">
        <f t="shared" ref="AJ118:AJ123" si="123">ROUND(AI118-AD118,2) &amp; "   (" &amp; ROUND(100*(AI118-AD118)/AD118,1) &amp;"%)"</f>
        <v>-240   (-80%)</v>
      </c>
      <c r="AK118" s="34" t="str">
        <f t="shared" ref="AK118:AK125" si="124">ROUND(AI118-AH118,2) &amp; "  (" &amp; ROUND(100*(AI118-AH118)/AH118,1) &amp;"%)"</f>
        <v>-460  (-88,5%)</v>
      </c>
      <c r="AL118" s="191">
        <f t="shared" si="114"/>
        <v>2.0186908567737814E-4</v>
      </c>
      <c r="AM118" s="28">
        <v>530</v>
      </c>
      <c r="AN118" s="205">
        <v>0</v>
      </c>
      <c r="AO118" s="35" t="str">
        <f t="shared" ref="AO118:AO123" si="125">ROUND(AN118-AI118,2) &amp; "   (" &amp; ROUND(100*(AN118-AI118)/AI118,1) &amp;"%)"</f>
        <v>-60   (-100%)</v>
      </c>
      <c r="AP118" s="34" t="str">
        <f t="shared" ref="AP118:AP125" si="126">ROUND(AN118-AM118,2) &amp; "  (" &amp; ROUND(100*(AN118-AM118)/AM118,1) &amp;"%)"</f>
        <v>-530  (-100%)</v>
      </c>
      <c r="AQ118" s="191" t="str">
        <f t="shared" si="115"/>
        <v/>
      </c>
      <c r="AR118" s="28">
        <v>530</v>
      </c>
      <c r="AS118" s="4">
        <v>0</v>
      </c>
      <c r="AT118" s="35" t="e">
        <f t="shared" ref="AT118:AT123" si="127">ROUND(AS118-AN118,2) &amp; "   (" &amp; ROUND(100*(AS118-AN118)/AN118,1) &amp;"%)"</f>
        <v>#DIV/0!</v>
      </c>
      <c r="AU118" s="34" t="str">
        <f t="shared" ref="AU118:AU125" si="128">ROUND(AS118-AR118,2) &amp; "  (" &amp; ROUND(100*(AS118-AR118)/AR118,1) &amp;"%)"</f>
        <v>-530  (-100%)</v>
      </c>
      <c r="AV118" s="191" t="str">
        <f t="shared" si="116"/>
        <v/>
      </c>
    </row>
    <row r="119" spans="1:48" x14ac:dyDescent="0.3">
      <c r="A119" s="23" t="str">
        <f t="shared" si="63"/>
        <v>6430</v>
      </c>
      <c r="B119" s="185" t="s">
        <v>116</v>
      </c>
      <c r="C119" s="186" t="str">
        <f t="shared" si="64"/>
        <v>6430/(0360)</v>
      </c>
      <c r="D119" s="187" t="str">
        <f t="shared" si="65"/>
        <v>(0360)  01314/050 Ch.Gén.</v>
      </c>
      <c r="E119" s="190" t="str">
        <f>A578</f>
        <v>64301 – Taxe salaires Concierges</v>
      </c>
      <c r="F119" s="27">
        <v>0</v>
      </c>
      <c r="G119" s="27">
        <v>8628.18</v>
      </c>
      <c r="H119" s="27">
        <v>6493.82</v>
      </c>
      <c r="I119" s="27">
        <v>8041.98</v>
      </c>
      <c r="J119" s="27">
        <v>3245.54</v>
      </c>
      <c r="K119" s="28">
        <v>4400</v>
      </c>
      <c r="M119" s="39"/>
      <c r="N119" s="28">
        <v>4400</v>
      </c>
      <c r="P119" s="39"/>
      <c r="Q119" s="123">
        <f t="shared" si="120"/>
        <v>-4400</v>
      </c>
      <c r="R119" s="191" t="str">
        <f t="shared" si="110"/>
        <v/>
      </c>
      <c r="S119" s="28">
        <v>4400</v>
      </c>
      <c r="V119" s="123">
        <f t="shared" si="121"/>
        <v>-4400</v>
      </c>
      <c r="W119" s="191" t="str">
        <f t="shared" si="111"/>
        <v/>
      </c>
      <c r="X119" s="28">
        <v>4400</v>
      </c>
      <c r="Z119" s="89"/>
      <c r="AA119" s="34" t="str">
        <f>ROUND(Y119-X119,2) &amp; "  (" &amp; ROUND(100*(Y119-X119)/X119,1) &amp;"%)"</f>
        <v>-4400  (-100%)</v>
      </c>
      <c r="AB119" s="191" t="str">
        <f t="shared" si="112"/>
        <v/>
      </c>
      <c r="AC119" s="28">
        <v>4490</v>
      </c>
      <c r="AD119" s="4">
        <v>0</v>
      </c>
      <c r="AE119" s="35"/>
      <c r="AF119" s="34" t="str">
        <f t="shared" si="122"/>
        <v>-4490  (-100%)</v>
      </c>
      <c r="AG119" s="191" t="str">
        <f t="shared" si="113"/>
        <v/>
      </c>
      <c r="AH119" s="28">
        <v>4560</v>
      </c>
      <c r="AI119" s="4">
        <v>0</v>
      </c>
      <c r="AJ119" s="35" t="str">
        <f t="shared" ref="AJ119:AJ120" si="129">ROUND(AI119-AD119,2) &amp; "   (" &amp; ROUND(100*(AI119-AD119)/(AD119+0.001),1) &amp;"%)"</f>
        <v>0   (0%)</v>
      </c>
      <c r="AK119" s="34" t="str">
        <f t="shared" si="124"/>
        <v>-4560  (-100%)</v>
      </c>
      <c r="AL119" s="191" t="str">
        <f t="shared" si="114"/>
        <v/>
      </c>
      <c r="AM119" s="28">
        <v>4630</v>
      </c>
      <c r="AN119" s="205">
        <v>0</v>
      </c>
      <c r="AO119" s="35" t="str">
        <f t="shared" ref="AO119:AO120" si="130">ROUND(AN119-AI119,2) &amp; "   (" &amp; ROUND(100*(AN119-AI119)/(AI119+0.0001),1) &amp;"%)"</f>
        <v>0   (0%)</v>
      </c>
      <c r="AP119" s="34" t="str">
        <f t="shared" si="126"/>
        <v>-4630  (-100%)</v>
      </c>
      <c r="AQ119" s="191" t="str">
        <f t="shared" si="115"/>
        <v/>
      </c>
      <c r="AR119" s="28">
        <v>4630</v>
      </c>
      <c r="AS119" s="4">
        <v>0</v>
      </c>
      <c r="AT119" s="35" t="e">
        <f t="shared" si="127"/>
        <v>#DIV/0!</v>
      </c>
      <c r="AU119" s="34" t="str">
        <f t="shared" si="128"/>
        <v>-4630  (-100%)</v>
      </c>
      <c r="AV119" s="191" t="str">
        <f t="shared" si="116"/>
        <v/>
      </c>
    </row>
    <row r="120" spans="1:48" x14ac:dyDescent="0.3">
      <c r="A120" s="98" t="str">
        <f t="shared" si="63"/>
        <v>6410</v>
      </c>
      <c r="B120" s="185" t="s">
        <v>117</v>
      </c>
      <c r="C120" s="208" t="str">
        <f t="shared" si="64"/>
        <v>6410/(0370)</v>
      </c>
      <c r="D120" s="209" t="str">
        <f>RIGHT(B120,6) &amp;"  "&amp; RIGHT(LEFT(B120,10),5) &amp;"/"&amp;LEFT(B$81,6)&amp;"."&amp;RIGHT(LEFT(B$81,14),3)&amp;"."</f>
        <v>(0370)  01315/050 Ch.Gén.</v>
      </c>
      <c r="E120" s="198" t="str">
        <f>A546</f>
        <v>64211 – CRI Prévoyance Concierges</v>
      </c>
      <c r="F120" s="27">
        <v>0</v>
      </c>
      <c r="G120" s="27">
        <v>658.21</v>
      </c>
      <c r="H120" s="27">
        <v>693.6</v>
      </c>
      <c r="I120" s="27">
        <v>816.44</v>
      </c>
      <c r="J120" s="27">
        <v>433</v>
      </c>
      <c r="K120" s="28">
        <v>550</v>
      </c>
      <c r="M120" s="39"/>
      <c r="N120" s="28">
        <v>550</v>
      </c>
      <c r="P120" s="39"/>
      <c r="Q120" s="123">
        <f t="shared" si="120"/>
        <v>-550</v>
      </c>
      <c r="R120" s="191" t="str">
        <f t="shared" si="110"/>
        <v/>
      </c>
      <c r="S120" s="28">
        <v>550</v>
      </c>
      <c r="V120" s="123">
        <f t="shared" si="121"/>
        <v>-550</v>
      </c>
      <c r="W120" s="191" t="str">
        <f t="shared" si="111"/>
        <v/>
      </c>
      <c r="X120" s="28">
        <v>550</v>
      </c>
      <c r="Z120" s="89"/>
      <c r="AA120" s="34" t="str">
        <f>ROUND(Y120-X120,2) &amp; "  (" &amp; ROUND(100*(Y120-X120)/X120,1) &amp;"%)"</f>
        <v>-550  (-100%)</v>
      </c>
      <c r="AB120" s="191" t="str">
        <f t="shared" si="112"/>
        <v/>
      </c>
      <c r="AC120" s="28">
        <v>570</v>
      </c>
      <c r="AD120" s="4">
        <v>0</v>
      </c>
      <c r="AE120" s="35"/>
      <c r="AF120" s="34" t="str">
        <f t="shared" si="122"/>
        <v>-570  (-100%)</v>
      </c>
      <c r="AG120" s="191" t="str">
        <f t="shared" si="113"/>
        <v/>
      </c>
      <c r="AH120" s="28">
        <v>580</v>
      </c>
      <c r="AI120" s="4">
        <v>0</v>
      </c>
      <c r="AJ120" s="35" t="str">
        <f t="shared" si="129"/>
        <v>0   (0%)</v>
      </c>
      <c r="AK120" s="34" t="str">
        <f t="shared" si="124"/>
        <v>-580  (-100%)</v>
      </c>
      <c r="AL120" s="191" t="str">
        <f t="shared" si="114"/>
        <v/>
      </c>
      <c r="AM120" s="28">
        <v>590</v>
      </c>
      <c r="AN120" s="205">
        <v>0</v>
      </c>
      <c r="AO120" s="35" t="str">
        <f t="shared" si="130"/>
        <v>0   (0%)</v>
      </c>
      <c r="AP120" s="34" t="str">
        <f t="shared" si="126"/>
        <v>-590  (-100%)</v>
      </c>
      <c r="AQ120" s="191" t="str">
        <f t="shared" si="115"/>
        <v/>
      </c>
      <c r="AR120" s="28">
        <v>590</v>
      </c>
      <c r="AS120" s="4">
        <v>0</v>
      </c>
      <c r="AT120" s="35" t="e">
        <f t="shared" si="127"/>
        <v>#DIV/0!</v>
      </c>
      <c r="AU120" s="34" t="str">
        <f t="shared" si="128"/>
        <v>-590  (-100%)</v>
      </c>
      <c r="AV120" s="191" t="str">
        <f t="shared" si="116"/>
        <v/>
      </c>
    </row>
    <row r="121" spans="1:48" x14ac:dyDescent="0.3">
      <c r="A121" s="98" t="str">
        <f t="shared" si="63"/>
        <v>6410</v>
      </c>
      <c r="B121" s="185" t="s">
        <v>118</v>
      </c>
      <c r="C121" s="186" t="str">
        <f t="shared" si="64"/>
        <v>6410/(0380)</v>
      </c>
      <c r="D121" s="187" t="str">
        <f t="shared" si="65"/>
        <v>(0380)  00321/050 Ch.Gén.</v>
      </c>
      <c r="E121" s="198" t="str">
        <f>A543</f>
        <v>64106 – Salaires Pers.Entretien</v>
      </c>
      <c r="F121" s="27">
        <v>26582.11</v>
      </c>
      <c r="G121" s="27">
        <v>27486.19</v>
      </c>
      <c r="H121" s="27">
        <v>28620.59</v>
      </c>
      <c r="I121" s="27">
        <v>29331.66</v>
      </c>
      <c r="J121" s="27">
        <v>28461.98</v>
      </c>
      <c r="K121" s="28">
        <v>30000</v>
      </c>
      <c r="L121" s="27">
        <v>28543.87</v>
      </c>
      <c r="M121" s="39">
        <f>(L121-J121)/J121</f>
        <v>2.8771715811759906E-3</v>
      </c>
      <c r="N121" s="28">
        <v>30000</v>
      </c>
      <c r="O121" s="27">
        <v>26166.18</v>
      </c>
      <c r="P121" s="39">
        <f>(O121-L121)/L121</f>
        <v>-8.3299496529377362E-2</v>
      </c>
      <c r="Q121" s="123">
        <f t="shared" si="120"/>
        <v>-3833.8199999999997</v>
      </c>
      <c r="R121" s="191">
        <f t="shared" si="110"/>
        <v>8.7635953522920335E-2</v>
      </c>
      <c r="S121" s="28">
        <v>30000</v>
      </c>
      <c r="T121" s="27">
        <v>29174.98</v>
      </c>
      <c r="U121" s="39">
        <f>(T121-O121)/O121</f>
        <v>0.1149881258938064</v>
      </c>
      <c r="V121" s="123">
        <f t="shared" si="121"/>
        <v>-825.02000000000044</v>
      </c>
      <c r="W121" s="191">
        <f t="shared" si="111"/>
        <v>9.9529541360394977E-2</v>
      </c>
      <c r="X121" s="28">
        <v>27900</v>
      </c>
      <c r="Y121" s="27">
        <v>30292.32</v>
      </c>
      <c r="Z121" s="89" t="str">
        <f>ROUND(Y121-T121,2) &amp; "   (" &amp; ROUND(100*(Y121-T121)/T121,1) &amp;"%)"</f>
        <v>1117,34   (3,8%)</v>
      </c>
      <c r="AA121" s="34" t="str">
        <f>ROUND(Y121-X121,2) &amp; "  (" &amp; ROUND(100*(Y121-X121)/X121,1) &amp;"%)"</f>
        <v>2392,32  (8,6%)</v>
      </c>
      <c r="AB121" s="191">
        <f t="shared" si="112"/>
        <v>9.7441869150256474E-2</v>
      </c>
      <c r="AC121" s="28">
        <v>30000</v>
      </c>
      <c r="AD121" s="210">
        <v>27788.400000000001</v>
      </c>
      <c r="AE121" s="35" t="str">
        <f>ROUND(AD121-Y121,2) &amp; "   (" &amp; ROUND(100*(AD121-Y121)/Y121,1) &amp;"%)"</f>
        <v>-2503,92   (-8,3%)</v>
      </c>
      <c r="AF121" s="34" t="str">
        <f t="shared" si="122"/>
        <v>-2211,6  (-7,4%)</v>
      </c>
      <c r="AG121" s="191">
        <f t="shared" si="113"/>
        <v>9.3089968276569304E-2</v>
      </c>
      <c r="AH121" s="28">
        <v>30450</v>
      </c>
      <c r="AI121" s="4">
        <v>37694.42</v>
      </c>
      <c r="AJ121" s="471" t="str">
        <f t="shared" si="123"/>
        <v>9906,02   (35,6%)</v>
      </c>
      <c r="AK121" s="34" t="str">
        <f t="shared" si="124"/>
        <v>7244,42  (23,8%)</v>
      </c>
      <c r="AL121" s="191">
        <f t="shared" si="114"/>
        <v>0.12682230167565126</v>
      </c>
      <c r="AM121" s="28">
        <v>30910</v>
      </c>
      <c r="AN121" s="205">
        <v>19403.68</v>
      </c>
      <c r="AO121" s="35" t="str">
        <f t="shared" si="125"/>
        <v>-18290,74   (-48,5%)</v>
      </c>
      <c r="AP121" s="34" t="str">
        <f t="shared" si="126"/>
        <v>-11506,32  (-37,2%)</v>
      </c>
      <c r="AQ121" s="191">
        <f t="shared" si="115"/>
        <v>8.1650343762705482E-2</v>
      </c>
      <c r="AR121" s="28">
        <v>30910</v>
      </c>
      <c r="AS121" s="4">
        <v>0</v>
      </c>
      <c r="AT121" s="35" t="str">
        <f t="shared" si="127"/>
        <v>-19403,68   (-100%)</v>
      </c>
      <c r="AU121" s="34" t="str">
        <f t="shared" si="128"/>
        <v>-30910  (-100%)</v>
      </c>
      <c r="AV121" s="191" t="str">
        <f t="shared" si="116"/>
        <v/>
      </c>
    </row>
    <row r="122" spans="1:48" x14ac:dyDescent="0.3">
      <c r="A122" s="98" t="str">
        <f t="shared" si="63"/>
        <v>6420</v>
      </c>
      <c r="B122" s="185" t="s">
        <v>119</v>
      </c>
      <c r="C122" s="186" t="str">
        <f t="shared" si="64"/>
        <v>6420/(0390)</v>
      </c>
      <c r="D122" s="187" t="str">
        <f t="shared" si="65"/>
        <v>(0390)  00322/050 Ch.Gén.</v>
      </c>
      <c r="E122" s="198" t="str">
        <f>A556</f>
        <v>64226 – Cotisation. Urssaf Pers.Entretien</v>
      </c>
      <c r="F122" s="27">
        <v>8319.2000000000007</v>
      </c>
      <c r="G122" s="27">
        <v>9360.59</v>
      </c>
      <c r="H122" s="27">
        <v>8988.9599999999991</v>
      </c>
      <c r="I122" s="27">
        <v>9279.0400000000009</v>
      </c>
      <c r="J122" s="27">
        <v>8901.8700000000008</v>
      </c>
      <c r="K122" s="28">
        <v>9200</v>
      </c>
      <c r="L122" s="27">
        <v>8778.7999999999993</v>
      </c>
      <c r="M122" s="39">
        <f>(L122-J122)/J122</f>
        <v>-1.382518504538951E-2</v>
      </c>
      <c r="N122" s="28">
        <v>9200</v>
      </c>
      <c r="O122" s="27">
        <v>7505.84</v>
      </c>
      <c r="P122" s="39">
        <f>(O122-L122)/L122</f>
        <v>-0.1450038729666924</v>
      </c>
      <c r="Q122" s="123">
        <f t="shared" si="120"/>
        <v>-1694.1599999999999</v>
      </c>
      <c r="R122" s="191">
        <f t="shared" si="110"/>
        <v>2.5138611955985792E-2</v>
      </c>
      <c r="S122" s="28">
        <v>9200</v>
      </c>
      <c r="T122" s="27">
        <v>8949.66</v>
      </c>
      <c r="U122" s="39">
        <f>(T122-O122)/O122</f>
        <v>0.19235954936422833</v>
      </c>
      <c r="V122" s="123">
        <f t="shared" si="121"/>
        <v>-250.34000000000015</v>
      </c>
      <c r="W122" s="191">
        <f t="shared" si="111"/>
        <v>3.0531488115209417E-2</v>
      </c>
      <c r="X122" s="28">
        <v>8000</v>
      </c>
      <c r="Y122" s="27">
        <v>9032.2999999999993</v>
      </c>
      <c r="Z122" s="89" t="str">
        <f>ROUND(Y122-T122,2) &amp; "   (" &amp; ROUND(100*(Y122-T122)/T122,1) &amp;"%)"</f>
        <v>82,64   (0,9%)</v>
      </c>
      <c r="AA122" s="34" t="str">
        <f>ROUND(Y122-X122,2) &amp; "  (" &amp; ROUND(100*(Y122-X122)/X122,1) &amp;"%)"</f>
        <v>1032,3  (12,9%)</v>
      </c>
      <c r="AB122" s="191">
        <f t="shared" si="112"/>
        <v>2.9054367401567839E-2</v>
      </c>
      <c r="AC122" s="28">
        <v>9000</v>
      </c>
      <c r="AD122" s="192">
        <v>7380.29</v>
      </c>
      <c r="AE122" s="35" t="str">
        <f>ROUND(AD122-Y122,2) &amp; "   (" &amp; ROUND(100*(AD122-Y122)/Y122,1) &amp;"%)"</f>
        <v>-1652,01   (-18,3%)</v>
      </c>
      <c r="AF122" s="34" t="str">
        <f t="shared" si="122"/>
        <v>-1619,71  (-18%)</v>
      </c>
      <c r="AG122" s="191">
        <f t="shared" si="113"/>
        <v>2.4723660303287761E-2</v>
      </c>
      <c r="AH122" s="28">
        <v>9140</v>
      </c>
      <c r="AI122" s="4">
        <v>9898.6</v>
      </c>
      <c r="AJ122" s="471" t="str">
        <f t="shared" si="123"/>
        <v>2518,31   (34,1%)</v>
      </c>
      <c r="AK122" s="34" t="str">
        <f t="shared" si="124"/>
        <v>758,6  (8,3%)</v>
      </c>
      <c r="AL122" s="191" t="e">
        <f>IF(#REF!&gt;0,#REF!/AI$219,"")</f>
        <v>#REF!</v>
      </c>
      <c r="AM122" s="28">
        <v>9280</v>
      </c>
      <c r="AN122" s="205">
        <v>4271.12</v>
      </c>
      <c r="AO122" s="35" t="str">
        <f t="shared" si="125"/>
        <v>-5627,48   (-56,9%)</v>
      </c>
      <c r="AP122" s="34" t="str">
        <f t="shared" si="126"/>
        <v>-5008,88  (-54%)</v>
      </c>
      <c r="AQ122" s="191" t="e">
        <f>IF(#REF!&gt;0,#REF!/AN$219,"")</f>
        <v>#REF!</v>
      </c>
      <c r="AR122" s="28">
        <v>9280</v>
      </c>
      <c r="AS122" s="4">
        <v>0</v>
      </c>
      <c r="AT122" s="35" t="str">
        <f t="shared" si="127"/>
        <v>-4271,12   (-100%)</v>
      </c>
      <c r="AU122" s="34" t="str">
        <f t="shared" si="128"/>
        <v>-9280  (-100%)</v>
      </c>
      <c r="AV122" s="191" t="e">
        <f>IF(#REF!&gt;0,#REF!/AS$219,"")</f>
        <v>#REF!</v>
      </c>
    </row>
    <row r="123" spans="1:48" x14ac:dyDescent="0.3">
      <c r="A123" s="98" t="str">
        <f t="shared" si="63"/>
        <v>6420</v>
      </c>
      <c r="B123" s="185" t="s">
        <v>120</v>
      </c>
      <c r="C123" s="186" t="str">
        <f t="shared" si="64"/>
        <v>6420/(0400)</v>
      </c>
      <c r="D123" s="187" t="str">
        <f t="shared" si="65"/>
        <v>(0400)  00323/050 Ch.Gén.</v>
      </c>
      <c r="E123" s="198" t="str">
        <f>A562</f>
        <v>64236 – Cotisation. Retraite Pers.Entretien</v>
      </c>
      <c r="F123" s="27">
        <v>1777.65</v>
      </c>
      <c r="G123" s="27">
        <v>2031.37</v>
      </c>
      <c r="H123" s="27">
        <v>1884.66</v>
      </c>
      <c r="I123" s="27">
        <v>1930.31</v>
      </c>
      <c r="J123" s="27">
        <v>1873.56</v>
      </c>
      <c r="K123" s="28">
        <v>2000</v>
      </c>
      <c r="L123" s="27">
        <v>1912.5</v>
      </c>
      <c r="M123" s="39">
        <f>(L123-J123)/J123</f>
        <v>2.0783962082879682E-2</v>
      </c>
      <c r="N123" s="28">
        <v>2000</v>
      </c>
      <c r="O123" s="27">
        <v>1526.46</v>
      </c>
      <c r="P123" s="39">
        <f>(O123-L123)/L123</f>
        <v>-0.20185098039215685</v>
      </c>
      <c r="Q123" s="123">
        <f t="shared" si="120"/>
        <v>-473.53999999999996</v>
      </c>
      <c r="R123" s="191">
        <f t="shared" si="110"/>
        <v>5.1124305349346741E-3</v>
      </c>
      <c r="S123" s="28">
        <v>2000</v>
      </c>
      <c r="T123" s="27">
        <v>1931.96</v>
      </c>
      <c r="U123" s="39">
        <f>(T123-O123)/O123</f>
        <v>0.26564731470199021</v>
      </c>
      <c r="V123" s="123">
        <f t="shared" si="121"/>
        <v>-68.039999999999964</v>
      </c>
      <c r="W123" s="191">
        <f t="shared" si="111"/>
        <v>6.5908217495480263E-3</v>
      </c>
      <c r="X123" s="28">
        <v>1700</v>
      </c>
      <c r="Y123" s="27">
        <v>1871.35</v>
      </c>
      <c r="Z123" s="89"/>
      <c r="AA123" s="34"/>
      <c r="AB123" s="191">
        <f t="shared" si="112"/>
        <v>6.0196063502013864E-3</v>
      </c>
      <c r="AC123" s="28">
        <v>2000</v>
      </c>
      <c r="AD123" s="192">
        <v>1745.6</v>
      </c>
      <c r="AE123" s="35"/>
      <c r="AF123" s="34" t="str">
        <f t="shared" si="122"/>
        <v>-254,4  (-12,7%)</v>
      </c>
      <c r="AG123" s="191">
        <f t="shared" si="113"/>
        <v>5.8476863951713431E-3</v>
      </c>
      <c r="AH123" s="28">
        <v>2030</v>
      </c>
      <c r="AI123" s="4">
        <v>2385.8200000000002</v>
      </c>
      <c r="AJ123" s="471" t="str">
        <f t="shared" si="123"/>
        <v>640,22   (36,7%)</v>
      </c>
      <c r="AK123" s="34" t="str">
        <f t="shared" si="124"/>
        <v>355,82  (17,5%)</v>
      </c>
      <c r="AL123" s="191">
        <f t="shared" ref="AL123:AL128" si="131">IF(AI123&gt;0,AI123/AI$219,"")</f>
        <v>8.0270550331800403E-3</v>
      </c>
      <c r="AM123" s="28">
        <v>2070</v>
      </c>
      <c r="AN123" s="205">
        <v>1038.73</v>
      </c>
      <c r="AO123" s="35" t="str">
        <f t="shared" si="125"/>
        <v>-1347,09   (-56,5%)</v>
      </c>
      <c r="AP123" s="34" t="str">
        <f t="shared" si="126"/>
        <v>-1031,27  (-49,8%)</v>
      </c>
      <c r="AQ123" s="191">
        <f t="shared" ref="AQ123:AQ128" si="132">IF(AN123&gt;0,AN123/AN$219,"")</f>
        <v>4.3709575491162021E-3</v>
      </c>
      <c r="AR123" s="28">
        <v>2070</v>
      </c>
      <c r="AS123" s="4">
        <v>0</v>
      </c>
      <c r="AT123" s="35" t="str">
        <f t="shared" si="127"/>
        <v>-1038,73   (-100%)</v>
      </c>
      <c r="AU123" s="34" t="str">
        <f t="shared" si="128"/>
        <v>-2070  (-100%)</v>
      </c>
      <c r="AV123" s="191" t="str">
        <f t="shared" ref="AV123:AV128" si="133">IF(AS123&gt;0,AS123/AS$219,"")</f>
        <v/>
      </c>
    </row>
    <row r="124" spans="1:48" x14ac:dyDescent="0.3">
      <c r="A124" s="98" t="str">
        <f t="shared" si="63"/>
        <v>6420</v>
      </c>
      <c r="B124" s="185" t="s">
        <v>121</v>
      </c>
      <c r="C124" s="186" t="str">
        <f t="shared" si="64"/>
        <v>6420/(0410)</v>
      </c>
      <c r="D124" s="187" t="str">
        <f t="shared" si="65"/>
        <v>(0410)  01326/050 Ch.Gén.</v>
      </c>
      <c r="E124" s="198" t="str">
        <f>A568</f>
        <v>64246 – Cotisation. Chômage Pers.Entretien</v>
      </c>
      <c r="F124" s="27">
        <v>1061.3</v>
      </c>
      <c r="M124" s="39"/>
      <c r="P124" s="39"/>
      <c r="Q124" s="123">
        <f t="shared" si="120"/>
        <v>0</v>
      </c>
      <c r="R124" s="191" t="str">
        <f t="shared" si="110"/>
        <v/>
      </c>
      <c r="V124" s="123">
        <f t="shared" si="121"/>
        <v>0</v>
      </c>
      <c r="W124" s="191" t="str">
        <f t="shared" si="111"/>
        <v/>
      </c>
      <c r="X124" s="28">
        <v>100</v>
      </c>
      <c r="Z124" s="89"/>
      <c r="AA124" s="34" t="str">
        <f>ROUND(Y124-X124,2) &amp; "  (" &amp; ROUND(100*(Y124-X124)/X124,1) &amp;"%)"</f>
        <v>-100  (-100%)</v>
      </c>
      <c r="AB124" s="191" t="str">
        <f t="shared" si="112"/>
        <v/>
      </c>
      <c r="AC124" s="28">
        <v>110</v>
      </c>
      <c r="AD124" s="4">
        <v>0</v>
      </c>
      <c r="AE124" s="35"/>
      <c r="AF124" s="34" t="str">
        <f t="shared" si="122"/>
        <v>-110  (-100%)</v>
      </c>
      <c r="AG124" s="191" t="str">
        <f t="shared" si="113"/>
        <v/>
      </c>
      <c r="AH124" s="28">
        <v>120</v>
      </c>
      <c r="AI124" s="4">
        <v>0</v>
      </c>
      <c r="AJ124" s="29"/>
      <c r="AK124" s="34" t="str">
        <f t="shared" si="124"/>
        <v>-120  (-100%)</v>
      </c>
      <c r="AL124" s="191" t="str">
        <f t="shared" si="131"/>
        <v/>
      </c>
      <c r="AM124" s="28">
        <v>130</v>
      </c>
      <c r="AN124" s="205">
        <v>0</v>
      </c>
      <c r="AO124" s="29"/>
      <c r="AP124" s="34" t="str">
        <f t="shared" si="126"/>
        <v>-130  (-100%)</v>
      </c>
      <c r="AQ124" s="191" t="str">
        <f t="shared" si="132"/>
        <v/>
      </c>
      <c r="AR124" s="28">
        <v>130</v>
      </c>
      <c r="AS124" s="4">
        <v>0</v>
      </c>
      <c r="AT124" s="29"/>
      <c r="AU124" s="34" t="str">
        <f t="shared" si="128"/>
        <v>-130  (-100%)</v>
      </c>
      <c r="AV124" s="191" t="str">
        <f t="shared" si="133"/>
        <v/>
      </c>
    </row>
    <row r="125" spans="1:48" x14ac:dyDescent="0.3">
      <c r="A125" s="98" t="str">
        <f t="shared" si="63"/>
        <v>6440</v>
      </c>
      <c r="B125" s="185" t="s">
        <v>122</v>
      </c>
      <c r="C125" s="186" t="str">
        <f t="shared" si="64"/>
        <v>6440/(0420)</v>
      </c>
      <c r="D125" s="187" t="str">
        <f t="shared" si="65"/>
        <v>(0420)  00325/050 Ch.Gén.</v>
      </c>
      <c r="E125" s="198" t="str">
        <f>A589</f>
        <v>64416 – Visites Médicales Pers.Entretien</v>
      </c>
      <c r="F125" s="27">
        <v>249.84</v>
      </c>
      <c r="G125" s="27">
        <v>84.61</v>
      </c>
      <c r="H125" s="27">
        <v>84.61</v>
      </c>
      <c r="I125" s="27">
        <v>88.5</v>
      </c>
      <c r="K125" s="28">
        <v>100</v>
      </c>
      <c r="L125" s="27">
        <v>90</v>
      </c>
      <c r="M125" s="39"/>
      <c r="N125" s="28">
        <v>100</v>
      </c>
      <c r="O125" s="27">
        <v>92.4</v>
      </c>
      <c r="P125" s="39">
        <f>(O125-L125)/L125</f>
        <v>2.6666666666666731E-2</v>
      </c>
      <c r="Q125" s="123">
        <f t="shared" si="120"/>
        <v>-7.5999999999999943</v>
      </c>
      <c r="R125" s="191">
        <f t="shared" si="110"/>
        <v>3.0946672787230843E-4</v>
      </c>
      <c r="S125" s="28">
        <v>100</v>
      </c>
      <c r="T125" s="27">
        <v>93.6</v>
      </c>
      <c r="U125" s="39">
        <f>(T125-O125)/O125</f>
        <v>1.2987012987012863E-2</v>
      </c>
      <c r="V125" s="123">
        <f t="shared" si="121"/>
        <v>-6.4000000000000057</v>
      </c>
      <c r="W125" s="191">
        <f t="shared" si="111"/>
        <v>3.193135032597441E-4</v>
      </c>
      <c r="X125" s="28">
        <v>100</v>
      </c>
      <c r="Y125" s="27">
        <v>96</v>
      </c>
      <c r="Z125" s="89" t="str">
        <f>ROUND(Y125-T125,2) &amp; "   (" &amp; ROUND(100*(Y125-T125)/T125,1) &amp;"%)"</f>
        <v>2,4   (2,6%)</v>
      </c>
      <c r="AA125" s="34" t="str">
        <f>ROUND(Y125-X125,2) &amp; "  (" &amp; ROUND(100*(Y125-X125)/X125,1) &amp;"%)"</f>
        <v>-4  (-4%)</v>
      </c>
      <c r="AB125" s="191">
        <f t="shared" si="112"/>
        <v>3.0880498550208839E-4</v>
      </c>
      <c r="AC125" s="28">
        <v>110</v>
      </c>
      <c r="AD125" s="192">
        <v>96</v>
      </c>
      <c r="AE125" s="35" t="str">
        <f>ROUND(AD125-Y125,2) &amp; "   (" &amp; ROUND(100*(AD125-Y125)/Y125,1) &amp;"%)"</f>
        <v>0   (0%)</v>
      </c>
      <c r="AF125" s="34" t="str">
        <f t="shared" si="122"/>
        <v>-14  (-12,7%)</v>
      </c>
      <c r="AG125" s="191">
        <f t="shared" si="113"/>
        <v>3.2159595207175123E-4</v>
      </c>
      <c r="AH125" s="28">
        <v>120</v>
      </c>
      <c r="AI125" s="4">
        <v>201.6</v>
      </c>
      <c r="AJ125" s="471" t="str">
        <f t="shared" ref="AJ125" si="134">ROUND(AI125-AD125,2) &amp; "   (" &amp; ROUND(100*(AI125-AD125)/AD125,1) &amp;"%)"</f>
        <v>105,6   (110%)</v>
      </c>
      <c r="AK125" s="34" t="str">
        <f t="shared" si="124"/>
        <v>81,6  (68%)</v>
      </c>
      <c r="AL125" s="191">
        <f t="shared" si="131"/>
        <v>6.7828012787599058E-4</v>
      </c>
      <c r="AM125" s="28">
        <v>130</v>
      </c>
      <c r="AN125" s="205">
        <v>313.2</v>
      </c>
      <c r="AO125" s="35" t="str">
        <f t="shared" ref="AO125" si="135">ROUND(AN125-AI125,2) &amp; "   (" &amp; ROUND(100*(AN125-AI125)/AI125,1) &amp;"%)"</f>
        <v>111,6   (55,4%)</v>
      </c>
      <c r="AP125" s="34" t="str">
        <f t="shared" si="126"/>
        <v>183,2  (140,9%)</v>
      </c>
      <c r="AQ125" s="191">
        <f t="shared" si="132"/>
        <v>1.3179400848952031E-3</v>
      </c>
      <c r="AR125" s="28">
        <v>130</v>
      </c>
      <c r="AS125" s="4">
        <v>0</v>
      </c>
      <c r="AT125" s="35" t="str">
        <f t="shared" ref="AT125" si="136">ROUND(AS125-AN125,2) &amp; "   (" &amp; ROUND(100*(AS125-AN125)/AN125,1) &amp;"%)"</f>
        <v>-313,2   (-100%)</v>
      </c>
      <c r="AU125" s="34" t="str">
        <f t="shared" si="128"/>
        <v>-130  (-100%)</v>
      </c>
      <c r="AV125" s="191" t="str">
        <f t="shared" si="133"/>
        <v/>
      </c>
    </row>
    <row r="126" spans="1:48" x14ac:dyDescent="0.3">
      <c r="A126" s="211" t="str">
        <f t="shared" si="63"/>
        <v>6420</v>
      </c>
      <c r="B126" s="212" t="s">
        <v>123</v>
      </c>
      <c r="C126" s="186" t="str">
        <f t="shared" si="64"/>
        <v>6420/(0430)</v>
      </c>
      <c r="D126" s="187" t="str">
        <f t="shared" si="65"/>
        <v>(0430)  00326/050 Ch.Gén.</v>
      </c>
      <c r="E126" s="198" t="str">
        <f>A550</f>
        <v>64216 – CRI Prévoyance Pers.Entretien</v>
      </c>
      <c r="F126" s="27">
        <v>904.31</v>
      </c>
      <c r="G126" s="27">
        <v>275.14</v>
      </c>
      <c r="H126" s="27">
        <v>281.2</v>
      </c>
      <c r="I126" s="27">
        <v>289.32</v>
      </c>
      <c r="J126" s="27">
        <v>283</v>
      </c>
      <c r="K126" s="28">
        <v>300</v>
      </c>
      <c r="M126" s="39"/>
      <c r="N126" s="28">
        <v>300</v>
      </c>
      <c r="P126" s="39"/>
      <c r="Q126" s="123">
        <f t="shared" si="120"/>
        <v>-300</v>
      </c>
      <c r="R126" s="191" t="str">
        <f t="shared" si="110"/>
        <v/>
      </c>
      <c r="S126" s="28">
        <v>300</v>
      </c>
      <c r="V126" s="123">
        <f t="shared" si="121"/>
        <v>-300</v>
      </c>
      <c r="W126" s="191" t="str">
        <f t="shared" si="111"/>
        <v/>
      </c>
      <c r="Z126" s="89"/>
      <c r="AA126" s="34"/>
      <c r="AB126" s="191" t="str">
        <f t="shared" si="112"/>
        <v/>
      </c>
      <c r="AD126" s="4"/>
      <c r="AE126" s="35"/>
      <c r="AF126" s="34"/>
      <c r="AG126" s="191" t="str">
        <f t="shared" si="113"/>
        <v/>
      </c>
      <c r="AI126" s="4"/>
      <c r="AJ126" s="29"/>
      <c r="AK126" s="34"/>
      <c r="AL126" s="191" t="str">
        <f t="shared" si="131"/>
        <v/>
      </c>
      <c r="AN126" s="205"/>
      <c r="AO126" s="29"/>
      <c r="AP126" s="34"/>
      <c r="AQ126" s="191" t="str">
        <f t="shared" si="132"/>
        <v/>
      </c>
      <c r="AS126" s="4"/>
      <c r="AT126" s="29"/>
      <c r="AU126" s="34"/>
      <c r="AV126" s="191" t="str">
        <f t="shared" si="133"/>
        <v/>
      </c>
    </row>
    <row r="127" spans="1:48" x14ac:dyDescent="0.3">
      <c r="A127" s="23" t="str">
        <f t="shared" si="63"/>
        <v>6430</v>
      </c>
      <c r="B127" s="212" t="s">
        <v>124</v>
      </c>
      <c r="C127" s="186" t="str">
        <f t="shared" si="64"/>
        <v>6430/(0440)</v>
      </c>
      <c r="D127" s="187" t="str">
        <f t="shared" si="65"/>
        <v>(0440)  00327/050 Ch.Gén.</v>
      </c>
      <c r="E127" s="198" t="str">
        <f>A582</f>
        <v>64306 – Taxe salaires Pers.Entretien</v>
      </c>
      <c r="F127" s="27">
        <v>9128</v>
      </c>
      <c r="G127" s="27">
        <v>1487.82</v>
      </c>
      <c r="H127" s="27">
        <v>2421.1799999999998</v>
      </c>
      <c r="I127" s="27">
        <v>1541.02</v>
      </c>
      <c r="J127" s="27">
        <v>2450.46</v>
      </c>
      <c r="K127" s="28">
        <v>2500</v>
      </c>
      <c r="L127" s="27">
        <v>2544.5</v>
      </c>
      <c r="M127" s="39">
        <f>(L127-J127)/J127</f>
        <v>3.8376468091705217E-2</v>
      </c>
      <c r="N127" s="28">
        <v>2500</v>
      </c>
      <c r="O127" s="27">
        <v>2274.85</v>
      </c>
      <c r="P127" s="39">
        <f>(O127-L127)/L127</f>
        <v>-0.10597366869719005</v>
      </c>
      <c r="Q127" s="123">
        <f t="shared" si="120"/>
        <v>-225.15000000000009</v>
      </c>
      <c r="R127" s="191">
        <f t="shared" si="110"/>
        <v>7.6189435703497912E-3</v>
      </c>
      <c r="S127" s="28">
        <v>2500</v>
      </c>
      <c r="T127" s="27">
        <v>2534.58</v>
      </c>
      <c r="U127" s="39">
        <f>(T127-O127)/O127</f>
        <v>0.11417456096006331</v>
      </c>
      <c r="V127" s="123">
        <f t="shared" si="121"/>
        <v>34.579999999999927</v>
      </c>
      <c r="W127" s="191">
        <f t="shared" si="111"/>
        <v>8.6466412296162636E-3</v>
      </c>
      <c r="X127" s="28">
        <v>2350</v>
      </c>
      <c r="Y127" s="27">
        <v>2450.5100000000002</v>
      </c>
      <c r="Z127" s="89" t="str">
        <f>ROUND(Y127-T127,2) &amp; "   (" &amp; ROUND(100*(Y127-T127)/T127,1) &amp;"%)"</f>
        <v>-84,07   (-3,3%)</v>
      </c>
      <c r="AA127" s="34" t="str">
        <f>ROUND(Y127-X127,2) &amp; "  (" &amp; ROUND(100*(Y127-X127)/X127,1) &amp;"%)"</f>
        <v>100,51  (4,3%)</v>
      </c>
      <c r="AB127" s="191">
        <f t="shared" si="112"/>
        <v>7.8826010939866947E-3</v>
      </c>
      <c r="AC127" s="28">
        <v>2500</v>
      </c>
      <c r="AD127" s="4">
        <v>2720.33</v>
      </c>
      <c r="AE127" s="35" t="str">
        <f>ROUND(AD127-Y127,2) &amp; "   (" &amp; ROUND(100*(AD127-Y127)/Y127,1) &amp;"%)"</f>
        <v>269,82   (11%)</v>
      </c>
      <c r="AF127" s="34" t="str">
        <f>ROUND(AD127-AC127,2) &amp; "  (" &amp; ROUND(100*(AD127-AC127)/AC127,1) &amp;"%)"</f>
        <v>220,33  (8,8%)</v>
      </c>
      <c r="AG127" s="191">
        <f t="shared" si="113"/>
        <v>9.1129907947848643E-3</v>
      </c>
      <c r="AH127" s="28">
        <v>2540</v>
      </c>
      <c r="AI127" s="4">
        <v>3453.32</v>
      </c>
      <c r="AJ127" s="471" t="str">
        <f t="shared" ref="AJ127" si="137">ROUND(AI127-AD127,2) &amp; "   (" &amp; ROUND(100*(AI127-AD127)/AD127,1) &amp;"%)"</f>
        <v>732,99   (26,9%)</v>
      </c>
      <c r="AK127" s="34" t="str">
        <f>ROUND(AI127-AH127,2) &amp; "  (" &amp; ROUND(100*(AI127-AH127)/AH127,1) &amp;"%)"</f>
        <v>913,32  (36%)</v>
      </c>
      <c r="AL127" s="191">
        <f t="shared" si="131"/>
        <v>1.1618642515856726E-2</v>
      </c>
      <c r="AM127" s="28">
        <v>2580</v>
      </c>
      <c r="AN127" s="205">
        <v>1692</v>
      </c>
      <c r="AO127" s="35" t="str">
        <f t="shared" ref="AO127" si="138">ROUND(AN127-AI127,2) &amp; "   (" &amp; ROUND(100*(AN127-AI127)/AI127,1) &amp;"%)"</f>
        <v>-1761,32   (-51%)</v>
      </c>
      <c r="AP127" s="34" t="str">
        <f>ROUND(AN127-AM127,2) &amp; "  (" &amp; ROUND(100*(AN127-AM127)/AM127,1) &amp;"%)"</f>
        <v>-888  (-34,4%)</v>
      </c>
      <c r="AQ127" s="191">
        <f t="shared" si="132"/>
        <v>7.1199062057556951E-3</v>
      </c>
      <c r="AR127" s="28">
        <v>2580</v>
      </c>
      <c r="AS127" s="4">
        <v>0</v>
      </c>
      <c r="AT127" s="35" t="str">
        <f t="shared" ref="AT127" si="139">ROUND(AS127-AN127,2) &amp; "   (" &amp; ROUND(100*(AS127-AN127)/AN127,1) &amp;"%)"</f>
        <v>-1692   (-100%)</v>
      </c>
      <c r="AU127" s="34" t="str">
        <f>ROUND(AS127-AR127,2) &amp; "  (" &amp; ROUND(100*(AS127-AR127)/AR127,1) &amp;"%)"</f>
        <v>-2580  (-100%)</v>
      </c>
      <c r="AV127" s="191" t="str">
        <f t="shared" si="133"/>
        <v/>
      </c>
    </row>
    <row r="128" spans="1:48" x14ac:dyDescent="0.3">
      <c r="A128" s="98" t="str">
        <f t="shared" si="63"/>
        <v>6440</v>
      </c>
      <c r="B128" s="212" t="s">
        <v>125</v>
      </c>
      <c r="C128" s="186" t="str">
        <f t="shared" si="64"/>
        <v>6440/(0450)</v>
      </c>
      <c r="D128" s="187" t="str">
        <f t="shared" si="65"/>
        <v>(0450)  00328/050 Ch.Gén.</v>
      </c>
      <c r="E128" s="198" t="str">
        <f>A595</f>
        <v>64456  Formation Prof. Pers.Entretien</v>
      </c>
      <c r="F128" s="27">
        <v>505.81</v>
      </c>
      <c r="H128" s="27">
        <v>148.58000000000001</v>
      </c>
      <c r="I128" s="27">
        <v>154.65</v>
      </c>
      <c r="J128" s="27">
        <v>158.74</v>
      </c>
      <c r="K128" s="28">
        <v>170</v>
      </c>
      <c r="L128" s="27">
        <v>446.8</v>
      </c>
      <c r="M128" s="39">
        <f>(L128-J128)/J128</f>
        <v>1.8146654907395741</v>
      </c>
      <c r="N128" s="28">
        <v>170</v>
      </c>
      <c r="O128" s="27">
        <v>157</v>
      </c>
      <c r="P128" s="39">
        <f>(O128-L128)/L128</f>
        <v>-0.64861235452103849</v>
      </c>
      <c r="Q128" s="123">
        <f t="shared" si="120"/>
        <v>-13</v>
      </c>
      <c r="R128" s="191">
        <f t="shared" si="110"/>
        <v>5.258255008219958E-4</v>
      </c>
      <c r="S128" s="28">
        <v>170</v>
      </c>
      <c r="T128" s="27">
        <v>329.8</v>
      </c>
      <c r="U128" s="39">
        <f>(T128-O128)/O128</f>
        <v>1.1006369426751592</v>
      </c>
      <c r="V128" s="123">
        <f t="shared" si="121"/>
        <v>159.80000000000001</v>
      </c>
      <c r="W128" s="191">
        <f t="shared" si="111"/>
        <v>1.1251024933233292E-3</v>
      </c>
      <c r="X128" s="28">
        <v>170</v>
      </c>
      <c r="Y128" s="27">
        <v>193.58</v>
      </c>
      <c r="Z128" s="89" t="str">
        <f>ROUND(Y128-T128,2) &amp; "   (" &amp; ROUND(100*(Y128-T128)/T128,1) &amp;"%)"</f>
        <v>-136,22   (-41,3%)</v>
      </c>
      <c r="AA128" s="34" t="str">
        <f>ROUND(Y128-X128,2) &amp; "  (" &amp; ROUND(100*(Y128-X128)/X128,1) &amp;"%)"</f>
        <v>23,58  (13,9%)</v>
      </c>
      <c r="AB128" s="191">
        <f t="shared" si="112"/>
        <v>6.2269238639056537E-4</v>
      </c>
      <c r="AC128" s="28">
        <v>180</v>
      </c>
      <c r="AD128" s="4">
        <v>152.83000000000001</v>
      </c>
      <c r="AE128" s="35" t="str">
        <f>ROUND(AD128-Y128,2) &amp; "   (" &amp; ROUND(100*(AD128-Y128)/Y128,1) &amp;"%)"</f>
        <v>-40,75   (-21,1%)</v>
      </c>
      <c r="AF128" s="34" t="str">
        <f>ROUND(AD128-AC128,2) &amp; "  (" &amp; ROUND(100*(AD128-AC128)/AC128,1) &amp;"%)"</f>
        <v>-27,17  (-15,1%)</v>
      </c>
      <c r="AG128" s="191">
        <f t="shared" si="113"/>
        <v>5.1197405578255989E-4</v>
      </c>
      <c r="AH128" s="28">
        <v>190</v>
      </c>
      <c r="AI128" s="463">
        <v>585.04</v>
      </c>
      <c r="AJ128" s="29"/>
      <c r="AK128" s="34" t="str">
        <f>ROUND(AI128-AH128,2) &amp; "  (" &amp; ROUND(100*(AI128-AH128)/AH128,1) &amp;"%)"</f>
        <v>395,04  (207,9%)</v>
      </c>
      <c r="AL128" s="191">
        <f t="shared" si="131"/>
        <v>1.9683581647448882E-3</v>
      </c>
      <c r="AM128" s="28">
        <v>200</v>
      </c>
      <c r="AN128" s="467">
        <v>0</v>
      </c>
      <c r="AO128" s="29"/>
      <c r="AP128" s="34" t="str">
        <f>ROUND(AN128-AM128,2) &amp; "  (" &amp; ROUND(100*(AN128-AM128)/AM128,1) &amp;"%)"</f>
        <v>-200  (-100%)</v>
      </c>
      <c r="AQ128" s="191" t="str">
        <f t="shared" si="132"/>
        <v/>
      </c>
      <c r="AR128" s="28">
        <v>200</v>
      </c>
      <c r="AS128" s="4">
        <v>0</v>
      </c>
      <c r="AT128" s="29"/>
      <c r="AU128" s="34" t="str">
        <f>ROUND(AS128-AR128,2) &amp; "  (" &amp; ROUND(100*(AS128-AR128)/AR128,1) &amp;"%)"</f>
        <v>-200  (-100%)</v>
      </c>
      <c r="AV128" s="191" t="str">
        <f t="shared" si="133"/>
        <v/>
      </c>
    </row>
    <row r="129" spans="1:48" x14ac:dyDescent="0.3">
      <c r="A129" s="98" t="str">
        <f t="shared" si="63"/>
        <v>6420</v>
      </c>
      <c r="B129" s="212" t="s">
        <v>126</v>
      </c>
      <c r="C129" s="186" t="str">
        <f t="shared" si="64"/>
        <v>6420/(0460)</v>
      </c>
      <c r="D129" s="187" t="str">
        <f t="shared" si="65"/>
        <v>(0460)  01329/050 Ch.Gén.</v>
      </c>
      <c r="E129" s="190" t="str">
        <f>A575</f>
        <v>64296 – Charges Sociales Pers.Entretien</v>
      </c>
      <c r="F129" s="27">
        <v>0</v>
      </c>
      <c r="M129" s="39"/>
      <c r="P129" s="39"/>
      <c r="Q129" s="123">
        <f t="shared" si="120"/>
        <v>0</v>
      </c>
      <c r="R129" s="191" t="str">
        <f t="shared" si="110"/>
        <v/>
      </c>
      <c r="V129" s="123">
        <f t="shared" si="121"/>
        <v>0</v>
      </c>
      <c r="W129" s="191" t="str">
        <f t="shared" si="111"/>
        <v/>
      </c>
      <c r="X129" s="28">
        <v>1500</v>
      </c>
      <c r="Z129" s="89"/>
      <c r="AA129" s="34" t="str">
        <f>ROUND(Y122-X129,2) &amp; "  (" &amp; ROUND(100*(Y122-X129)/X129,1) &amp;"%)"</f>
        <v>7532,3  (502,2%)</v>
      </c>
      <c r="AB129" s="191">
        <f>IF(Y122&gt;0,Y122/Y$219,"")</f>
        <v>2.9054367401567839E-2</v>
      </c>
      <c r="AC129" s="28">
        <v>1700</v>
      </c>
      <c r="AD129" s="4">
        <v>0</v>
      </c>
      <c r="AE129" s="35"/>
      <c r="AF129" s="34" t="str">
        <f>ROUND(AD129-AC129,2) &amp; "  (" &amp; ROUND(100*(AD129-AC129)/AC129,1) &amp;"%)"</f>
        <v>-1700  (-100%)</v>
      </c>
      <c r="AG129" s="191">
        <f>IF(AD122&gt;0,AD122/AD$219,"")</f>
        <v>2.4723660303287761E-2</v>
      </c>
      <c r="AH129" s="28">
        <v>1730</v>
      </c>
      <c r="AI129" s="4">
        <v>0</v>
      </c>
      <c r="AJ129" s="29"/>
      <c r="AK129" s="34" t="str">
        <f>ROUND(AI129-AH129,2) &amp; "  (" &amp; ROUND(100*(AI129-AH129)/AH129,1) &amp;"%)"</f>
        <v>-1730  (-100%)</v>
      </c>
      <c r="AL129" s="191">
        <f>IF(AI122&gt;0,AI122/AI$219,"")</f>
        <v>3.3303688858101588E-2</v>
      </c>
      <c r="AM129" s="28">
        <v>1760</v>
      </c>
      <c r="AN129" s="205">
        <v>0</v>
      </c>
      <c r="AO129" s="29"/>
      <c r="AP129" s="34" t="str">
        <f>ROUND(AN129-AM129,2) &amp; "  (" &amp; ROUND(100*(AN129-AM129)/AM129,1) &amp;"%)"</f>
        <v>-1760  (-100%)</v>
      </c>
      <c r="AQ129" s="191">
        <f>IF(AN122&gt;0,AN122/AN$219,"")</f>
        <v>1.7972797750311624E-2</v>
      </c>
      <c r="AR129" s="28">
        <v>1760</v>
      </c>
      <c r="AS129" s="4">
        <v>0</v>
      </c>
      <c r="AT129" s="29"/>
      <c r="AU129" s="34" t="str">
        <f>ROUND(AS129-AR129,2) &amp; "  (" &amp; ROUND(100*(AS129-AR129)/AR129,1) &amp;"%)"</f>
        <v>-1760  (-100%)</v>
      </c>
      <c r="AV129" s="191" t="str">
        <f>IF(AS122&gt;0,AS122/AS$219,"")</f>
        <v/>
      </c>
    </row>
    <row r="130" spans="1:48" x14ac:dyDescent="0.3">
      <c r="A130" s="98" t="str">
        <f t="shared" si="63"/>
        <v>6440</v>
      </c>
      <c r="B130" s="212" t="s">
        <v>127</v>
      </c>
      <c r="C130" s="186" t="str">
        <f t="shared" si="64"/>
        <v>6440/(0470)</v>
      </c>
      <c r="D130" s="187" t="str">
        <f t="shared" si="65"/>
        <v>(0470)  01337/050 Ch.Gén.</v>
      </c>
      <c r="E130" s="198" t="str">
        <f>A591</f>
        <v>64422 Cotis.Prévention&amp;Mutuelle Gardiens</v>
      </c>
      <c r="F130" s="27">
        <v>0</v>
      </c>
      <c r="L130" s="27">
        <v>649.39</v>
      </c>
      <c r="M130" s="39"/>
      <c r="O130" s="27">
        <v>1448.19</v>
      </c>
      <c r="P130" s="39">
        <f>(O130-L130)/L130</f>
        <v>1.2300774573060873</v>
      </c>
      <c r="Q130" s="123">
        <f t="shared" si="120"/>
        <v>1448.19</v>
      </c>
      <c r="R130" s="191">
        <f t="shared" si="110"/>
        <v>4.8502881021363449E-3</v>
      </c>
      <c r="T130" s="27">
        <v>1419.33</v>
      </c>
      <c r="U130" s="39">
        <f>(T130-O130)/O130</f>
        <v>-1.9928324322084898E-2</v>
      </c>
      <c r="V130" s="123">
        <f t="shared" si="121"/>
        <v>1419.33</v>
      </c>
      <c r="W130" s="191">
        <f t="shared" si="111"/>
        <v>4.8420003694621006E-3</v>
      </c>
      <c r="Y130" s="27">
        <v>1251.5899999999999</v>
      </c>
      <c r="Z130" s="89" t="str">
        <f>ROUND(Y130-T130,2) &amp; "   (" &amp; ROUND(100*(Y130-T130)/T130,1) &amp;"%)"</f>
        <v>-167,74   (-11,8%)</v>
      </c>
      <c r="AA130" s="34"/>
      <c r="AB130" s="191">
        <f>IF(Y130&gt;0,Y130/Y$219,"")</f>
        <v>4.0260128312974873E-3</v>
      </c>
      <c r="AD130" s="213">
        <f>10.4+13.41+6.31+8.13     +9.97+12.85+6.05+7.79       +9.6+12.37+5.83+7.51        +10.4+13.41+6.31+8.13        +10.67+13.75+6.49+8.36     +10.67+13.75+6.49+8.36     +10.76+13.87+6.49+8.36     +11.3+14.56+6.49+8.36          +10.67+13.75+6.49+8.36     +    12.03+15.5+7.4+9.53         + 10.83+13.96+6.6+8.5       +21.08+27.16+12.99+16.74</f>
        <v>508.79</v>
      </c>
      <c r="AE130" s="35" t="str">
        <f>ROUND(AD130-Y130,2) &amp; "   (" &amp; ROUND(100*(AD130-Y130)/Y130,1) &amp;"%)"</f>
        <v>-742,8   (-59,3%)</v>
      </c>
      <c r="AF130" s="34"/>
      <c r="AG130" s="191">
        <f>IF(AD130&gt;0,AD130/AD$219,"")</f>
        <v>1.7044250464019407E-3</v>
      </c>
      <c r="AI130" s="4"/>
      <c r="AJ130" s="29"/>
      <c r="AK130" s="34"/>
      <c r="AL130" s="191" t="str">
        <f>IF(AI130&gt;0,AI130/AI$219,"")</f>
        <v/>
      </c>
      <c r="AN130" s="205"/>
      <c r="AO130" s="29"/>
      <c r="AP130" s="34"/>
      <c r="AQ130" s="191" t="str">
        <f>IF(AN130&gt;0,AN130/AN$219,"")</f>
        <v/>
      </c>
      <c r="AS130" s="4"/>
      <c r="AT130" s="29"/>
      <c r="AU130" s="34"/>
      <c r="AV130" s="191" t="str">
        <f>IF(AS130&gt;0,AS130/AS$219,"")</f>
        <v/>
      </c>
    </row>
    <row r="131" spans="1:48" x14ac:dyDescent="0.3">
      <c r="A131" s="98" t="str">
        <f t="shared" si="63"/>
        <v>6440</v>
      </c>
      <c r="B131" s="212" t="s">
        <v>128</v>
      </c>
      <c r="C131" s="186" t="str">
        <f t="shared" ref="C131" si="140">LEFT(B131,4) &amp;"/"&amp; RIGHT(B131,6)</f>
        <v>6440/(0470)</v>
      </c>
      <c r="D131" s="187" t="str">
        <f t="shared" ref="D131" si="141">RIGHT(B131,6) &amp;"  "&amp; RIGHT(LEFT(B131,10),5) &amp;"/"&amp;LEFT(B$81,6)&amp;"."&amp;RIGHT(LEFT(B$81,14),3)&amp;"."</f>
        <v>(0470)  01337/050 Ch.Gén.</v>
      </c>
      <c r="E131" s="198" t="str">
        <f>A592</f>
        <v>64426 Cotis.Prévention&amp;Mutuelle P.Entretien</v>
      </c>
      <c r="M131" s="39"/>
      <c r="P131" s="39"/>
      <c r="Q131" s="123"/>
      <c r="R131" s="191"/>
      <c r="V131" s="123"/>
      <c r="W131" s="191"/>
      <c r="Z131" s="89"/>
      <c r="AA131" s="34"/>
      <c r="AB131" s="191"/>
      <c r="AD131" s="213">
        <f>10.99+30.06+14.16+0.02-0.01       +10.99+30.06+14.16-0.01      +10.99+30.12+14.16+0.01     +10.99+30.12+14.16+0.01+0.02     +10.99+30.12+14.16+0.01      +10.99+30.12+14.16+0.01       +10.99+30.12+14.16+0.01+0.01    +10.99+30.12+14.16+0.01-0.01     +10.99+30.12+14.16+0.01     +12.24+30.12+15.77+0.01-0.01    +11.15+30.12+14.37-0.01+0.01-0.01      +22.18+30.12+28.58+0.01+0.01</f>
        <v>692.06000000000006</v>
      </c>
      <c r="AE131" s="35"/>
      <c r="AF131" s="34"/>
      <c r="AG131" s="191"/>
      <c r="AI131" s="4">
        <v>1336.69</v>
      </c>
      <c r="AJ131" s="35" t="str">
        <f t="shared" ref="AJ131:AJ133" si="142">ROUND(AI131-AD131,2) &amp; "   (" &amp; ROUND(100*(AI131-AD131)/AD131,1) &amp;"%)"</f>
        <v>644,63   (93,1%)</v>
      </c>
      <c r="AK131" s="34"/>
      <c r="AL131" s="191"/>
      <c r="AN131" s="4">
        <v>1140.45</v>
      </c>
      <c r="AO131" s="29"/>
      <c r="AP131" s="34"/>
      <c r="AQ131" s="191"/>
      <c r="AS131" s="4"/>
      <c r="AT131" s="29"/>
      <c r="AU131" s="34"/>
      <c r="AV131" s="191"/>
    </row>
    <row r="132" spans="1:48" x14ac:dyDescent="0.3">
      <c r="A132" s="23" t="str">
        <f t="shared" si="63"/>
        <v>6410</v>
      </c>
      <c r="B132" s="212" t="s">
        <v>129</v>
      </c>
      <c r="C132" s="186" t="str">
        <f t="shared" si="64"/>
        <v>6410/(0480)</v>
      </c>
      <c r="D132" s="187" t="str">
        <f t="shared" si="65"/>
        <v>(0480)  01338/050 Ch.Gén.</v>
      </c>
      <c r="E132" s="188" t="str">
        <f>A597</f>
        <v>6447 – Avantages Nature</v>
      </c>
      <c r="F132" s="27">
        <v>0</v>
      </c>
      <c r="L132" s="27">
        <v>-1912.98</v>
      </c>
      <c r="M132" s="39"/>
      <c r="O132" s="27">
        <v>-1931.27</v>
      </c>
      <c r="P132" s="39">
        <f>(O132-L132)/L132</f>
        <v>9.5609990695145596E-3</v>
      </c>
      <c r="Q132" s="123">
        <f t="shared" si="120"/>
        <v>-1931.27</v>
      </c>
      <c r="R132" s="191" t="str">
        <f t="shared" ref="R132:R149" si="143">IF(O132&gt;0,O132/O$219,"")</f>
        <v/>
      </c>
      <c r="T132" s="27">
        <v>-1973.84</v>
      </c>
      <c r="U132" s="39">
        <f>(T132-O132)/O132</f>
        <v>2.2042490174858997E-2</v>
      </c>
      <c r="V132" s="123">
        <f t="shared" si="121"/>
        <v>-1973.84</v>
      </c>
      <c r="W132" s="191" t="str">
        <f t="shared" ref="W132:W149" si="144">IF(T132&gt;0,T132/T$219,"")</f>
        <v/>
      </c>
      <c r="Y132" s="27">
        <v>-1807.98</v>
      </c>
      <c r="Z132" s="89" t="str">
        <f>ROUND(Y132-T132,2) &amp; "   (" &amp; ROUND(100*(Y132-T132)/T132,1) &amp;"%)"</f>
        <v>165,86   (-8,4%)</v>
      </c>
      <c r="AA132" s="34"/>
      <c r="AB132" s="191" t="str">
        <f t="shared" ref="AB132:AB149" si="145">IF(Y132&gt;0,Y132/Y$219,"")</f>
        <v/>
      </c>
      <c r="AD132" s="4">
        <v>-2022.86</v>
      </c>
      <c r="AE132" s="35" t="str">
        <f>ROUND(AD132-Y132,2) &amp; "   (" &amp; ROUND(100*(AD132-Y132)/Y132,1) &amp;"%)"</f>
        <v>-214,88   (11,9%)</v>
      </c>
      <c r="AF132" s="34"/>
      <c r="AG132" s="191" t="str">
        <f t="shared" ref="AG132:AG149" si="146">IF(AD132&gt;0,AD132/AD$219,"")</f>
        <v/>
      </c>
      <c r="AI132" s="205">
        <v>-1883.19</v>
      </c>
      <c r="AJ132" s="35" t="str">
        <f t="shared" si="142"/>
        <v>139,67   (-6,9%)</v>
      </c>
      <c r="AK132" s="34"/>
      <c r="AL132" s="191" t="str">
        <f t="shared" ref="AL132:AL149" si="147">IF(AI132&gt;0,AI132/AI$219,"")</f>
        <v/>
      </c>
      <c r="AN132" s="205">
        <v>-1317.03</v>
      </c>
      <c r="AO132" s="29"/>
      <c r="AP132" s="34"/>
      <c r="AQ132" s="191" t="str">
        <f t="shared" ref="AQ132:AQ173" si="148">IF(AN132&gt;0,AN132/AN$219,"")</f>
        <v/>
      </c>
      <c r="AS132" s="4"/>
      <c r="AT132" s="29"/>
      <c r="AU132" s="34"/>
      <c r="AV132" s="191" t="str">
        <f t="shared" ref="AV132:AV149" si="149">IF(AS132&gt;0,AS132/AS$219,"")</f>
        <v/>
      </c>
    </row>
    <row r="133" spans="1:48" ht="15.75" customHeight="1" x14ac:dyDescent="0.3">
      <c r="A133" s="98" t="str">
        <f t="shared" si="63"/>
        <v>6150</v>
      </c>
      <c r="B133" s="212" t="s">
        <v>130</v>
      </c>
      <c r="C133" s="186" t="str">
        <f t="shared" si="64"/>
        <v>6150/(0490)</v>
      </c>
      <c r="D133" s="187" t="str">
        <f t="shared" si="65"/>
        <v>(0490)  01342/050 Ch.Gén.</v>
      </c>
      <c r="E133" s="190" t="str">
        <f>A600</f>
        <v>64491  Interventions Supp.Gardien</v>
      </c>
      <c r="F133" s="27">
        <v>0</v>
      </c>
      <c r="M133" s="39"/>
      <c r="P133" s="39"/>
      <c r="Q133" s="123">
        <f t="shared" si="120"/>
        <v>0</v>
      </c>
      <c r="R133" s="191" t="str">
        <f t="shared" si="143"/>
        <v/>
      </c>
      <c r="T133" s="27">
        <v>1595</v>
      </c>
      <c r="V133" s="123">
        <f t="shared" si="121"/>
        <v>1595</v>
      </c>
      <c r="W133" s="191">
        <f t="shared" si="144"/>
        <v>5.4412931378129475E-3</v>
      </c>
      <c r="Y133" s="32">
        <v>9118.64</v>
      </c>
      <c r="Z133" s="214" t="str">
        <f>ROUND(Y133-T133,2) &amp; "   (" &amp; ROUND(100*(Y133-T133)/T133,1) &amp;"%)"</f>
        <v>7523,64   (471,7%)</v>
      </c>
      <c r="AA133" s="34"/>
      <c r="AB133" s="191">
        <f t="shared" si="145"/>
        <v>2.9332098885403782E-2</v>
      </c>
      <c r="AD133" s="210">
        <v>11202.97</v>
      </c>
      <c r="AE133" s="35" t="str">
        <f>ROUND(AD133-Y133,2) &amp; "   (" &amp; ROUND(100*(AD133-Y133)/Y133,1) &amp;"%)"</f>
        <v>2084,33   (22,9%)</v>
      </c>
      <c r="AF133" s="34"/>
      <c r="AG133" s="191">
        <f t="shared" si="146"/>
        <v>3.7529477116471532E-2</v>
      </c>
      <c r="AI133" s="463">
        <v>8704.3799999999992</v>
      </c>
      <c r="AJ133" s="35" t="str">
        <f t="shared" si="142"/>
        <v>-2498,59   (-22,3%)</v>
      </c>
      <c r="AK133" s="34"/>
      <c r="AL133" s="191">
        <f t="shared" si="147"/>
        <v>2.9285753866474279E-2</v>
      </c>
      <c r="AN133" s="205">
        <v>7382.79</v>
      </c>
      <c r="AO133" s="29"/>
      <c r="AP133" s="34"/>
      <c r="AQ133" s="191">
        <f t="shared" si="148"/>
        <v>3.1066650317252417E-2</v>
      </c>
      <c r="AS133" s="4"/>
      <c r="AT133" s="29"/>
      <c r="AU133" s="34"/>
      <c r="AV133" s="191" t="str">
        <f t="shared" si="149"/>
        <v/>
      </c>
    </row>
    <row r="134" spans="1:48" x14ac:dyDescent="0.3">
      <c r="A134" s="23" t="str">
        <f t="shared" si="63"/>
        <v>6213</v>
      </c>
      <c r="B134" s="212" t="s">
        <v>131</v>
      </c>
      <c r="C134" s="186" t="str">
        <f t="shared" si="64"/>
        <v>6213/(0510)</v>
      </c>
      <c r="D134" s="187" t="str">
        <f t="shared" si="65"/>
        <v>(0510)  01351/050 Ch.Gén.</v>
      </c>
      <c r="E134" s="190" t="str">
        <f>A510</f>
        <v>62130 – Frais postaux</v>
      </c>
      <c r="F134" s="27">
        <v>0</v>
      </c>
      <c r="G134" s="27">
        <v>1276.31</v>
      </c>
      <c r="H134" s="27">
        <v>2124.3000000000002</v>
      </c>
      <c r="I134" s="27">
        <v>807.04</v>
      </c>
      <c r="J134" s="27">
        <v>2210.0700000000002</v>
      </c>
      <c r="K134" s="28">
        <v>1500</v>
      </c>
      <c r="L134" s="27">
        <v>2651.88</v>
      </c>
      <c r="M134" s="39">
        <f>(L134-J134)/J134</f>
        <v>0.19990769523137272</v>
      </c>
      <c r="N134" s="28">
        <v>1500</v>
      </c>
      <c r="O134" s="27">
        <v>2387.2800000000002</v>
      </c>
      <c r="P134" s="39">
        <f>(O134-L134)/L134</f>
        <v>-9.9778270509977784E-2</v>
      </c>
      <c r="Q134" s="123">
        <f t="shared" si="120"/>
        <v>887.2800000000002</v>
      </c>
      <c r="R134" s="191">
        <f t="shared" si="143"/>
        <v>7.9954949146645495E-3</v>
      </c>
      <c r="S134" s="28">
        <v>1500</v>
      </c>
      <c r="T134" s="27">
        <v>2675.21</v>
      </c>
      <c r="U134" s="39">
        <f>(T134-O134)/O134</f>
        <v>0.12061006668677315</v>
      </c>
      <c r="V134" s="123">
        <f t="shared" si="121"/>
        <v>1175.21</v>
      </c>
      <c r="W134" s="191">
        <f t="shared" si="144"/>
        <v>9.1263961223878205E-3</v>
      </c>
      <c r="X134" s="28">
        <v>2400</v>
      </c>
      <c r="Y134" s="27">
        <v>2784.81</v>
      </c>
      <c r="Z134" s="89" t="str">
        <f>ROUND(Y134-T134,2) &amp; "   (" &amp; ROUND(100*(Y134-T134)/T134,1) &amp;"%)"</f>
        <v>109,6   (4,1%)</v>
      </c>
      <c r="AA134" s="34" t="str">
        <f>ROUND(Y134-X134,2) &amp; "  (" &amp; ROUND(100*(Y134-X134)/X134,1) &amp;"%)"</f>
        <v>384,81  (16%)</v>
      </c>
      <c r="AB134" s="191">
        <f t="shared" si="145"/>
        <v>8.9579501216257365E-3</v>
      </c>
      <c r="AC134" s="28">
        <v>2600</v>
      </c>
      <c r="AD134" s="4">
        <v>2646.04</v>
      </c>
      <c r="AE134" s="35" t="str">
        <f>ROUND(AD134-Y134,2) &amp; "   (" &amp; ROUND(100*(AD134-Y134)/Y134,1) &amp;"%)"</f>
        <v>-138,77   (-5%)</v>
      </c>
      <c r="AF134" s="34" t="str">
        <f>ROUND(AD134-AC134,2) &amp; "  (" &amp; ROUND(100*(AD134-AC134)/AC134,1) &amp;"%)"</f>
        <v>46,04  (1,8%)</v>
      </c>
      <c r="AG134" s="191">
        <f t="shared" si="146"/>
        <v>8.8641224272910067E-3</v>
      </c>
      <c r="AH134" s="28">
        <v>2640</v>
      </c>
      <c r="AI134" s="4">
        <v>1773.19</v>
      </c>
      <c r="AJ134" s="35" t="str">
        <f t="shared" ref="AJ134" si="150">ROUND(AI134-AD134,2) &amp; "   (" &amp; ROUND(100*(AI134-AD134)/AD134,1) &amp;"%)"</f>
        <v>-872,85   (-33%)</v>
      </c>
      <c r="AK134" s="34" t="str">
        <f>ROUND(AI134-AH134,2) &amp; "  (" &amp; ROUND(100*(AI134-AH134)/AH134,1) &amp;"%)"</f>
        <v>-866,81  (-32,8%)</v>
      </c>
      <c r="AL134" s="191">
        <f t="shared" si="147"/>
        <v>5.9658707338711694E-3</v>
      </c>
      <c r="AM134" s="28">
        <v>2680</v>
      </c>
      <c r="AN134" s="4">
        <v>2202.14</v>
      </c>
      <c r="AO134" s="35" t="str">
        <f t="shared" ref="AO134" si="151">ROUND(AN134-AI134,2) &amp; "   (" &amp; ROUND(100*(AN134-AI134)/AI134,1) &amp;"%)"</f>
        <v>428,95   (24,2%)</v>
      </c>
      <c r="AP134" s="34" t="str">
        <f>ROUND(AN134-AM134,2) &amp; "  (" &amp; ROUND(100*(AN134-AM134)/AM134,1) &amp;"%)"</f>
        <v>-477,86  (-17,8%)</v>
      </c>
      <c r="AQ134" s="191">
        <f t="shared" si="148"/>
        <v>9.2665663427558189E-3</v>
      </c>
      <c r="AR134" s="28">
        <v>2680</v>
      </c>
      <c r="AS134" s="4">
        <v>0</v>
      </c>
      <c r="AT134" s="35" t="str">
        <f t="shared" ref="AT134" si="152">ROUND(AS134-AN134,2) &amp; "   (" &amp; ROUND(100*(AS134-AN134)/AN134,1) &amp;"%)"</f>
        <v>-2202,14   (-100%)</v>
      </c>
      <c r="AU134" s="34" t="str">
        <f>ROUND(AS134-AR134,2) &amp; "  (" &amp; ROUND(100*(AS134-AR134)/AR134,1) &amp;"%)"</f>
        <v>-2680  (-100%)</v>
      </c>
      <c r="AV134" s="191" t="str">
        <f t="shared" si="149"/>
        <v/>
      </c>
    </row>
    <row r="135" spans="1:48" x14ac:dyDescent="0.3">
      <c r="A135" s="23" t="str">
        <f t="shared" si="63"/>
        <v>6213</v>
      </c>
      <c r="B135" s="212" t="s">
        <v>132</v>
      </c>
      <c r="C135" s="186" t="str">
        <f t="shared" si="64"/>
        <v>6213/(0520)</v>
      </c>
      <c r="D135" s="187" t="str">
        <f t="shared" si="65"/>
        <v>(0520)  00352/050 Ch.Gén.</v>
      </c>
      <c r="E135" s="190" t="str">
        <f>A511</f>
        <v>62132 – FraisCorrespondances</v>
      </c>
      <c r="F135" s="27">
        <v>2160</v>
      </c>
      <c r="G135" s="27">
        <v>2160</v>
      </c>
      <c r="H135" s="27">
        <v>2160</v>
      </c>
      <c r="I135" s="27">
        <v>2160</v>
      </c>
      <c r="J135" s="27">
        <v>2160</v>
      </c>
      <c r="K135" s="28">
        <v>2200</v>
      </c>
      <c r="L135" s="27">
        <v>2160</v>
      </c>
      <c r="M135" s="39">
        <f>(L135-J135)/J135</f>
        <v>0</v>
      </c>
      <c r="N135" s="28">
        <v>2200</v>
      </c>
      <c r="P135" s="39"/>
      <c r="Q135" s="123"/>
      <c r="R135" s="191" t="str">
        <f t="shared" si="143"/>
        <v/>
      </c>
      <c r="V135" s="123"/>
      <c r="W135" s="191" t="str">
        <f t="shared" si="144"/>
        <v/>
      </c>
      <c r="Z135" s="89"/>
      <c r="AA135" s="34"/>
      <c r="AB135" s="191" t="str">
        <f t="shared" si="145"/>
        <v/>
      </c>
      <c r="AD135" s="4"/>
      <c r="AE135" s="35"/>
      <c r="AF135" s="34"/>
      <c r="AG135" s="191" t="str">
        <f t="shared" si="146"/>
        <v/>
      </c>
      <c r="AI135" s="4"/>
      <c r="AJ135" s="29"/>
      <c r="AK135" s="34"/>
      <c r="AL135" s="191" t="str">
        <f t="shared" si="147"/>
        <v/>
      </c>
      <c r="AN135" s="205"/>
      <c r="AO135" s="29"/>
      <c r="AP135" s="34"/>
      <c r="AQ135" s="191" t="str">
        <f t="shared" si="148"/>
        <v/>
      </c>
      <c r="AS135" s="4"/>
      <c r="AT135" s="29"/>
      <c r="AU135" s="34"/>
      <c r="AV135" s="191" t="str">
        <f t="shared" si="149"/>
        <v/>
      </c>
    </row>
    <row r="136" spans="1:48" x14ac:dyDescent="0.3">
      <c r="A136" s="23" t="str">
        <f t="shared" si="63"/>
        <v>6212</v>
      </c>
      <c r="B136" s="212" t="s">
        <v>133</v>
      </c>
      <c r="C136" s="186" t="str">
        <f t="shared" si="64"/>
        <v>6212/(0522)</v>
      </c>
      <c r="D136" s="187" t="str">
        <f t="shared" si="65"/>
        <v>(0522)  01353/050 Ch.Gén.</v>
      </c>
      <c r="E136" s="190" t="str">
        <f>A506</f>
        <v>62122 – Photocopies&amp;Tirages</v>
      </c>
      <c r="F136" s="27">
        <v>0</v>
      </c>
      <c r="G136" s="27">
        <v>5112.76</v>
      </c>
      <c r="H136" s="27">
        <v>5373.39</v>
      </c>
      <c r="I136" s="27">
        <v>3543.6</v>
      </c>
      <c r="J136" s="27">
        <v>3277.82</v>
      </c>
      <c r="K136" s="28">
        <v>3500</v>
      </c>
      <c r="L136" s="27">
        <v>4553.47</v>
      </c>
      <c r="M136" s="39">
        <f>(L136-J136)/J136</f>
        <v>0.38917634281321123</v>
      </c>
      <c r="N136" s="28">
        <v>3500</v>
      </c>
      <c r="P136" s="39"/>
      <c r="Q136" s="123"/>
      <c r="R136" s="191" t="str">
        <f t="shared" si="143"/>
        <v/>
      </c>
      <c r="V136" s="123"/>
      <c r="W136" s="191" t="str">
        <f t="shared" si="144"/>
        <v/>
      </c>
      <c r="Z136" s="89"/>
      <c r="AA136" s="34"/>
      <c r="AB136" s="191" t="str">
        <f t="shared" si="145"/>
        <v/>
      </c>
      <c r="AD136" s="4"/>
      <c r="AE136" s="35"/>
      <c r="AF136" s="34"/>
      <c r="AG136" s="191" t="str">
        <f t="shared" si="146"/>
        <v/>
      </c>
      <c r="AI136" s="4"/>
      <c r="AJ136" s="29"/>
      <c r="AK136" s="34"/>
      <c r="AL136" s="191" t="str">
        <f t="shared" si="147"/>
        <v/>
      </c>
      <c r="AN136" s="205">
        <v>3492.48</v>
      </c>
      <c r="AO136" s="29"/>
      <c r="AP136" s="34"/>
      <c r="AQ136" s="191">
        <f t="shared" si="148"/>
        <v>1.4696294341298849E-2</v>
      </c>
      <c r="AS136" s="4"/>
      <c r="AT136" s="29"/>
      <c r="AU136" s="34"/>
      <c r="AV136" s="191" t="str">
        <f t="shared" si="149"/>
        <v/>
      </c>
    </row>
    <row r="137" spans="1:48" x14ac:dyDescent="0.3">
      <c r="A137" s="23" t="str">
        <f t="shared" si="63"/>
        <v>6620</v>
      </c>
      <c r="B137" s="212" t="s">
        <v>134</v>
      </c>
      <c r="C137" s="186" t="str">
        <f t="shared" si="64"/>
        <v>6620/(0524)</v>
      </c>
      <c r="D137" s="187" t="str">
        <f t="shared" si="65"/>
        <v>(0524)  01356/050 Ch.Gén.</v>
      </c>
      <c r="E137" s="188" t="str">
        <f>A605</f>
        <v>6621 – Frais Bancaires</v>
      </c>
      <c r="F137" s="27">
        <v>0</v>
      </c>
      <c r="J137" s="27">
        <v>156.71</v>
      </c>
      <c r="K137" s="28">
        <v>160</v>
      </c>
      <c r="L137" s="27">
        <v>81.12</v>
      </c>
      <c r="M137" s="39">
        <f>(L137-J137)/J137</f>
        <v>-0.48235594410056792</v>
      </c>
      <c r="N137" s="28">
        <v>160</v>
      </c>
      <c r="O137" s="27">
        <v>34.32</v>
      </c>
      <c r="P137" s="39">
        <f>(O137-L137)/L137</f>
        <v>-0.57692307692307698</v>
      </c>
      <c r="Q137" s="123">
        <f>O137-N137</f>
        <v>-125.68</v>
      </c>
      <c r="R137" s="191">
        <f t="shared" si="143"/>
        <v>1.1494478463828597E-4</v>
      </c>
      <c r="S137" s="28">
        <v>160</v>
      </c>
      <c r="V137" s="123">
        <f>T137-S137</f>
        <v>-160</v>
      </c>
      <c r="W137" s="191" t="str">
        <f t="shared" si="144"/>
        <v/>
      </c>
      <c r="X137" s="28">
        <v>90</v>
      </c>
      <c r="Y137" s="27">
        <v>117.47</v>
      </c>
      <c r="Z137" s="89"/>
      <c r="AA137" s="34" t="str">
        <f>ROUND(Y137-X137,2) &amp; "  (" &amp; ROUND(100*(Y137-X137)/X137,1) &amp;"%)"</f>
        <v>27,47  (30,5%)</v>
      </c>
      <c r="AB137" s="191">
        <f t="shared" si="145"/>
        <v>3.7786793382219084E-4</v>
      </c>
      <c r="AC137" s="28">
        <v>100</v>
      </c>
      <c r="AD137" s="4">
        <v>97.92</v>
      </c>
      <c r="AE137" s="35"/>
      <c r="AF137" s="34" t="str">
        <f>ROUND(AD137-AC137,2) &amp; "  (" &amp; ROUND(100*(AD137-AC137)/AC137,1) &amp;"%)"</f>
        <v>-2,08  (-2,1%)</v>
      </c>
      <c r="AG137" s="191">
        <f t="shared" si="146"/>
        <v>3.2802787111318625E-4</v>
      </c>
      <c r="AH137" s="28">
        <v>110</v>
      </c>
      <c r="AI137" s="4">
        <v>97.92</v>
      </c>
      <c r="AJ137" s="35" t="str">
        <f t="shared" ref="AJ137" si="153">ROUND(AI137-AD137,2) &amp; "   (" &amp; ROUND(100*(AI137-AD137)/AD137,1) &amp;"%)"</f>
        <v>0   (0%)</v>
      </c>
      <c r="AK137" s="34" t="str">
        <f>ROUND(AI137-AH137,2) &amp; "  (" &amp; ROUND(100*(AI137-AH137)/AH137,1) &amp;"%)"</f>
        <v>-12,08  (-11%)</v>
      </c>
      <c r="AL137" s="191">
        <f t="shared" si="147"/>
        <v>3.2945034782548116E-4</v>
      </c>
      <c r="AM137" s="28">
        <v>120</v>
      </c>
      <c r="AN137" s="4">
        <v>73.44</v>
      </c>
      <c r="AO137" s="35" t="str">
        <f t="shared" ref="AO137" si="154">ROUND(AN137-AI137,2) &amp; "   (" &amp; ROUND(100*(AN137-AI137)/AI137,1) &amp;"%)"</f>
        <v>-24,48   (-25%)</v>
      </c>
      <c r="AP137" s="34" t="str">
        <f>ROUND(AN137-AM137,2) &amp; "  (" &amp; ROUND(100*(AN137-AM137)/AM137,1) &amp;"%)"</f>
        <v>-46,56  (-38,8%)</v>
      </c>
      <c r="AQ137" s="191">
        <f t="shared" si="148"/>
        <v>3.0903422680301313E-4</v>
      </c>
      <c r="AR137" s="28">
        <v>120</v>
      </c>
      <c r="AS137" s="4">
        <v>0</v>
      </c>
      <c r="AT137" s="35" t="str">
        <f t="shared" ref="AT137" si="155">ROUND(AS137-AN137,2) &amp; "   (" &amp; ROUND(100*(AS137-AN137)/AN137,1) &amp;"%)"</f>
        <v>-73,44   (-100%)</v>
      </c>
      <c r="AU137" s="34" t="str">
        <f>ROUND(AS137-AR137,2) &amp; "  (" &amp; ROUND(100*(AS137-AR137)/AR137,1) &amp;"%)"</f>
        <v>-120  (-100%)</v>
      </c>
      <c r="AV137" s="191" t="str">
        <f t="shared" si="149"/>
        <v/>
      </c>
    </row>
    <row r="138" spans="1:48" x14ac:dyDescent="0.3">
      <c r="A138" s="23" t="str">
        <f t="shared" si="63"/>
        <v>6230</v>
      </c>
      <c r="B138" s="212" t="s">
        <v>135</v>
      </c>
      <c r="C138" s="186" t="str">
        <f t="shared" si="64"/>
        <v>6230/(0530)</v>
      </c>
      <c r="D138" s="187" t="str">
        <f t="shared" si="65"/>
        <v>(0530)  01361/050 Ch.Gén.</v>
      </c>
      <c r="E138" s="188" t="str">
        <f>A521</f>
        <v>6231 – Honoraires Experts</v>
      </c>
      <c r="F138" s="27">
        <v>0</v>
      </c>
      <c r="M138" s="39"/>
      <c r="O138" s="27">
        <v>532.79999999999995</v>
      </c>
      <c r="P138" s="39"/>
      <c r="Q138" s="123">
        <f>O138-N138</f>
        <v>532.79999999999995</v>
      </c>
      <c r="R138" s="191">
        <f t="shared" si="143"/>
        <v>1.7844574957831807E-3</v>
      </c>
      <c r="V138" s="123">
        <f>T138-S138</f>
        <v>0</v>
      </c>
      <c r="W138" s="191" t="str">
        <f t="shared" si="144"/>
        <v/>
      </c>
      <c r="Z138" s="89"/>
      <c r="AA138" s="34"/>
      <c r="AB138" s="191" t="str">
        <f t="shared" si="145"/>
        <v/>
      </c>
      <c r="AD138" s="4">
        <v>237.6</v>
      </c>
      <c r="AE138" s="35"/>
      <c r="AF138" s="34"/>
      <c r="AG138" s="191">
        <f t="shared" si="146"/>
        <v>7.9594998137758435E-4</v>
      </c>
      <c r="AI138" s="4"/>
      <c r="AJ138" s="29"/>
      <c r="AK138" s="34"/>
      <c r="AL138" s="191" t="str">
        <f t="shared" si="147"/>
        <v/>
      </c>
      <c r="AN138" s="205">
        <v>252</v>
      </c>
      <c r="AO138" s="29"/>
      <c r="AP138" s="34"/>
      <c r="AQ138" s="191">
        <f t="shared" si="148"/>
        <v>1.0604115625593589E-3</v>
      </c>
      <c r="AS138" s="4"/>
      <c r="AT138" s="29"/>
      <c r="AU138" s="34"/>
      <c r="AV138" s="191" t="str">
        <f t="shared" si="149"/>
        <v/>
      </c>
    </row>
    <row r="139" spans="1:48" x14ac:dyDescent="0.3">
      <c r="A139" s="23" t="str">
        <f t="shared" si="63"/>
        <v>6230</v>
      </c>
      <c r="B139" s="212" t="s">
        <v>136</v>
      </c>
      <c r="C139" s="186" t="str">
        <f t="shared" si="64"/>
        <v>6230/(0540)</v>
      </c>
      <c r="D139" s="187" t="str">
        <f t="shared" si="65"/>
        <v>(0540)  01362/050 Ch.Gén.</v>
      </c>
      <c r="E139" s="188" t="str">
        <f>A525</f>
        <v>6232 – Honoraires Architectes</v>
      </c>
      <c r="F139" s="27">
        <v>1148.1600000000001</v>
      </c>
      <c r="G139" s="27">
        <v>430.56</v>
      </c>
      <c r="I139" s="27">
        <v>4413.74</v>
      </c>
      <c r="J139" s="27">
        <v>8484.0400000000009</v>
      </c>
      <c r="K139" s="28">
        <v>3500</v>
      </c>
      <c r="L139" s="27">
        <v>648</v>
      </c>
      <c r="M139" s="39">
        <f>(L139-J139)/J139</f>
        <v>-0.9236212936289786</v>
      </c>
      <c r="N139" s="28">
        <v>3500</v>
      </c>
      <c r="P139" s="39"/>
      <c r="Q139" s="123">
        <f>O139-N139</f>
        <v>-3500</v>
      </c>
      <c r="R139" s="191" t="str">
        <f t="shared" si="143"/>
        <v/>
      </c>
      <c r="S139" s="28">
        <v>2300</v>
      </c>
      <c r="T139" s="27">
        <v>288</v>
      </c>
      <c r="V139" s="123">
        <f>T139-S139</f>
        <v>-2012</v>
      </c>
      <c r="W139" s="191">
        <f t="shared" si="144"/>
        <v>9.8250308695305892E-4</v>
      </c>
      <c r="X139" s="28">
        <v>1500</v>
      </c>
      <c r="Y139" s="27">
        <v>656.04</v>
      </c>
      <c r="Z139" s="89" t="str">
        <f>ROUND(Y139-T139,2) &amp; "   (" &amp; ROUND(100*(Y139-T139)/T139,1) &amp;"%)"</f>
        <v>368,04   (127,8%)</v>
      </c>
      <c r="AA139" s="34" t="str">
        <f>ROUND(Y139-X139,2) &amp; "  (" &amp; ROUND(100*(Y139-X139)/X139,1) &amp;"%)"</f>
        <v>-843,96  (-56,3%)</v>
      </c>
      <c r="AB139" s="191">
        <f t="shared" si="145"/>
        <v>2.1102960696748963E-3</v>
      </c>
      <c r="AC139" s="28">
        <v>500</v>
      </c>
      <c r="AD139" s="4">
        <v>1289.79</v>
      </c>
      <c r="AE139" s="35" t="str">
        <f>ROUND(AD139-Y139,2) &amp; "   (" &amp; ROUND(100*(AD139-Y139)/Y139,1) &amp;"%)"</f>
        <v>633,75   (96,6%)</v>
      </c>
      <c r="AF139" s="34" t="str">
        <f>ROUND(AD139-AC139,2) &amp; "  (" &amp; ROUND(100*(AD139-AC139)/AC139,1) &amp;"%)"</f>
        <v>789,79  (158%)</v>
      </c>
      <c r="AG139" s="191">
        <f t="shared" si="146"/>
        <v>4.3207421148190005E-3</v>
      </c>
      <c r="AH139" s="28">
        <v>510</v>
      </c>
      <c r="AI139" s="4">
        <v>0</v>
      </c>
      <c r="AJ139" s="35" t="str">
        <f t="shared" ref="AJ139" si="156">ROUND(AI139-AD139,2) &amp; "   (" &amp; ROUND(100*(AI139-AD139)/AD139,1) &amp;"%)"</f>
        <v>-1289,79   (-100%)</v>
      </c>
      <c r="AK139" s="34" t="str">
        <f>ROUND(AI139-AH139,2) &amp; "  (" &amp; ROUND(100*(AI139-AH139)/AH139,1) &amp;"%)"</f>
        <v>-510  (-100%)</v>
      </c>
      <c r="AL139" s="191" t="str">
        <f t="shared" si="147"/>
        <v/>
      </c>
      <c r="AM139" s="28">
        <v>520</v>
      </c>
      <c r="AN139" s="205">
        <v>216</v>
      </c>
      <c r="AO139" s="35" t="str">
        <f>ROUND(AN139-AI139,2) &amp; "   (" &amp; ROUND(100*(AN139-AI139)/(AI139+0.0001),1) &amp;"%)"</f>
        <v>216   (216000000%)</v>
      </c>
      <c r="AP139" s="34" t="str">
        <f>ROUND(AN139-AM139,2) &amp; "  (" &amp; ROUND(100*(AN139-AM139)/AM139,1) &amp;"%)"</f>
        <v>-304  (-58,5%)</v>
      </c>
      <c r="AQ139" s="191">
        <f t="shared" si="148"/>
        <v>9.0892419647945052E-4</v>
      </c>
      <c r="AR139" s="28">
        <v>520</v>
      </c>
      <c r="AS139" s="4">
        <v>0</v>
      </c>
      <c r="AT139" s="35" t="str">
        <f t="shared" ref="AT139" si="157">ROUND(AS139-AN139,2) &amp; "   (" &amp; ROUND(100*(AS139-AN139)/AN139,1) &amp;"%)"</f>
        <v>-216   (-100%)</v>
      </c>
      <c r="AU139" s="34" t="str">
        <f>ROUND(AS139-AR139,2) &amp; "  (" &amp; ROUND(100*(AS139-AR139)/AR139,1) &amp;"%)"</f>
        <v>-520  (-100%)</v>
      </c>
      <c r="AV139" s="191" t="str">
        <f t="shared" si="149"/>
        <v/>
      </c>
    </row>
    <row r="140" spans="1:48" x14ac:dyDescent="0.3">
      <c r="A140" s="23" t="str">
        <f t="shared" si="63"/>
        <v>6730</v>
      </c>
      <c r="B140" s="212" t="s">
        <v>633</v>
      </c>
      <c r="C140" s="186" t="str">
        <f t="shared" si="64"/>
        <v>6730/(0550)</v>
      </c>
      <c r="D140" s="187" t="str">
        <f t="shared" si="65"/>
        <v>(0550)  00368/050 Ch.Gén.</v>
      </c>
      <c r="E140" s="188" t="str">
        <f>A611</f>
        <v>6731 – Etudes Diagnostics.Consultations.</v>
      </c>
      <c r="F140" s="27">
        <v>0</v>
      </c>
      <c r="I140" s="27">
        <v>705.64</v>
      </c>
      <c r="L140" s="27">
        <v>894</v>
      </c>
      <c r="M140" s="39"/>
      <c r="P140" s="39"/>
      <c r="Q140" s="123"/>
      <c r="R140" s="191" t="str">
        <f t="shared" si="143"/>
        <v/>
      </c>
      <c r="V140" s="123"/>
      <c r="W140" s="191" t="str">
        <f t="shared" si="144"/>
        <v/>
      </c>
      <c r="Z140" s="89"/>
      <c r="AA140" s="34"/>
      <c r="AB140" s="191" t="str">
        <f t="shared" si="145"/>
        <v/>
      </c>
      <c r="AD140" s="4"/>
      <c r="AE140" s="35"/>
      <c r="AF140" s="34"/>
      <c r="AG140" s="191" t="str">
        <f t="shared" si="146"/>
        <v/>
      </c>
      <c r="AI140" s="468">
        <v>0</v>
      </c>
      <c r="AJ140" s="29"/>
      <c r="AK140" s="34"/>
      <c r="AL140" s="191" t="str">
        <f t="shared" si="147"/>
        <v/>
      </c>
      <c r="AN140" s="205">
        <v>1434</v>
      </c>
      <c r="AO140" s="29"/>
      <c r="AP140" s="34"/>
      <c r="AQ140" s="191">
        <f t="shared" si="148"/>
        <v>6.0342467488496854E-3</v>
      </c>
      <c r="AS140" s="4"/>
      <c r="AT140" s="29"/>
      <c r="AU140" s="34"/>
      <c r="AV140" s="191" t="str">
        <f t="shared" si="149"/>
        <v/>
      </c>
    </row>
    <row r="141" spans="1:48" x14ac:dyDescent="0.3">
      <c r="A141" s="98" t="str">
        <f t="shared" si="63"/>
        <v>6140</v>
      </c>
      <c r="B141" s="212" t="s">
        <v>137</v>
      </c>
      <c r="C141" s="186" t="str">
        <f t="shared" si="64"/>
        <v>6140/(0560)</v>
      </c>
      <c r="D141" s="187" t="str">
        <f t="shared" si="65"/>
        <v>(0560)  01369/050 Ch.Gén.</v>
      </c>
      <c r="E141" s="190" t="str">
        <f>A601</f>
        <v>64496 – Diagnostics Risques Professionnels</v>
      </c>
      <c r="F141" s="27">
        <v>0</v>
      </c>
      <c r="M141" s="39"/>
      <c r="O141" s="27">
        <v>306</v>
      </c>
      <c r="P141" s="39"/>
      <c r="Q141" s="123">
        <f>O141-N141</f>
        <v>306</v>
      </c>
      <c r="R141" s="191">
        <f t="shared" si="143"/>
        <v>1.0248573455511512E-3</v>
      </c>
      <c r="V141" s="123">
        <f>T141-S141</f>
        <v>0</v>
      </c>
      <c r="W141" s="191" t="str">
        <f t="shared" si="144"/>
        <v/>
      </c>
      <c r="Y141" s="27">
        <v>306</v>
      </c>
      <c r="Z141" s="89"/>
      <c r="AA141" s="34"/>
      <c r="AB141" s="191">
        <f t="shared" si="145"/>
        <v>9.8431589128790669E-4</v>
      </c>
      <c r="AD141" s="4"/>
      <c r="AE141" s="35"/>
      <c r="AF141" s="34"/>
      <c r="AG141" s="191" t="str">
        <f t="shared" si="146"/>
        <v/>
      </c>
      <c r="AI141" s="4">
        <v>642</v>
      </c>
      <c r="AJ141" s="29"/>
      <c r="AK141" s="34"/>
      <c r="AL141" s="191">
        <f t="shared" si="147"/>
        <v>2.1599992167479461E-3</v>
      </c>
      <c r="AN141" s="205">
        <v>0</v>
      </c>
      <c r="AO141" s="29"/>
      <c r="AP141" s="34"/>
      <c r="AQ141" s="191" t="str">
        <f t="shared" si="148"/>
        <v/>
      </c>
      <c r="AS141" s="4"/>
      <c r="AT141" s="29"/>
      <c r="AU141" s="34"/>
      <c r="AV141" s="191" t="str">
        <f t="shared" si="149"/>
        <v/>
      </c>
    </row>
    <row r="142" spans="1:48" x14ac:dyDescent="0.3">
      <c r="A142" s="98" t="str">
        <f t="shared" si="63"/>
        <v>6140</v>
      </c>
      <c r="B142" s="212" t="s">
        <v>138</v>
      </c>
      <c r="C142" s="186" t="str">
        <f t="shared" si="64"/>
        <v>6140/(0570)</v>
      </c>
      <c r="D142" s="187" t="str">
        <f t="shared" si="65"/>
        <v>(0570)  01372/050 Ch.Gén.</v>
      </c>
      <c r="E142" s="190" t="str">
        <f>A415</f>
        <v>61456 – Etat Parasitaire</v>
      </c>
      <c r="F142" s="27">
        <v>1154.52</v>
      </c>
      <c r="G142" s="27">
        <v>1184.51</v>
      </c>
      <c r="H142" s="27">
        <v>1220.06</v>
      </c>
      <c r="I142" s="27">
        <v>1256.6600000000001</v>
      </c>
      <c r="J142" s="27">
        <v>1298.7</v>
      </c>
      <c r="K142" s="28">
        <v>1350</v>
      </c>
      <c r="L142" s="27">
        <v>1337.66</v>
      </c>
      <c r="M142" s="39">
        <f>(L142-J142)/J142</f>
        <v>2.9999229999230027E-2</v>
      </c>
      <c r="N142" s="28">
        <v>1350</v>
      </c>
      <c r="O142" s="27">
        <v>1391.18</v>
      </c>
      <c r="P142" s="39">
        <f>(O142-L142)/L142</f>
        <v>4.0010167008058831E-2</v>
      </c>
      <c r="Q142" s="123">
        <f>O142-N142</f>
        <v>41.180000000000064</v>
      </c>
      <c r="R142" s="191">
        <f t="shared" si="143"/>
        <v>4.65934981040474E-3</v>
      </c>
      <c r="S142" s="28">
        <v>1350</v>
      </c>
      <c r="T142" s="27">
        <v>1425.98</v>
      </c>
      <c r="U142" s="39">
        <f>(T142-O142)/O142</f>
        <v>2.5014735692002438E-2</v>
      </c>
      <c r="V142" s="123">
        <f>T142-S142</f>
        <v>75.980000000000018</v>
      </c>
      <c r="W142" s="191">
        <f t="shared" si="144"/>
        <v>4.8646866386573709E-3</v>
      </c>
      <c r="X142" s="28">
        <v>1410</v>
      </c>
      <c r="Y142" s="27">
        <v>1464.62</v>
      </c>
      <c r="Z142" s="89" t="str">
        <f>ROUND(Y142-T142,2) &amp; "   (" &amp; ROUND(100*(Y142-T142)/T142,1) &amp;"%)"</f>
        <v>38,64   (2,7%)</v>
      </c>
      <c r="AA142" s="34" t="str">
        <f>ROUND(Y142-X142,2) &amp; "  (" &amp; ROUND(100*(Y142-X142)/X142,1) &amp;"%)"</f>
        <v>54,62  (3,9%)</v>
      </c>
      <c r="AB142" s="191">
        <f t="shared" si="145"/>
        <v>4.7112703944382148E-3</v>
      </c>
      <c r="AC142" s="28">
        <v>1440</v>
      </c>
      <c r="AD142" s="4">
        <v>1464.62</v>
      </c>
      <c r="AE142" s="35" t="str">
        <f>ROUND(AD142-Y142,2) &amp; "   (" &amp; ROUND(100*(AD142-Y142)/Y142,1) &amp;"%)"</f>
        <v>0   (0%)</v>
      </c>
      <c r="AF142" s="34" t="str">
        <f>ROUND(AD142-AC142,2) &amp; "  (" &amp; ROUND(100*(AD142-AC142)/AC142,1) &amp;"%)"</f>
        <v>24,62  (1,7%)</v>
      </c>
      <c r="AG142" s="191">
        <f t="shared" si="146"/>
        <v>4.906415242951336E-3</v>
      </c>
      <c r="AH142" s="28">
        <v>1470</v>
      </c>
      <c r="AI142" s="463">
        <v>1507.1</v>
      </c>
      <c r="AJ142" s="35" t="str">
        <f t="shared" ref="AJ142" si="158">ROUND(AI142-AD142,2) &amp; "   (" &amp; ROUND(100*(AI142-AD142)/AD142,1) &amp;"%)"</f>
        <v>42,48   (2,9%)</v>
      </c>
      <c r="AK142" s="34" t="str">
        <f>ROUND(AI142-AH142,2) &amp; "  (" &amp; ROUND(100*(AI142-AH142)/AH142,1) &amp;"%)"</f>
        <v>37,1  (2,5%)</v>
      </c>
      <c r="AL142" s="191">
        <f t="shared" si="147"/>
        <v>5.0706149837396099E-3</v>
      </c>
      <c r="AM142" s="28">
        <v>1500</v>
      </c>
      <c r="AN142" s="205">
        <v>1550.8</v>
      </c>
      <c r="AO142" s="35" t="str">
        <f t="shared" ref="AO142" si="159">ROUND(AN142-AI142,2) &amp; "   (" &amp; ROUND(100*(AN142-AI142)/AI142,1) &amp;"%)"</f>
        <v>43,7   (2,9%)</v>
      </c>
      <c r="AP142" s="34" t="str">
        <f>ROUND(AN142-AM142,2) &amp; "  (" &amp; ROUND(100*(AN142-AM142)/AM142,1) &amp;"%)"</f>
        <v>50,8  (3,4%)</v>
      </c>
      <c r="AQ142" s="191">
        <f t="shared" si="148"/>
        <v>6.5257390921311656E-3</v>
      </c>
      <c r="AR142" s="28">
        <v>1500</v>
      </c>
      <c r="AS142" s="4">
        <v>0</v>
      </c>
      <c r="AT142" s="35" t="str">
        <f t="shared" ref="AT142" si="160">ROUND(AS142-AN142,2) &amp; "   (" &amp; ROUND(100*(AS142-AN142)/AN142,1) &amp;"%)"</f>
        <v>-1550,8   (-100%)</v>
      </c>
      <c r="AU142" s="34" t="str">
        <f>ROUND(AS142-AR142,2) &amp; "  (" &amp; ROUND(100*(AS142-AR142)/AR142,1) &amp;"%)"</f>
        <v>-1500  (-100%)</v>
      </c>
      <c r="AV142" s="191" t="str">
        <f t="shared" si="149"/>
        <v/>
      </c>
    </row>
    <row r="143" spans="1:48" x14ac:dyDescent="0.3">
      <c r="A143" s="98" t="str">
        <f t="shared" si="63"/>
        <v>6420</v>
      </c>
      <c r="B143" s="212" t="s">
        <v>139</v>
      </c>
      <c r="C143" s="186" t="str">
        <f t="shared" si="64"/>
        <v>6420/(0580)</v>
      </c>
      <c r="D143" s="187" t="str">
        <f t="shared" si="65"/>
        <v>(0580)  01373/050 Ch.Gén.</v>
      </c>
      <c r="E143" s="198" t="str">
        <f>A560</f>
        <v>64233 – Cotisation. Retraite Gardiens 40%</v>
      </c>
      <c r="F143" s="27">
        <v>0</v>
      </c>
      <c r="L143" s="27">
        <v>1792.69</v>
      </c>
      <c r="M143" s="39"/>
      <c r="O143" s="27">
        <v>3609.95</v>
      </c>
      <c r="P143" s="39">
        <f>(O143-L143)/L143</f>
        <v>1.0137056602089596</v>
      </c>
      <c r="Q143" s="123">
        <f>O143-N113</f>
        <v>609.94999999999982</v>
      </c>
      <c r="R143" s="191">
        <f t="shared" si="143"/>
        <v>1.2090469851543719E-2</v>
      </c>
      <c r="T143" s="27">
        <v>3019.16</v>
      </c>
      <c r="U143" s="39">
        <f>(T143-O143)/O143</f>
        <v>-0.16365600631587696</v>
      </c>
      <c r="V143" s="123">
        <f>T143-S113</f>
        <v>19.159999999999854</v>
      </c>
      <c r="W143" s="191">
        <f t="shared" si="144"/>
        <v>1.0299770902795822E-2</v>
      </c>
      <c r="X143" s="28">
        <v>3700</v>
      </c>
      <c r="Y143" s="27">
        <v>2833.67</v>
      </c>
      <c r="Z143" s="89"/>
      <c r="AA143" s="34"/>
      <c r="AB143" s="191">
        <f t="shared" si="145"/>
        <v>9.1151189923719036E-3</v>
      </c>
      <c r="AC143" s="28">
        <v>3780</v>
      </c>
      <c r="AD143" s="4">
        <v>1716.99</v>
      </c>
      <c r="AE143" s="35"/>
      <c r="AF143" s="34" t="str">
        <f>ROUND(AD143-AC143,2) &amp; "  (" &amp; ROUND(100*(AD143-AC143)/AC143,1) &amp;"%)"</f>
        <v>-2063,01  (-54,6%)</v>
      </c>
      <c r="AG143" s="191">
        <f t="shared" si="146"/>
        <v>5.7518441015382933E-3</v>
      </c>
      <c r="AH143" s="28">
        <v>3840</v>
      </c>
      <c r="AI143" s="4">
        <v>1796.54</v>
      </c>
      <c r="AJ143" s="29"/>
      <c r="AK143" s="34" t="str">
        <f>ROUND(AI143-AH143,2) &amp; "  (" &amp; ROUND(100*(AI143-AH143)/AH143,1) &amp;"%)"</f>
        <v>-2043,46  (-53,2%)</v>
      </c>
      <c r="AL143" s="191">
        <f t="shared" si="147"/>
        <v>6.0444314530472823E-3</v>
      </c>
      <c r="AM143" s="28">
        <v>3900</v>
      </c>
      <c r="AN143" s="4">
        <v>1347.46</v>
      </c>
      <c r="AO143" s="29"/>
      <c r="AP143" s="34" t="str">
        <f>ROUND(AN143-AM143,2) &amp; "  (" &amp; ROUND(100*(AN143-AM143)/AM143,1) &amp;"%)"</f>
        <v>-2552,54  (-65,4%)</v>
      </c>
      <c r="AQ143" s="191">
        <f t="shared" si="148"/>
        <v>5.6700879527231502E-3</v>
      </c>
      <c r="AR143" s="28">
        <v>3900</v>
      </c>
      <c r="AS143" s="4">
        <v>0</v>
      </c>
      <c r="AT143" s="29"/>
      <c r="AU143" s="34" t="str">
        <f>ROUND(AS143-AR143,2) &amp; "  (" &amp; ROUND(100*(AS143-AR143)/AR143,1) &amp;"%)"</f>
        <v>-3900  (-100%)</v>
      </c>
      <c r="AV143" s="191" t="str">
        <f t="shared" si="149"/>
        <v/>
      </c>
    </row>
    <row r="144" spans="1:48" x14ac:dyDescent="0.3">
      <c r="A144" s="98" t="str">
        <f t="shared" si="63"/>
        <v>6420</v>
      </c>
      <c r="B144" s="212" t="s">
        <v>140</v>
      </c>
      <c r="C144" s="186" t="str">
        <f t="shared" si="64"/>
        <v>6420/(0590)</v>
      </c>
      <c r="D144" s="187" t="str">
        <f t="shared" si="65"/>
        <v>(0590)  01374/050 Ch.Gén.</v>
      </c>
      <c r="E144" s="198" t="str">
        <f xml:space="preserve"> A548</f>
        <v>64213 – CRI Prévoyance Gardiens 40%</v>
      </c>
      <c r="F144" s="27">
        <v>0</v>
      </c>
      <c r="L144" s="27">
        <v>98.27</v>
      </c>
      <c r="M144" s="39"/>
      <c r="P144" s="39"/>
      <c r="Q144" s="123">
        <f>O144-N144</f>
        <v>0</v>
      </c>
      <c r="R144" s="191" t="str">
        <f t="shared" si="143"/>
        <v/>
      </c>
      <c r="V144" s="123">
        <f>T144-S144</f>
        <v>0</v>
      </c>
      <c r="W144" s="191" t="str">
        <f t="shared" si="144"/>
        <v/>
      </c>
      <c r="X144" s="28">
        <v>100</v>
      </c>
      <c r="Z144" s="89"/>
      <c r="AA144" s="34" t="str">
        <f>ROUND(Y144-X144,2) &amp; "  (" &amp; ROUND(100*(Y144-X144)/X144,1) &amp;"%)"</f>
        <v>-100  (-100%)</v>
      </c>
      <c r="AB144" s="191" t="str">
        <f t="shared" si="145"/>
        <v/>
      </c>
      <c r="AC144" s="28">
        <v>110</v>
      </c>
      <c r="AD144" s="4">
        <v>0</v>
      </c>
      <c r="AE144" s="35"/>
      <c r="AF144" s="34" t="str">
        <f>ROUND(AD144-AC144,2) &amp; "  (" &amp; ROUND(100*(AD144-AC144)/AC144,1) &amp;"%)"</f>
        <v>-110  (-100%)</v>
      </c>
      <c r="AG144" s="191" t="str">
        <f t="shared" si="146"/>
        <v/>
      </c>
      <c r="AH144" s="28">
        <v>120</v>
      </c>
      <c r="AI144" s="4">
        <v>0</v>
      </c>
      <c r="AJ144" s="29"/>
      <c r="AK144" s="34" t="str">
        <f>ROUND(AI144-AH144,2) &amp; "  (" &amp; ROUND(100*(AI144-AH144)/AH144,1) &amp;"%)"</f>
        <v>-120  (-100%)</v>
      </c>
      <c r="AL144" s="191" t="str">
        <f t="shared" si="147"/>
        <v/>
      </c>
      <c r="AM144" s="28">
        <v>130</v>
      </c>
      <c r="AN144" s="205">
        <v>0</v>
      </c>
      <c r="AO144" s="29"/>
      <c r="AP144" s="34" t="str">
        <f>ROUND(AN144-AM144,2) &amp; "  (" &amp; ROUND(100*(AN144-AM144)/AM144,1) &amp;"%)"</f>
        <v>-130  (-100%)</v>
      </c>
      <c r="AQ144" s="191" t="str">
        <f t="shared" si="148"/>
        <v/>
      </c>
      <c r="AR144" s="28">
        <v>130</v>
      </c>
      <c r="AS144" s="4">
        <v>0</v>
      </c>
      <c r="AT144" s="29"/>
      <c r="AU144" s="34" t="str">
        <f>ROUND(AS144-AR144,2) &amp; "  (" &amp; ROUND(100*(AS144-AR144)/AR144,1) &amp;"%)"</f>
        <v>-130  (-100%)</v>
      </c>
      <c r="AV144" s="191" t="str">
        <f t="shared" si="149"/>
        <v/>
      </c>
    </row>
    <row r="145" spans="1:48" x14ac:dyDescent="0.3">
      <c r="A145" s="23" t="str">
        <f t="shared" si="63"/>
        <v>6440</v>
      </c>
      <c r="B145" s="212" t="s">
        <v>141</v>
      </c>
      <c r="C145" s="186" t="str">
        <f t="shared" si="64"/>
        <v>6440/(0600)</v>
      </c>
      <c r="D145" s="187" t="str">
        <f t="shared" si="65"/>
        <v>(0600)  01375/050 Ch.Gén.</v>
      </c>
      <c r="E145" s="190" t="str">
        <f xml:space="preserve"> A587</f>
        <v>64413 – Visites Médicales Gardiens 40%</v>
      </c>
      <c r="F145" s="27">
        <v>0</v>
      </c>
      <c r="L145" s="38">
        <v>90</v>
      </c>
      <c r="M145" s="39"/>
      <c r="P145" s="39"/>
      <c r="Q145" s="123"/>
      <c r="R145" s="191" t="str">
        <f t="shared" si="143"/>
        <v/>
      </c>
      <c r="V145" s="123"/>
      <c r="W145" s="191" t="str">
        <f t="shared" si="144"/>
        <v/>
      </c>
      <c r="X145" s="28">
        <v>100</v>
      </c>
      <c r="AA145" s="34"/>
      <c r="AB145" s="191" t="str">
        <f t="shared" si="145"/>
        <v/>
      </c>
      <c r="AC145" s="28">
        <v>110</v>
      </c>
      <c r="AD145" s="4"/>
      <c r="AE145" s="35"/>
      <c r="AF145" s="34"/>
      <c r="AG145" s="191" t="str">
        <f t="shared" si="146"/>
        <v/>
      </c>
      <c r="AH145" s="28">
        <v>120</v>
      </c>
      <c r="AI145" s="4"/>
      <c r="AJ145" s="29"/>
      <c r="AK145" s="34"/>
      <c r="AL145" s="191" t="str">
        <f t="shared" si="147"/>
        <v/>
      </c>
      <c r="AM145" s="28">
        <v>130</v>
      </c>
      <c r="AN145" s="205"/>
      <c r="AO145" s="29"/>
      <c r="AP145" s="34"/>
      <c r="AQ145" s="191" t="str">
        <f t="shared" si="148"/>
        <v/>
      </c>
      <c r="AR145" s="28">
        <v>130</v>
      </c>
      <c r="AS145" s="4"/>
      <c r="AT145" s="29"/>
      <c r="AU145" s="34"/>
      <c r="AV145" s="191" t="str">
        <f t="shared" si="149"/>
        <v/>
      </c>
    </row>
    <row r="146" spans="1:48" x14ac:dyDescent="0.3">
      <c r="A146" s="23" t="str">
        <f t="shared" si="63"/>
        <v>6430</v>
      </c>
      <c r="B146" s="212" t="s">
        <v>142</v>
      </c>
      <c r="C146" s="186" t="str">
        <f t="shared" si="64"/>
        <v>6430/(0610)</v>
      </c>
      <c r="D146" s="187" t="str">
        <f t="shared" si="65"/>
        <v>(0610)  01376/050 Ch.Gén.</v>
      </c>
      <c r="E146" s="198" t="str">
        <f>A580</f>
        <v>64303 – Taxe salaires Gardiens 40%</v>
      </c>
      <c r="F146" s="27">
        <v>0</v>
      </c>
      <c r="L146" s="27">
        <v>2347.16</v>
      </c>
      <c r="M146" s="39"/>
      <c r="O146" s="27">
        <v>4070.15</v>
      </c>
      <c r="P146" s="39">
        <f>(O146-L146)/L146</f>
        <v>0.73407437072888104</v>
      </c>
      <c r="Q146" s="123">
        <f>O146-N146</f>
        <v>4070.15</v>
      </c>
      <c r="R146" s="191">
        <f t="shared" si="143"/>
        <v>1.3631774918284373E-2</v>
      </c>
      <c r="T146" s="27">
        <v>3545.42</v>
      </c>
      <c r="U146" s="39">
        <f>(T146-O146)/O146</f>
        <v>-0.12892153851823643</v>
      </c>
      <c r="V146" s="123">
        <f>T146-S146</f>
        <v>3545.42</v>
      </c>
      <c r="W146" s="191">
        <f t="shared" si="144"/>
        <v>1.2095090606059422E-2</v>
      </c>
      <c r="X146" s="215"/>
      <c r="Y146" s="27">
        <v>3374.49</v>
      </c>
      <c r="Z146" s="89" t="str">
        <f>ROUND(Y146-T146,2) &amp; "   (" &amp; ROUND(100*(Y146-T146)/T146,1) &amp;"%)"</f>
        <v>-170,93   (-4,8%)</v>
      </c>
      <c r="AA146" s="34"/>
      <c r="AB146" s="191">
        <f t="shared" si="145"/>
        <v>1.0854784745072314E-2</v>
      </c>
      <c r="AD146" s="4">
        <v>3541.67</v>
      </c>
      <c r="AE146" s="35" t="str">
        <f>ROUND(AD146-Y146,2) &amp; "   (" &amp; ROUND(100*(AD146-Y146)/Y146,1) &amp;"%)"</f>
        <v>167,18   (5%)</v>
      </c>
      <c r="AF146" s="34"/>
      <c r="AG146" s="191">
        <f t="shared" si="146"/>
        <v>1.1864445162228742E-2</v>
      </c>
      <c r="AI146" s="4">
        <v>3050.68</v>
      </c>
      <c r="AJ146" s="35" t="str">
        <f t="shared" ref="AJ146:AJ149" si="161">ROUND(AI146-AD146,2) &amp; "   (" &amp; ROUND(100*(AI146-AD146)/AD146,1) &amp;"%)"</f>
        <v>-490,99   (-13,9%)</v>
      </c>
      <c r="AK146" s="34"/>
      <c r="AL146" s="191">
        <f t="shared" si="147"/>
        <v>1.0263966371571065E-2</v>
      </c>
      <c r="AN146" s="4">
        <v>2653</v>
      </c>
      <c r="AO146" s="29"/>
      <c r="AP146" s="34"/>
      <c r="AQ146" s="191">
        <f t="shared" si="148"/>
        <v>1.1163777283611028E-2</v>
      </c>
      <c r="AS146" s="4"/>
      <c r="AT146" s="29"/>
      <c r="AU146" s="34"/>
      <c r="AV146" s="191" t="str">
        <f t="shared" si="149"/>
        <v/>
      </c>
    </row>
    <row r="147" spans="1:48" x14ac:dyDescent="0.3">
      <c r="A147" s="98" t="str">
        <f t="shared" si="63"/>
        <v>6420</v>
      </c>
      <c r="B147" s="212" t="s">
        <v>143</v>
      </c>
      <c r="C147" s="186" t="str">
        <f t="shared" si="64"/>
        <v>6420/(0620)</v>
      </c>
      <c r="D147" s="187" t="str">
        <f t="shared" si="65"/>
        <v>(0620)  01377/050 Ch.Gén.</v>
      </c>
      <c r="E147" s="190" t="str">
        <f>A571</f>
        <v>64252 – Cotisation. AGEFOS Gardiens</v>
      </c>
      <c r="F147" s="27">
        <v>0</v>
      </c>
      <c r="M147" s="39"/>
      <c r="O147" s="27">
        <v>147.16</v>
      </c>
      <c r="P147" s="39"/>
      <c r="Q147" s="123">
        <f>O147-N147</f>
        <v>147.16</v>
      </c>
      <c r="R147" s="191">
        <f t="shared" si="143"/>
        <v>4.9286930382780195E-4</v>
      </c>
      <c r="T147" s="27">
        <v>686.56</v>
      </c>
      <c r="U147" s="39">
        <f>(T147-O147)/O147</f>
        <v>3.6653982060342485</v>
      </c>
      <c r="V147" s="123">
        <f>T147-S147</f>
        <v>686.56</v>
      </c>
      <c r="W147" s="191">
        <f t="shared" si="144"/>
        <v>2.3421781922864306E-3</v>
      </c>
      <c r="Y147" s="27">
        <v>241.38</v>
      </c>
      <c r="Z147" s="89" t="str">
        <f>ROUND(Y147-T147,2) &amp; "   (" &amp; ROUND(100*(Y147-T147)/T147,1) &amp;"%)"</f>
        <v>-445,18   (-64,8%)</v>
      </c>
      <c r="AA147" s="34"/>
      <c r="AB147" s="191">
        <f t="shared" si="145"/>
        <v>7.7645153542181349E-4</v>
      </c>
      <c r="AD147" s="4">
        <v>235.15</v>
      </c>
      <c r="AE147" s="35" t="str">
        <f>ROUND(AD147-Y147,2) &amp; "   (" &amp; ROUND(100*(AD147-Y147)/Y147,1) &amp;"%)"</f>
        <v>-6,23   (-2,6%)</v>
      </c>
      <c r="AF147" s="34"/>
      <c r="AG147" s="191">
        <f t="shared" si="146"/>
        <v>7.8774258468408654E-4</v>
      </c>
      <c r="AI147" s="4">
        <v>241.84</v>
      </c>
      <c r="AJ147" s="35" t="str">
        <f t="shared" si="161"/>
        <v>6,69   (2,8%)</v>
      </c>
      <c r="AK147" s="34"/>
      <c r="AL147" s="191">
        <f t="shared" si="147"/>
        <v>8.1366699467028548E-4</v>
      </c>
      <c r="AN147" s="4">
        <v>0</v>
      </c>
      <c r="AO147" s="29"/>
      <c r="AP147" s="34"/>
      <c r="AQ147" s="191" t="str">
        <f t="shared" si="148"/>
        <v/>
      </c>
      <c r="AS147" s="4"/>
      <c r="AT147" s="29"/>
      <c r="AU147" s="34"/>
      <c r="AV147" s="191" t="str">
        <f t="shared" si="149"/>
        <v/>
      </c>
    </row>
    <row r="148" spans="1:48" x14ac:dyDescent="0.3">
      <c r="A148" s="23" t="str">
        <f t="shared" ref="A148:A213" si="162">LEFT(B148,4)</f>
        <v>6230</v>
      </c>
      <c r="B148" s="212" t="s">
        <v>144</v>
      </c>
      <c r="C148" s="186" t="str">
        <f t="shared" ref="C148:C213" si="163">LEFT(B148,4) &amp;"/"&amp; RIGHT(B148,6)</f>
        <v>6230/(0630)</v>
      </c>
      <c r="D148" s="187" t="str">
        <f t="shared" ref="D148:D213" si="164">RIGHT(B148,6) &amp;"  "&amp; RIGHT(LEFT(B148,10),5) &amp;"/"&amp;LEFT(B$81,6)&amp;"."&amp;RIGHT(LEFT(B$81,14),3)&amp;"."</f>
        <v>(0630)  01381/050 Ch.Gén.</v>
      </c>
      <c r="E148" s="188" t="str">
        <f>A526</f>
        <v>6233 – Honoraires Huissiers</v>
      </c>
      <c r="F148" s="27">
        <v>770</v>
      </c>
      <c r="I148" s="27">
        <v>827.13</v>
      </c>
      <c r="J148" s="27">
        <v>512.98</v>
      </c>
      <c r="K148" s="28">
        <v>1000</v>
      </c>
      <c r="L148" s="27">
        <v>1496.63</v>
      </c>
      <c r="M148" s="39">
        <f>(L148-J148)/J148</f>
        <v>1.9175211509220633</v>
      </c>
      <c r="N148" s="28">
        <v>1000</v>
      </c>
      <c r="P148" s="39"/>
      <c r="Q148" s="123">
        <f>O148-N148</f>
        <v>-1000</v>
      </c>
      <c r="R148" s="191" t="str">
        <f t="shared" si="143"/>
        <v/>
      </c>
      <c r="S148" s="28">
        <v>1000</v>
      </c>
      <c r="T148" s="27">
        <v>342.06</v>
      </c>
      <c r="V148" s="123">
        <f>T148-S148</f>
        <v>-657.94</v>
      </c>
      <c r="W148" s="191">
        <f t="shared" si="144"/>
        <v>1.1669271038998725E-3</v>
      </c>
      <c r="X148" s="28">
        <v>1000</v>
      </c>
      <c r="Y148" s="27">
        <v>137.56</v>
      </c>
      <c r="Z148" s="89" t="str">
        <f>ROUND(Y148-T148,2) &amp; "   (" &amp; ROUND(100*(Y148-T148)/T148,1) &amp;"%)"</f>
        <v>-204,5   (-59,8%)</v>
      </c>
      <c r="AA148" s="34" t="str">
        <f>ROUND(Y148-X148,2) &amp; "  (" &amp; ROUND(100*(Y148-X148)/X148,1) &amp;"%)"</f>
        <v>-862,44  (-86,2%)</v>
      </c>
      <c r="AB148" s="191">
        <f t="shared" si="145"/>
        <v>4.4249181047570081E-4</v>
      </c>
      <c r="AC148" s="28">
        <v>1020</v>
      </c>
      <c r="AD148" s="4">
        <v>103.85</v>
      </c>
      <c r="AE148" s="35" t="str">
        <f>ROUND(AD148-Y148,2) &amp; "   (" &amp; ROUND(100*(AD148-Y148)/Y148,1) &amp;"%)"</f>
        <v>-33,71   (-24,5%)</v>
      </c>
      <c r="AF148" s="34" t="str">
        <f>ROUND(AD148-AC148,2) &amp; "  (" &amp; ROUND(100*(AD148-AC148)/AC148,1) &amp;"%)"</f>
        <v>-916,15  (-89,8%)</v>
      </c>
      <c r="AG148" s="191">
        <f t="shared" si="146"/>
        <v>3.4789312106928502E-4</v>
      </c>
      <c r="AH148" s="28">
        <v>1040</v>
      </c>
      <c r="AI148" s="4">
        <v>0</v>
      </c>
      <c r="AJ148" s="35" t="str">
        <f t="shared" si="161"/>
        <v>-103,85   (-100%)</v>
      </c>
      <c r="AK148" s="34" t="str">
        <f>ROUND(AI148-AH148,2) &amp; "  (" &amp; ROUND(100*(AI148-AH148)/AH148,1) &amp;"%)"</f>
        <v>-1040  (-100%)</v>
      </c>
      <c r="AL148" s="191" t="str">
        <f t="shared" si="147"/>
        <v/>
      </c>
      <c r="AM148" s="28">
        <v>1060</v>
      </c>
      <c r="AN148" s="205">
        <v>36.229999999999997</v>
      </c>
      <c r="AO148" s="35" t="str">
        <f>ROUND(AN148-AI148,2) &amp; "   (" &amp; ROUND(100*(AN148-AI148)/(AI148+0.0001),1) &amp;"%)"</f>
        <v>36,23   (36230000%)</v>
      </c>
      <c r="AP148" s="34" t="str">
        <f>ROUND(AN148-AM148,2) &amp; "  (" &amp; ROUND(100*(AN148-AM148)/AM148,1) &amp;"%)"</f>
        <v>-1023,77  (-96,6%)</v>
      </c>
      <c r="AQ148" s="191">
        <f t="shared" si="148"/>
        <v>1.5245520202986337E-4</v>
      </c>
      <c r="AS148" s="4">
        <v>0</v>
      </c>
      <c r="AT148" s="35" t="str">
        <f t="shared" ref="AT148:AT149" si="165">ROUND(AS148-AN148,2) &amp; "   (" &amp; ROUND(100*(AS148-AN148)/AN148,1) &amp;"%)"</f>
        <v>-36,23   (-100%)</v>
      </c>
      <c r="AU148" s="34" t="e">
        <f>ROUND(AS148-AR148,2) &amp; "  (" &amp; ROUND(100*(AS148-AR148)/AR148,1) &amp;"%)"</f>
        <v>#DIV/0!</v>
      </c>
      <c r="AV148" s="191" t="str">
        <f t="shared" si="149"/>
        <v/>
      </c>
    </row>
    <row r="149" spans="1:48" x14ac:dyDescent="0.3">
      <c r="A149" s="23" t="str">
        <f t="shared" si="162"/>
        <v>6230</v>
      </c>
      <c r="B149" s="212" t="s">
        <v>145</v>
      </c>
      <c r="C149" s="186" t="str">
        <f t="shared" si="163"/>
        <v>6230/(0640)</v>
      </c>
      <c r="D149" s="187" t="str">
        <f t="shared" si="164"/>
        <v>(0640)  01382/050 Ch.Gén.</v>
      </c>
      <c r="E149" s="190" t="str">
        <f>A528</f>
        <v>62341 – Avocats Représentation Ordinaire</v>
      </c>
      <c r="F149" s="27">
        <v>1588</v>
      </c>
      <c r="G149" s="27">
        <v>3193.57</v>
      </c>
      <c r="H149" s="27">
        <v>4903.6000000000004</v>
      </c>
      <c r="I149" s="27">
        <v>2050.9499999999998</v>
      </c>
      <c r="L149" s="27">
        <v>636</v>
      </c>
      <c r="M149" s="39"/>
      <c r="O149" s="27">
        <v>4019.63</v>
      </c>
      <c r="P149" s="39">
        <f>(O149-L149)/L149</f>
        <v>5.3201729559748427</v>
      </c>
      <c r="Q149" s="123">
        <f>O149-N149</f>
        <v>4019.63</v>
      </c>
      <c r="R149" s="191">
        <f t="shared" si="143"/>
        <v>1.3462572980058084E-2</v>
      </c>
      <c r="S149" s="28">
        <v>3000</v>
      </c>
      <c r="T149" s="27">
        <v>-299.63</v>
      </c>
      <c r="U149" s="39">
        <f>(T149-O149)/O149</f>
        <v>-1.074541686672654</v>
      </c>
      <c r="V149" s="123">
        <f>T149-S149</f>
        <v>-3299.63</v>
      </c>
      <c r="W149" s="191" t="str">
        <f t="shared" si="144"/>
        <v/>
      </c>
      <c r="X149" s="28">
        <v>3000</v>
      </c>
      <c r="Z149" s="89" t="str">
        <f>ROUND(Y149-T149,2) &amp; "   (" &amp; ROUND(100*(Y149-T149)/T149,1) &amp;"%)"</f>
        <v>299,63   (-100%)</v>
      </c>
      <c r="AA149" s="34" t="str">
        <f>ROUND(Y149-X149,2) &amp; "  (" &amp; ROUND(100*(Y149-X149)/X149,1) &amp;"%)"</f>
        <v>-3000  (-100%)</v>
      </c>
      <c r="AB149" s="191" t="str">
        <f t="shared" si="145"/>
        <v/>
      </c>
      <c r="AC149" s="28">
        <v>1500</v>
      </c>
      <c r="AD149" s="4">
        <v>1800</v>
      </c>
      <c r="AE149" s="35"/>
      <c r="AF149" s="34" t="str">
        <f>ROUND(AD149-AC149,2) &amp; "  (" &amp; ROUND(100*(AD149-AC149)/AC149,1) &amp;"%)"</f>
        <v>300  (20%)</v>
      </c>
      <c r="AG149" s="191">
        <f t="shared" si="146"/>
        <v>6.0299241013453356E-3</v>
      </c>
      <c r="AH149" s="28">
        <v>1530</v>
      </c>
      <c r="AI149" s="4">
        <v>1537.75</v>
      </c>
      <c r="AJ149" s="35" t="str">
        <f t="shared" si="161"/>
        <v>-262,25   (-14,6%)</v>
      </c>
      <c r="AK149" s="34" t="str">
        <f>ROUND(AI149-AH149,2) &amp; "  (" &amp; ROUND(100*(AI149-AH149)/AH149,1) &amp;"%)"</f>
        <v>7,75  (0,5%)</v>
      </c>
      <c r="AL149" s="191">
        <f t="shared" si="147"/>
        <v>5.1737364416731373E-3</v>
      </c>
      <c r="AM149" s="28">
        <v>1560</v>
      </c>
      <c r="AN149" s="205">
        <v>960</v>
      </c>
      <c r="AO149" s="35" t="str">
        <f t="shared" ref="AO149" si="166">ROUND(AN149-AI149,2) &amp; "   (" &amp; ROUND(100*(AN149-AI149)/AI149,1) &amp;"%)"</f>
        <v>-577,75   (-37,6%)</v>
      </c>
      <c r="AP149" s="34" t="str">
        <f>ROUND(AN149-AM149,2) &amp; "  (" &amp; ROUND(100*(AN149-AM149)/AM149,1) &amp;"%)"</f>
        <v>-600  (-38,5%)</v>
      </c>
      <c r="AQ149" s="191">
        <f t="shared" si="148"/>
        <v>4.0396630954642248E-3</v>
      </c>
      <c r="AR149" s="28">
        <v>1560</v>
      </c>
      <c r="AS149" s="4">
        <v>0</v>
      </c>
      <c r="AT149" s="35" t="str">
        <f t="shared" si="165"/>
        <v>-960   (-100%)</v>
      </c>
      <c r="AU149" s="34" t="str">
        <f>ROUND(AS149-AR149,2) &amp; "  (" &amp; ROUND(100*(AS149-AR149)/AR149,1) &amp;"%)"</f>
        <v>-1560  (-100%)</v>
      </c>
      <c r="AV149" s="191" t="str">
        <f t="shared" si="149"/>
        <v/>
      </c>
    </row>
    <row r="150" spans="1:48" x14ac:dyDescent="0.3">
      <c r="A150" s="23" t="str">
        <f t="shared" ref="A150" si="167">LEFT(B150,4)</f>
        <v>6230</v>
      </c>
      <c r="B150" s="212" t="s">
        <v>641</v>
      </c>
      <c r="C150" s="186" t="str">
        <f t="shared" ref="C150" si="168">LEFT(B150,4) &amp;"/"&amp; RIGHT(B150,6)</f>
        <v>6230/(0642)</v>
      </c>
      <c r="D150" s="187" t="str">
        <f t="shared" ref="D150" si="169">RIGHT(B150,6) &amp;"  "&amp; RIGHT(LEFT(B150,10),5) &amp;"/"&amp;LEFT(B$81,6)&amp;"."&amp;RIGHT(LEFT(B$81,14),3)&amp;"."</f>
        <v>(0642)  01382/050 Ch.Gén.</v>
      </c>
      <c r="E150" s="190" t="str">
        <f>A529</f>
        <v>62343 – Affaire Allagar</v>
      </c>
      <c r="M150" s="39"/>
      <c r="P150" s="39"/>
      <c r="Q150" s="123"/>
      <c r="R150" s="191"/>
      <c r="V150" s="123"/>
      <c r="W150" s="191"/>
      <c r="Z150" s="89"/>
      <c r="AA150" s="34"/>
      <c r="AB150" s="191"/>
      <c r="AD150" s="4"/>
      <c r="AE150" s="35"/>
      <c r="AF150" s="34"/>
      <c r="AG150" s="191"/>
      <c r="AI150" s="4"/>
      <c r="AJ150" s="35"/>
      <c r="AK150" s="34"/>
      <c r="AL150" s="191"/>
      <c r="AN150" s="205">
        <v>2010</v>
      </c>
      <c r="AO150" s="35"/>
      <c r="AP150" s="34"/>
      <c r="AQ150" s="191">
        <f t="shared" si="148"/>
        <v>8.4580446061282202E-3</v>
      </c>
      <c r="AS150" s="4"/>
      <c r="AT150" s="35"/>
      <c r="AU150" s="34"/>
      <c r="AV150" s="191"/>
    </row>
    <row r="151" spans="1:48" x14ac:dyDescent="0.3">
      <c r="A151" s="23" t="str">
        <f t="shared" si="162"/>
        <v>6230</v>
      </c>
      <c r="B151" s="212" t="s">
        <v>146</v>
      </c>
      <c r="C151" s="186" t="str">
        <f t="shared" si="163"/>
        <v>6230/(0645)</v>
      </c>
      <c r="D151" s="187" t="str">
        <f t="shared" si="164"/>
        <v>(0645)  01384/050 Ch.Gén.</v>
      </c>
      <c r="E151" s="190" t="str">
        <f>A507</f>
        <v>62126 – Frais de Procédure</v>
      </c>
      <c r="F151" s="27">
        <v>0</v>
      </c>
      <c r="G151" s="27">
        <v>5372.17</v>
      </c>
      <c r="M151" s="39"/>
      <c r="P151" s="39"/>
      <c r="Q151" s="123"/>
      <c r="R151" s="191" t="str">
        <f t="shared" ref="R151:R169" si="170">IF(O151&gt;0,O151/O$219,"")</f>
        <v/>
      </c>
      <c r="V151" s="123"/>
      <c r="W151" s="191" t="str">
        <f t="shared" ref="W151:W169" si="171">IF(T151&gt;0,T151/T$219,"")</f>
        <v/>
      </c>
      <c r="Y151" s="27">
        <v>1704</v>
      </c>
      <c r="Z151" s="89"/>
      <c r="AA151" s="34"/>
      <c r="AB151" s="191">
        <f t="shared" ref="AB151:AB169" si="172">IF(Y151&gt;0,Y151/Y$219,"")</f>
        <v>5.4812884926620691E-3</v>
      </c>
      <c r="AD151" s="4"/>
      <c r="AE151" s="35"/>
      <c r="AF151" s="34"/>
      <c r="AG151" s="191" t="str">
        <f t="shared" ref="AG151:AG169" si="173">IF(AD151&gt;0,AD151/AD$219,"")</f>
        <v/>
      </c>
      <c r="AI151" s="4"/>
      <c r="AJ151" s="29"/>
      <c r="AK151" s="34"/>
      <c r="AL151" s="191" t="str">
        <f t="shared" ref="AL151:AL169" si="174">IF(AI151&gt;0,AI151/AI$219,"")</f>
        <v/>
      </c>
      <c r="AN151" s="205"/>
      <c r="AO151" s="29"/>
      <c r="AP151" s="34"/>
      <c r="AQ151" s="191" t="str">
        <f t="shared" si="148"/>
        <v/>
      </c>
      <c r="AS151" s="4"/>
      <c r="AT151" s="29"/>
      <c r="AU151" s="34"/>
      <c r="AV151" s="191" t="str">
        <f t="shared" ref="AV151:AV169" si="175">IF(AS151&gt;0,AS151/AS$219,"")</f>
        <v/>
      </c>
    </row>
    <row r="152" spans="1:48" x14ac:dyDescent="0.3">
      <c r="A152" s="98" t="str">
        <f t="shared" si="162"/>
        <v>6410</v>
      </c>
      <c r="B152" s="212" t="s">
        <v>147</v>
      </c>
      <c r="C152" s="186" t="str">
        <f t="shared" si="163"/>
        <v>6410/(0660)</v>
      </c>
      <c r="D152" s="187" t="str">
        <f t="shared" si="164"/>
        <v>(0660)  01386/050 Ch.Gén.</v>
      </c>
      <c r="E152" s="190" t="str">
        <f>A540</f>
        <v>64102 – Salaires Gardiens</v>
      </c>
      <c r="F152" s="27">
        <v>0</v>
      </c>
      <c r="L152" s="27">
        <v>26757.26</v>
      </c>
      <c r="M152" s="39"/>
      <c r="O152" s="27">
        <v>50497.67</v>
      </c>
      <c r="P152" s="39">
        <f>(O152-L152)/L152</f>
        <v>0.88725116099331547</v>
      </c>
      <c r="Q152" s="123">
        <f>O152-N152</f>
        <v>50497.67</v>
      </c>
      <c r="R152" s="191">
        <f t="shared" si="170"/>
        <v>0.16912715043371895</v>
      </c>
      <c r="T152" s="27">
        <v>48908.15</v>
      </c>
      <c r="U152" s="39">
        <f>(T152-O152)/O152</f>
        <v>-3.1477095873928378E-2</v>
      </c>
      <c r="V152" s="123">
        <f>T152-S152</f>
        <v>48908.15</v>
      </c>
      <c r="W152" s="191">
        <f t="shared" si="171"/>
        <v>0.16684864011167794</v>
      </c>
      <c r="X152" s="28">
        <v>51000</v>
      </c>
      <c r="Y152" s="27">
        <v>42409.41</v>
      </c>
      <c r="Z152" s="89" t="str">
        <f>ROUND(Y152-T152,2) &amp; "   (" &amp; ROUND(100*(Y152-T152)/T152,1) &amp;"%)"</f>
        <v>-6498,74   (-13,3%)</v>
      </c>
      <c r="AA152" s="34" t="str">
        <f>ROUND(Y152-X152,2) &amp; "  (" &amp; ROUND(100*(Y152-X152)/X152,1) &amp;"%)"</f>
        <v>-8590,59  (-16,8%)</v>
      </c>
      <c r="AB152" s="191">
        <f t="shared" si="172"/>
        <v>0.13641913791877211</v>
      </c>
      <c r="AC152" s="28">
        <v>50000</v>
      </c>
      <c r="AD152" s="210">
        <v>42754.55</v>
      </c>
      <c r="AE152" s="35" t="str">
        <f>ROUND(AD152-Y152,2) &amp; "   (" &amp; ROUND(100*(AD152-Y152)/Y152,1) &amp;"%)"</f>
        <v>345,14   (0,8%)</v>
      </c>
      <c r="AF152" s="34" t="str">
        <f>ROUND(AD152-AC152,2) &amp; "  (" &amp; ROUND(100*(AD152-AC152)/AC152,1) &amp;"%)"</f>
        <v>-7245,45  (-14,5%)</v>
      </c>
      <c r="AG152" s="191">
        <f t="shared" si="173"/>
        <v>0.14322593971509681</v>
      </c>
      <c r="AH152" s="28">
        <v>50750</v>
      </c>
      <c r="AI152" s="463">
        <v>49358.64</v>
      </c>
      <c r="AJ152" s="471" t="str">
        <f>ROUND(AI152-AD152,2) &amp; "   (" &amp; ROUND(100*(AI152-AD152)/AD152,1) &amp;"%)"</f>
        <v>6604,09   (15,4%)</v>
      </c>
      <c r="AK152" s="34" t="str">
        <f>ROUND(AI152-AH152,2) &amp; "  (" &amp; ROUND(100*(AI152-AH152)/AH152,1) &amp;"%)"</f>
        <v>-1391,36  (-2,7%)</v>
      </c>
      <c r="AL152" s="191">
        <f t="shared" si="174"/>
        <v>0.16606639211798108</v>
      </c>
      <c r="AM152" s="28">
        <v>51520</v>
      </c>
      <c r="AN152" s="4">
        <v>35244.910000000003</v>
      </c>
      <c r="AO152" s="29"/>
      <c r="AP152" s="34" t="str">
        <f>ROUND(AN152-AM152,2) &amp; "  (" &amp; ROUND(100*(AN152-AM152)/AM152,1) &amp;"%)"</f>
        <v>-16275,09  (-31,6%)</v>
      </c>
      <c r="AQ152" s="191">
        <f t="shared" si="148"/>
        <v>0.14830996065620627</v>
      </c>
      <c r="AR152" s="28">
        <v>51520</v>
      </c>
      <c r="AS152" s="4">
        <v>0</v>
      </c>
      <c r="AT152" s="29"/>
      <c r="AU152" s="34" t="str">
        <f>ROUND(AS152-AR152,2) &amp; "  (" &amp; ROUND(100*(AS152-AR152)/AR152,1) &amp;"%)"</f>
        <v>-51520  (-100%)</v>
      </c>
      <c r="AV152" s="191" t="str">
        <f t="shared" si="175"/>
        <v/>
      </c>
    </row>
    <row r="153" spans="1:48" x14ac:dyDescent="0.3">
      <c r="A153" s="98" t="str">
        <f t="shared" si="162"/>
        <v>6420</v>
      </c>
      <c r="B153" s="185" t="s">
        <v>148</v>
      </c>
      <c r="C153" s="186" t="str">
        <f t="shared" si="163"/>
        <v>6420/(0670)</v>
      </c>
      <c r="D153" s="187" t="str">
        <f t="shared" si="164"/>
        <v>(0670)  01387/050 Ch.Gén.</v>
      </c>
      <c r="E153" s="190" t="str">
        <f>A554</f>
        <v>64223 – Cotisation. Urssaf Gardiens 40%</v>
      </c>
      <c r="F153" s="27">
        <v>0</v>
      </c>
      <c r="L153" s="27">
        <v>7396.61</v>
      </c>
      <c r="M153" s="39"/>
      <c r="O153" s="27">
        <v>10889.39</v>
      </c>
      <c r="P153" s="39">
        <f>(O153-L153)/L153</f>
        <v>0.47221362218637997</v>
      </c>
      <c r="Q153" s="123">
        <f>O153-N153</f>
        <v>10889.39</v>
      </c>
      <c r="R153" s="191">
        <f t="shared" si="170"/>
        <v>3.6470821340102121E-2</v>
      </c>
      <c r="T153" s="27">
        <v>10218.56</v>
      </c>
      <c r="U153" s="39">
        <f>(T153-O153)/O153</f>
        <v>-6.1604001693391454E-2</v>
      </c>
      <c r="V153" s="123">
        <f>T153-S153</f>
        <v>10218.56</v>
      </c>
      <c r="W153" s="191">
        <f t="shared" si="171"/>
        <v>3.4860301195191137E-2</v>
      </c>
      <c r="X153" s="28">
        <v>10000</v>
      </c>
      <c r="Y153" s="27">
        <v>8830.7900000000009</v>
      </c>
      <c r="Z153" s="89"/>
      <c r="AA153" s="34"/>
      <c r="AB153" s="191">
        <f t="shared" si="172"/>
        <v>2.8406166436687367E-2</v>
      </c>
      <c r="AC153" s="28">
        <v>10500</v>
      </c>
      <c r="AD153" s="210">
        <v>7523.82</v>
      </c>
      <c r="AE153" s="35" t="str">
        <f>ROUND(AD153-Y153,2) &amp; "   (" &amp; ROUND(100*(AD153-Y153)/Y153,1) &amp;"%)"</f>
        <v>-1306,97   (-14,8%)</v>
      </c>
      <c r="AF153" s="34" t="str">
        <f>ROUND(AD153-AC153,2) &amp; "  (" &amp; ROUND(100*(AD153-AC153)/AC153,1) &amp;"%)"</f>
        <v>-2976,18  (-28,3%)</v>
      </c>
      <c r="AG153" s="191">
        <f t="shared" si="173"/>
        <v>2.5204479751213368E-2</v>
      </c>
      <c r="AH153" s="28">
        <v>10660</v>
      </c>
      <c r="AI153" s="463">
        <v>7262.03</v>
      </c>
      <c r="AJ153" s="471" t="str">
        <f>ROUND(AI153-AD153,2) &amp; "   (" &amp; ROUND(100*(AI153-AD153)/AD153,1) &amp;"%)"</f>
        <v>-261,79   (-3,5%)</v>
      </c>
      <c r="AK153" s="34" t="str">
        <f>ROUND(AI153-AH153,2) &amp; "  (" &amp; ROUND(100*(AI153-AH153)/AH153,1) &amp;"%)"</f>
        <v>-3397,97  (-31,9%)</v>
      </c>
      <c r="AL153" s="191">
        <f t="shared" si="174"/>
        <v>2.4432989271028174E-2</v>
      </c>
      <c r="AM153" s="28">
        <v>10820</v>
      </c>
      <c r="AN153" s="4">
        <v>5408.12</v>
      </c>
      <c r="AO153" s="29"/>
      <c r="AP153" s="34" t="str">
        <f>ROUND(AN153-AM153,2) &amp; "  (" &amp; ROUND(100*(AN153-AM153)/AM153,1) &amp;"%)"</f>
        <v>-5411,88  (-50%)</v>
      </c>
      <c r="AQ153" s="191">
        <f t="shared" si="148"/>
        <v>2.2757273729002065E-2</v>
      </c>
      <c r="AR153" s="28">
        <v>10820</v>
      </c>
      <c r="AS153" s="4">
        <v>0</v>
      </c>
      <c r="AT153" s="29"/>
      <c r="AU153" s="34" t="str">
        <f>ROUND(AS153-AR153,2) &amp; "  (" &amp; ROUND(100*(AS153-AR153)/AR153,1) &amp;"%)"</f>
        <v>-10820  (-100%)</v>
      </c>
      <c r="AV153" s="191" t="str">
        <f t="shared" si="175"/>
        <v/>
      </c>
    </row>
    <row r="154" spans="1:48" x14ac:dyDescent="0.3">
      <c r="A154" s="23" t="str">
        <f t="shared" si="162"/>
        <v>6440</v>
      </c>
      <c r="B154" s="212" t="s">
        <v>149</v>
      </c>
      <c r="C154" s="186" t="str">
        <f t="shared" si="163"/>
        <v>6440/(0680)</v>
      </c>
      <c r="D154" s="187" t="str">
        <f t="shared" si="164"/>
        <v>(0680)  01389/050 Ch.Gén.</v>
      </c>
      <c r="E154" s="190" t="str">
        <f>A599</f>
        <v>64490 Autres Frais Personnels</v>
      </c>
      <c r="F154" s="27">
        <v>0</v>
      </c>
      <c r="L154" s="27">
        <v>469.2</v>
      </c>
      <c r="M154" s="39"/>
      <c r="O154" s="27">
        <v>469.2</v>
      </c>
      <c r="P154" s="39">
        <f>(O154-L154)/L154</f>
        <v>0</v>
      </c>
      <c r="Q154" s="123">
        <f>O154-N154</f>
        <v>469.2</v>
      </c>
      <c r="R154" s="191">
        <f t="shared" si="170"/>
        <v>1.5714479298450984E-3</v>
      </c>
      <c r="T154" s="27">
        <v>505.7</v>
      </c>
      <c r="U154" s="39">
        <f>(T154-O154)/O154</f>
        <v>7.7791986359761298E-2</v>
      </c>
      <c r="V154" s="123">
        <f>T154-S154</f>
        <v>505.7</v>
      </c>
      <c r="W154" s="191">
        <f t="shared" si="171"/>
        <v>1.7251798995561174E-3</v>
      </c>
      <c r="X154" s="28">
        <v>500</v>
      </c>
      <c r="Y154" s="27">
        <v>469.2</v>
      </c>
      <c r="Z154" s="89" t="str">
        <f>ROUND(Y154-T154,2) &amp; "   (" &amp; ROUND(100*(Y154-T154)/T154,1) &amp;"%)"</f>
        <v>-36,5   (-7,2%)</v>
      </c>
      <c r="AA154" s="34" t="str">
        <f>ROUND(Y154-X154,2) &amp; "  (" &amp; ROUND(100*(Y154-X154)/X154,1) &amp;"%)"</f>
        <v>-30,8  (-6,2%)</v>
      </c>
      <c r="AB154" s="191">
        <f t="shared" si="172"/>
        <v>1.5092843666414568E-3</v>
      </c>
      <c r="AC154" s="28">
        <v>510</v>
      </c>
      <c r="AD154" s="210">
        <v>469.2</v>
      </c>
      <c r="AE154" s="35" t="str">
        <f>ROUND(AD154-Y154,2) &amp; "   (" &amp; ROUND(100*(AD154-Y154)/Y154,1) &amp;"%)"</f>
        <v>0   (0%)</v>
      </c>
      <c r="AF154" s="34" t="str">
        <f>ROUND(AD154-AC154,2) &amp; "  (" &amp; ROUND(100*(AD154-AC154)/AC154,1) &amp;"%)"</f>
        <v>-40,8  (-8%)</v>
      </c>
      <c r="AG154" s="191">
        <f t="shared" si="173"/>
        <v>1.5718002157506842E-3</v>
      </c>
      <c r="AH154" s="28">
        <v>520</v>
      </c>
      <c r="AI154" s="4">
        <v>469.2</v>
      </c>
      <c r="AJ154" s="35" t="str">
        <f>ROUND(AI154-AD154,2) &amp; "   (" &amp; ROUND(100*(AI154-AD154)/AD154,1) &amp;"%)"</f>
        <v>0   (0%)</v>
      </c>
      <c r="AK154" s="34" t="str">
        <f>ROUND(AI154-AH154,2) &amp; "  (" &amp; ROUND(100*(AI154-AH154)/AH154,1) &amp;"%)"</f>
        <v>-50,8  (-9,8%)</v>
      </c>
      <c r="AL154" s="191">
        <f t="shared" si="174"/>
        <v>1.5786162499970972E-3</v>
      </c>
      <c r="AM154" s="28">
        <v>530</v>
      </c>
      <c r="AN154" s="4">
        <v>350.4</v>
      </c>
      <c r="AO154" s="29"/>
      <c r="AP154" s="34" t="str">
        <f>ROUND(AN154-AM154,2) &amp; "  (" &amp; ROUND(100*(AN154-AM154)/AM154,1) &amp;"%)"</f>
        <v>-179,6  (-33,9%)</v>
      </c>
      <c r="AQ154" s="191">
        <f t="shared" si="148"/>
        <v>1.4744770298444419E-3</v>
      </c>
      <c r="AR154" s="28">
        <v>530</v>
      </c>
      <c r="AS154" s="4">
        <v>0</v>
      </c>
      <c r="AT154" s="29"/>
      <c r="AU154" s="34" t="str">
        <f>ROUND(AS154-AR154,2) &amp; "  (" &amp; ROUND(100*(AS154-AR154)/AR154,1) &amp;"%)"</f>
        <v>-530  (-100%)</v>
      </c>
      <c r="AV154" s="191" t="str">
        <f t="shared" si="175"/>
        <v/>
      </c>
    </row>
    <row r="155" spans="1:48" x14ac:dyDescent="0.3">
      <c r="A155" s="98" t="str">
        <f t="shared" si="162"/>
        <v>6410</v>
      </c>
      <c r="B155" s="212" t="s">
        <v>150</v>
      </c>
      <c r="C155" s="186" t="str">
        <f t="shared" si="163"/>
        <v>6410/(0690)</v>
      </c>
      <c r="D155" s="187" t="str">
        <f t="shared" si="164"/>
        <v>(0690)  01391/050 Ch.Gén.</v>
      </c>
      <c r="E155" s="190" t="str">
        <f>A542</f>
        <v>64104 – Salaires Gardiens 0%</v>
      </c>
      <c r="F155" s="27">
        <v>0</v>
      </c>
      <c r="L155" s="27">
        <v>15098.55</v>
      </c>
      <c r="M155" s="39"/>
      <c r="P155" s="39"/>
      <c r="Q155" s="123"/>
      <c r="R155" s="191" t="str">
        <f t="shared" si="170"/>
        <v/>
      </c>
      <c r="V155" s="123"/>
      <c r="W155" s="191" t="str">
        <f t="shared" si="171"/>
        <v/>
      </c>
      <c r="AA155" s="34"/>
      <c r="AB155" s="191" t="str">
        <f t="shared" si="172"/>
        <v/>
      </c>
      <c r="AD155" s="4"/>
      <c r="AE155" s="35"/>
      <c r="AF155" s="34"/>
      <c r="AG155" s="191" t="str">
        <f t="shared" si="173"/>
        <v/>
      </c>
      <c r="AI155" s="4"/>
      <c r="AJ155" s="29"/>
      <c r="AK155" s="34"/>
      <c r="AL155" s="191" t="str">
        <f t="shared" si="174"/>
        <v/>
      </c>
      <c r="AN155" s="205"/>
      <c r="AO155" s="29"/>
      <c r="AP155" s="34"/>
      <c r="AQ155" s="191" t="str">
        <f t="shared" si="148"/>
        <v/>
      </c>
      <c r="AS155" s="4"/>
      <c r="AT155" s="29"/>
      <c r="AU155" s="34"/>
      <c r="AV155" s="191" t="str">
        <f t="shared" si="175"/>
        <v/>
      </c>
    </row>
    <row r="156" spans="1:48" x14ac:dyDescent="0.3">
      <c r="A156" s="98" t="str">
        <f t="shared" si="162"/>
        <v>6420</v>
      </c>
      <c r="B156" s="212" t="s">
        <v>151</v>
      </c>
      <c r="C156" s="186" t="str">
        <f t="shared" si="163"/>
        <v>6420/(0700)</v>
      </c>
      <c r="D156" s="187" t="str">
        <f t="shared" si="164"/>
        <v>(0700)  01392/050 Ch.Gén.</v>
      </c>
      <c r="E156" s="190" t="str">
        <f>A555</f>
        <v>64224 – Cotisation. Urssaf Gardiens 0%</v>
      </c>
      <c r="F156" s="27">
        <v>0</v>
      </c>
      <c r="L156" s="27">
        <v>925.15</v>
      </c>
      <c r="M156" s="39"/>
      <c r="P156" s="39"/>
      <c r="Q156" s="123"/>
      <c r="R156" s="191" t="str">
        <f t="shared" si="170"/>
        <v/>
      </c>
      <c r="V156" s="123"/>
      <c r="W156" s="191" t="str">
        <f t="shared" si="171"/>
        <v/>
      </c>
      <c r="AA156" s="34"/>
      <c r="AB156" s="191" t="str">
        <f t="shared" si="172"/>
        <v/>
      </c>
      <c r="AD156" s="4"/>
      <c r="AE156" s="35"/>
      <c r="AF156" s="34"/>
      <c r="AG156" s="191" t="str">
        <f t="shared" si="173"/>
        <v/>
      </c>
      <c r="AI156" s="4"/>
      <c r="AJ156" s="29"/>
      <c r="AK156" s="34"/>
      <c r="AL156" s="191" t="str">
        <f t="shared" si="174"/>
        <v/>
      </c>
      <c r="AN156" s="205"/>
      <c r="AO156" s="29"/>
      <c r="AP156" s="34"/>
      <c r="AQ156" s="191" t="str">
        <f t="shared" si="148"/>
        <v/>
      </c>
      <c r="AS156" s="4"/>
      <c r="AT156" s="29"/>
      <c r="AU156" s="34"/>
      <c r="AV156" s="191" t="str">
        <f t="shared" si="175"/>
        <v/>
      </c>
    </row>
    <row r="157" spans="1:48" x14ac:dyDescent="0.3">
      <c r="A157" s="98" t="str">
        <f t="shared" si="162"/>
        <v>6420</v>
      </c>
      <c r="B157" s="212" t="s">
        <v>152</v>
      </c>
      <c r="C157" s="186" t="str">
        <f t="shared" si="163"/>
        <v>6420/(0710)</v>
      </c>
      <c r="D157" s="187" t="str">
        <f t="shared" si="164"/>
        <v>(0710)  01393/050 Ch.Gén.</v>
      </c>
      <c r="E157" s="190" t="str">
        <f xml:space="preserve"> A561</f>
        <v>64234 – Cotisation. Retraite Gardiens 0%</v>
      </c>
      <c r="F157" s="27">
        <v>0</v>
      </c>
      <c r="L157" s="27">
        <v>1011.63</v>
      </c>
      <c r="M157" s="39"/>
      <c r="P157" s="39"/>
      <c r="Q157" s="123"/>
      <c r="R157" s="191" t="str">
        <f t="shared" si="170"/>
        <v/>
      </c>
      <c r="V157" s="123"/>
      <c r="W157" s="191" t="str">
        <f t="shared" si="171"/>
        <v/>
      </c>
      <c r="AA157" s="34"/>
      <c r="AB157" s="191" t="str">
        <f t="shared" si="172"/>
        <v/>
      </c>
      <c r="AD157" s="4"/>
      <c r="AE157" s="35"/>
      <c r="AF157" s="34"/>
      <c r="AG157" s="191" t="str">
        <f t="shared" si="173"/>
        <v/>
      </c>
      <c r="AI157" s="4"/>
      <c r="AJ157" s="29"/>
      <c r="AK157" s="34"/>
      <c r="AL157" s="191" t="str">
        <f t="shared" si="174"/>
        <v/>
      </c>
      <c r="AN157" s="205"/>
      <c r="AO157" s="29"/>
      <c r="AP157" s="34"/>
      <c r="AQ157" s="191" t="str">
        <f t="shared" si="148"/>
        <v/>
      </c>
      <c r="AS157" s="4"/>
      <c r="AT157" s="29"/>
      <c r="AU157" s="34"/>
      <c r="AV157" s="191" t="str">
        <f t="shared" si="175"/>
        <v/>
      </c>
    </row>
    <row r="158" spans="1:48" x14ac:dyDescent="0.3">
      <c r="A158" s="98" t="str">
        <f t="shared" si="162"/>
        <v>6420</v>
      </c>
      <c r="B158" s="212" t="s">
        <v>153</v>
      </c>
      <c r="C158" s="186" t="str">
        <f t="shared" si="163"/>
        <v>6420/(0720)</v>
      </c>
      <c r="D158" s="187" t="str">
        <f t="shared" si="164"/>
        <v>(0720)  01394/050 Ch.Gén.</v>
      </c>
      <c r="E158" s="198" t="str">
        <f xml:space="preserve"> A549</f>
        <v>64214 – CRI Prévoyance Gardiens 0%</v>
      </c>
      <c r="F158" s="27">
        <v>0</v>
      </c>
      <c r="L158" s="27">
        <v>63.48</v>
      </c>
      <c r="M158" s="39"/>
      <c r="P158" s="39"/>
      <c r="Q158" s="123"/>
      <c r="R158" s="191" t="str">
        <f t="shared" si="170"/>
        <v/>
      </c>
      <c r="V158" s="123"/>
      <c r="W158" s="191" t="str">
        <f t="shared" si="171"/>
        <v/>
      </c>
      <c r="AA158" s="34"/>
      <c r="AB158" s="191" t="str">
        <f t="shared" si="172"/>
        <v/>
      </c>
      <c r="AD158" s="4"/>
      <c r="AE158" s="35"/>
      <c r="AF158" s="34"/>
      <c r="AG158" s="191" t="str">
        <f t="shared" si="173"/>
        <v/>
      </c>
      <c r="AI158" s="4"/>
      <c r="AJ158" s="29"/>
      <c r="AK158" s="34"/>
      <c r="AL158" s="191" t="str">
        <f t="shared" si="174"/>
        <v/>
      </c>
      <c r="AN158" s="205"/>
      <c r="AO158" s="29"/>
      <c r="AP158" s="34"/>
      <c r="AQ158" s="191" t="str">
        <f t="shared" si="148"/>
        <v/>
      </c>
      <c r="AS158" s="4"/>
      <c r="AT158" s="29"/>
      <c r="AU158" s="34"/>
      <c r="AV158" s="191" t="str">
        <f t="shared" si="175"/>
        <v/>
      </c>
    </row>
    <row r="159" spans="1:48" x14ac:dyDescent="0.3">
      <c r="A159" s="23" t="str">
        <f t="shared" si="162"/>
        <v>6440</v>
      </c>
      <c r="B159" s="212" t="s">
        <v>154</v>
      </c>
      <c r="C159" s="186" t="str">
        <f t="shared" si="163"/>
        <v>6440/(0730)</v>
      </c>
      <c r="D159" s="187" t="str">
        <f t="shared" si="164"/>
        <v>(0730)  01395/050 Ch.Gén.</v>
      </c>
      <c r="E159" s="190" t="str">
        <f>A586</f>
        <v>64412 – Visites Médicales Gardiens</v>
      </c>
      <c r="F159" s="27">
        <v>0</v>
      </c>
      <c r="L159" s="27">
        <v>1076.3399999999999</v>
      </c>
      <c r="M159" s="39"/>
      <c r="P159" s="39"/>
      <c r="Q159" s="123"/>
      <c r="R159" s="191" t="str">
        <f t="shared" si="170"/>
        <v/>
      </c>
      <c r="V159" s="123"/>
      <c r="W159" s="191" t="str">
        <f t="shared" si="171"/>
        <v/>
      </c>
      <c r="AA159" s="34"/>
      <c r="AB159" s="191" t="str">
        <f t="shared" si="172"/>
        <v/>
      </c>
      <c r="AD159" s="4"/>
      <c r="AE159" s="35"/>
      <c r="AF159" s="34"/>
      <c r="AG159" s="191" t="str">
        <f t="shared" si="173"/>
        <v/>
      </c>
      <c r="AI159" s="4"/>
      <c r="AJ159" s="29"/>
      <c r="AK159" s="34"/>
      <c r="AL159" s="191" t="str">
        <f t="shared" si="174"/>
        <v/>
      </c>
      <c r="AN159" s="205"/>
      <c r="AO159" s="29"/>
      <c r="AP159" s="34"/>
      <c r="AQ159" s="191" t="str">
        <f t="shared" si="148"/>
        <v/>
      </c>
      <c r="AS159" s="4"/>
      <c r="AT159" s="29"/>
      <c r="AU159" s="34"/>
      <c r="AV159" s="191" t="str">
        <f t="shared" si="175"/>
        <v/>
      </c>
    </row>
    <row r="160" spans="1:48" x14ac:dyDescent="0.3">
      <c r="A160" s="23" t="str">
        <f t="shared" si="162"/>
        <v>6430</v>
      </c>
      <c r="B160" s="212" t="s">
        <v>155</v>
      </c>
      <c r="C160" s="186" t="str">
        <f t="shared" si="163"/>
        <v>6430/(0740)</v>
      </c>
      <c r="D160" s="187" t="str">
        <f t="shared" si="164"/>
        <v>(0740)  01396/050 Ch.Gén.</v>
      </c>
      <c r="E160" s="198" t="str">
        <f>A581</f>
        <v>64304 – Taxe salaires Gardiens 0%</v>
      </c>
      <c r="F160" s="27">
        <v>0</v>
      </c>
      <c r="M160" s="39"/>
      <c r="O160" s="27">
        <v>83.04</v>
      </c>
      <c r="P160" s="39"/>
      <c r="Q160" s="123">
        <f>O160-N160</f>
        <v>83.04</v>
      </c>
      <c r="R160" s="191">
        <f t="shared" si="170"/>
        <v>2.7811815024368495E-4</v>
      </c>
      <c r="V160" s="123">
        <f>T160-S160</f>
        <v>0</v>
      </c>
      <c r="W160" s="191" t="str">
        <f t="shared" si="171"/>
        <v/>
      </c>
      <c r="Z160" s="89"/>
      <c r="AA160" s="34"/>
      <c r="AB160" s="191" t="str">
        <f t="shared" si="172"/>
        <v/>
      </c>
      <c r="AD160" s="4"/>
      <c r="AE160" s="35"/>
      <c r="AF160" s="34"/>
      <c r="AG160" s="191" t="str">
        <f t="shared" si="173"/>
        <v/>
      </c>
      <c r="AI160" s="4"/>
      <c r="AJ160" s="29"/>
      <c r="AK160" s="34"/>
      <c r="AL160" s="191" t="str">
        <f t="shared" si="174"/>
        <v/>
      </c>
      <c r="AN160" s="205"/>
      <c r="AO160" s="29"/>
      <c r="AP160" s="34"/>
      <c r="AQ160" s="191" t="str">
        <f t="shared" si="148"/>
        <v/>
      </c>
      <c r="AS160" s="4"/>
      <c r="AT160" s="29"/>
      <c r="AU160" s="34"/>
      <c r="AV160" s="191" t="str">
        <f t="shared" si="175"/>
        <v/>
      </c>
    </row>
    <row r="161" spans="1:48" x14ac:dyDescent="0.3">
      <c r="A161" s="23" t="str">
        <f t="shared" si="162"/>
        <v>6211</v>
      </c>
      <c r="B161" s="212" t="s">
        <v>156</v>
      </c>
      <c r="C161" s="186" t="str">
        <f t="shared" si="163"/>
        <v>6211/(0750)</v>
      </c>
      <c r="D161" s="187" t="str">
        <f t="shared" si="164"/>
        <v>(0750)  00401/050 Ch.Gén.</v>
      </c>
      <c r="E161" s="188" t="str">
        <f>A503</f>
        <v>6211 – Honoraires Syndic   *</v>
      </c>
      <c r="F161" s="27">
        <v>27662</v>
      </c>
      <c r="G161" s="27">
        <v>28400</v>
      </c>
      <c r="H161" s="27">
        <v>29000</v>
      </c>
      <c r="I161" s="27">
        <v>29850</v>
      </c>
      <c r="J161" s="27">
        <v>31500</v>
      </c>
      <c r="K161" s="28">
        <v>33000</v>
      </c>
      <c r="L161" s="27">
        <v>32000</v>
      </c>
      <c r="M161" s="39">
        <f>(L161-J161)/J161</f>
        <v>1.5873015873015872E-2</v>
      </c>
      <c r="N161" s="28">
        <v>33000</v>
      </c>
      <c r="O161" s="27">
        <v>38340</v>
      </c>
      <c r="P161" s="39">
        <f>(O161-L161)/L161</f>
        <v>0.198125</v>
      </c>
      <c r="Q161" s="123">
        <f>O161-N161</f>
        <v>5340</v>
      </c>
      <c r="R161" s="191">
        <f t="shared" si="170"/>
        <v>0.12840859682493835</v>
      </c>
      <c r="S161" s="28">
        <v>38340</v>
      </c>
      <c r="T161" s="27">
        <v>38340</v>
      </c>
      <c r="U161" s="39">
        <f>(T161-O161)/O161</f>
        <v>0</v>
      </c>
      <c r="V161" s="123">
        <f>T161-S161</f>
        <v>0</v>
      </c>
      <c r="W161" s="191">
        <f t="shared" si="171"/>
        <v>0.13079572345062596</v>
      </c>
      <c r="X161" s="28">
        <v>38340</v>
      </c>
      <c r="Y161" s="27">
        <v>38700</v>
      </c>
      <c r="Z161" s="89" t="str">
        <f>ROUND(Y161-T161,2) &amp; "   (" &amp; ROUND(100*(Y161-T161)/T161,1) &amp;"%)"</f>
        <v>360   (0,9%)</v>
      </c>
      <c r="AA161" s="34" t="str">
        <f>ROUND(Y161-X161,2) &amp; "  (" &amp; ROUND(100*(Y161-X161)/X161,1) &amp;"%)"</f>
        <v>360  (0,9%)</v>
      </c>
      <c r="AB161" s="191">
        <f t="shared" si="172"/>
        <v>0.12448700978052937</v>
      </c>
      <c r="AC161" s="28">
        <v>38800</v>
      </c>
      <c r="AD161" s="4">
        <v>38800</v>
      </c>
      <c r="AE161" s="35" t="str">
        <f>ROUND(AD161-Y161,2) &amp; "   (" &amp; ROUND(100*(AD161-Y161)/Y161,1) &amp;"%)"</f>
        <v>100   (0,3%)</v>
      </c>
      <c r="AF161" s="34" t="str">
        <f>ROUND(AD161-AC161,2) &amp; "  (" &amp; ROUND(100*(AD161-AC161)/AC161,1) &amp;"%)"</f>
        <v>0  (0%)</v>
      </c>
      <c r="AG161" s="191">
        <f t="shared" si="173"/>
        <v>0.12997836396233278</v>
      </c>
      <c r="AH161" s="28">
        <v>38800</v>
      </c>
      <c r="AI161" s="4">
        <v>38800</v>
      </c>
      <c r="AJ161" s="35" t="str">
        <f t="shared" ref="AJ161:AJ162" si="176">ROUND(AI161-AD161,2) &amp; "   (" &amp; ROUND(100*(AI161-AD161)/AD161,1) &amp;"%)"</f>
        <v>0   (0%)</v>
      </c>
      <c r="AK161" s="34" t="str">
        <f>ROUND(AI161-AH161,2) &amp; "  (" &amp; ROUND(100*(AI161-AH161)/AH161,1) &amp;"%)"</f>
        <v>0  (0%)</v>
      </c>
      <c r="AL161" s="191">
        <f t="shared" si="174"/>
        <v>0.13054200873803787</v>
      </c>
      <c r="AM161" s="28">
        <v>39000</v>
      </c>
      <c r="AN161" s="205">
        <v>39295.480000000003</v>
      </c>
      <c r="AO161" s="35" t="str">
        <f t="shared" ref="AO161:AO162" si="177">ROUND(AN161-AI161,2) &amp; "   (" &amp; ROUND(100*(AN161-AI161)/AI161,1) &amp;"%)"</f>
        <v>495,48   (1,3%)</v>
      </c>
      <c r="AP161" s="34" t="str">
        <f>ROUND(AN161-AM161,2) &amp; "  (" &amp; ROUND(100*(AN161-AM161)/AM161,1) &amp;"%)"</f>
        <v>295,48  (0,8%)</v>
      </c>
      <c r="AQ161" s="191">
        <f t="shared" si="148"/>
        <v>0.16535468789015889</v>
      </c>
      <c r="AR161" s="28">
        <v>39000</v>
      </c>
      <c r="AS161" s="4">
        <v>1</v>
      </c>
      <c r="AT161" s="35" t="str">
        <f t="shared" ref="AT161:AT162" si="178">ROUND(AS161-AN161,2) &amp; "   (" &amp; ROUND(100*(AS161-AN161)/AN161,1) &amp;"%)"</f>
        <v>-39294,48   (-100%)</v>
      </c>
      <c r="AU161" s="34" t="str">
        <f>ROUND(AS161-AR161,2) &amp; "  (" &amp; ROUND(100*(AS161-AR161)/AR161,1) &amp;"%)"</f>
        <v>-38999  (-100%)</v>
      </c>
      <c r="AV161" s="191">
        <f t="shared" si="175"/>
        <v>1</v>
      </c>
    </row>
    <row r="162" spans="1:48" x14ac:dyDescent="0.3">
      <c r="A162" s="23" t="str">
        <f t="shared" si="162"/>
        <v>6222</v>
      </c>
      <c r="B162" s="212" t="s">
        <v>157</v>
      </c>
      <c r="C162" s="186" t="str">
        <f t="shared" si="163"/>
        <v>6222/(0753)</v>
      </c>
      <c r="D162" s="187" t="str">
        <f t="shared" si="164"/>
        <v>(0753)  00403/050 Ch.Gén.</v>
      </c>
      <c r="E162" s="190" t="str">
        <f>A515</f>
        <v>62221 – Vacations Syndic</v>
      </c>
      <c r="F162" s="27">
        <v>1285.7</v>
      </c>
      <c r="G162" s="27">
        <v>956.8</v>
      </c>
      <c r="H162" s="27">
        <v>1435.2</v>
      </c>
      <c r="I162" s="27">
        <v>490.36</v>
      </c>
      <c r="J162" s="27">
        <v>336</v>
      </c>
      <c r="K162" s="28">
        <v>450</v>
      </c>
      <c r="L162" s="27">
        <v>1728</v>
      </c>
      <c r="M162" s="39">
        <f>(L162-J162)/J162</f>
        <v>4.1428571428571432</v>
      </c>
      <c r="N162" s="28">
        <v>450</v>
      </c>
      <c r="O162" s="27">
        <v>-840</v>
      </c>
      <c r="P162" s="39">
        <f>(O162-L162)/L162</f>
        <v>-1.4861111111111112</v>
      </c>
      <c r="Q162" s="123">
        <f>O162-N162</f>
        <v>-1290</v>
      </c>
      <c r="R162" s="191" t="str">
        <f t="shared" si="170"/>
        <v/>
      </c>
      <c r="S162" s="28">
        <v>450</v>
      </c>
      <c r="V162" s="123">
        <f>T162-S162</f>
        <v>-450</v>
      </c>
      <c r="W162" s="191" t="str">
        <f t="shared" si="171"/>
        <v/>
      </c>
      <c r="X162" s="28">
        <v>450</v>
      </c>
      <c r="Y162" s="27">
        <v>360</v>
      </c>
      <c r="Z162" s="89"/>
      <c r="AA162" s="34" t="str">
        <f>ROUND(Y162-X162,2) &amp; "  (" &amp; ROUND(100*(Y162-X162)/X162,1) &amp;"%)"</f>
        <v>-90  (-20%)</v>
      </c>
      <c r="AB162" s="191">
        <f t="shared" si="172"/>
        <v>1.1580186956328315E-3</v>
      </c>
      <c r="AC162" s="28">
        <v>460</v>
      </c>
      <c r="AD162" s="192">
        <v>600</v>
      </c>
      <c r="AE162" s="35"/>
      <c r="AF162" s="34" t="str">
        <f>ROUND(AD162-AC162,2) &amp; "  (" &amp; ROUND(100*(AD162-AC162)/AC162,1) &amp;"%)"</f>
        <v>140  (30,4%)</v>
      </c>
      <c r="AG162" s="191">
        <f t="shared" si="173"/>
        <v>2.0099747004484452E-3</v>
      </c>
      <c r="AH162" s="28">
        <v>470</v>
      </c>
      <c r="AI162" s="4">
        <v>960</v>
      </c>
      <c r="AJ162" s="35" t="str">
        <f t="shared" si="176"/>
        <v>360   (60%)</v>
      </c>
      <c r="AK162" s="34" t="str">
        <f>ROUND(AI162-AH162,2) &amp; "  (" &amp; ROUND(100*(AI162-AH162)/AH162,1) &amp;"%)"</f>
        <v>490  (104,3%)</v>
      </c>
      <c r="AL162" s="191">
        <f t="shared" si="174"/>
        <v>3.2299053708380503E-3</v>
      </c>
      <c r="AM162" s="28">
        <v>480</v>
      </c>
      <c r="AN162" s="4">
        <v>3144</v>
      </c>
      <c r="AO162" s="35" t="str">
        <f t="shared" si="177"/>
        <v>2184   (227,5%)</v>
      </c>
      <c r="AP162" s="34" t="str">
        <f>ROUND(AN162-AM162,2) &amp; "  (" &amp; ROUND(100*(AN162-AM162)/AM162,1) &amp;"%)"</f>
        <v>2664  (555%)</v>
      </c>
      <c r="AQ162" s="191">
        <f t="shared" si="148"/>
        <v>1.3229896637645336E-2</v>
      </c>
      <c r="AR162" s="28">
        <v>480</v>
      </c>
      <c r="AS162" s="4">
        <v>0</v>
      </c>
      <c r="AT162" s="35" t="str">
        <f t="shared" si="178"/>
        <v>-3144   (-100%)</v>
      </c>
      <c r="AU162" s="34" t="str">
        <f>ROUND(AS162-AR162,2) &amp; "  (" &amp; ROUND(100*(AS162-AR162)/AR162,1) &amp;"%)"</f>
        <v>-480  (-100%)</v>
      </c>
      <c r="AV162" s="191" t="str">
        <f t="shared" si="175"/>
        <v/>
      </c>
    </row>
    <row r="163" spans="1:48" x14ac:dyDescent="0.3">
      <c r="A163" s="23" t="str">
        <f t="shared" si="162"/>
        <v>6223</v>
      </c>
      <c r="B163" s="212" t="s">
        <v>158</v>
      </c>
      <c r="C163" s="186" t="str">
        <f t="shared" si="163"/>
        <v>6223/(0757)</v>
      </c>
      <c r="D163" s="187" t="str">
        <f t="shared" si="164"/>
        <v>(0757)  01406/050 Ch.Gén.</v>
      </c>
      <c r="E163" s="198" t="str">
        <f>A518</f>
        <v>62231 – Honoraires Recouvrement</v>
      </c>
      <c r="F163" s="27">
        <v>0</v>
      </c>
      <c r="M163" s="39"/>
      <c r="P163" s="39"/>
      <c r="Q163" s="123"/>
      <c r="R163" s="191" t="str">
        <f t="shared" si="170"/>
        <v/>
      </c>
      <c r="V163" s="123"/>
      <c r="W163" s="191" t="str">
        <f t="shared" si="171"/>
        <v/>
      </c>
      <c r="Y163" s="27">
        <v>120</v>
      </c>
      <c r="Z163" s="89"/>
      <c r="AA163" s="34"/>
      <c r="AB163" s="191">
        <f t="shared" si="172"/>
        <v>3.8600623187761047E-4</v>
      </c>
      <c r="AD163" s="4"/>
      <c r="AE163" s="35"/>
      <c r="AF163" s="34"/>
      <c r="AG163" s="191" t="str">
        <f t="shared" si="173"/>
        <v/>
      </c>
      <c r="AI163" s="4"/>
      <c r="AJ163" s="29"/>
      <c r="AK163" s="34"/>
      <c r="AL163" s="191" t="str">
        <f t="shared" si="174"/>
        <v/>
      </c>
      <c r="AN163" s="205"/>
      <c r="AO163" s="29"/>
      <c r="AP163" s="34"/>
      <c r="AQ163" s="191" t="str">
        <f t="shared" si="148"/>
        <v/>
      </c>
      <c r="AS163" s="4"/>
      <c r="AT163" s="29"/>
      <c r="AU163" s="34"/>
      <c r="AV163" s="191" t="str">
        <f t="shared" si="175"/>
        <v/>
      </c>
    </row>
    <row r="164" spans="1:48" x14ac:dyDescent="0.3">
      <c r="A164" s="23" t="str">
        <f t="shared" si="162"/>
        <v>6223</v>
      </c>
      <c r="B164" s="212" t="s">
        <v>159</v>
      </c>
      <c r="C164" s="186" t="str">
        <f t="shared" si="163"/>
        <v>6223/(0770)</v>
      </c>
      <c r="D164" s="187" t="str">
        <f t="shared" si="164"/>
        <v>(0770)  01407/050 Ch.Gén.</v>
      </c>
      <c r="E164" s="190" t="str">
        <f>A519</f>
        <v>62232 – Honoraires Procédures Syndic</v>
      </c>
      <c r="F164" s="27">
        <v>0</v>
      </c>
      <c r="M164" s="39"/>
      <c r="O164" s="27">
        <v>2611.02</v>
      </c>
      <c r="P164" s="39"/>
      <c r="Q164" s="123">
        <f t="shared" ref="Q164:Q173" si="179">O164-N164</f>
        <v>2611.02</v>
      </c>
      <c r="R164" s="191">
        <f t="shared" si="170"/>
        <v>8.7448464914410672E-3</v>
      </c>
      <c r="V164" s="123">
        <f t="shared" ref="V164:V173" si="180">T164-S164</f>
        <v>0</v>
      </c>
      <c r="W164" s="191" t="str">
        <f t="shared" si="171"/>
        <v/>
      </c>
      <c r="AA164" s="34"/>
      <c r="AB164" s="191" t="str">
        <f t="shared" si="172"/>
        <v/>
      </c>
      <c r="AD164" s="4"/>
      <c r="AE164" s="35"/>
      <c r="AF164" s="34"/>
      <c r="AG164" s="191" t="str">
        <f t="shared" si="173"/>
        <v/>
      </c>
      <c r="AI164" s="4"/>
      <c r="AJ164" s="29"/>
      <c r="AK164" s="34"/>
      <c r="AL164" s="191" t="str">
        <f t="shared" si="174"/>
        <v/>
      </c>
      <c r="AN164" s="205"/>
      <c r="AO164" s="29"/>
      <c r="AP164" s="34"/>
      <c r="AQ164" s="191" t="str">
        <f t="shared" si="148"/>
        <v/>
      </c>
      <c r="AS164" s="4"/>
      <c r="AT164" s="29"/>
      <c r="AU164" s="34"/>
      <c r="AV164" s="191" t="str">
        <f t="shared" si="175"/>
        <v/>
      </c>
    </row>
    <row r="165" spans="1:48" x14ac:dyDescent="0.3">
      <c r="A165" s="23" t="str">
        <f t="shared" si="162"/>
        <v>6222</v>
      </c>
      <c r="B165" s="212" t="s">
        <v>160</v>
      </c>
      <c r="C165" s="186" t="str">
        <f t="shared" si="163"/>
        <v>6222/(0780)</v>
      </c>
      <c r="D165" s="187" t="str">
        <f t="shared" si="164"/>
        <v>(0780)  01408/050 Ch.Gén.</v>
      </c>
      <c r="E165" s="190" t="str">
        <f>A516</f>
        <v>62222 – Vacations Sinistres</v>
      </c>
      <c r="F165" s="27">
        <v>0</v>
      </c>
      <c r="M165" s="39"/>
      <c r="O165" s="27">
        <v>760.16</v>
      </c>
      <c r="P165" s="39"/>
      <c r="Q165" s="123">
        <f t="shared" si="179"/>
        <v>760.16</v>
      </c>
      <c r="R165" s="191">
        <f t="shared" si="170"/>
        <v>2.5459332019417092E-3</v>
      </c>
      <c r="T165" s="27">
        <v>960</v>
      </c>
      <c r="U165" s="39">
        <f>(T165-O165)/O165</f>
        <v>0.26289202273205647</v>
      </c>
      <c r="V165" s="123">
        <f t="shared" si="180"/>
        <v>960</v>
      </c>
      <c r="W165" s="191">
        <f t="shared" si="171"/>
        <v>3.2750102898435295E-3</v>
      </c>
      <c r="Z165" s="89" t="str">
        <f>ROUND(Y165-T165,2) &amp; "   (" &amp; ROUND(100*(Y165-T165)/T165,1) &amp;"%)"</f>
        <v>-960   (-100%)</v>
      </c>
      <c r="AA165" s="34"/>
      <c r="AB165" s="191" t="str">
        <f t="shared" si="172"/>
        <v/>
      </c>
      <c r="AD165" s="4"/>
      <c r="AE165" s="35"/>
      <c r="AF165" s="34"/>
      <c r="AG165" s="191" t="str">
        <f t="shared" si="173"/>
        <v/>
      </c>
      <c r="AI165" s="4"/>
      <c r="AJ165" s="29"/>
      <c r="AK165" s="34"/>
      <c r="AL165" s="191" t="str">
        <f t="shared" si="174"/>
        <v/>
      </c>
      <c r="AN165" s="205"/>
      <c r="AO165" s="29"/>
      <c r="AP165" s="34"/>
      <c r="AQ165" s="191" t="str">
        <f t="shared" si="148"/>
        <v/>
      </c>
      <c r="AS165" s="4"/>
      <c r="AT165" s="29"/>
      <c r="AU165" s="34"/>
      <c r="AV165" s="191" t="str">
        <f t="shared" si="175"/>
        <v/>
      </c>
    </row>
    <row r="166" spans="1:48" x14ac:dyDescent="0.3">
      <c r="A166" s="23" t="str">
        <f t="shared" si="162"/>
        <v>6212</v>
      </c>
      <c r="B166" s="212" t="s">
        <v>161</v>
      </c>
      <c r="C166" s="186" t="str">
        <f t="shared" si="163"/>
        <v>6212/(0795)</v>
      </c>
      <c r="D166" s="187" t="str">
        <f t="shared" si="164"/>
        <v>(0795)  01409/050 Ch.Gén.</v>
      </c>
      <c r="E166" s="190" t="str">
        <f>A505</f>
        <v>62121 – Frais Gestion Syndic</v>
      </c>
      <c r="F166" s="27">
        <v>0</v>
      </c>
      <c r="M166" s="39"/>
      <c r="P166" s="39"/>
      <c r="Q166" s="123">
        <f t="shared" si="179"/>
        <v>0</v>
      </c>
      <c r="R166" s="191" t="str">
        <f t="shared" si="170"/>
        <v/>
      </c>
      <c r="T166" s="27">
        <v>600</v>
      </c>
      <c r="V166" s="123">
        <f t="shared" si="180"/>
        <v>600</v>
      </c>
      <c r="W166" s="191">
        <f t="shared" si="171"/>
        <v>2.0468814311522059E-3</v>
      </c>
      <c r="Z166" s="89" t="str">
        <f>ROUND(Y166-T166,2) &amp; "   (" &amp; ROUND(100*(Y166-T166)/T166,1) &amp;"%)"</f>
        <v>-600   (-100%)</v>
      </c>
      <c r="AA166" s="34"/>
      <c r="AB166" s="191" t="str">
        <f t="shared" si="172"/>
        <v/>
      </c>
      <c r="AD166" s="4"/>
      <c r="AE166" s="35"/>
      <c r="AF166" s="34"/>
      <c r="AG166" s="191" t="str">
        <f t="shared" si="173"/>
        <v/>
      </c>
      <c r="AI166" s="4"/>
      <c r="AJ166" s="29"/>
      <c r="AK166" s="34"/>
      <c r="AL166" s="191" t="str">
        <f t="shared" si="174"/>
        <v/>
      </c>
      <c r="AN166" s="205"/>
      <c r="AO166" s="29"/>
      <c r="AP166" s="34"/>
      <c r="AQ166" s="191" t="str">
        <f t="shared" si="148"/>
        <v/>
      </c>
      <c r="AS166" s="4"/>
      <c r="AT166" s="29"/>
      <c r="AU166" s="34"/>
      <c r="AV166" s="191" t="str">
        <f t="shared" si="175"/>
        <v/>
      </c>
    </row>
    <row r="167" spans="1:48" x14ac:dyDescent="0.3">
      <c r="A167" s="23" t="str">
        <f t="shared" si="162"/>
        <v>6240</v>
      </c>
      <c r="B167" s="212" t="s">
        <v>162</v>
      </c>
      <c r="C167" s="186" t="str">
        <f t="shared" si="163"/>
        <v>6240/(0810)</v>
      </c>
      <c r="D167" s="187" t="str">
        <f t="shared" si="164"/>
        <v>(0810)  00411/050 Ch.Gén.</v>
      </c>
      <c r="E167" s="199" t="str">
        <f>A530</f>
        <v>624 Frais du conseil syndical   *</v>
      </c>
      <c r="F167" s="27">
        <v>59.7</v>
      </c>
      <c r="G167" s="27">
        <v>320</v>
      </c>
      <c r="H167" s="27">
        <v>320</v>
      </c>
      <c r="I167" s="27">
        <v>619.94000000000005</v>
      </c>
      <c r="J167" s="27">
        <v>476.56</v>
      </c>
      <c r="K167" s="28">
        <v>500</v>
      </c>
      <c r="L167" s="27">
        <v>437.91</v>
      </c>
      <c r="M167" s="39">
        <f>(L167-J167)/J167</f>
        <v>-8.1102064797716922E-2</v>
      </c>
      <c r="N167" s="28">
        <v>500</v>
      </c>
      <c r="O167" s="27">
        <v>433.69</v>
      </c>
      <c r="P167" s="39">
        <f>(O167-L167)/L167</f>
        <v>-9.6366833367587564E-3</v>
      </c>
      <c r="Q167" s="123">
        <f t="shared" si="179"/>
        <v>-66.31</v>
      </c>
      <c r="R167" s="191">
        <f t="shared" si="170"/>
        <v>1.4525175888630024E-3</v>
      </c>
      <c r="S167" s="28">
        <v>500</v>
      </c>
      <c r="T167" s="27">
        <v>197.48</v>
      </c>
      <c r="U167" s="39">
        <f>(T167-O167)/O167</f>
        <v>-0.54465170974659316</v>
      </c>
      <c r="V167" s="123">
        <f t="shared" si="180"/>
        <v>-302.52</v>
      </c>
      <c r="W167" s="191">
        <f t="shared" si="171"/>
        <v>6.7369690837322928E-4</v>
      </c>
      <c r="X167" s="28">
        <v>500</v>
      </c>
      <c r="Y167" s="27">
        <v>161.63999999999999</v>
      </c>
      <c r="Z167" s="89" t="str">
        <f>ROUND(Y167-T167,2) &amp; "   (" &amp; ROUND(100*(Y167-T167)/T167,1) &amp;"%)"</f>
        <v>-35,84   (-18,1%)</v>
      </c>
      <c r="AA167" s="34" t="str">
        <f>ROUND(Y167-X167,2) &amp; "  (" &amp; ROUND(100*(Y167-X167)/X167,1) &amp;"%)"</f>
        <v>-338,36  (-67,7%)</v>
      </c>
      <c r="AB167" s="191">
        <f t="shared" si="172"/>
        <v>5.1995039433914124E-4</v>
      </c>
      <c r="AC167" s="28">
        <v>510</v>
      </c>
      <c r="AD167" s="4">
        <v>25</v>
      </c>
      <c r="AE167" s="35" t="str">
        <f>ROUND(AD167-Y167,2) &amp; "   (" &amp; ROUND(100*(AD167-Y167)/Y167,1) &amp;"%)"</f>
        <v>-136,64   (-84,5%)</v>
      </c>
      <c r="AF167" s="34" t="str">
        <f>ROUND(AD167-AC167,2) &amp; "  (" &amp; ROUND(100*(AD167-AC167)/AC167,1) &amp;"%)"</f>
        <v>-485  (-95,1%)</v>
      </c>
      <c r="AG167" s="191">
        <f t="shared" si="173"/>
        <v>8.3748945852018546E-5</v>
      </c>
      <c r="AH167" s="28">
        <v>520</v>
      </c>
      <c r="AI167" s="4">
        <v>0</v>
      </c>
      <c r="AJ167" s="35" t="str">
        <f t="shared" ref="AJ167:AJ169" si="181">ROUND(AI167-AD167,2) &amp; "   (" &amp; ROUND(100*(AI167-AD167)/AD167,1) &amp;"%)"</f>
        <v>-25   (-100%)</v>
      </c>
      <c r="AK167" s="34" t="str">
        <f>ROUND(AI167-AH167,2) &amp; "  (" &amp; ROUND(100*(AI167-AH167)/AH167,1) &amp;"%)"</f>
        <v>-520  (-100%)</v>
      </c>
      <c r="AL167" s="191" t="str">
        <f t="shared" si="174"/>
        <v/>
      </c>
      <c r="AM167" s="28">
        <v>530</v>
      </c>
      <c r="AN167" s="205">
        <v>0</v>
      </c>
      <c r="AO167" s="35" t="str">
        <f t="shared" ref="AO167:AO168" si="182">ROUND(AN167-AI167,2) &amp; "   (" &amp; ROUND(100*(AN167-AI167)/(AI167+0.0001),1) &amp;"%)"</f>
        <v>0   (0%)</v>
      </c>
      <c r="AP167" s="34" t="str">
        <f>ROUND(AN167-AM167,2) &amp; "  (" &amp; ROUND(100*(AN167-AM167)/AM167,1) &amp;"%)"</f>
        <v>-530  (-100%)</v>
      </c>
      <c r="AQ167" s="191" t="str">
        <f t="shared" si="148"/>
        <v/>
      </c>
      <c r="AR167" s="28">
        <v>530</v>
      </c>
      <c r="AS167" s="4">
        <v>0</v>
      </c>
      <c r="AT167" s="35" t="e">
        <f t="shared" ref="AT167:AT169" si="183">ROUND(AS167-AN167,2) &amp; "   (" &amp; ROUND(100*(AS167-AN167)/AN167,1) &amp;"%)"</f>
        <v>#DIV/0!</v>
      </c>
      <c r="AU167" s="34" t="str">
        <f>ROUND(AS167-AR167,2) &amp; "  (" &amp; ROUND(100*(AS167-AR167)/AR167,1) &amp;"%)"</f>
        <v>-530  (-100%)</v>
      </c>
      <c r="AV167" s="191" t="str">
        <f t="shared" si="175"/>
        <v/>
      </c>
    </row>
    <row r="168" spans="1:48" x14ac:dyDescent="0.3">
      <c r="A168" s="23" t="str">
        <f t="shared" si="162"/>
        <v>6230</v>
      </c>
      <c r="B168" s="212" t="s">
        <v>163</v>
      </c>
      <c r="C168" s="186" t="str">
        <f t="shared" si="163"/>
        <v>6230/(0820)</v>
      </c>
      <c r="D168" s="187" t="str">
        <f t="shared" si="164"/>
        <v>(0820)  01412/050 Ch.Gén.</v>
      </c>
      <c r="E168" s="190" t="str">
        <f>A508</f>
        <v>62128 – Frais Administratifs Ext.</v>
      </c>
      <c r="F168" s="27">
        <v>6040.71</v>
      </c>
      <c r="I168" s="27">
        <v>229.5</v>
      </c>
      <c r="K168" s="28">
        <v>130</v>
      </c>
      <c r="M168" s="39"/>
      <c r="N168" s="28">
        <v>130</v>
      </c>
      <c r="P168" s="39"/>
      <c r="Q168" s="123">
        <f t="shared" si="179"/>
        <v>-130</v>
      </c>
      <c r="R168" s="191" t="str">
        <f t="shared" si="170"/>
        <v/>
      </c>
      <c r="S168" s="28">
        <v>130</v>
      </c>
      <c r="V168" s="123">
        <f t="shared" si="180"/>
        <v>-130</v>
      </c>
      <c r="W168" s="191" t="str">
        <f t="shared" si="171"/>
        <v/>
      </c>
      <c r="X168" s="28">
        <v>130</v>
      </c>
      <c r="Z168" s="89"/>
      <c r="AA168" s="34" t="str">
        <f>ROUND(Y168-X168,2) &amp; "  (" &amp; ROUND(100*(Y168-X168)/X168,1) &amp;"%)"</f>
        <v>-130  (-100%)</v>
      </c>
      <c r="AB168" s="191" t="str">
        <f t="shared" si="172"/>
        <v/>
      </c>
      <c r="AC168" s="28">
        <v>140</v>
      </c>
      <c r="AD168" s="4">
        <f>+AD237</f>
        <v>0</v>
      </c>
      <c r="AE168" s="35"/>
      <c r="AF168" s="34" t="str">
        <f>ROUND(AD168-AC168,2) &amp; "  (" &amp; ROUND(100*(AD168-AC168)/AC168,1) &amp;"%)"</f>
        <v>-140  (-100%)</v>
      </c>
      <c r="AG168" s="191" t="str">
        <f t="shared" si="173"/>
        <v/>
      </c>
      <c r="AH168" s="28">
        <v>150</v>
      </c>
      <c r="AI168" s="4">
        <f>+AI237</f>
        <v>0</v>
      </c>
      <c r="AJ168" s="35" t="str">
        <f>ROUND(AI168-AD168,2) &amp; "   (" &amp; ROUND(100*(AI168-AD168)/(AD168+0.001),1) &amp;"%)"</f>
        <v>0   (0%)</v>
      </c>
      <c r="AK168" s="34" t="str">
        <f>ROUND(AI168-AH168,2) &amp; "  (" &amp; ROUND(100*(AI168-AH168)/AH168,1) &amp;"%)"</f>
        <v>-150  (-100%)</v>
      </c>
      <c r="AL168" s="191" t="str">
        <f t="shared" si="174"/>
        <v/>
      </c>
      <c r="AM168" s="28">
        <v>160</v>
      </c>
      <c r="AN168" s="205">
        <v>0</v>
      </c>
      <c r="AO168" s="35" t="str">
        <f t="shared" si="182"/>
        <v>0   (0%)</v>
      </c>
      <c r="AP168" s="34" t="str">
        <f>ROUND(AN168-AM168,2) &amp; "  (" &amp; ROUND(100*(AN168-AM168)/AM168,1) &amp;"%)"</f>
        <v>-160  (-100%)</v>
      </c>
      <c r="AQ168" s="191" t="str">
        <f t="shared" si="148"/>
        <v/>
      </c>
      <c r="AS168" s="4">
        <f>+AS237</f>
        <v>0</v>
      </c>
      <c r="AT168" s="35" t="e">
        <f t="shared" si="183"/>
        <v>#DIV/0!</v>
      </c>
      <c r="AU168" s="34" t="e">
        <f>ROUND(AS168-AR168,2) &amp; "  (" &amp; ROUND(100*(AS168-AR168)/AR168,1) &amp;"%)"</f>
        <v>#DIV/0!</v>
      </c>
      <c r="AV168" s="191" t="str">
        <f t="shared" si="175"/>
        <v/>
      </c>
    </row>
    <row r="169" spans="1:48" x14ac:dyDescent="0.3">
      <c r="A169" s="23" t="str">
        <f t="shared" si="162"/>
        <v>6160</v>
      </c>
      <c r="B169" s="212" t="s">
        <v>164</v>
      </c>
      <c r="C169" s="186" t="str">
        <f t="shared" si="163"/>
        <v>6160/(0830)</v>
      </c>
      <c r="D169" s="187" t="str">
        <f t="shared" si="164"/>
        <v>(0830)  00441/050 Ch.Gén.</v>
      </c>
      <c r="E169" s="188" t="str">
        <f>A493</f>
        <v>6160 – Assurances MultiRisques</v>
      </c>
      <c r="F169" s="27">
        <v>28263.14</v>
      </c>
      <c r="G169" s="27">
        <v>29411.34</v>
      </c>
      <c r="H169" s="27">
        <v>30397.63</v>
      </c>
      <c r="I169" s="27">
        <v>31201.15</v>
      </c>
      <c r="J169" s="27">
        <v>31811.51</v>
      </c>
      <c r="K169" s="28">
        <v>32500</v>
      </c>
      <c r="L169" s="27">
        <v>32156.34</v>
      </c>
      <c r="M169" s="39">
        <f>(L169-J169)/J169</f>
        <v>1.0839787234243259E-2</v>
      </c>
      <c r="N169" s="28">
        <v>32500</v>
      </c>
      <c r="O169" s="27">
        <v>28906.880000000001</v>
      </c>
      <c r="P169" s="39">
        <f>(O169-L169)/L169</f>
        <v>-0.10105192319772707</v>
      </c>
      <c r="Q169" s="123">
        <f t="shared" si="179"/>
        <v>-3593.119999999999</v>
      </c>
      <c r="R169" s="191">
        <f t="shared" si="170"/>
        <v>9.6815125179626343E-2</v>
      </c>
      <c r="S169" s="28">
        <v>32500</v>
      </c>
      <c r="T169" s="27">
        <v>29107.06</v>
      </c>
      <c r="U169" s="39">
        <f>(T169-O169)/O169</f>
        <v>6.9249950184869583E-3</v>
      </c>
      <c r="V169" s="123">
        <f t="shared" si="180"/>
        <v>-3392.9399999999987</v>
      </c>
      <c r="W169" s="191">
        <f t="shared" si="171"/>
        <v>9.9297834382388553E-2</v>
      </c>
      <c r="X169" s="28">
        <v>32000</v>
      </c>
      <c r="Y169" s="27">
        <v>30294.2</v>
      </c>
      <c r="Z169" s="89" t="str">
        <f>ROUND(Y169-T169,2) &amp; "   (" &amp; ROUND(100*(Y169-T169)/T169,1) &amp;"%)"</f>
        <v>1187,14   (4,1%)</v>
      </c>
      <c r="AA169" s="34" t="str">
        <f>ROUND(Y169-X169,2) &amp; "  (" &amp; ROUND(100*(Y169-X169)/X169,1) &amp;"%)"</f>
        <v>-1705,8  (-5,3%)</v>
      </c>
      <c r="AB169" s="191">
        <f t="shared" si="172"/>
        <v>9.7447916581222566E-2</v>
      </c>
      <c r="AC169" s="28">
        <v>32000</v>
      </c>
      <c r="AD169" s="192">
        <v>25346.54</v>
      </c>
      <c r="AE169" s="35" t="str">
        <f>ROUND(AD169-Y169,2) &amp; "   (" &amp; ROUND(100*(AD169-Y169)/Y169,1) &amp;"%)"</f>
        <v>-4947,66   (-16,3%)</v>
      </c>
      <c r="AF169" s="471" t="str">
        <f>ROUND(AD169-AC169,2) &amp; "  (" &amp; ROUND(100*(AD169-AC169)/AC169,1) &amp;"%)"</f>
        <v>-6653,46  (-20,8%)</v>
      </c>
      <c r="AG169" s="191">
        <f t="shared" si="173"/>
        <v>8.4909840239840897E-2</v>
      </c>
      <c r="AH169" s="28">
        <v>32480</v>
      </c>
      <c r="AI169" s="4">
        <v>25500.799999999999</v>
      </c>
      <c r="AJ169" s="35" t="str">
        <f t="shared" si="181"/>
        <v>154,26   (0,6%)</v>
      </c>
      <c r="AK169" s="34" t="str">
        <f>ROUND(AI169-AH169,2) &amp; "  (" &amp; ROUND(100*(AI169-AH169)/AH169,1) &amp;"%)"</f>
        <v>-6979,2  (-21,5%)</v>
      </c>
      <c r="AL169" s="191">
        <f t="shared" si="174"/>
        <v>8.5797053000694748E-2</v>
      </c>
      <c r="AM169" s="28">
        <v>32970</v>
      </c>
      <c r="AN169" s="205">
        <v>22569.4</v>
      </c>
      <c r="AO169" s="35" t="str">
        <f t="shared" ref="AO169" si="184">ROUND(AN169-AI169,2) &amp; "   (" &amp; ROUND(100*(AN169-AI169)/AI169,1) &amp;"%)"</f>
        <v>-2931,4   (-11,5%)</v>
      </c>
      <c r="AP169" s="34" t="str">
        <f>ROUND(AN169-AM169,2) &amp; "  (" &amp; ROUND(100*(AN169-AM169)/AM169,1) &amp;"%)"</f>
        <v>-10400,6  (-31,5%)</v>
      </c>
      <c r="AQ169" s="191">
        <f t="shared" si="148"/>
        <v>9.4971637777885698E-2</v>
      </c>
      <c r="AR169" s="28">
        <v>32970</v>
      </c>
      <c r="AS169" s="4">
        <v>0</v>
      </c>
      <c r="AT169" s="35" t="str">
        <f t="shared" si="183"/>
        <v>-22569,4   (-100%)</v>
      </c>
      <c r="AU169" s="34" t="str">
        <f>ROUND(AS169-AR169,2) &amp; "  (" &amp; ROUND(100*(AS169-AR169)/AR169,1) &amp;"%)"</f>
        <v>-32970  (-100%)</v>
      </c>
      <c r="AV169" s="191" t="str">
        <f t="shared" si="175"/>
        <v/>
      </c>
    </row>
    <row r="170" spans="1:48" x14ac:dyDescent="0.3">
      <c r="A170" s="23" t="str">
        <f t="shared" ref="A170" si="185">LEFT(B170,4)</f>
        <v>6160</v>
      </c>
      <c r="B170" s="212" t="s">
        <v>634</v>
      </c>
      <c r="C170" s="186" t="str">
        <f t="shared" ref="C170" si="186">LEFT(B170,4) &amp;"/"&amp; RIGHT(B170,6)</f>
        <v>6160/(0835)</v>
      </c>
      <c r="D170" s="187" t="str">
        <f t="shared" ref="D170" si="187">RIGHT(B170,6) &amp;"  "&amp; RIGHT(LEFT(B170,10),5) &amp;"/"&amp;LEFT(B$81,6)&amp;"."&amp;RIGHT(LEFT(B$81,14),3)&amp;"."</f>
        <v>(0835)  01446/050 Ch.Gén.</v>
      </c>
      <c r="E170" s="188" t="str">
        <f>A494</f>
        <v>6163 – Assurances sans TVA</v>
      </c>
      <c r="M170" s="39"/>
      <c r="P170" s="39"/>
      <c r="Q170" s="123"/>
      <c r="R170" s="191"/>
      <c r="V170" s="123"/>
      <c r="W170" s="191"/>
      <c r="Z170" s="89"/>
      <c r="AA170" s="34"/>
      <c r="AB170" s="191"/>
      <c r="AD170" s="192"/>
      <c r="AE170" s="35"/>
      <c r="AF170" s="471"/>
      <c r="AG170" s="191"/>
      <c r="AI170" s="4"/>
      <c r="AJ170" s="35"/>
      <c r="AK170" s="34"/>
      <c r="AL170" s="191"/>
      <c r="AN170" s="205">
        <v>98</v>
      </c>
      <c r="AO170" s="35"/>
      <c r="AP170" s="34"/>
      <c r="AQ170" s="191">
        <f t="shared" si="148"/>
        <v>4.1238227432863959E-4</v>
      </c>
      <c r="AS170" s="4"/>
      <c r="AT170" s="35"/>
      <c r="AU170" s="34"/>
      <c r="AV170" s="191"/>
    </row>
    <row r="171" spans="1:48" x14ac:dyDescent="0.3">
      <c r="A171" s="23" t="str">
        <f t="shared" si="162"/>
        <v>6780</v>
      </c>
      <c r="B171" s="212" t="s">
        <v>165</v>
      </c>
      <c r="C171" s="186" t="str">
        <f t="shared" si="163"/>
        <v>6780/(0840)</v>
      </c>
      <c r="D171" s="187" t="str">
        <f t="shared" si="164"/>
        <v>(0840)  01461/050 Ch.Gén.</v>
      </c>
      <c r="E171" s="190" t="str">
        <f>A617</f>
        <v>67811 – Dégats des Eaux</v>
      </c>
      <c r="F171" s="27">
        <v>0</v>
      </c>
      <c r="G171" s="27">
        <v>2586.81</v>
      </c>
      <c r="H171" s="27">
        <v>6880.43</v>
      </c>
      <c r="I171" s="27">
        <v>2864.11</v>
      </c>
      <c r="J171" s="27">
        <v>1812.03</v>
      </c>
      <c r="M171" s="39">
        <f>(L171-J171)/J171</f>
        <v>-1</v>
      </c>
      <c r="O171" s="27">
        <v>4958.1099999999997</v>
      </c>
      <c r="P171" s="39"/>
      <c r="Q171" s="123">
        <f t="shared" si="179"/>
        <v>4958.1099999999997</v>
      </c>
      <c r="R171" s="191">
        <f>IF(O171&gt;0,O171/O$219,"")</f>
        <v>1.6605736776309207E-2</v>
      </c>
      <c r="T171" s="27">
        <v>5871.65</v>
      </c>
      <c r="U171" s="39">
        <f>(T171-O171)/O171</f>
        <v>0.18425166041092272</v>
      </c>
      <c r="V171" s="123">
        <f t="shared" si="180"/>
        <v>5871.65</v>
      </c>
      <c r="W171" s="191">
        <f>IF(T171&gt;0,T171/T$219,"")</f>
        <v>2.003095225870808E-2</v>
      </c>
      <c r="Y171" s="27">
        <v>26576.86</v>
      </c>
      <c r="Z171" s="89" t="str">
        <f>ROUND(Y171-T171,2) &amp; "   (" &amp; ROUND(100*(Y171-T171)/T171,1) &amp;"%)"</f>
        <v>20705,21   (352,6%)</v>
      </c>
      <c r="AA171" s="34"/>
      <c r="AB171" s="191">
        <f>IF(Y171&gt;0,Y171/Y$219,"")</f>
        <v>8.5490279864489926E-2</v>
      </c>
      <c r="AD171" s="4">
        <v>757.94</v>
      </c>
      <c r="AE171" s="35" t="str">
        <f>ROUND(AD171-Y171,2) &amp; "   (" &amp; ROUND(100*(AD171-Y171)/Y171,1) &amp;"%)"</f>
        <v>-25818,92   (-97,1%)</v>
      </c>
      <c r="AF171" s="34"/>
      <c r="AG171" s="191">
        <f>IF(AD171&gt;0,AD171/AD$219,"")</f>
        <v>2.5390670407631579E-3</v>
      </c>
      <c r="AI171" s="4"/>
      <c r="AJ171" s="29"/>
      <c r="AK171" s="34"/>
      <c r="AL171" s="191" t="str">
        <f>IF(AI171&gt;0,AI171/AI$219,"")</f>
        <v/>
      </c>
      <c r="AN171" s="205"/>
      <c r="AO171" s="29"/>
      <c r="AP171" s="34"/>
      <c r="AQ171" s="191" t="str">
        <f t="shared" si="148"/>
        <v/>
      </c>
      <c r="AS171" s="4"/>
      <c r="AT171" s="29"/>
      <c r="AU171" s="34"/>
      <c r="AV171" s="191" t="str">
        <f>IF(AS171&gt;0,AS171/AS$219,"")</f>
        <v/>
      </c>
    </row>
    <row r="172" spans="1:48" x14ac:dyDescent="0.3">
      <c r="A172" s="23" t="str">
        <f t="shared" si="162"/>
        <v>6780</v>
      </c>
      <c r="B172" s="212" t="s">
        <v>166</v>
      </c>
      <c r="C172" s="186" t="str">
        <f t="shared" si="163"/>
        <v>6780/(0850)</v>
      </c>
      <c r="D172" s="187" t="str">
        <f t="shared" si="164"/>
        <v>(0850)  01462/050 Ch.Gén.</v>
      </c>
      <c r="E172" s="190" t="str">
        <f>A618</f>
        <v>67812 – Bris Glaces</v>
      </c>
      <c r="F172" s="27">
        <v>0</v>
      </c>
      <c r="G172" s="27">
        <v>2463.0500000000002</v>
      </c>
      <c r="I172" s="27">
        <v>555.63</v>
      </c>
      <c r="J172" s="27">
        <v>1293.25</v>
      </c>
      <c r="M172" s="39">
        <f>(L172-J172)/J172</f>
        <v>-1</v>
      </c>
      <c r="O172" s="27">
        <v>267.22000000000003</v>
      </c>
      <c r="P172" s="39"/>
      <c r="Q172" s="123">
        <f t="shared" si="179"/>
        <v>267.22000000000003</v>
      </c>
      <c r="R172" s="191">
        <f>IF(O172&gt;0,O172/O$219,"")</f>
        <v>8.9497509764110668E-4</v>
      </c>
      <c r="V172" s="123">
        <f t="shared" si="180"/>
        <v>0</v>
      </c>
      <c r="W172" s="191" t="str">
        <f>IF(T172&gt;0,T172/T$219,"")</f>
        <v/>
      </c>
      <c r="Z172" s="89"/>
      <c r="AA172" s="34"/>
      <c r="AB172" s="191" t="str">
        <f>IF(Y172&gt;0,Y172/Y$219,"")</f>
        <v/>
      </c>
      <c r="AD172" s="4"/>
      <c r="AE172" s="35"/>
      <c r="AF172" s="34"/>
      <c r="AG172" s="191" t="str">
        <f>IF(AD172&gt;0,AD172/AD$219,"")</f>
        <v/>
      </c>
      <c r="AI172" s="4"/>
      <c r="AJ172" s="29"/>
      <c r="AK172" s="34"/>
      <c r="AL172" s="191" t="str">
        <f>IF(AI172&gt;0,AI172/AI$219,"")</f>
        <v/>
      </c>
      <c r="AN172" s="205"/>
      <c r="AO172" s="29"/>
      <c r="AP172" s="34"/>
      <c r="AQ172" s="191" t="str">
        <f t="shared" si="148"/>
        <v/>
      </c>
      <c r="AS172" s="4"/>
      <c r="AT172" s="29"/>
      <c r="AU172" s="34"/>
      <c r="AV172" s="191" t="str">
        <f>IF(AS172&gt;0,AS172/AS$219,"")</f>
        <v/>
      </c>
    </row>
    <row r="173" spans="1:48" x14ac:dyDescent="0.3">
      <c r="A173" s="23" t="str">
        <f t="shared" si="162"/>
        <v>6330</v>
      </c>
      <c r="B173" s="212" t="s">
        <v>167</v>
      </c>
      <c r="C173" s="186" t="str">
        <f t="shared" si="163"/>
        <v>6330/(0860)</v>
      </c>
      <c r="D173" s="187" t="str">
        <f t="shared" si="164"/>
        <v>(0860)  01481/050 Ch.Gén.</v>
      </c>
      <c r="E173" s="199" t="str">
        <f>A533</f>
        <v>633 Taxe foncière   *</v>
      </c>
      <c r="F173" s="27">
        <v>1102</v>
      </c>
      <c r="G173" s="27">
        <v>1142</v>
      </c>
      <c r="H173" s="27">
        <v>1157</v>
      </c>
      <c r="I173" s="27">
        <v>1181</v>
      </c>
      <c r="J173" s="27">
        <v>1196</v>
      </c>
      <c r="K173" s="28">
        <v>1250</v>
      </c>
      <c r="L173" s="27">
        <v>1227</v>
      </c>
      <c r="M173" s="39">
        <f>(L173-J173)/J173</f>
        <v>2.5919732441471572E-2</v>
      </c>
      <c r="N173" s="28">
        <v>1250</v>
      </c>
      <c r="O173" s="27">
        <v>1240</v>
      </c>
      <c r="P173" s="39">
        <f>(O173-L173)/L173</f>
        <v>1.0594947025264874E-2</v>
      </c>
      <c r="Q173" s="123">
        <f t="shared" si="179"/>
        <v>-10</v>
      </c>
      <c r="R173" s="191">
        <f>IF(O173&gt;0,O173/O$219,"")</f>
        <v>4.1530166943902855E-3</v>
      </c>
      <c r="S173" s="28">
        <v>1250</v>
      </c>
      <c r="T173" s="27">
        <v>1245</v>
      </c>
      <c r="U173" s="39">
        <f>(T173-O173)/O173</f>
        <v>4.0322580645161289E-3</v>
      </c>
      <c r="V173" s="123">
        <f t="shared" si="180"/>
        <v>-5</v>
      </c>
      <c r="W173" s="191">
        <f>IF(T173&gt;0,T173/T$219,"")</f>
        <v>4.247278969640827E-3</v>
      </c>
      <c r="X173" s="28">
        <v>1300</v>
      </c>
      <c r="Y173" s="27">
        <v>1258</v>
      </c>
      <c r="Z173" s="89" t="str">
        <f>ROUND(Y173-T173,2) &amp; "   (" &amp; ROUND(100*(Y173-T173)/T173,1) &amp;"%)"</f>
        <v>13   (1%)</v>
      </c>
      <c r="AA173" s="34" t="str">
        <f>ROUND(Y173-X173,2) &amp; "  (" &amp; ROUND(100*(Y173-X173)/X173,1) &amp;"%)"</f>
        <v>-42  (-3,2%)</v>
      </c>
      <c r="AB173" s="191">
        <f>IF(Y173&gt;0,Y173/Y$219,"")</f>
        <v>4.0466319975169494E-3</v>
      </c>
      <c r="AC173" s="28">
        <v>1300</v>
      </c>
      <c r="AD173" s="4">
        <v>1286</v>
      </c>
      <c r="AE173" s="35" t="str">
        <f>ROUND(AD173-Y173,2) &amp; "   (" &amp; ROUND(100*(AD173-Y173)/Y173,1) &amp;"%)"</f>
        <v>28   (2,2%)</v>
      </c>
      <c r="AF173" s="34" t="str">
        <f>ROUND(AD173-AC173,2) &amp; "  (" &amp; ROUND(100*(AD173-AC173)/AC173,1) &amp;"%)"</f>
        <v>-14  (-1,1%)</v>
      </c>
      <c r="AG173" s="191">
        <f>IF(AD173&gt;0,AD173/AD$219,"")</f>
        <v>4.308045774627834E-3</v>
      </c>
      <c r="AH173" s="28">
        <v>1320</v>
      </c>
      <c r="AI173" s="4">
        <v>1301</v>
      </c>
      <c r="AJ173" s="35" t="str">
        <f t="shared" ref="AJ173" si="188">ROUND(AI173-AD173,2) &amp; "   (" &amp; ROUND(100*(AI173-AD173)/AD173,1) &amp;"%)"</f>
        <v>15   (1,2%)</v>
      </c>
      <c r="AK173" s="34" t="str">
        <f>ROUND(AI173-AH173,2) &amp; "  (" &amp; ROUND(100*(AI173-AH173)/AH173,1) &amp;"%)"</f>
        <v>-19  (-1,4%)</v>
      </c>
      <c r="AL173" s="191">
        <f>IF(AI173&gt;0,AI173/AI$219,"")</f>
        <v>4.3771946744378164E-3</v>
      </c>
      <c r="AM173" s="28">
        <v>1340</v>
      </c>
      <c r="AN173" s="205">
        <v>1305</v>
      </c>
      <c r="AO173" s="35" t="str">
        <f t="shared" ref="AO173" si="189">ROUND(AN173-AI173,2) &amp; "   (" &amp; ROUND(100*(AN173-AI173)/AI173,1) &amp;"%)"</f>
        <v>4   (0,3%)</v>
      </c>
      <c r="AP173" s="34" t="str">
        <f>ROUND(AN173-AM173,2) &amp; "  (" &amp; ROUND(100*(AN173-AM173)/AM173,1) &amp;"%)"</f>
        <v>-35  (-2,6%)</v>
      </c>
      <c r="AQ173" s="191">
        <f t="shared" si="148"/>
        <v>5.4914170203966802E-3</v>
      </c>
      <c r="AR173" s="28">
        <v>1340</v>
      </c>
      <c r="AS173" s="4">
        <v>0</v>
      </c>
      <c r="AT173" s="35" t="str">
        <f t="shared" ref="AT173" si="190">ROUND(AS173-AN173,2) &amp; "   (" &amp; ROUND(100*(AS173-AN173)/AN173,1) &amp;"%)"</f>
        <v>-1305   (-100%)</v>
      </c>
      <c r="AU173" s="34" t="str">
        <f>ROUND(AS173-AR173,2) &amp; "  (" &amp; ROUND(100*(AS173-AR173)/AR173,1) &amp;"%)"</f>
        <v>-1340  (-100%)</v>
      </c>
      <c r="AV173" s="191" t="str">
        <f>IF(AS173&gt;0,AS173/AS$219,"")</f>
        <v/>
      </c>
    </row>
    <row r="174" spans="1:48" x14ac:dyDescent="0.3">
      <c r="A174" s="23" t="str">
        <f t="shared" si="162"/>
        <v>6330</v>
      </c>
      <c r="B174" s="212" t="s">
        <v>168</v>
      </c>
      <c r="C174" s="186" t="str">
        <f t="shared" si="163"/>
        <v>6330/(0865)</v>
      </c>
      <c r="D174" s="216" t="str">
        <f t="shared" si="164"/>
        <v>(0865)  01482/050 Ch.Gén.</v>
      </c>
      <c r="E174" s="188" t="str">
        <f>A536</f>
        <v>6342 – Taxe Habitation</v>
      </c>
      <c r="F174" s="27">
        <v>839</v>
      </c>
      <c r="M174" s="39"/>
      <c r="P174" s="39"/>
      <c r="Q174" s="123"/>
      <c r="R174" s="191"/>
      <c r="V174" s="123"/>
      <c r="W174" s="191"/>
      <c r="Z174" s="89"/>
      <c r="AA174" s="34"/>
      <c r="AB174" s="191"/>
      <c r="AD174" s="4"/>
      <c r="AE174" s="35"/>
      <c r="AF174" s="34"/>
      <c r="AG174" s="191"/>
      <c r="AI174" s="4"/>
      <c r="AJ174" s="29"/>
      <c r="AK174" s="34"/>
      <c r="AL174" s="191"/>
      <c r="AN174" s="205"/>
      <c r="AO174" s="29"/>
      <c r="AP174" s="34"/>
      <c r="AQ174" s="191"/>
      <c r="AS174" s="4"/>
      <c r="AT174" s="29"/>
      <c r="AU174" s="34"/>
      <c r="AV174" s="191"/>
    </row>
    <row r="175" spans="1:48" x14ac:dyDescent="0.3">
      <c r="A175" s="23" t="str">
        <f t="shared" si="162"/>
        <v>6340</v>
      </c>
      <c r="B175" s="212" t="s">
        <v>169</v>
      </c>
      <c r="C175" s="186" t="str">
        <f t="shared" si="163"/>
        <v>6340/(0870)</v>
      </c>
      <c r="D175" s="187" t="str">
        <f t="shared" si="164"/>
        <v>(0870)  01483/050 Ch.Gén.</v>
      </c>
      <c r="E175" s="188" t="str">
        <f>A535</f>
        <v>6341 – Taxe Ordures Ménagères</v>
      </c>
      <c r="F175" s="27">
        <v>460</v>
      </c>
      <c r="G175" s="27">
        <v>469</v>
      </c>
      <c r="H175" s="27">
        <v>477</v>
      </c>
      <c r="I175" s="27">
        <v>486</v>
      </c>
      <c r="J175" s="27">
        <v>490</v>
      </c>
      <c r="K175" s="28">
        <v>500</v>
      </c>
      <c r="L175" s="27">
        <v>495</v>
      </c>
      <c r="M175" s="39">
        <f>(L175-J175)/J175</f>
        <v>1.020408163265306E-2</v>
      </c>
      <c r="N175" s="28">
        <v>500</v>
      </c>
      <c r="O175" s="27">
        <v>500</v>
      </c>
      <c r="P175" s="39">
        <f>(O175-L175)/L175</f>
        <v>1.0101010101010102E-2</v>
      </c>
      <c r="Q175" s="123">
        <f>O175-N175</f>
        <v>0</v>
      </c>
      <c r="R175" s="191">
        <f t="shared" ref="R175:R182" si="191">IF(O175&gt;0,O175/O$219,"")</f>
        <v>1.6746035058025346E-3</v>
      </c>
      <c r="S175" s="28">
        <v>500</v>
      </c>
      <c r="T175" s="27">
        <v>502</v>
      </c>
      <c r="U175" s="39">
        <f>(T175-O175)/O175</f>
        <v>4.0000000000000001E-3</v>
      </c>
      <c r="V175" s="123">
        <f>T175-S175</f>
        <v>2</v>
      </c>
      <c r="W175" s="191">
        <f t="shared" ref="W175:W182" si="192">IF(T175&gt;0,T175/T$219,"")</f>
        <v>1.7125574640640122E-3</v>
      </c>
      <c r="X175" s="28">
        <v>550</v>
      </c>
      <c r="Y175" s="27">
        <v>508</v>
      </c>
      <c r="Z175" s="89" t="str">
        <f>ROUND(Y175-T175,2) &amp; "   (" &amp; ROUND(100*(Y175-T175)/T175,1) &amp;"%)"</f>
        <v>6   (1,2%)</v>
      </c>
      <c r="AA175" s="34" t="str">
        <f>ROUND(Y175-X175,2) &amp; "  (" &amp; ROUND(100*(Y175-X175)/X175,1) &amp;"%)"</f>
        <v>-42  (-7,6%)</v>
      </c>
      <c r="AB175" s="191">
        <f t="shared" ref="AB175:AB182" si="193">IF(Y175&gt;0,Y175/Y$219,"")</f>
        <v>1.6340930482818844E-3</v>
      </c>
      <c r="AC175" s="28">
        <v>550</v>
      </c>
      <c r="AD175" s="4">
        <v>519</v>
      </c>
      <c r="AE175" s="35" t="str">
        <f>ROUND(AD175-Y175,2) &amp; "   (" &amp; ROUND(100*(AD175-Y175)/Y175,1) &amp;"%)"</f>
        <v>11   (2,2%)</v>
      </c>
      <c r="AF175" s="34" t="str">
        <f>ROUND(AD175-AC175,2) &amp; "  (" &amp; ROUND(100*(AD175-AC175)/AC175,1) &amp;"%)"</f>
        <v>-31  (-5,6%)</v>
      </c>
      <c r="AG175" s="191">
        <f t="shared" ref="AG175:AG182" si="194">IF(AD175&gt;0,AD175/AD$219,"")</f>
        <v>1.738628115887905E-3</v>
      </c>
      <c r="AH175" s="28">
        <v>560</v>
      </c>
      <c r="AI175" s="4">
        <v>525</v>
      </c>
      <c r="AJ175" s="35" t="str">
        <f t="shared" ref="AJ175:AJ176" si="195">ROUND(AI175-AD175,2) &amp; "   (" &amp; ROUND(100*(AI175-AD175)/AD175,1) &amp;"%)"</f>
        <v>6   (1,2%)</v>
      </c>
      <c r="AK175" s="34" t="str">
        <f>ROUND(AI175-AH175,2) &amp; "  (" &amp; ROUND(100*(AI175-AH175)/AH175,1) &amp;"%)"</f>
        <v>-35  (-6,3%)</v>
      </c>
      <c r="AL175" s="191">
        <f t="shared" ref="AL175:AL182" si="196">IF(AI175&gt;0,AI175/AI$219,"")</f>
        <v>1.7663544996770588E-3</v>
      </c>
      <c r="AM175" s="28">
        <v>570</v>
      </c>
      <c r="AN175" s="205">
        <v>526</v>
      </c>
      <c r="AO175" s="35" t="str">
        <f t="shared" ref="AO175:AO176" si="197">ROUND(AN175-AI175,2) &amp; "   (" &amp; ROUND(100*(AN175-AI175)/AI175,1) &amp;"%)"</f>
        <v>1   (0,2%)</v>
      </c>
      <c r="AP175" s="34" t="str">
        <f>ROUND(AN175-AM175,2) &amp; "  (" &amp; ROUND(100*(AN175-AM175)/AM175,1) &amp;"%)"</f>
        <v>-44  (-7,7%)</v>
      </c>
      <c r="AQ175" s="191">
        <f t="shared" ref="AQ175:AQ182" si="198">IF(AN175&gt;0,AN175/AN$219,"")</f>
        <v>2.2133987377231062E-3</v>
      </c>
      <c r="AR175" s="28">
        <v>570</v>
      </c>
      <c r="AS175" s="4">
        <v>0</v>
      </c>
      <c r="AT175" s="35" t="str">
        <f t="shared" ref="AT175:AT177" si="199">ROUND(AS175-AN175,2) &amp; "   (" &amp; ROUND(100*(AS175-AN175)/AN175,1) &amp;"%)"</f>
        <v>-526   (-100%)</v>
      </c>
      <c r="AU175" s="34" t="str">
        <f>ROUND(AS175-AR175,2) &amp; "  (" &amp; ROUND(100*(AS175-AR175)/AR175,1) &amp;"%)"</f>
        <v>-570  (-100%)</v>
      </c>
      <c r="AV175" s="191" t="str">
        <f t="shared" ref="AV175:AV182" si="200">IF(AS175&gt;0,AS175/AS$219,"")</f>
        <v/>
      </c>
    </row>
    <row r="176" spans="1:48" x14ac:dyDescent="0.3">
      <c r="A176" s="23" t="str">
        <f t="shared" si="162"/>
        <v>6320</v>
      </c>
      <c r="B176" s="212" t="s">
        <v>170</v>
      </c>
      <c r="C176" s="186" t="str">
        <f t="shared" si="163"/>
        <v>6320/(0880)</v>
      </c>
      <c r="D176" s="187" t="str">
        <f t="shared" si="164"/>
        <v>(0880)  00484/050 Ch.Gén.</v>
      </c>
      <c r="E176" s="199" t="str">
        <f>A532</f>
        <v>632 Taxe de balayage   *</v>
      </c>
      <c r="F176" s="27">
        <v>1623</v>
      </c>
      <c r="G176" s="27">
        <v>773</v>
      </c>
      <c r="H176" s="27">
        <v>3317</v>
      </c>
      <c r="I176" s="27">
        <v>3317</v>
      </c>
      <c r="J176" s="27">
        <v>3317</v>
      </c>
      <c r="K176" s="28">
        <v>3400</v>
      </c>
      <c r="L176" s="27">
        <v>3317</v>
      </c>
      <c r="M176" s="39">
        <f>(L176-J176)/J176</f>
        <v>0</v>
      </c>
      <c r="N176" s="28">
        <v>3400</v>
      </c>
      <c r="O176" s="27">
        <v>3317</v>
      </c>
      <c r="P176" s="39">
        <f>(O176-L176)/L176</f>
        <v>0</v>
      </c>
      <c r="Q176" s="123">
        <f>O176-N176</f>
        <v>-83</v>
      </c>
      <c r="R176" s="191">
        <f t="shared" si="191"/>
        <v>1.1109319657494014E-2</v>
      </c>
      <c r="S176" s="28">
        <v>3400</v>
      </c>
      <c r="T176" s="27">
        <v>3317</v>
      </c>
      <c r="U176" s="39">
        <f>(T176-O176)/O176</f>
        <v>0</v>
      </c>
      <c r="V176" s="123">
        <f>T176-S176</f>
        <v>-83</v>
      </c>
      <c r="W176" s="191">
        <f t="shared" si="192"/>
        <v>1.1315842845219777E-2</v>
      </c>
      <c r="X176" s="28">
        <v>3450</v>
      </c>
      <c r="Y176" s="27">
        <v>3317</v>
      </c>
      <c r="Z176" s="89" t="str">
        <f>ROUND(Y176-T176,2) &amp; "   (" &amp; ROUND(100*(Y176-T176)/T176,1) &amp;"%)"</f>
        <v>0   (0%)</v>
      </c>
      <c r="AA176" s="34" t="str">
        <f>ROUND(Y176-X176,2) &amp; "  (" &amp; ROUND(100*(Y176-X176)/X176,1) &amp;"%)"</f>
        <v>-133  (-3,9%)</v>
      </c>
      <c r="AB176" s="191">
        <f t="shared" si="193"/>
        <v>1.0669855592816949E-2</v>
      </c>
      <c r="AC176" s="28">
        <v>3450</v>
      </c>
      <c r="AD176" s="4">
        <v>3176.75</v>
      </c>
      <c r="AE176" s="35" t="str">
        <f>ROUND(AD176-Y176,2) &amp; "   (" &amp; ROUND(100*(AD176-Y176)/Y176,1) &amp;"%)"</f>
        <v>-140,25   (-4,2%)</v>
      </c>
      <c r="AF176" s="34" t="str">
        <f>ROUND(AD176-AC176,2) &amp; "  (" &amp; ROUND(100*(AD176-AC176)/AC176,1) &amp;"%)"</f>
        <v>-273,25  (-7,9%)</v>
      </c>
      <c r="AG176" s="191">
        <f t="shared" si="194"/>
        <v>1.0641978549415997E-2</v>
      </c>
      <c r="AH176" s="28">
        <v>3510</v>
      </c>
      <c r="AI176" s="4">
        <v>3176.75</v>
      </c>
      <c r="AJ176" s="35" t="str">
        <f t="shared" si="195"/>
        <v>0   (0%)</v>
      </c>
      <c r="AK176" s="34" t="str">
        <f>ROUND(AI176-AH176,2) &amp; "  (" &amp; ROUND(100*(AI176-AH176)/AH176,1) &amp;"%)"</f>
        <v>-333,25  (-9,5%)</v>
      </c>
      <c r="AL176" s="191">
        <f t="shared" si="196"/>
        <v>1.068812696542685E-2</v>
      </c>
      <c r="AM176" s="28">
        <v>3570</v>
      </c>
      <c r="AN176" s="205">
        <v>3176.75</v>
      </c>
      <c r="AO176" s="35" t="str">
        <f t="shared" si="197"/>
        <v>0   (0%)</v>
      </c>
      <c r="AP176" s="34" t="str">
        <f>ROUND(AN176-AM176,2) &amp; "  (" &amp; ROUND(100*(AN176-AM176)/AM176,1) &amp;"%)"</f>
        <v>-393,25  (-11%)</v>
      </c>
      <c r="AQ176" s="191">
        <f t="shared" si="198"/>
        <v>1.336770806095414E-2</v>
      </c>
      <c r="AR176" s="28">
        <v>3570</v>
      </c>
      <c r="AS176" s="4">
        <v>0</v>
      </c>
      <c r="AT176" s="35" t="str">
        <f t="shared" si="199"/>
        <v>-3176,75   (-100%)</v>
      </c>
      <c r="AU176" s="34" t="str">
        <f>ROUND(AS176-AR176,2) &amp; "  (" &amp; ROUND(100*(AS176-AR176)/AR176,1) &amp;"%)"</f>
        <v>-3570  (-100%)</v>
      </c>
      <c r="AV176" s="191" t="str">
        <f t="shared" si="200"/>
        <v/>
      </c>
    </row>
    <row r="177" spans="1:48" x14ac:dyDescent="0.3">
      <c r="A177" s="217" t="str">
        <f t="shared" si="162"/>
        <v>6150</v>
      </c>
      <c r="B177" s="212" t="s">
        <v>171</v>
      </c>
      <c r="C177" s="186" t="str">
        <f t="shared" si="163"/>
        <v>6150/(0890)</v>
      </c>
      <c r="D177" s="187" t="str">
        <f t="shared" si="164"/>
        <v>(0890)  01525/050 Ch.Gén.</v>
      </c>
      <c r="E177" s="196" t="str">
        <f>A435</f>
        <v>614965 – Entretien Antenne Parabole</v>
      </c>
      <c r="F177" s="27">
        <v>130.82</v>
      </c>
      <c r="G177" s="27">
        <v>130.82</v>
      </c>
      <c r="K177" s="28">
        <v>600</v>
      </c>
      <c r="M177" s="39"/>
      <c r="N177" s="28">
        <v>600</v>
      </c>
      <c r="O177" s="27">
        <v>145.19999999999999</v>
      </c>
      <c r="P177" s="39"/>
      <c r="Q177" s="123">
        <f>O177-N177</f>
        <v>-454.8</v>
      </c>
      <c r="R177" s="191">
        <f t="shared" si="191"/>
        <v>4.8630485808505598E-4</v>
      </c>
      <c r="S177" s="28">
        <v>600</v>
      </c>
      <c r="V177" s="123">
        <f>T177-S177</f>
        <v>-600</v>
      </c>
      <c r="W177" s="191" t="str">
        <f t="shared" si="192"/>
        <v/>
      </c>
      <c r="X177" s="28">
        <v>500</v>
      </c>
      <c r="Y177" s="27">
        <v>227.28</v>
      </c>
      <c r="Z177" s="89"/>
      <c r="AA177" s="34" t="str">
        <f>ROUND(Y177-X177,2) &amp; "  (" &amp; ROUND(100*(Y177-X177)/X177,1) &amp;"%)"</f>
        <v>-272,72  (-54,5%)</v>
      </c>
      <c r="AB177" s="191">
        <f t="shared" si="193"/>
        <v>7.3109580317619425E-4</v>
      </c>
      <c r="AC177" s="28">
        <v>510</v>
      </c>
      <c r="AD177" s="4">
        <v>0</v>
      </c>
      <c r="AE177" s="35"/>
      <c r="AF177" s="34" t="str">
        <f>ROUND(AD177-AC177,2) &amp; "  (" &amp; ROUND(100*(AD177-AC177)/AC177,1) &amp;"%)"</f>
        <v>-510  (-100%)</v>
      </c>
      <c r="AG177" s="191" t="str">
        <f t="shared" si="194"/>
        <v/>
      </c>
      <c r="AH177" s="28">
        <v>520</v>
      </c>
      <c r="AI177" s="4">
        <v>0</v>
      </c>
      <c r="AJ177" s="35" t="str">
        <f>ROUND(AI177-AD177,2) &amp; "   (" &amp; ROUND(100*(AI177-AD177)/(AD177+0.001),1) &amp;"%)"</f>
        <v>0   (0%)</v>
      </c>
      <c r="AK177" s="34" t="str">
        <f>ROUND(AI177-AH177,2) &amp; "  (" &amp; ROUND(100*(AI177-AH177)/AH177,1) &amp;"%)"</f>
        <v>-520  (-100%)</v>
      </c>
      <c r="AL177" s="191" t="str">
        <f t="shared" si="196"/>
        <v/>
      </c>
      <c r="AM177" s="28">
        <v>530</v>
      </c>
      <c r="AN177" s="205">
        <v>515.97</v>
      </c>
      <c r="AO177" s="35" t="str">
        <f>ROUND(AN177-AI177,2) &amp; "   (" &amp; ROUND(100*(AN177-AI177)/(AI177+0.0001),1) &amp;"%)"</f>
        <v>515,97   (515970000%)</v>
      </c>
      <c r="AP177" s="34" t="str">
        <f>ROUND(AN177-AM177,2) &amp; "  (" &amp; ROUND(100*(AN177-AM177)/AM177,1) &amp;"%)"</f>
        <v>-14,03  (-2,6%)</v>
      </c>
      <c r="AQ177" s="191">
        <f t="shared" si="198"/>
        <v>2.1711926743402873E-3</v>
      </c>
      <c r="AR177" s="28">
        <v>530</v>
      </c>
      <c r="AS177" s="4">
        <v>0</v>
      </c>
      <c r="AT177" s="35" t="str">
        <f t="shared" si="199"/>
        <v>-515,97   (-100%)</v>
      </c>
      <c r="AU177" s="34" t="str">
        <f>ROUND(AS177-AR177,2) &amp; "  (" &amp; ROUND(100*(AS177-AR177)/AR177,1) &amp;"%)"</f>
        <v>-530  (-100%)</v>
      </c>
      <c r="AV177" s="191" t="str">
        <f t="shared" si="200"/>
        <v/>
      </c>
    </row>
    <row r="178" spans="1:48" x14ac:dyDescent="0.3">
      <c r="A178" s="217" t="str">
        <f t="shared" si="162"/>
        <v>6150</v>
      </c>
      <c r="B178" s="212" t="s">
        <v>172</v>
      </c>
      <c r="C178" s="186" t="str">
        <f t="shared" si="163"/>
        <v>6150/(0900)</v>
      </c>
      <c r="D178" s="187" t="str">
        <f t="shared" si="164"/>
        <v>(0900)  01526/050 Ch.Gén.</v>
      </c>
      <c r="E178" s="196" t="str">
        <f>A485</f>
        <v>615965 – Travaux Antenne Parabole</v>
      </c>
      <c r="F178" s="27">
        <v>520.42999999999995</v>
      </c>
      <c r="I178" s="27">
        <v>1204.94</v>
      </c>
      <c r="M178" s="39"/>
      <c r="P178" s="39"/>
      <c r="Q178" s="123">
        <f>O178-N178</f>
        <v>0</v>
      </c>
      <c r="R178" s="191" t="str">
        <f t="shared" si="191"/>
        <v/>
      </c>
      <c r="T178" s="27">
        <v>363.35</v>
      </c>
      <c r="V178" s="123">
        <f>T178-S178</f>
        <v>363.35</v>
      </c>
      <c r="W178" s="191">
        <f t="shared" si="192"/>
        <v>1.2395572800152567E-3</v>
      </c>
      <c r="Z178" s="89" t="str">
        <f>ROUND(Y178-T178,2) &amp; "   (" &amp; ROUND(100*(Y178-T178)/T178,1) &amp;"%)"</f>
        <v>-363,35   (-100%)</v>
      </c>
      <c r="AA178" s="34"/>
      <c r="AB178" s="191" t="str">
        <f t="shared" si="193"/>
        <v/>
      </c>
      <c r="AD178" s="4"/>
      <c r="AE178" s="35"/>
      <c r="AF178" s="34"/>
      <c r="AG178" s="191" t="str">
        <f t="shared" si="194"/>
        <v/>
      </c>
      <c r="AI178" s="4"/>
      <c r="AJ178" s="29"/>
      <c r="AK178" s="34"/>
      <c r="AL178" s="191" t="str">
        <f t="shared" si="196"/>
        <v/>
      </c>
      <c r="AN178" s="205"/>
      <c r="AO178" s="29"/>
      <c r="AP178" s="34"/>
      <c r="AQ178" s="191" t="str">
        <f t="shared" si="198"/>
        <v/>
      </c>
      <c r="AS178" s="4"/>
      <c r="AT178" s="29"/>
      <c r="AU178" s="34"/>
      <c r="AV178" s="191" t="str">
        <f t="shared" si="200"/>
        <v/>
      </c>
    </row>
    <row r="179" spans="1:48" x14ac:dyDescent="0.3">
      <c r="A179" s="217" t="str">
        <f t="shared" si="162"/>
        <v>6140</v>
      </c>
      <c r="B179" s="212" t="s">
        <v>173</v>
      </c>
      <c r="C179" s="186" t="str">
        <f t="shared" si="163"/>
        <v>6140/(0910)</v>
      </c>
      <c r="D179" s="187" t="str">
        <f t="shared" si="164"/>
        <v>(0910)  01561/050 Ch.Gén.</v>
      </c>
      <c r="E179" s="190" t="str">
        <f>A431</f>
        <v>61488 – Contrat Toiture Terrasse</v>
      </c>
      <c r="F179" s="27">
        <v>0</v>
      </c>
      <c r="M179" s="39"/>
      <c r="P179" s="39"/>
      <c r="Q179" s="123"/>
      <c r="R179" s="191" t="str">
        <f t="shared" si="191"/>
        <v/>
      </c>
      <c r="V179" s="123"/>
      <c r="W179" s="191" t="str">
        <f t="shared" si="192"/>
        <v/>
      </c>
      <c r="Y179" s="27">
        <v>1045</v>
      </c>
      <c r="Z179" s="89"/>
      <c r="AA179" s="34"/>
      <c r="AB179" s="191">
        <f t="shared" si="193"/>
        <v>3.3614709359341913E-3</v>
      </c>
      <c r="AD179" s="4"/>
      <c r="AE179" s="35"/>
      <c r="AF179" s="34"/>
      <c r="AG179" s="191" t="str">
        <f t="shared" si="194"/>
        <v/>
      </c>
      <c r="AI179" s="4">
        <v>1065.9000000000001</v>
      </c>
      <c r="AJ179" s="29"/>
      <c r="AK179" s="34"/>
      <c r="AL179" s="191">
        <f t="shared" si="196"/>
        <v>3.5862043070586233E-3</v>
      </c>
      <c r="AN179" s="205">
        <v>1087.22</v>
      </c>
      <c r="AO179" s="29"/>
      <c r="AP179" s="34"/>
      <c r="AQ179" s="191">
        <f t="shared" si="198"/>
        <v>4.5750026152610564E-3</v>
      </c>
      <c r="AS179" s="4"/>
      <c r="AT179" s="29"/>
      <c r="AU179" s="34"/>
      <c r="AV179" s="191" t="str">
        <f t="shared" si="200"/>
        <v/>
      </c>
    </row>
    <row r="180" spans="1:48" x14ac:dyDescent="0.3">
      <c r="A180" s="23" t="str">
        <f t="shared" si="162"/>
        <v>6150</v>
      </c>
      <c r="B180" s="212" t="s">
        <v>174</v>
      </c>
      <c r="C180" s="186" t="str">
        <f t="shared" si="163"/>
        <v>6150/(0920)</v>
      </c>
      <c r="D180" s="187" t="str">
        <f t="shared" si="164"/>
        <v>(0920)  01566/050 Ch.Gén.</v>
      </c>
      <c r="E180" s="190" t="str">
        <f>A478</f>
        <v>61588 – Travaux Toiture Terrasse</v>
      </c>
      <c r="F180" s="27">
        <v>4849.84</v>
      </c>
      <c r="L180" s="27">
        <v>1199</v>
      </c>
      <c r="M180" s="39"/>
      <c r="P180" s="39"/>
      <c r="Q180" s="123"/>
      <c r="R180" s="191" t="str">
        <f t="shared" si="191"/>
        <v/>
      </c>
      <c r="V180" s="123"/>
      <c r="W180" s="191" t="str">
        <f t="shared" si="192"/>
        <v/>
      </c>
      <c r="Z180" s="89"/>
      <c r="AA180" s="34"/>
      <c r="AB180" s="191" t="str">
        <f t="shared" si="193"/>
        <v/>
      </c>
      <c r="AD180" s="4">
        <v>3540.9</v>
      </c>
      <c r="AE180" s="35"/>
      <c r="AF180" s="34"/>
      <c r="AG180" s="191">
        <f t="shared" si="194"/>
        <v>1.1861865694696499E-2</v>
      </c>
      <c r="AI180" s="4"/>
      <c r="AJ180" s="29"/>
      <c r="AK180" s="34"/>
      <c r="AL180" s="191" t="str">
        <f t="shared" si="196"/>
        <v/>
      </c>
      <c r="AN180" s="205"/>
      <c r="AO180" s="29"/>
      <c r="AP180" s="34"/>
      <c r="AQ180" s="191" t="str">
        <f t="shared" si="198"/>
        <v/>
      </c>
      <c r="AS180" s="4"/>
      <c r="AT180" s="29"/>
      <c r="AU180" s="34"/>
      <c r="AV180" s="191" t="str">
        <f t="shared" si="200"/>
        <v/>
      </c>
    </row>
    <row r="181" spans="1:48" x14ac:dyDescent="0.3">
      <c r="A181" s="217" t="str">
        <f t="shared" si="162"/>
        <v>6150</v>
      </c>
      <c r="B181" s="212" t="s">
        <v>175</v>
      </c>
      <c r="C181" s="186" t="str">
        <f t="shared" si="163"/>
        <v>6150/(0925)</v>
      </c>
      <c r="D181" s="187" t="str">
        <f t="shared" si="164"/>
        <v>(0925)  01605/050 Ch.Gén.</v>
      </c>
      <c r="E181" s="190" t="str">
        <f>A417</f>
        <v>61461 – Contrat Entretien Interphone</v>
      </c>
      <c r="F181" s="27">
        <v>140.53</v>
      </c>
      <c r="G181" s="27">
        <v>110.78</v>
      </c>
      <c r="H181" s="27">
        <v>132.68</v>
      </c>
      <c r="K181" s="28">
        <v>150</v>
      </c>
      <c r="M181" s="39"/>
      <c r="N181" s="28">
        <v>150</v>
      </c>
      <c r="P181" s="39"/>
      <c r="Q181" s="123">
        <f>O181-N181</f>
        <v>-150</v>
      </c>
      <c r="R181" s="191" t="str">
        <f t="shared" si="191"/>
        <v/>
      </c>
      <c r="S181" s="28">
        <v>150</v>
      </c>
      <c r="V181" s="123">
        <f>T181-S181</f>
        <v>-150</v>
      </c>
      <c r="W181" s="191" t="str">
        <f t="shared" si="192"/>
        <v/>
      </c>
      <c r="X181" s="28">
        <v>150</v>
      </c>
      <c r="Z181" s="89"/>
      <c r="AA181" s="34" t="str">
        <f>ROUND(Y181-X181,2) &amp; "  (" &amp; ROUND(100*(Y181-X181)/X181,1) &amp;"%)"</f>
        <v>-150  (-100%)</v>
      </c>
      <c r="AB181" s="191" t="str">
        <f t="shared" si="193"/>
        <v/>
      </c>
      <c r="AC181" s="28">
        <v>160</v>
      </c>
      <c r="AD181" s="4">
        <v>0</v>
      </c>
      <c r="AE181" s="35"/>
      <c r="AF181" s="34" t="str">
        <f>ROUND(AD181-AC181,2) &amp; "  (" &amp; ROUND(100*(AD181-AC181)/AC181,1) &amp;"%)"</f>
        <v>-160  (-100%)</v>
      </c>
      <c r="AG181" s="191" t="str">
        <f t="shared" si="194"/>
        <v/>
      </c>
      <c r="AH181" s="28">
        <v>170</v>
      </c>
      <c r="AI181" s="4">
        <v>0</v>
      </c>
      <c r="AJ181" s="35" t="str">
        <f t="shared" ref="AJ181:AJ182" si="201">ROUND(AI181-AD181,2) &amp; "   (" &amp; ROUND(100*(AI181-AD181)/(AD181+0.001),1) &amp;"%)"</f>
        <v>0   (0%)</v>
      </c>
      <c r="AK181" s="34" t="str">
        <f>ROUND(AI181-AH181,2) &amp; "  (" &amp; ROUND(100*(AI181-AH181)/AH181,1) &amp;"%)"</f>
        <v>-170  (-100%)</v>
      </c>
      <c r="AL181" s="191" t="str">
        <f t="shared" si="196"/>
        <v/>
      </c>
      <c r="AM181" s="28">
        <v>180</v>
      </c>
      <c r="AN181" s="205">
        <v>0</v>
      </c>
      <c r="AO181" s="35" t="str">
        <f>ROUND(AN181-AI181,2) &amp; "   (" &amp; ROUND(100*(AN181-AI181)/(AI181+0.0001),1) &amp;"%)"</f>
        <v>0   (0%)</v>
      </c>
      <c r="AP181" s="34" t="str">
        <f>ROUND(AN181-AM181,2) &amp; "  (" &amp; ROUND(100*(AN181-AM181)/AM181,1) &amp;"%)"</f>
        <v>-180  (-100%)</v>
      </c>
      <c r="AQ181" s="191" t="str">
        <f t="shared" si="198"/>
        <v/>
      </c>
      <c r="AR181" s="28">
        <v>180</v>
      </c>
      <c r="AS181" s="4">
        <v>0</v>
      </c>
      <c r="AT181" s="35" t="e">
        <f t="shared" ref="AT181:AT182" si="202">ROUND(AS181-AN181,2) &amp; "   (" &amp; ROUND(100*(AS181-AN181)/AN181,1) &amp;"%)"</f>
        <v>#DIV/0!</v>
      </c>
      <c r="AU181" s="34" t="str">
        <f>ROUND(AS181-AR181,2) &amp; "  (" &amp; ROUND(100*(AS181-AR181)/AR181,1) &amp;"%)"</f>
        <v>-180  (-100%)</v>
      </c>
      <c r="AV181" s="191" t="str">
        <f t="shared" si="200"/>
        <v/>
      </c>
    </row>
    <row r="182" spans="1:48" x14ac:dyDescent="0.3">
      <c r="A182" s="217" t="str">
        <f t="shared" si="162"/>
        <v>6060</v>
      </c>
      <c r="B182" s="212" t="s">
        <v>176</v>
      </c>
      <c r="C182" s="186" t="str">
        <f t="shared" si="163"/>
        <v>6060/(0926)</v>
      </c>
      <c r="D182" s="187" t="str">
        <f t="shared" si="164"/>
        <v>(0926)  01606/050 Ch.Gén.</v>
      </c>
      <c r="E182" s="190" t="str">
        <f>A460</f>
        <v>61561 – Travaux Interphone</v>
      </c>
      <c r="F182" s="27">
        <v>2399.86</v>
      </c>
      <c r="G182" s="27">
        <v>130.82</v>
      </c>
      <c r="K182" s="28">
        <v>450</v>
      </c>
      <c r="M182" s="39"/>
      <c r="N182" s="28">
        <v>450</v>
      </c>
      <c r="P182" s="39"/>
      <c r="Q182" s="123">
        <f>O182-N182</f>
        <v>-450</v>
      </c>
      <c r="R182" s="191" t="str">
        <f t="shared" si="191"/>
        <v/>
      </c>
      <c r="S182" s="28">
        <v>450</v>
      </c>
      <c r="V182" s="123">
        <f>T182-S182</f>
        <v>-450</v>
      </c>
      <c r="W182" s="191" t="str">
        <f t="shared" si="192"/>
        <v/>
      </c>
      <c r="X182" s="28">
        <v>450</v>
      </c>
      <c r="Z182" s="89"/>
      <c r="AA182" s="34" t="str">
        <f>ROUND(Y182-X182,2) &amp; "  (" &amp; ROUND(100*(Y182-X182)/X182,1) &amp;"%)"</f>
        <v>-450  (-100%)</v>
      </c>
      <c r="AB182" s="191" t="str">
        <f t="shared" si="193"/>
        <v/>
      </c>
      <c r="AC182" s="28">
        <v>460</v>
      </c>
      <c r="AD182" s="4">
        <v>0</v>
      </c>
      <c r="AE182" s="35"/>
      <c r="AF182" s="34" t="str">
        <f>ROUND(AD182-AC182,2) &amp; "  (" &amp; ROUND(100*(AD182-AC182)/AC182,1) &amp;"%)"</f>
        <v>-460  (-100%)</v>
      </c>
      <c r="AG182" s="191" t="str">
        <f t="shared" si="194"/>
        <v/>
      </c>
      <c r="AH182" s="28">
        <v>470</v>
      </c>
      <c r="AI182" s="4">
        <v>140.80000000000001</v>
      </c>
      <c r="AJ182" s="35" t="str">
        <f t="shared" si="201"/>
        <v>140,8   (14080000%)</v>
      </c>
      <c r="AK182" s="34" t="str">
        <f>ROUND(AI182-AH182,2) &amp; "  (" &amp; ROUND(100*(AI182-AH182)/AH182,1) &amp;"%)"</f>
        <v>-329,2  (-70%)</v>
      </c>
      <c r="AL182" s="191">
        <f t="shared" si="196"/>
        <v>4.7371945438958075E-4</v>
      </c>
      <c r="AM182" s="28">
        <v>480</v>
      </c>
      <c r="AN182" s="205">
        <v>0</v>
      </c>
      <c r="AO182" s="35" t="str">
        <f t="shared" ref="AO182" si="203">ROUND(AN182-AI182,2) &amp; "   (" &amp; ROUND(100*(AN182-AI182)/AI182,1) &amp;"%)"</f>
        <v>-140,8   (-100%)</v>
      </c>
      <c r="AP182" s="34" t="str">
        <f>ROUND(AN182-AM182,2) &amp; "  (" &amp; ROUND(100*(AN182-AM182)/AM182,1) &amp;"%)"</f>
        <v>-480  (-100%)</v>
      </c>
      <c r="AQ182" s="191" t="str">
        <f t="shared" si="198"/>
        <v/>
      </c>
      <c r="AR182" s="28">
        <v>480</v>
      </c>
      <c r="AS182" s="4">
        <v>0</v>
      </c>
      <c r="AT182" s="35" t="e">
        <f t="shared" si="202"/>
        <v>#DIV/0!</v>
      </c>
      <c r="AU182" s="34" t="str">
        <f>ROUND(AS182-AR182,2) &amp; "  (" &amp; ROUND(100*(AS182-AR182)/AR182,1) &amp;"%)"</f>
        <v>-480  (-100%)</v>
      </c>
      <c r="AV182" s="191" t="str">
        <f t="shared" si="200"/>
        <v/>
      </c>
    </row>
    <row r="183" spans="1:48" x14ac:dyDescent="0.3">
      <c r="A183" s="217" t="str">
        <f t="shared" si="162"/>
        <v>6140</v>
      </c>
      <c r="B183" s="212" t="s">
        <v>177</v>
      </c>
      <c r="C183" s="186" t="str">
        <f t="shared" si="163"/>
        <v>6140/(0930)</v>
      </c>
      <c r="D183" s="187" t="str">
        <f t="shared" si="164"/>
        <v>(0930)  01621/050 Ch.Gén.</v>
      </c>
      <c r="E183" s="190" t="str">
        <f>A436</f>
        <v>61497 – Contrat Entretien TéléSurveillance</v>
      </c>
      <c r="F183" s="27">
        <v>767.4</v>
      </c>
      <c r="G183" s="27">
        <v>789.36</v>
      </c>
      <c r="I183" s="27">
        <v>-358.58</v>
      </c>
      <c r="M183" s="39"/>
      <c r="P183" s="39"/>
      <c r="Q183" s="123"/>
      <c r="R183" s="191"/>
      <c r="V183" s="123"/>
      <c r="W183" s="191"/>
      <c r="Z183" s="89"/>
      <c r="AA183" s="34"/>
      <c r="AB183" s="191"/>
      <c r="AD183" s="4"/>
      <c r="AE183" s="35"/>
      <c r="AF183" s="34"/>
      <c r="AG183" s="191"/>
      <c r="AI183" s="4"/>
      <c r="AJ183" s="29"/>
      <c r="AK183" s="34"/>
      <c r="AL183" s="191"/>
      <c r="AN183" s="205"/>
      <c r="AO183" s="29"/>
      <c r="AP183" s="34"/>
      <c r="AQ183" s="191"/>
      <c r="AS183" s="4"/>
      <c r="AT183" s="29"/>
      <c r="AU183" s="34"/>
      <c r="AV183" s="191"/>
    </row>
    <row r="184" spans="1:48" x14ac:dyDescent="0.3">
      <c r="A184" s="217" t="str">
        <f t="shared" si="162"/>
        <v>6150</v>
      </c>
      <c r="B184" s="212" t="s">
        <v>178</v>
      </c>
      <c r="C184" s="186" t="str">
        <f t="shared" si="163"/>
        <v>6150/(0940)</v>
      </c>
      <c r="D184" s="187" t="str">
        <f t="shared" si="164"/>
        <v>(0940)  01625/050 Ch.Gén.</v>
      </c>
      <c r="E184" s="190" t="str">
        <f>A486</f>
        <v>61597 – Travaux TéléSurveillance</v>
      </c>
      <c r="F184" s="27">
        <v>89.7</v>
      </c>
      <c r="G184" s="27">
        <v>89.7</v>
      </c>
      <c r="M184" s="39"/>
      <c r="P184" s="39"/>
      <c r="Q184" s="123"/>
      <c r="R184" s="191"/>
      <c r="V184" s="123"/>
      <c r="W184" s="191"/>
      <c r="Z184" s="89"/>
      <c r="AA184" s="34"/>
      <c r="AB184" s="191"/>
      <c r="AD184" s="4"/>
      <c r="AE184" s="35"/>
      <c r="AF184" s="34"/>
      <c r="AG184" s="191"/>
      <c r="AI184" s="4"/>
      <c r="AJ184" s="29"/>
      <c r="AK184" s="34"/>
      <c r="AL184" s="191"/>
      <c r="AN184" s="205"/>
      <c r="AO184" s="29"/>
      <c r="AP184" s="34"/>
      <c r="AQ184" s="191"/>
      <c r="AS184" s="4"/>
      <c r="AT184" s="29"/>
      <c r="AU184" s="34"/>
      <c r="AV184" s="191"/>
    </row>
    <row r="185" spans="1:48" x14ac:dyDescent="0.3">
      <c r="A185" s="217" t="str">
        <f t="shared" si="162"/>
        <v>6150</v>
      </c>
      <c r="B185" s="212" t="s">
        <v>179</v>
      </c>
      <c r="C185" s="186" t="str">
        <f t="shared" si="163"/>
        <v>6150/(0950)</v>
      </c>
      <c r="D185" s="187" t="str">
        <f t="shared" si="164"/>
        <v>(0950)  01626/050 Ch.Gén.</v>
      </c>
      <c r="E185" s="218" t="str">
        <f>A380</f>
        <v>6055 – Matériels TéléSurveillance GTC</v>
      </c>
      <c r="F185" s="27" t="s">
        <v>85</v>
      </c>
      <c r="G185" s="27">
        <v>174.62</v>
      </c>
      <c r="M185" s="39"/>
      <c r="P185" s="39"/>
      <c r="Q185" s="123">
        <f>O185-N185</f>
        <v>0</v>
      </c>
      <c r="R185" s="191" t="str">
        <f>IF(O185&gt;0,O185/O$219,"")</f>
        <v/>
      </c>
      <c r="V185" s="123">
        <f>T185-S185</f>
        <v>0</v>
      </c>
      <c r="W185" s="191" t="str">
        <f>IF(T185&gt;0,T185/T$219,"")</f>
        <v/>
      </c>
      <c r="X185" s="28">
        <v>300</v>
      </c>
      <c r="Z185" s="89"/>
      <c r="AA185" s="34" t="str">
        <f>ROUND(Y185-X185,2) &amp; "  (" &amp; ROUND(100*(Y185-X185)/X185,1) &amp;"%)"</f>
        <v>-300  (-100%)</v>
      </c>
      <c r="AB185" s="191" t="str">
        <f>IF(Y185&gt;0,Y185/Y$219,"")</f>
        <v/>
      </c>
      <c r="AC185" s="28">
        <v>310</v>
      </c>
      <c r="AD185" s="4">
        <v>0</v>
      </c>
      <c r="AE185" s="35"/>
      <c r="AF185" s="34" t="str">
        <f>ROUND(AD185-AC185,2) &amp; "  (" &amp; ROUND(100*(AD185-AC185)/AC185,1) &amp;"%)"</f>
        <v>-310  (-100%)</v>
      </c>
      <c r="AG185" s="191" t="str">
        <f>IF(AD185&gt;0,AD185/AD$219,"")</f>
        <v/>
      </c>
      <c r="AH185" s="28">
        <v>320</v>
      </c>
      <c r="AI185" s="4">
        <v>0</v>
      </c>
      <c r="AJ185" s="29"/>
      <c r="AK185" s="34" t="str">
        <f>ROUND(AI185-AH185,2) &amp; "  (" &amp; ROUND(100*(AI185-AH185)/AH185,1) &amp;"%)"</f>
        <v>-320  (-100%)</v>
      </c>
      <c r="AL185" s="191" t="str">
        <f>IF(AI185&gt;0,AI185/AI$219,"")</f>
        <v/>
      </c>
      <c r="AM185" s="28">
        <v>330</v>
      </c>
      <c r="AN185" s="205">
        <v>0</v>
      </c>
      <c r="AO185" s="29"/>
      <c r="AP185" s="34" t="str">
        <f>ROUND(AN185-AM185,2) &amp; "  (" &amp; ROUND(100*(AN185-AM185)/AM185,1) &amp;"%)"</f>
        <v>-330  (-100%)</v>
      </c>
      <c r="AQ185" s="191" t="str">
        <f>IF(AN185&gt;0,AN185/AN$219,"")</f>
        <v/>
      </c>
      <c r="AR185" s="28">
        <v>330</v>
      </c>
      <c r="AS185" s="4">
        <v>0</v>
      </c>
      <c r="AT185" s="29"/>
      <c r="AU185" s="34" t="str">
        <f>ROUND(AS185-AR185,2) &amp; "  (" &amp; ROUND(100*(AS185-AR185)/AR185,1) &amp;"%)"</f>
        <v>-330  (-100%)</v>
      </c>
      <c r="AV185" s="191" t="str">
        <f>IF(AS185&gt;0,AS185/AS$219,"")</f>
        <v/>
      </c>
    </row>
    <row r="186" spans="1:48" x14ac:dyDescent="0.3">
      <c r="A186" s="23" t="str">
        <f t="shared" si="162"/>
        <v>6150</v>
      </c>
      <c r="B186" s="212" t="s">
        <v>180</v>
      </c>
      <c r="C186" s="186" t="str">
        <f t="shared" si="163"/>
        <v>6150/(0960)</v>
      </c>
      <c r="D186" s="187" t="str">
        <f t="shared" si="164"/>
        <v>(0960)  01645/050 Ch.Gén.</v>
      </c>
      <c r="E186" s="190" t="str">
        <f>A482</f>
        <v>615911 – Entretien Engins</v>
      </c>
      <c r="F186" s="27">
        <v>0</v>
      </c>
      <c r="L186" s="27">
        <v>218.4</v>
      </c>
      <c r="M186" s="39"/>
      <c r="P186" s="39"/>
      <c r="Q186" s="123"/>
      <c r="R186" s="191" t="str">
        <f>IF(O186&gt;0,O186/O$219,"")</f>
        <v/>
      </c>
      <c r="V186" s="123"/>
      <c r="W186" s="191" t="str">
        <f>IF(T186&gt;0,T186/T$219,"")</f>
        <v/>
      </c>
      <c r="Z186" s="89"/>
      <c r="AA186" s="34"/>
      <c r="AB186" s="191" t="str">
        <f>IF(Y186&gt;0,Y186/Y$219,"")</f>
        <v/>
      </c>
      <c r="AD186" s="4">
        <v>1443.6</v>
      </c>
      <c r="AE186" s="35"/>
      <c r="AF186" s="34"/>
      <c r="AG186" s="191">
        <f>IF(AD186&gt;0,AD186/AD$219,"")</f>
        <v>4.8359991292789587E-3</v>
      </c>
      <c r="AI186" s="4"/>
      <c r="AJ186" s="29"/>
      <c r="AK186" s="34"/>
      <c r="AL186" s="191" t="str">
        <f>IF(AI186&gt;0,AI186/AI$219,"")</f>
        <v/>
      </c>
      <c r="AN186" s="205"/>
      <c r="AO186" s="29"/>
      <c r="AP186" s="34"/>
      <c r="AQ186" s="191" t="str">
        <f>IF(AN186&gt;0,AN186/AN$219,"")</f>
        <v/>
      </c>
      <c r="AS186" s="4"/>
      <c r="AT186" s="29"/>
      <c r="AU186" s="34"/>
      <c r="AV186" s="191" t="str">
        <f>IF(AS186&gt;0,AS186/AS$219,"")</f>
        <v/>
      </c>
    </row>
    <row r="187" spans="1:48" x14ac:dyDescent="0.3">
      <c r="A187" s="217" t="str">
        <f t="shared" si="162"/>
        <v>6150</v>
      </c>
      <c r="B187" s="212" t="s">
        <v>181</v>
      </c>
      <c r="C187" s="186" t="str">
        <f t="shared" si="163"/>
        <v>6150/(0970)</v>
      </c>
      <c r="D187" s="187" t="str">
        <f t="shared" si="164"/>
        <v>(0970)  01646/050 Ch.Gén.</v>
      </c>
      <c r="E187" s="190" t="str">
        <f>A483</f>
        <v>615912 – Travaux Engins Véhicules</v>
      </c>
      <c r="F187" s="27">
        <v>0</v>
      </c>
      <c r="M187" s="39"/>
      <c r="O187" s="27">
        <v>299.39999999999998</v>
      </c>
      <c r="P187" s="39"/>
      <c r="Q187" s="123">
        <f>O187-N187</f>
        <v>299.39999999999998</v>
      </c>
      <c r="R187" s="191">
        <f>IF(O187&gt;0,O187/O$219,"")</f>
        <v>1.0027525792745576E-3</v>
      </c>
      <c r="T187" s="27">
        <v>1063.25</v>
      </c>
      <c r="U187" s="39">
        <f>(T187-O187)/O187</f>
        <v>2.5512692050768204</v>
      </c>
      <c r="V187" s="123">
        <f>T187-S187</f>
        <v>1063.25</v>
      </c>
      <c r="W187" s="191">
        <f>IF(T187&gt;0,T187/T$219,"")</f>
        <v>3.6272444694543048E-3</v>
      </c>
      <c r="Z187" s="89" t="str">
        <f>ROUND(Y187-T187,2) &amp; "   (" &amp; ROUND(100*(Y187-T187)/T187,1) &amp;"%)"</f>
        <v>-1063,25   (-100%)</v>
      </c>
      <c r="AA187" s="34"/>
      <c r="AB187" s="191" t="str">
        <f>IF(Y187&gt;0,Y187/Y$219,"")</f>
        <v/>
      </c>
      <c r="AD187" s="4">
        <v>261.83999999999997</v>
      </c>
      <c r="AE187" s="35"/>
      <c r="AF187" s="34"/>
      <c r="AG187" s="191">
        <f>IF(AD187&gt;0,AD187/AD$219,"")</f>
        <v>8.7715295927570137E-4</v>
      </c>
      <c r="AI187" s="4"/>
      <c r="AJ187" s="29"/>
      <c r="AK187" s="34"/>
      <c r="AL187" s="191" t="str">
        <f>IF(AI187&gt;0,AI187/AI$219,"")</f>
        <v/>
      </c>
      <c r="AN187" s="205"/>
      <c r="AO187" s="29"/>
      <c r="AP187" s="34"/>
      <c r="AQ187" s="191" t="str">
        <f>IF(AN187&gt;0,AN187/AN$219,"")</f>
        <v/>
      </c>
      <c r="AS187" s="4"/>
      <c r="AT187" s="29"/>
      <c r="AU187" s="34"/>
      <c r="AV187" s="191" t="str">
        <f>IF(AS187&gt;0,AS187/AS$219,"")</f>
        <v/>
      </c>
    </row>
    <row r="188" spans="1:48" x14ac:dyDescent="0.3">
      <c r="A188" s="23" t="str">
        <f t="shared" si="162"/>
        <v>6050</v>
      </c>
      <c r="B188" s="212" t="s">
        <v>182</v>
      </c>
      <c r="C188" s="186" t="str">
        <f t="shared" si="163"/>
        <v>6050/(0980)</v>
      </c>
      <c r="D188" s="187" t="str">
        <f t="shared" si="164"/>
        <v>(0980)  01667/050 Ch.Gén.</v>
      </c>
      <c r="E188" s="188" t="str">
        <f>A384</f>
        <v>6059 – Matériels Divers</v>
      </c>
      <c r="F188" s="27" t="s">
        <v>85</v>
      </c>
      <c r="G188" s="27">
        <v>324.8</v>
      </c>
      <c r="K188" s="28">
        <v>500</v>
      </c>
      <c r="L188" s="27">
        <v>269.99</v>
      </c>
      <c r="M188" s="39"/>
      <c r="N188" s="28">
        <v>500</v>
      </c>
      <c r="P188" s="39"/>
      <c r="Q188" s="123">
        <f>O188-N188</f>
        <v>-500</v>
      </c>
      <c r="R188" s="191" t="str">
        <f>IF(O188&gt;0,O188/O$219,"")</f>
        <v/>
      </c>
      <c r="S188" s="28">
        <v>500</v>
      </c>
      <c r="V188" s="123">
        <f>T188-S188</f>
        <v>-500</v>
      </c>
      <c r="W188" s="191" t="str">
        <f>IF(T188&gt;0,T188/T$219,"")</f>
        <v/>
      </c>
      <c r="X188" s="28">
        <v>500</v>
      </c>
      <c r="Z188" s="89"/>
      <c r="AA188" s="34" t="str">
        <f>ROUND(Y188-X188,2) &amp; "  (" &amp; ROUND(100*(Y188-X188)/X188,1) &amp;"%)"</f>
        <v>-500  (-100%)</v>
      </c>
      <c r="AB188" s="191" t="str">
        <f>IF(Y188&gt;0,Y188/Y$219,"")</f>
        <v/>
      </c>
      <c r="AC188" s="28">
        <v>510</v>
      </c>
      <c r="AD188" s="4">
        <v>0</v>
      </c>
      <c r="AE188" s="35"/>
      <c r="AF188" s="34" t="str">
        <f>ROUND(AD188-AC188,2) &amp; "  (" &amp; ROUND(100*(AD188-AC188)/AC188,1) &amp;"%)"</f>
        <v>-510  (-100%)</v>
      </c>
      <c r="AG188" s="191" t="str">
        <f>IF(AD188&gt;0,AD188/AD$219,"")</f>
        <v/>
      </c>
      <c r="AH188" s="28">
        <v>520</v>
      </c>
      <c r="AI188" s="4">
        <v>0</v>
      </c>
      <c r="AJ188" s="35" t="str">
        <f>ROUND(AI188-AD188,2) &amp; "   (" &amp; ROUND(100*(AI188-AD188)/(AD188+0.001),1) &amp;"%)"</f>
        <v>0   (0%)</v>
      </c>
      <c r="AK188" s="34" t="str">
        <f>ROUND(AI188-AH188,2) &amp; "  (" &amp; ROUND(100*(AI188-AH188)/AH188,1) &amp;"%)"</f>
        <v>-520  (-100%)</v>
      </c>
      <c r="AL188" s="191" t="str">
        <f>IF(AI188&gt;0,AI188/AI$219,"")</f>
        <v/>
      </c>
      <c r="AM188" s="28">
        <v>530</v>
      </c>
      <c r="AN188" s="205">
        <v>0</v>
      </c>
      <c r="AO188" s="35" t="str">
        <f>ROUND(AN188-AI188,2) &amp; "   (" &amp; ROUND(100*(AN188-AI188)/(AI188+0.0001),1) &amp;"%)"</f>
        <v>0   (0%)</v>
      </c>
      <c r="AP188" s="34" t="str">
        <f>ROUND(AN188-AM188,2) &amp; "  (" &amp; ROUND(100*(AN188-AM188)/AM188,1) &amp;"%)"</f>
        <v>-530  (-100%)</v>
      </c>
      <c r="AQ188" s="191" t="str">
        <f>IF(AN188&gt;0,AN188/AN$219,"")</f>
        <v/>
      </c>
      <c r="AR188" s="28">
        <v>530</v>
      </c>
      <c r="AS188" s="4">
        <v>0</v>
      </c>
      <c r="AT188" s="35" t="e">
        <f t="shared" ref="AT188" si="204">ROUND(AS188-AN188,2) &amp; "   (" &amp; ROUND(100*(AS188-AN188)/AN188,1) &amp;"%)"</f>
        <v>#DIV/0!</v>
      </c>
      <c r="AU188" s="34" t="str">
        <f>ROUND(AS188-AR188,2) &amp; "  (" &amp; ROUND(100*(AS188-AR188)/AR188,1) &amp;"%)"</f>
        <v>-530  (-100%)</v>
      </c>
      <c r="AV188" s="191" t="str">
        <f>IF(AS188&gt;0,AS188/AS$219,"")</f>
        <v/>
      </c>
    </row>
    <row r="189" spans="1:48" x14ac:dyDescent="0.3">
      <c r="A189" s="23" t="str">
        <f t="shared" si="162"/>
        <v>6150</v>
      </c>
      <c r="B189" s="212" t="s">
        <v>183</v>
      </c>
      <c r="C189" s="186" t="str">
        <f t="shared" si="163"/>
        <v>6150/(0985)</v>
      </c>
      <c r="D189" s="187" t="str">
        <f t="shared" si="164"/>
        <v>(0985)  01686/050 Ch.Gén.</v>
      </c>
      <c r="E189" s="190" t="str">
        <f>A480</f>
        <v>61590 – Travaux Mobiliers</v>
      </c>
      <c r="F189" s="27">
        <v>0</v>
      </c>
      <c r="G189" s="27">
        <v>1202.7</v>
      </c>
      <c r="I189" s="27">
        <v>752.2</v>
      </c>
      <c r="M189" s="39"/>
      <c r="P189" s="39"/>
      <c r="Q189" s="123"/>
      <c r="R189" s="191"/>
      <c r="V189" s="123"/>
      <c r="W189" s="191"/>
      <c r="Z189" s="89"/>
      <c r="AA189" s="34"/>
      <c r="AB189" s="191"/>
      <c r="AD189" s="4"/>
      <c r="AE189" s="35"/>
      <c r="AF189" s="34"/>
      <c r="AG189" s="191"/>
      <c r="AI189" s="4"/>
      <c r="AJ189" s="29"/>
      <c r="AK189" s="34"/>
      <c r="AL189" s="191"/>
      <c r="AN189" s="205"/>
      <c r="AO189" s="29"/>
      <c r="AP189" s="34"/>
      <c r="AQ189" s="191"/>
      <c r="AS189" s="4"/>
      <c r="AT189" s="29"/>
      <c r="AU189" s="34"/>
      <c r="AV189" s="191"/>
    </row>
    <row r="190" spans="1:48" x14ac:dyDescent="0.3">
      <c r="A190" s="23" t="str">
        <f t="shared" si="162"/>
        <v>6140</v>
      </c>
      <c r="B190" s="212" t="s">
        <v>184</v>
      </c>
      <c r="C190" s="208" t="str">
        <f t="shared" si="163"/>
        <v>6140/(0990)</v>
      </c>
      <c r="D190" s="209" t="str">
        <f t="shared" si="164"/>
        <v>(0990)  00701/050 Ch.Gén.</v>
      </c>
      <c r="E190" s="198" t="str">
        <f>A424</f>
        <v>614761 – Contrat Matériel Incendie</v>
      </c>
      <c r="F190" s="27">
        <v>1730.69</v>
      </c>
      <c r="G190" s="27">
        <v>913.44</v>
      </c>
      <c r="H190" s="27">
        <v>958.1</v>
      </c>
      <c r="I190" s="27">
        <v>1094.46</v>
      </c>
      <c r="J190" s="27">
        <v>1016.47</v>
      </c>
      <c r="K190" s="28">
        <v>1000</v>
      </c>
      <c r="L190" s="27">
        <v>1393.9</v>
      </c>
      <c r="M190" s="39">
        <f>(L190-J190)/J190</f>
        <v>0.37131445099215921</v>
      </c>
      <c r="N190" s="28">
        <v>1000</v>
      </c>
      <c r="O190" s="27">
        <v>1413.08</v>
      </c>
      <c r="P190" s="39">
        <f>(O190-L190)/L190</f>
        <v>1.3759954085658823E-2</v>
      </c>
      <c r="Q190" s="123">
        <f t="shared" ref="Q190:Q201" si="205">O190-N190</f>
        <v>413.07999999999993</v>
      </c>
      <c r="R190" s="191">
        <f>IF(O190&gt;0,O190/O$219,"")</f>
        <v>4.7326974439588906E-3</v>
      </c>
      <c r="S190" s="28">
        <v>1200</v>
      </c>
      <c r="T190" s="27">
        <v>502.79</v>
      </c>
      <c r="U190" s="39">
        <f>(T190-O190)/O190</f>
        <v>-0.644188580972061</v>
      </c>
      <c r="V190" s="123">
        <f t="shared" ref="V190:V201" si="206">T190-S190</f>
        <v>-697.21</v>
      </c>
      <c r="W190" s="191">
        <f>IF(T190&gt;0,T190/T$219,"")</f>
        <v>1.7152525246150294E-3</v>
      </c>
      <c r="X190" s="28">
        <v>1400</v>
      </c>
      <c r="Y190" s="27">
        <v>1693.65</v>
      </c>
      <c r="Z190" s="89" t="str">
        <f t="shared" ref="Z190:Z201" si="207">ROUND(Y190-T190,2) &amp; "   (" &amp; ROUND(100*(Y190-T190)/T190,1) &amp;"%)"</f>
        <v>1190,86   (236,9%)</v>
      </c>
      <c r="AA190" s="34" t="str">
        <f t="shared" ref="AA190:AA199" si="208">ROUND(Y190-X190,2) &amp; "  (" &amp; ROUND(100*(Y190-X190)/X190,1) &amp;"%)"</f>
        <v>293,65  (21%)</v>
      </c>
      <c r="AB190" s="191">
        <f>IF(Y190&gt;0,Y190/Y$219,"")</f>
        <v>5.4479954551626252E-3</v>
      </c>
      <c r="AC190" s="28">
        <v>1450</v>
      </c>
      <c r="AD190" s="192">
        <v>3847.23</v>
      </c>
      <c r="AE190" s="35" t="str">
        <f t="shared" ref="AE190:AE201" si="209">ROUND(AD190-Y190,2) &amp; "   (" &amp; ROUND(100*(AD190-Y190)/Y190,1) &amp;"%)"</f>
        <v>2153,58   (127,2%)</v>
      </c>
      <c r="AF190" s="471" t="str">
        <f t="shared" ref="AF190:AF199" si="210">ROUND(AD190-AC190,2) &amp; "  (" &amp; ROUND(100*(AD190-AC190)/AC190,1) &amp;"%)"</f>
        <v>2397,23  (165,3%)</v>
      </c>
      <c r="AG190" s="191">
        <f>IF(AD190&gt;0,AD190/AD$219,"")</f>
        <v>1.2888058278010454E-2</v>
      </c>
      <c r="AH190" s="28">
        <v>1480</v>
      </c>
      <c r="AI190" s="4">
        <v>1774.9</v>
      </c>
      <c r="AJ190" s="35" t="str">
        <f t="shared" ref="AJ190:AJ191" si="211">ROUND(AI190-AD190,2) &amp; "   (" &amp; ROUND(100*(AI190-AD190)/AD190,1) &amp;"%)"</f>
        <v>-2072,33   (-53,9%)</v>
      </c>
      <c r="AK190" s="34" t="str">
        <f t="shared" ref="AK190:AK199" si="212">ROUND(AI190-AH190,2) &amp; "  (" &amp; ROUND(100*(AI190-AH190)/AH190,1) &amp;"%)"</f>
        <v>294,9  (19,9%)</v>
      </c>
      <c r="AL190" s="191">
        <f t="shared" ref="AL190:AL195" si="213">IF(AI190&gt;0,AI190/AI$219,"")</f>
        <v>5.9716240028129747E-3</v>
      </c>
      <c r="AM190" s="28">
        <v>1510</v>
      </c>
      <c r="AN190" s="205">
        <v>1810.03</v>
      </c>
      <c r="AO190" s="35" t="str">
        <f t="shared" ref="AO190:AO193" si="214">ROUND(AN190-AI190,2) &amp; "   (" &amp; ROUND(100*(AN190-AI190)/AI190,1) &amp;"%)"</f>
        <v>35,13   (2%)</v>
      </c>
      <c r="AP190" s="34" t="str">
        <f>ROUND(AN190-AM190,2) &amp; "  (" &amp; ROUND(100*(AN190-AM190)/AM190,1) &amp;"%)"</f>
        <v>300,03  (19,9%)</v>
      </c>
      <c r="AQ190" s="191">
        <f>IF(AN190&gt;0,AN190/AN$219,"")</f>
        <v>7.6165743673782399E-3</v>
      </c>
      <c r="AR190" s="28">
        <v>1510</v>
      </c>
      <c r="AS190" s="4">
        <v>0</v>
      </c>
      <c r="AT190" s="35" t="str">
        <f t="shared" ref="AT190:AT193" si="215">ROUND(AS190-AN190,2) &amp; "   (" &amp; ROUND(100*(AS190-AN190)/AN190,1) &amp;"%)"</f>
        <v>-1810,03   (-100%)</v>
      </c>
      <c r="AU190" s="34" t="str">
        <f>ROUND(AS190-AR190,2) &amp; "  (" &amp; ROUND(100*(AS190-AR190)/AR190,1) &amp;"%)"</f>
        <v>-1510  (-100%)</v>
      </c>
      <c r="AV190" s="191" t="str">
        <f>IF(AS190&gt;0,AS190/AS$219,"")</f>
        <v/>
      </c>
    </row>
    <row r="191" spans="1:48" x14ac:dyDescent="0.3">
      <c r="A191" s="23" t="str">
        <f t="shared" si="162"/>
        <v>6140</v>
      </c>
      <c r="B191" s="212" t="s">
        <v>185</v>
      </c>
      <c r="C191" s="208" t="str">
        <f t="shared" si="163"/>
        <v>6140/(1000)</v>
      </c>
      <c r="D191" s="209" t="str">
        <f t="shared" si="164"/>
        <v>(1000)  00702/050 Ch.Gén.</v>
      </c>
      <c r="E191" s="198" t="str">
        <f>A425</f>
        <v>614762 – Contrat Entretien Extincteurs</v>
      </c>
      <c r="F191" s="27" t="s">
        <v>85</v>
      </c>
      <c r="G191" s="27">
        <v>2471.84</v>
      </c>
      <c r="H191" s="27">
        <v>1285.6500000000001</v>
      </c>
      <c r="I191" s="27">
        <v>1317.73</v>
      </c>
      <c r="J191" s="27">
        <v>1322.14</v>
      </c>
      <c r="K191" s="28">
        <v>1400</v>
      </c>
      <c r="L191" s="27">
        <v>1355.18</v>
      </c>
      <c r="M191" s="39">
        <f>(L191-J191)/J191</f>
        <v>2.4989789281014085E-2</v>
      </c>
      <c r="N191" s="28">
        <v>1400</v>
      </c>
      <c r="O191" s="27">
        <v>1389.1</v>
      </c>
      <c r="P191" s="39">
        <f>(O191-L191)/L191</f>
        <v>2.5029885328886083E-2</v>
      </c>
      <c r="Q191" s="123">
        <f t="shared" si="205"/>
        <v>-10.900000000000091</v>
      </c>
      <c r="R191" s="191">
        <f>IF(O191&gt;0,O191/O$219,"")</f>
        <v>4.6523834598206013E-3</v>
      </c>
      <c r="S191" s="28">
        <v>1700</v>
      </c>
      <c r="T191" s="27">
        <v>1423.87</v>
      </c>
      <c r="U191" s="39">
        <f>(T191-O191)/O191</f>
        <v>2.5030595349506864E-2</v>
      </c>
      <c r="V191" s="123">
        <f t="shared" si="206"/>
        <v>-276.13000000000011</v>
      </c>
      <c r="W191" s="191">
        <f>IF(T191&gt;0,T191/T$219,"")</f>
        <v>4.857488438957819E-3</v>
      </c>
      <c r="X191" s="28">
        <v>1400</v>
      </c>
      <c r="Y191" s="27">
        <v>1423.87</v>
      </c>
      <c r="Z191" s="89" t="str">
        <f t="shared" si="207"/>
        <v>0   (0%)</v>
      </c>
      <c r="AA191" s="34" t="str">
        <f t="shared" si="208"/>
        <v>23,87  (1,7%)</v>
      </c>
      <c r="AB191" s="191">
        <f>IF(Y191&gt;0,Y191/Y$219,"")</f>
        <v>4.5801891115297769E-3</v>
      </c>
      <c r="AC191" s="28">
        <v>1450</v>
      </c>
      <c r="AD191" s="192">
        <v>1423.87</v>
      </c>
      <c r="AE191" s="35" t="str">
        <f t="shared" si="209"/>
        <v>0   (0%)</v>
      </c>
      <c r="AF191" s="34" t="str">
        <f t="shared" si="210"/>
        <v>-26,13  (-1,8%)</v>
      </c>
      <c r="AG191" s="191">
        <f>IF(AD191&gt;0,AD191/AD$219,"")</f>
        <v>4.7699044612125457E-3</v>
      </c>
      <c r="AH191" s="28">
        <v>1480</v>
      </c>
      <c r="AI191" s="4">
        <v>1426.51</v>
      </c>
      <c r="AJ191" s="35" t="str">
        <f t="shared" si="211"/>
        <v>2,64   (0,2%)</v>
      </c>
      <c r="AK191" s="34" t="str">
        <f t="shared" si="212"/>
        <v>-53,49  (-3,6%)</v>
      </c>
      <c r="AL191" s="191">
        <f t="shared" si="213"/>
        <v>4.7994711568272782E-3</v>
      </c>
      <c r="AM191" s="28">
        <v>1510</v>
      </c>
      <c r="AN191" s="205">
        <v>1426.51</v>
      </c>
      <c r="AO191" s="35" t="str">
        <f t="shared" si="214"/>
        <v>0   (0%)</v>
      </c>
      <c r="AP191" s="34" t="str">
        <f>ROUND(AN191-AM191,2) &amp; "  (" &amp; ROUND(100*(AN191-AM191)/AM191,1) &amp;"%)"</f>
        <v>-83,49  (-5,5%)</v>
      </c>
      <c r="AQ191" s="191">
        <f>IF(AN191&gt;0,AN191/AN$219,"")</f>
        <v>6.0027289607402822E-3</v>
      </c>
      <c r="AR191" s="28">
        <v>1510</v>
      </c>
      <c r="AS191" s="4">
        <v>0</v>
      </c>
      <c r="AT191" s="35" t="str">
        <f t="shared" si="215"/>
        <v>-1426,51   (-100%)</v>
      </c>
      <c r="AU191" s="34" t="str">
        <f>ROUND(AS191-AR191,2) &amp; "  (" &amp; ROUND(100*(AS191-AR191)/AR191,1) &amp;"%)"</f>
        <v>-1510  (-100%)</v>
      </c>
      <c r="AV191" s="191" t="str">
        <f>IF(AS191&gt;0,AS191/AS$219,"")</f>
        <v/>
      </c>
    </row>
    <row r="192" spans="1:48" x14ac:dyDescent="0.3">
      <c r="A192" s="23" t="str">
        <f t="shared" si="162"/>
        <v>6150</v>
      </c>
      <c r="B192" s="212" t="s">
        <v>186</v>
      </c>
      <c r="C192" s="208" t="str">
        <f t="shared" si="163"/>
        <v>6150/(1006)</v>
      </c>
      <c r="D192" s="209" t="str">
        <f t="shared" si="164"/>
        <v>(1006)  00705/050 Ch.Gén.</v>
      </c>
      <c r="E192" s="219" t="str">
        <f xml:space="preserve"> A470</f>
        <v>61576 – Travaux Protection Incendie</v>
      </c>
      <c r="F192" s="27">
        <v>0</v>
      </c>
      <c r="G192" s="27">
        <v>645.07000000000005</v>
      </c>
      <c r="H192" s="27">
        <v>340.26</v>
      </c>
      <c r="I192" s="27">
        <v>348.73</v>
      </c>
      <c r="J192" s="27">
        <v>358.51</v>
      </c>
      <c r="K192" s="28">
        <v>400</v>
      </c>
      <c r="M192" s="39"/>
      <c r="N192" s="28">
        <v>400</v>
      </c>
      <c r="P192" s="39"/>
      <c r="Q192" s="123">
        <f t="shared" si="205"/>
        <v>-400</v>
      </c>
      <c r="R192" s="191" t="str">
        <f>IF(O192&gt;0,O192/O$219,"")</f>
        <v/>
      </c>
      <c r="S192" s="28">
        <v>400</v>
      </c>
      <c r="T192" s="27">
        <v>1050.04</v>
      </c>
      <c r="V192" s="123">
        <f t="shared" si="206"/>
        <v>650.04</v>
      </c>
      <c r="W192" s="191">
        <f>IF(T192&gt;0,T192/T$219,"")</f>
        <v>3.5821789632784371E-3</v>
      </c>
      <c r="X192" s="28">
        <v>400</v>
      </c>
      <c r="Z192" s="89" t="str">
        <f t="shared" si="207"/>
        <v>-1050,04   (-100%)</v>
      </c>
      <c r="AA192" s="34" t="str">
        <f t="shared" si="208"/>
        <v>-400  (-100%)</v>
      </c>
      <c r="AB192" s="191" t="str">
        <f>IF(Y192&gt;0,Y192/Y$219,"")</f>
        <v/>
      </c>
      <c r="AC192" s="28">
        <v>410</v>
      </c>
      <c r="AD192" s="192">
        <v>0</v>
      </c>
      <c r="AE192" s="35"/>
      <c r="AF192" s="34" t="str">
        <f t="shared" si="210"/>
        <v>-410  (-100%)</v>
      </c>
      <c r="AG192" s="191" t="str">
        <f>IF(AD192&gt;0,AD192/AD$219,"")</f>
        <v/>
      </c>
      <c r="AH192" s="28">
        <v>420</v>
      </c>
      <c r="AI192" s="4">
        <v>0</v>
      </c>
      <c r="AJ192" s="35" t="str">
        <f>ROUND(AI192-AD192,2) &amp; "   (" &amp; ROUND(100*(AI192-AD192)/(AD192+0.001),1) &amp;"%)"</f>
        <v>0   (0%)</v>
      </c>
      <c r="AK192" s="34" t="str">
        <f t="shared" si="212"/>
        <v>-420  (-100%)</v>
      </c>
      <c r="AL192" s="191" t="str">
        <f t="shared" si="213"/>
        <v/>
      </c>
      <c r="AM192" s="28">
        <v>430</v>
      </c>
      <c r="AN192" s="205">
        <v>198.9</v>
      </c>
      <c r="AO192" s="35" t="str">
        <f>ROUND(AN192-AI192,2) &amp; "   (" &amp; ROUND(100*(AN192-AI192)/(AI192+0.0001),1) &amp;"%)"</f>
        <v>198,9   (198900000%)</v>
      </c>
      <c r="AP192" s="34" t="str">
        <f>ROUND(AN192-AM192,2) &amp; "  (" &amp; ROUND(100*(AN192-AM192)/AM192,1) &amp;"%)"</f>
        <v>-231,1  (-53,7%)</v>
      </c>
      <c r="AQ192" s="191">
        <f>IF(AN192&gt;0,AN192/AN$219,"")</f>
        <v>8.3696769759149399E-4</v>
      </c>
      <c r="AR192" s="28">
        <v>430</v>
      </c>
      <c r="AS192" s="4">
        <v>0</v>
      </c>
      <c r="AT192" s="35" t="str">
        <f t="shared" si="215"/>
        <v>-198,9   (-100%)</v>
      </c>
      <c r="AU192" s="34" t="str">
        <f>ROUND(AS192-AR192,2) &amp; "  (" &amp; ROUND(100*(AS192-AR192)/AR192,1) &amp;"%)"</f>
        <v>-430  (-100%)</v>
      </c>
      <c r="AV192" s="191" t="str">
        <f>IF(AS192&gt;0,AS192/AS$219,"")</f>
        <v/>
      </c>
    </row>
    <row r="193" spans="1:48" x14ac:dyDescent="0.3">
      <c r="A193" s="23" t="str">
        <f t="shared" si="162"/>
        <v>6140</v>
      </c>
      <c r="B193" s="212" t="s">
        <v>187</v>
      </c>
      <c r="C193" s="186" t="str">
        <f t="shared" si="163"/>
        <v>6140/(1030)</v>
      </c>
      <c r="D193" s="187" t="str">
        <f t="shared" si="164"/>
        <v>(1030)  00761/050 Ch.Gén.</v>
      </c>
      <c r="E193" s="219" t="str">
        <f xml:space="preserve"> A498</f>
        <v>617611 – Consommation Téléphone 00761 C.Gén.</v>
      </c>
      <c r="F193" s="27">
        <v>355.93</v>
      </c>
      <c r="G193" s="27">
        <v>388.74</v>
      </c>
      <c r="H193" s="27">
        <v>602.57000000000005</v>
      </c>
      <c r="I193" s="27">
        <v>382.9</v>
      </c>
      <c r="J193" s="27">
        <v>720.59</v>
      </c>
      <c r="K193" s="28">
        <v>750</v>
      </c>
      <c r="L193" s="27">
        <v>973.52</v>
      </c>
      <c r="M193" s="39">
        <f>(L193-J193)/J193</f>
        <v>0.35100403835745697</v>
      </c>
      <c r="N193" s="28">
        <v>750</v>
      </c>
      <c r="O193" s="27">
        <v>377.61</v>
      </c>
      <c r="P193" s="39">
        <f>(O193-L193)/L193</f>
        <v>-0.61211890870244057</v>
      </c>
      <c r="Q193" s="123">
        <f t="shared" si="205"/>
        <v>-372.39</v>
      </c>
      <c r="R193" s="191">
        <f>IF(O193&gt;0,O193/O$219,"")</f>
        <v>1.2646940596521901E-3</v>
      </c>
      <c r="S193" s="28">
        <v>750</v>
      </c>
      <c r="T193" s="27">
        <v>370.24</v>
      </c>
      <c r="U193" s="39">
        <f>(T193-O193)/O193</f>
        <v>-1.9517491591854039E-2</v>
      </c>
      <c r="V193" s="123">
        <f t="shared" si="206"/>
        <v>-379.76</v>
      </c>
      <c r="W193" s="191">
        <f>IF(T193&gt;0,T193/T$219,"")</f>
        <v>1.2630623017829878E-3</v>
      </c>
      <c r="X193" s="28">
        <v>400</v>
      </c>
      <c r="Y193" s="27">
        <v>453.44</v>
      </c>
      <c r="Z193" s="89" t="str">
        <f t="shared" si="207"/>
        <v>83,2   (22,5%)</v>
      </c>
      <c r="AA193" s="34" t="str">
        <f t="shared" si="208"/>
        <v>53,44  (13,4%)</v>
      </c>
      <c r="AB193" s="191">
        <f>IF(Y193&gt;0,Y193/Y$219,"")</f>
        <v>1.4585888815215307E-3</v>
      </c>
      <c r="AC193" s="28">
        <v>410</v>
      </c>
      <c r="AD193" s="4">
        <v>0</v>
      </c>
      <c r="AE193" s="35" t="str">
        <f t="shared" si="209"/>
        <v>-453,44   (-100%)</v>
      </c>
      <c r="AF193" s="34" t="str">
        <f t="shared" si="210"/>
        <v>-410  (-100%)</v>
      </c>
      <c r="AG193" s="191" t="str">
        <f>IF(AD193&gt;0,AD193/AD$219,"")</f>
        <v/>
      </c>
      <c r="AH193" s="28">
        <v>420</v>
      </c>
      <c r="AI193" s="463">
        <v>64.67</v>
      </c>
      <c r="AJ193" s="35" t="str">
        <f>ROUND(AI193-AD193,2) &amp; "   (" &amp; ROUND(100*(AI193-AD193)/(AD193+0.001),1) &amp;"%)"</f>
        <v>64,67   (6467000%)</v>
      </c>
      <c r="AK193" s="34" t="str">
        <f t="shared" si="212"/>
        <v>-355,33  (-84,6%)</v>
      </c>
      <c r="AL193" s="191">
        <f t="shared" si="213"/>
        <v>2.1758122951260074E-4</v>
      </c>
      <c r="AM193" s="28">
        <v>430</v>
      </c>
      <c r="AN193" s="467">
        <v>0</v>
      </c>
      <c r="AO193" s="35" t="str">
        <f t="shared" si="214"/>
        <v>-64,67   (-100%)</v>
      </c>
      <c r="AP193" s="34" t="str">
        <f>ROUND(AN193-AM193,2) &amp; "  (" &amp; ROUND(100*(AN193-AM193)/AM193,1) &amp;"%)"</f>
        <v>-430  (-100%)</v>
      </c>
      <c r="AQ193" s="191" t="str">
        <f>IF(AN193&gt;0,AN193/AN$219,"")</f>
        <v/>
      </c>
      <c r="AR193" s="28">
        <v>430</v>
      </c>
      <c r="AS193" s="4">
        <v>0</v>
      </c>
      <c r="AT193" s="35" t="e">
        <f t="shared" si="215"/>
        <v>#DIV/0!</v>
      </c>
      <c r="AU193" s="34" t="str">
        <f>ROUND(AS193-AR193,2) &amp; "  (" &amp; ROUND(100*(AS193-AR193)/AR193,1) &amp;"%)"</f>
        <v>-430  (-100%)</v>
      </c>
      <c r="AV193" s="191" t="str">
        <f>IF(AS193&gt;0,AS193/AS$219,"")</f>
        <v/>
      </c>
    </row>
    <row r="194" spans="1:48" x14ac:dyDescent="0.3">
      <c r="A194" s="23" t="s">
        <v>188</v>
      </c>
      <c r="B194" s="212" t="s">
        <v>189</v>
      </c>
      <c r="C194" s="186" t="s">
        <v>190</v>
      </c>
      <c r="D194" s="187" t="s">
        <v>191</v>
      </c>
      <c r="E194" s="219" t="s">
        <v>449</v>
      </c>
      <c r="F194" s="27">
        <v>0</v>
      </c>
      <c r="M194" s="39"/>
      <c r="P194" s="39"/>
      <c r="Q194" s="123"/>
      <c r="R194" s="191"/>
      <c r="V194" s="123"/>
      <c r="W194" s="191"/>
      <c r="Z194" s="89"/>
      <c r="AA194" s="34"/>
      <c r="AB194" s="191"/>
      <c r="AD194" s="4">
        <v>42.98</v>
      </c>
      <c r="AE194" s="35"/>
      <c r="AF194" s="34"/>
      <c r="AG194" s="191"/>
      <c r="AI194" s="463">
        <v>0</v>
      </c>
      <c r="AJ194" s="29"/>
      <c r="AK194" s="34"/>
      <c r="AL194" s="191" t="str">
        <f t="shared" si="213"/>
        <v/>
      </c>
      <c r="AN194" s="205">
        <v>0</v>
      </c>
      <c r="AO194" s="29" t="str">
        <f>ROUND(AN194-AI194,2) &amp; "   (" &amp; ROUND(100*(AN194-AI194)/(AI194+0.0001),1) &amp;"%)"</f>
        <v>0   (0%)</v>
      </c>
      <c r="AP194" s="34"/>
      <c r="AQ194" s="191"/>
      <c r="AS194" s="4"/>
      <c r="AT194" s="29"/>
      <c r="AU194" s="34"/>
      <c r="AV194" s="191"/>
    </row>
    <row r="195" spans="1:48" x14ac:dyDescent="0.3">
      <c r="A195" s="23" t="s">
        <v>188</v>
      </c>
      <c r="B195" s="212" t="s">
        <v>192</v>
      </c>
      <c r="C195" s="186" t="s">
        <v>193</v>
      </c>
      <c r="D195" s="187" t="s">
        <v>194</v>
      </c>
      <c r="E195" s="219" t="str">
        <f>$A$498</f>
        <v>617611 – Consommation Téléphone 00761 C.Gén.</v>
      </c>
      <c r="F195" s="27">
        <v>0</v>
      </c>
      <c r="M195" s="39"/>
      <c r="P195" s="39"/>
      <c r="Q195" s="123"/>
      <c r="R195" s="191"/>
      <c r="V195" s="123"/>
      <c r="W195" s="191"/>
      <c r="Z195" s="89"/>
      <c r="AA195" s="34"/>
      <c r="AB195" s="191"/>
      <c r="AD195" s="4">
        <v>359.88</v>
      </c>
      <c r="AE195" s="35"/>
      <c r="AF195" s="34"/>
      <c r="AG195" s="191"/>
      <c r="AI195" s="463">
        <v>350.75</v>
      </c>
      <c r="AJ195" s="29"/>
      <c r="AK195" s="34"/>
      <c r="AL195" s="191">
        <f t="shared" si="213"/>
        <v>1.1800930300223398E-3</v>
      </c>
      <c r="AN195" s="467">
        <v>471.66</v>
      </c>
      <c r="AO195" s="29"/>
      <c r="AP195" s="34"/>
      <c r="AQ195" s="191"/>
      <c r="AS195" s="4"/>
      <c r="AT195" s="29"/>
      <c r="AU195" s="34"/>
      <c r="AV195" s="191"/>
    </row>
    <row r="196" spans="1:48" x14ac:dyDescent="0.3">
      <c r="A196" s="23" t="str">
        <f t="shared" si="162"/>
        <v>6150</v>
      </c>
      <c r="B196" s="212" t="s">
        <v>195</v>
      </c>
      <c r="C196" s="186" t="str">
        <f t="shared" si="163"/>
        <v>6150/(1040)</v>
      </c>
      <c r="D196" s="187" t="str">
        <f t="shared" si="164"/>
        <v>(1040)  01782/050 Ch.Gén.</v>
      </c>
      <c r="E196" s="190" t="str">
        <f>A421</f>
        <v>61469 – Autres Contrats Contrôle Accès</v>
      </c>
      <c r="F196" s="27">
        <v>108.76</v>
      </c>
      <c r="G196" s="27">
        <v>325.36</v>
      </c>
      <c r="I196" s="27">
        <v>148.30000000000001</v>
      </c>
      <c r="M196" s="39" t="e">
        <f>(L196-J196)/J196</f>
        <v>#DIV/0!</v>
      </c>
      <c r="O196" s="27">
        <v>289.8</v>
      </c>
      <c r="P196" s="39"/>
      <c r="Q196" s="123">
        <f t="shared" si="205"/>
        <v>289.8</v>
      </c>
      <c r="R196" s="191">
        <f t="shared" ref="R196:R214" si="216">IF(O196&gt;0,O196/O$219,"")</f>
        <v>9.7060019196314911E-4</v>
      </c>
      <c r="T196" s="27">
        <v>415.8</v>
      </c>
      <c r="U196" s="39">
        <f>(T196-O196)/O196</f>
        <v>0.43478260869565216</v>
      </c>
      <c r="V196" s="123">
        <f t="shared" si="206"/>
        <v>415.8</v>
      </c>
      <c r="W196" s="191">
        <f t="shared" ref="W196:W214" si="217">IF(T196&gt;0,T196/T$219,"")</f>
        <v>1.4184888317884787E-3</v>
      </c>
      <c r="X196" s="28">
        <v>300</v>
      </c>
      <c r="Y196" s="27">
        <v>187</v>
      </c>
      <c r="Z196" s="89" t="str">
        <f t="shared" si="207"/>
        <v>-228,8   (-55%)</v>
      </c>
      <c r="AA196" s="34" t="str">
        <f t="shared" si="208"/>
        <v>-113  (-37,7%)</v>
      </c>
      <c r="AB196" s="191">
        <f t="shared" ref="AB196:AB214" si="218">IF(Y196&gt;0,Y196/Y$219,"")</f>
        <v>6.0152637800927635E-4</v>
      </c>
      <c r="AC196" s="28">
        <v>310</v>
      </c>
      <c r="AD196" s="4">
        <v>0</v>
      </c>
      <c r="AE196" s="35" t="str">
        <f t="shared" si="209"/>
        <v>-187   (-100%)</v>
      </c>
      <c r="AF196" s="34" t="str">
        <f t="shared" si="210"/>
        <v>-310  (-100%)</v>
      </c>
      <c r="AG196" s="191" t="str">
        <f t="shared" ref="AG196:AG214" si="219">IF(AD196&gt;0,AD196/AD$219,"")</f>
        <v/>
      </c>
      <c r="AH196" s="28">
        <v>320</v>
      </c>
      <c r="AI196" s="4">
        <v>0</v>
      </c>
      <c r="AJ196" s="29"/>
      <c r="AK196" s="34" t="str">
        <f t="shared" si="212"/>
        <v>-320  (-100%)</v>
      </c>
      <c r="AL196" s="191" t="str">
        <f t="shared" ref="AL196:AL214" si="220">IF(AI196&gt;0,AI196/AI$219,"")</f>
        <v/>
      </c>
      <c r="AM196" s="28">
        <v>330</v>
      </c>
      <c r="AN196" s="205">
        <v>0</v>
      </c>
      <c r="AO196" s="29"/>
      <c r="AP196" s="34" t="str">
        <f>ROUND(AN196-AM196,2) &amp; "  (" &amp; ROUND(100*(AN196-AM196)/AM196,1) &amp;"%)"</f>
        <v>-330  (-100%)</v>
      </c>
      <c r="AQ196" s="191" t="str">
        <f t="shared" ref="AQ196:AQ214" si="221">IF(AN196&gt;0,AN196/AN$219,"")</f>
        <v/>
      </c>
      <c r="AR196" s="28">
        <v>330</v>
      </c>
      <c r="AS196" s="4">
        <v>0</v>
      </c>
      <c r="AT196" s="29"/>
      <c r="AU196" s="34" t="str">
        <f>ROUND(AS196-AR196,2) &amp; "  (" &amp; ROUND(100*(AS196-AR196)/AR196,1) &amp;"%)"</f>
        <v>-330  (-100%)</v>
      </c>
      <c r="AV196" s="191" t="str">
        <f t="shared" ref="AV196:AV214" si="222">IF(AS196&gt;0,AS196/AS$219,"")</f>
        <v/>
      </c>
    </row>
    <row r="197" spans="1:48" x14ac:dyDescent="0.3">
      <c r="A197" s="23" t="str">
        <f t="shared" si="162"/>
        <v>6150</v>
      </c>
      <c r="B197" s="212" t="s">
        <v>196</v>
      </c>
      <c r="C197" s="186" t="str">
        <f t="shared" si="163"/>
        <v>6150/(1050)</v>
      </c>
      <c r="D197" s="187" t="str">
        <f t="shared" si="164"/>
        <v>(1050)  01783/050 Ch.Gén.</v>
      </c>
      <c r="E197" s="190" t="str">
        <f>A468</f>
        <v>61569 – Autres Travaux Contrôle Accès</v>
      </c>
      <c r="F197" s="27">
        <v>0</v>
      </c>
      <c r="H197" s="27">
        <v>1070</v>
      </c>
      <c r="I197" s="27">
        <v>417.41</v>
      </c>
      <c r="J197" s="27">
        <v>1007</v>
      </c>
      <c r="K197" s="28">
        <v>1200</v>
      </c>
      <c r="L197" s="27">
        <v>817.2</v>
      </c>
      <c r="M197" s="39"/>
      <c r="N197" s="28">
        <v>1200</v>
      </c>
      <c r="O197" s="27">
        <v>1356.08</v>
      </c>
      <c r="P197" s="39">
        <f>(O197-L197)/L197</f>
        <v>0.65942241801272616</v>
      </c>
      <c r="Q197" s="123">
        <f t="shared" si="205"/>
        <v>156.07999999999993</v>
      </c>
      <c r="R197" s="191">
        <f t="shared" si="216"/>
        <v>4.5417926442974021E-3</v>
      </c>
      <c r="S197" s="28">
        <v>1200</v>
      </c>
      <c r="T197" s="27">
        <v>138.6</v>
      </c>
      <c r="U197" s="39">
        <f>(T197-O197)/O197</f>
        <v>-0.89779364049318633</v>
      </c>
      <c r="V197" s="123">
        <f t="shared" si="206"/>
        <v>-1061.4000000000001</v>
      </c>
      <c r="W197" s="191">
        <f t="shared" si="217"/>
        <v>4.7282961059615954E-4</v>
      </c>
      <c r="X197" s="28">
        <v>1200</v>
      </c>
      <c r="Y197" s="27">
        <v>404.8</v>
      </c>
      <c r="Z197" s="89" t="str">
        <f t="shared" si="207"/>
        <v>266,2   (192,1%)</v>
      </c>
      <c r="AA197" s="34" t="str">
        <f t="shared" si="208"/>
        <v>-795,2  (-66,3%)</v>
      </c>
      <c r="AB197" s="191">
        <f t="shared" si="218"/>
        <v>1.3021276888671395E-3</v>
      </c>
      <c r="AC197" s="28">
        <v>1230</v>
      </c>
      <c r="AD197" s="4">
        <v>0</v>
      </c>
      <c r="AE197" s="35" t="str">
        <f t="shared" si="209"/>
        <v>-404,8   (-100%)</v>
      </c>
      <c r="AF197" s="34" t="str">
        <f t="shared" si="210"/>
        <v>-1230  (-100%)</v>
      </c>
      <c r="AG197" s="191" t="str">
        <f t="shared" si="219"/>
        <v/>
      </c>
      <c r="AH197" s="28">
        <v>1250</v>
      </c>
      <c r="AI197" s="4">
        <v>0</v>
      </c>
      <c r="AJ197" s="35" t="str">
        <f>ROUND(AI197-AD197,2) &amp; "   (" &amp; ROUND(100*(AI197-AD197)/(AD197+0.001),1) &amp;"%)"</f>
        <v>0   (0%)</v>
      </c>
      <c r="AK197" s="34" t="str">
        <f t="shared" si="212"/>
        <v>-1250  (-100%)</v>
      </c>
      <c r="AL197" s="191" t="str">
        <f t="shared" si="220"/>
        <v/>
      </c>
      <c r="AM197" s="28">
        <v>1270</v>
      </c>
      <c r="AN197" s="205">
        <v>0</v>
      </c>
      <c r="AO197" s="35" t="str">
        <f>ROUND(AN197-AI197,2) &amp; "   (" &amp; ROUND(100*(AN197-AI197)/(AI197+0.0001),1) &amp;"%)"</f>
        <v>0   (0%)</v>
      </c>
      <c r="AP197" s="34" t="str">
        <f>ROUND(AN197-AM197,2) &amp; "  (" &amp; ROUND(100*(AN197-AM197)/AM197,1) &amp;"%)"</f>
        <v>-1270  (-100%)</v>
      </c>
      <c r="AQ197" s="191" t="str">
        <f t="shared" si="221"/>
        <v/>
      </c>
      <c r="AR197" s="28">
        <v>1270</v>
      </c>
      <c r="AS197" s="4">
        <v>0</v>
      </c>
      <c r="AT197" s="35" t="e">
        <f t="shared" ref="AT197:AT199" si="223">ROUND(AS197-AN197,2) &amp; "   (" &amp; ROUND(100*(AS197-AN197)/AN197,1) &amp;"%)"</f>
        <v>#DIV/0!</v>
      </c>
      <c r="AU197" s="34" t="str">
        <f>ROUND(AS197-AR197,2) &amp; "  (" &amp; ROUND(100*(AS197-AR197)/AR197,1) &amp;"%)"</f>
        <v>-1270  (-100%)</v>
      </c>
      <c r="AV197" s="191" t="str">
        <f t="shared" si="222"/>
        <v/>
      </c>
    </row>
    <row r="198" spans="1:48" x14ac:dyDescent="0.3">
      <c r="A198" s="23" t="str">
        <f t="shared" si="162"/>
        <v>6050</v>
      </c>
      <c r="B198" s="212" t="s">
        <v>197</v>
      </c>
      <c r="C198" s="186" t="str">
        <f t="shared" si="163"/>
        <v>6050/(1060)</v>
      </c>
      <c r="D198" s="187" t="str">
        <f t="shared" si="164"/>
        <v>(1060)  00787/050 Ch.Gén.</v>
      </c>
      <c r="E198" s="188" t="str">
        <f>A389</f>
        <v xml:space="preserve">6066 – Badges &amp; Bips </v>
      </c>
      <c r="F198" s="27">
        <v>1930.5</v>
      </c>
      <c r="G198" s="27">
        <v>3564.37</v>
      </c>
      <c r="H198" s="27">
        <v>481.99</v>
      </c>
      <c r="I198" s="27">
        <v>1356.39</v>
      </c>
      <c r="J198" s="27">
        <v>1559.28</v>
      </c>
      <c r="K198" s="28">
        <v>1000</v>
      </c>
      <c r="L198" s="27">
        <v>2117.16</v>
      </c>
      <c r="M198" s="39">
        <f>(L198-J198)/J198</f>
        <v>0.35778051408342304</v>
      </c>
      <c r="N198" s="28">
        <v>1000</v>
      </c>
      <c r="O198" s="27">
        <v>2593.6799999999998</v>
      </c>
      <c r="P198" s="39">
        <f>(O198-L198)/L198</f>
        <v>0.22507510060647282</v>
      </c>
      <c r="Q198" s="123">
        <f t="shared" si="205"/>
        <v>1593.6799999999998</v>
      </c>
      <c r="R198" s="191">
        <f t="shared" si="216"/>
        <v>8.6867712418598354E-3</v>
      </c>
      <c r="S198" s="28">
        <v>1000</v>
      </c>
      <c r="T198" s="27">
        <v>2029.68</v>
      </c>
      <c r="U198" s="39">
        <f>(T198-O198)/O198</f>
        <v>-0.21745165170722672</v>
      </c>
      <c r="V198" s="123">
        <f t="shared" si="206"/>
        <v>1029.68</v>
      </c>
      <c r="W198" s="191">
        <f t="shared" si="217"/>
        <v>6.9241905053016826E-3</v>
      </c>
      <c r="X198" s="28">
        <v>1500</v>
      </c>
      <c r="Y198" s="32">
        <v>3084.02</v>
      </c>
      <c r="Z198" s="197" t="str">
        <f t="shared" si="207"/>
        <v>1054,34   (51,9%)</v>
      </c>
      <c r="AA198" s="34" t="str">
        <f t="shared" si="208"/>
        <v>1584,02  (105,6%)</v>
      </c>
      <c r="AB198" s="191">
        <f t="shared" si="218"/>
        <v>9.920424493626569E-3</v>
      </c>
      <c r="AC198" s="28">
        <v>1530</v>
      </c>
      <c r="AD198" s="192">
        <v>1638.36</v>
      </c>
      <c r="AE198" s="35" t="str">
        <f t="shared" si="209"/>
        <v>-1445,66   (-46,9%)</v>
      </c>
      <c r="AF198" s="34" t="str">
        <f t="shared" si="210"/>
        <v>108,36  (7,1%)</v>
      </c>
      <c r="AG198" s="191">
        <f t="shared" si="219"/>
        <v>5.4884369170445247E-3</v>
      </c>
      <c r="AH198" s="28">
        <v>1560</v>
      </c>
      <c r="AI198" s="4">
        <v>1620.36</v>
      </c>
      <c r="AJ198" s="35" t="str">
        <f t="shared" ref="AJ198:AJ199" si="224">ROUND(AI198-AD198,2) &amp; "   (" &amp; ROUND(100*(AI198-AD198)/AD198,1) &amp;"%)"</f>
        <v>-18   (-1,1%)</v>
      </c>
      <c r="AK198" s="34" t="str">
        <f t="shared" si="212"/>
        <v>60,36  (3,9%)</v>
      </c>
      <c r="AL198" s="191">
        <f t="shared" si="220"/>
        <v>5.4516765278032741E-3</v>
      </c>
      <c r="AM198" s="28">
        <v>1590</v>
      </c>
      <c r="AN198" s="205">
        <v>668.02</v>
      </c>
      <c r="AO198" s="35" t="str">
        <f t="shared" ref="AO198:AO199" si="225">ROUND(AN198-AI198,2) &amp; "   (" &amp; ROUND(100*(AN198-AI198)/AI198,1) &amp;"%)"</f>
        <v>-952,34   (-58,8%)</v>
      </c>
      <c r="AP198" s="34" t="str">
        <f>ROUND(AN198-AM198,2) &amp; "  (" &amp; ROUND(100*(AN198-AM198)/AM198,1) &amp;"%)"</f>
        <v>-921,98  (-58%)</v>
      </c>
      <c r="AQ198" s="191">
        <f t="shared" si="221"/>
        <v>2.8110163969083451E-3</v>
      </c>
      <c r="AR198" s="28">
        <v>590</v>
      </c>
      <c r="AS198" s="4">
        <v>0</v>
      </c>
      <c r="AT198" s="35" t="str">
        <f t="shared" si="223"/>
        <v>-668,02   (-100%)</v>
      </c>
      <c r="AU198" s="34" t="str">
        <f>ROUND(AS198-AR198,2) &amp; "  (" &amp; ROUND(100*(AS198-AR198)/AR198,1) &amp;"%)"</f>
        <v>-590  (-100%)</v>
      </c>
      <c r="AV198" s="191" t="str">
        <f t="shared" si="222"/>
        <v/>
      </c>
    </row>
    <row r="199" spans="1:48" x14ac:dyDescent="0.3">
      <c r="A199" s="23" t="str">
        <f t="shared" si="162"/>
        <v>6140</v>
      </c>
      <c r="B199" s="212" t="s">
        <v>198</v>
      </c>
      <c r="C199" s="186" t="str">
        <f t="shared" si="163"/>
        <v>6140/(1070)</v>
      </c>
      <c r="D199" s="187" t="str">
        <f t="shared" si="164"/>
        <v>(1070)  01791/050 Ch.Gén.</v>
      </c>
      <c r="E199" s="190" t="str">
        <f>A418</f>
        <v>61462 – Contrat Entretien  PortesAuto</v>
      </c>
      <c r="F199" s="27">
        <v>630.47</v>
      </c>
      <c r="G199" s="27">
        <v>635.52</v>
      </c>
      <c r="H199" s="27">
        <v>666.63</v>
      </c>
      <c r="I199" s="27">
        <v>688.94</v>
      </c>
      <c r="J199" s="27">
        <v>716.98</v>
      </c>
      <c r="K199" s="28">
        <v>1200</v>
      </c>
      <c r="L199" s="27">
        <v>726.23</v>
      </c>
      <c r="M199" s="39">
        <f>(L199-J199)/J199</f>
        <v>1.2901336160004462E-2</v>
      </c>
      <c r="N199" s="28">
        <v>1200</v>
      </c>
      <c r="O199" s="27">
        <v>736</v>
      </c>
      <c r="P199" s="39">
        <f>(O199-L199)/L199</f>
        <v>1.34530382936535E-2</v>
      </c>
      <c r="Q199" s="123">
        <f t="shared" si="205"/>
        <v>-464</v>
      </c>
      <c r="R199" s="191">
        <f t="shared" si="216"/>
        <v>2.4650163605413307E-3</v>
      </c>
      <c r="S199" s="28">
        <v>1200</v>
      </c>
      <c r="T199" s="27">
        <v>747.91</v>
      </c>
      <c r="U199" s="39">
        <f>(T199-O199)/O199</f>
        <v>1.618206521739126E-2</v>
      </c>
      <c r="V199" s="123">
        <f t="shared" si="206"/>
        <v>-452.09000000000003</v>
      </c>
      <c r="W199" s="191">
        <f t="shared" si="217"/>
        <v>2.5514718186217438E-3</v>
      </c>
      <c r="X199" s="28">
        <v>1000</v>
      </c>
      <c r="Y199" s="27">
        <v>755.47</v>
      </c>
      <c r="Z199" s="89" t="str">
        <f t="shared" si="207"/>
        <v>7,56   (1%)</v>
      </c>
      <c r="AA199" s="34" t="str">
        <f t="shared" si="208"/>
        <v>-244,53  (-24,5%)</v>
      </c>
      <c r="AB199" s="191">
        <f t="shared" si="218"/>
        <v>2.4301343999714865E-3</v>
      </c>
      <c r="AC199" s="28">
        <v>1020</v>
      </c>
      <c r="AD199" s="4">
        <v>771.11</v>
      </c>
      <c r="AE199" s="35" t="str">
        <f t="shared" si="209"/>
        <v>15,64   (2,1%)</v>
      </c>
      <c r="AF199" s="34" t="str">
        <f t="shared" si="210"/>
        <v>-248,89  (-24,4%)</v>
      </c>
      <c r="AG199" s="191">
        <f t="shared" si="219"/>
        <v>2.5831859854380012E-3</v>
      </c>
      <c r="AH199" s="28">
        <v>1040</v>
      </c>
      <c r="AI199" s="4">
        <v>788.84</v>
      </c>
      <c r="AJ199" s="35" t="str">
        <f t="shared" si="224"/>
        <v>17,73   (2,3%)</v>
      </c>
      <c r="AK199" s="34" t="str">
        <f t="shared" si="212"/>
        <v>-251,16  (-24,2%)</v>
      </c>
      <c r="AL199" s="191">
        <f t="shared" si="220"/>
        <v>2.6540401590957165E-3</v>
      </c>
      <c r="AM199" s="28">
        <v>1060</v>
      </c>
      <c r="AN199" s="205">
        <v>800.6</v>
      </c>
      <c r="AO199" s="35" t="str">
        <f t="shared" si="225"/>
        <v>11,76   (1,5%)</v>
      </c>
      <c r="AP199" s="34" t="str">
        <f>ROUND(AN199-AM199,2) &amp; "  (" &amp; ROUND(100*(AN199-AM199)/AM199,1) &amp;"%)"</f>
        <v>-259,4  (-24,5%)</v>
      </c>
      <c r="AQ199" s="191">
        <f t="shared" si="221"/>
        <v>3.3689107023215188E-3</v>
      </c>
      <c r="AR199" s="28">
        <v>1060</v>
      </c>
      <c r="AS199" s="4">
        <v>0</v>
      </c>
      <c r="AT199" s="35" t="str">
        <f t="shared" si="223"/>
        <v>-800,6   (-100%)</v>
      </c>
      <c r="AU199" s="34" t="str">
        <f>ROUND(AS199-AR199,2) &amp; "  (" &amp; ROUND(100*(AS199-AR199)/AR199,1) &amp;"%)"</f>
        <v>-1060  (-100%)</v>
      </c>
      <c r="AV199" s="191" t="str">
        <f t="shared" si="222"/>
        <v/>
      </c>
    </row>
    <row r="200" spans="1:48" x14ac:dyDescent="0.3">
      <c r="A200" s="23" t="str">
        <f t="shared" si="162"/>
        <v>6150</v>
      </c>
      <c r="B200" s="212" t="s">
        <v>199</v>
      </c>
      <c r="C200" s="186" t="str">
        <f t="shared" si="163"/>
        <v>6150/(1080)</v>
      </c>
      <c r="D200" s="187" t="str">
        <f t="shared" si="164"/>
        <v>(1080)  01792/050 Ch.Gén.</v>
      </c>
      <c r="E200" s="196" t="str">
        <f>A462</f>
        <v>615621 – Entretien PortesAuto</v>
      </c>
      <c r="F200" s="27">
        <v>0</v>
      </c>
      <c r="G200" s="27">
        <v>180.41</v>
      </c>
      <c r="L200" s="27">
        <v>447.7</v>
      </c>
      <c r="M200" s="39"/>
      <c r="P200" s="39"/>
      <c r="Q200" s="123">
        <f t="shared" si="205"/>
        <v>0</v>
      </c>
      <c r="R200" s="191" t="str">
        <f t="shared" si="216"/>
        <v/>
      </c>
      <c r="T200" s="27">
        <v>173.8</v>
      </c>
      <c r="V200" s="123">
        <f t="shared" si="206"/>
        <v>173.8</v>
      </c>
      <c r="W200" s="191">
        <f t="shared" si="217"/>
        <v>5.9291332122375564E-4</v>
      </c>
      <c r="Y200" s="27">
        <v>264</v>
      </c>
      <c r="Z200" s="89" t="str">
        <f t="shared" si="207"/>
        <v>90,2   (51,9%)</v>
      </c>
      <c r="AA200" s="34"/>
      <c r="AB200" s="191">
        <f t="shared" si="218"/>
        <v>8.4921371013074308E-4</v>
      </c>
      <c r="AD200" s="4"/>
      <c r="AE200" s="35" t="str">
        <f t="shared" si="209"/>
        <v>-264   (-100%)</v>
      </c>
      <c r="AF200" s="34"/>
      <c r="AG200" s="191" t="str">
        <f t="shared" si="219"/>
        <v/>
      </c>
      <c r="AI200" s="4"/>
      <c r="AJ200" s="29"/>
      <c r="AK200" s="34"/>
      <c r="AL200" s="191" t="str">
        <f t="shared" si="220"/>
        <v/>
      </c>
      <c r="AN200" s="205">
        <v>1865.6</v>
      </c>
      <c r="AO200" s="29"/>
      <c r="AP200" s="34"/>
      <c r="AQ200" s="191">
        <f t="shared" si="221"/>
        <v>7.8504119488521425E-3</v>
      </c>
      <c r="AS200" s="4"/>
      <c r="AT200" s="29"/>
      <c r="AU200" s="34"/>
      <c r="AV200" s="191" t="str">
        <f t="shared" si="222"/>
        <v/>
      </c>
    </row>
    <row r="201" spans="1:48" x14ac:dyDescent="0.3">
      <c r="A201" s="23" t="str">
        <f t="shared" si="162"/>
        <v>6150</v>
      </c>
      <c r="B201" s="212" t="s">
        <v>200</v>
      </c>
      <c r="C201" s="186" t="str">
        <f t="shared" si="163"/>
        <v>6150/(1090)</v>
      </c>
      <c r="D201" s="187" t="str">
        <f t="shared" si="164"/>
        <v>(1090)  01793/050 Ch.Gén.</v>
      </c>
      <c r="E201" s="196" t="str">
        <f>A465</f>
        <v>615626 – Travaux Menuiserie</v>
      </c>
      <c r="F201" s="27">
        <v>2956.11</v>
      </c>
      <c r="G201" s="27">
        <v>1086.6500000000001</v>
      </c>
      <c r="J201" s="27">
        <v>1441.44</v>
      </c>
      <c r="L201" s="27">
        <v>2162.16</v>
      </c>
      <c r="M201" s="39">
        <f>(L201-J201)/J201</f>
        <v>0.49999999999999983</v>
      </c>
      <c r="O201" s="27">
        <v>421.3</v>
      </c>
      <c r="P201" s="39">
        <f>(O201-L201)/L201</f>
        <v>-0.80514855514855521</v>
      </c>
      <c r="Q201" s="123">
        <f t="shared" si="205"/>
        <v>421.3</v>
      </c>
      <c r="R201" s="191">
        <f t="shared" si="216"/>
        <v>1.4110209139892157E-3</v>
      </c>
      <c r="T201" s="27">
        <v>1199</v>
      </c>
      <c r="U201" s="39">
        <f>(T201-O201)/O201</f>
        <v>1.8459530026109661</v>
      </c>
      <c r="V201" s="123">
        <f t="shared" si="206"/>
        <v>1199</v>
      </c>
      <c r="W201" s="191">
        <f t="shared" si="217"/>
        <v>4.0903513932524912E-3</v>
      </c>
      <c r="X201" s="28">
        <v>500</v>
      </c>
      <c r="Y201" s="27">
        <v>2449.15</v>
      </c>
      <c r="Z201" s="89" t="str">
        <f t="shared" si="207"/>
        <v>1250,15   (104,3%)</v>
      </c>
      <c r="AA201" s="34" t="str">
        <f>ROUND(Y201-X201,2) &amp; "  (" &amp; ROUND(100*(Y201-X201)/X201,1) &amp;"%)"</f>
        <v>1949,15  (389,8%)</v>
      </c>
      <c r="AB201" s="191">
        <f t="shared" si="218"/>
        <v>7.8782263566920807E-3</v>
      </c>
      <c r="AC201" s="28">
        <v>510</v>
      </c>
      <c r="AD201" s="4">
        <v>0</v>
      </c>
      <c r="AE201" s="35" t="str">
        <f t="shared" si="209"/>
        <v>-2449,15   (-100%)</v>
      </c>
      <c r="AF201" s="34" t="str">
        <f>ROUND(AD201-AC201,2) &amp; "  (" &amp; ROUND(100*(AD201-AC201)/AC201,1) &amp;"%)"</f>
        <v>-510  (-100%)</v>
      </c>
      <c r="AG201" s="191" t="str">
        <f t="shared" si="219"/>
        <v/>
      </c>
      <c r="AH201" s="28">
        <v>520</v>
      </c>
      <c r="AI201" s="4">
        <v>0</v>
      </c>
      <c r="AJ201" s="29"/>
      <c r="AK201" s="34" t="str">
        <f>ROUND(AI201-AH201,2) &amp; "  (" &amp; ROUND(100*(AI201-AH201)/AH201,1) &amp;"%)"</f>
        <v>-520  (-100%)</v>
      </c>
      <c r="AL201" s="191" t="str">
        <f t="shared" si="220"/>
        <v/>
      </c>
      <c r="AM201" s="28">
        <v>530</v>
      </c>
      <c r="AN201" s="205">
        <v>1222.98</v>
      </c>
      <c r="AO201" s="29"/>
      <c r="AP201" s="34" t="str">
        <f>ROUND(AN201-AM201,2) &amp; "  (" &amp; ROUND(100*(AN201-AM201)/AM201,1) &amp;"%)"</f>
        <v>692,98  (130,8%)</v>
      </c>
      <c r="AQ201" s="191">
        <f t="shared" si="221"/>
        <v>5.1462783046779554E-3</v>
      </c>
      <c r="AS201" s="4">
        <v>0</v>
      </c>
      <c r="AT201" s="29"/>
      <c r="AU201" s="34" t="e">
        <f>ROUND(AS201-AR201,2) &amp; "  (" &amp; ROUND(100*(AS201-AR201)/AR201,1) &amp;"%)"</f>
        <v>#DIV/0!</v>
      </c>
      <c r="AV201" s="191" t="str">
        <f t="shared" si="222"/>
        <v/>
      </c>
    </row>
    <row r="202" spans="1:48" x14ac:dyDescent="0.3">
      <c r="A202" s="23" t="str">
        <f t="shared" si="162"/>
        <v>6150</v>
      </c>
      <c r="B202" s="212" t="s">
        <v>201</v>
      </c>
      <c r="C202" s="186" t="str">
        <f t="shared" si="163"/>
        <v>6150/(1100)</v>
      </c>
      <c r="D202" s="187" t="str">
        <f t="shared" si="164"/>
        <v>(1100)  01826/050 Ch.Gén.</v>
      </c>
      <c r="E202" s="198" t="str">
        <f xml:space="preserve"> A445</f>
        <v>61532 - Travaux Chauffage (CG)</v>
      </c>
      <c r="F202" s="27">
        <v>0</v>
      </c>
      <c r="L202" s="27">
        <v>184.8</v>
      </c>
      <c r="M202" s="39"/>
      <c r="P202" s="39"/>
      <c r="Q202" s="123"/>
      <c r="R202" s="191" t="str">
        <f t="shared" si="216"/>
        <v/>
      </c>
      <c r="V202" s="123"/>
      <c r="W202" s="191" t="str">
        <f t="shared" si="217"/>
        <v/>
      </c>
      <c r="Y202" s="27">
        <v>446.6</v>
      </c>
      <c r="AA202" s="34"/>
      <c r="AB202" s="191">
        <f t="shared" si="218"/>
        <v>1.436586526304507E-3</v>
      </c>
      <c r="AD202" s="4"/>
      <c r="AE202" s="35"/>
      <c r="AF202" s="34"/>
      <c r="AG202" s="191" t="str">
        <f t="shared" si="219"/>
        <v/>
      </c>
      <c r="AI202" s="4"/>
      <c r="AJ202" s="29"/>
      <c r="AK202" s="34"/>
      <c r="AL202" s="191" t="str">
        <f t="shared" si="220"/>
        <v/>
      </c>
      <c r="AN202" s="205"/>
      <c r="AO202" s="29"/>
      <c r="AP202" s="34"/>
      <c r="AQ202" s="191" t="str">
        <f t="shared" si="221"/>
        <v/>
      </c>
      <c r="AS202" s="4"/>
      <c r="AT202" s="29"/>
      <c r="AU202" s="34"/>
      <c r="AV202" s="191" t="str">
        <f t="shared" si="222"/>
        <v/>
      </c>
    </row>
    <row r="203" spans="1:48" x14ac:dyDescent="0.3">
      <c r="A203" s="23" t="str">
        <f t="shared" si="162"/>
        <v>6140</v>
      </c>
      <c r="B203" s="212" t="s">
        <v>636</v>
      </c>
      <c r="C203" s="186" t="str">
        <f t="shared" si="163"/>
        <v>6140/(1110)</v>
      </c>
      <c r="D203" s="187" t="str">
        <f t="shared" si="164"/>
        <v>(1110)  00841/050 Ch.Gén.</v>
      </c>
      <c r="E203" s="190" t="str">
        <f>A437</f>
        <v>61498 – Contrat Entretien Jardins</v>
      </c>
      <c r="F203" s="27">
        <v>0</v>
      </c>
      <c r="J203" s="27">
        <v>2094.64</v>
      </c>
      <c r="K203" s="28">
        <v>2000</v>
      </c>
      <c r="L203" s="27">
        <v>2119.9899999999998</v>
      </c>
      <c r="M203" s="39">
        <f>(L203-J203)/J203</f>
        <v>1.2102318298132334E-2</v>
      </c>
      <c r="N203" s="28">
        <v>2000</v>
      </c>
      <c r="O203" s="27">
        <v>2141.1799999999998</v>
      </c>
      <c r="P203" s="39">
        <f>(O203-L203)/L203</f>
        <v>9.9953301666517568E-3</v>
      </c>
      <c r="Q203" s="123">
        <f>O203-N203</f>
        <v>141.17999999999984</v>
      </c>
      <c r="R203" s="191">
        <f t="shared" si="216"/>
        <v>7.1712550691085414E-3</v>
      </c>
      <c r="S203" s="28">
        <v>2000</v>
      </c>
      <c r="T203" s="27">
        <v>2162.6</v>
      </c>
      <c r="U203" s="39">
        <f>(T203-O203)/O203</f>
        <v>1.0003829664017073E-2</v>
      </c>
      <c r="V203" s="123">
        <f>T203-S203</f>
        <v>162.59999999999991</v>
      </c>
      <c r="W203" s="191">
        <f t="shared" si="217"/>
        <v>7.377642971682934E-3</v>
      </c>
      <c r="X203" s="28">
        <v>2150</v>
      </c>
      <c r="Y203" s="27">
        <v>2184.25</v>
      </c>
      <c r="Z203" s="89" t="str">
        <f>ROUND(Y203-T203,2) &amp; "   (" &amp; ROUND(100*(Y203-T203)/T203,1) &amp;"%)"</f>
        <v>21,65   (1%)</v>
      </c>
      <c r="AA203" s="34" t="str">
        <f>ROUND(Y203-X203,2) &amp; "  (" &amp; ROUND(100*(Y203-X203)/X203,1) &amp;"%)"</f>
        <v>34,25  (1,6%)</v>
      </c>
      <c r="AB203" s="191">
        <f t="shared" si="218"/>
        <v>7.0261175998222554E-3</v>
      </c>
      <c r="AC203" s="28">
        <v>2200</v>
      </c>
      <c r="AD203" s="192">
        <v>2206.09</v>
      </c>
      <c r="AE203" s="35" t="str">
        <f>ROUND(AD203-Y203,2) &amp; "   (" &amp; ROUND(100*(AD203-Y203)/Y203,1) &amp;"%)"</f>
        <v>21,84   (1%)</v>
      </c>
      <c r="AF203" s="34" t="str">
        <f>ROUND(AD203-AC203,2) &amp; "  (" &amp; ROUND(100*(AD203-AC203)/AC203,1) &amp;"%)"</f>
        <v>6,09  (0,3%)</v>
      </c>
      <c r="AG203" s="191">
        <f t="shared" si="219"/>
        <v>7.3903084781871851E-3</v>
      </c>
      <c r="AH203" s="28">
        <v>2240</v>
      </c>
      <c r="AI203" s="4">
        <v>2272.27</v>
      </c>
      <c r="AJ203" s="35" t="str">
        <f t="shared" ref="AJ203" si="226">ROUND(AI203-AD203,2) &amp; "   (" &amp; ROUND(100*(AI203-AD203)/AD203,1) &amp;"%)"</f>
        <v>66,18   (3%)</v>
      </c>
      <c r="AK203" s="34" t="str">
        <f>ROUND(AI203-AH203,2) &amp; "  (" &amp; ROUND(100*(AI203-AH203)/AH203,1) &amp;"%)"</f>
        <v>32,27  (1,4%)</v>
      </c>
      <c r="AL203" s="191">
        <f t="shared" si="220"/>
        <v>7.645017788535601E-3</v>
      </c>
      <c r="AM203" s="28">
        <v>2280</v>
      </c>
      <c r="AN203" s="205">
        <v>2317.69</v>
      </c>
      <c r="AO203" s="35" t="str">
        <f t="shared" ref="AO203" si="227">ROUND(AN203-AI203,2) &amp; "   (" &amp; ROUND(100*(AN203-AI203)/AI203,1) &amp;"%)"</f>
        <v>45,42   (2%)</v>
      </c>
      <c r="AP203" s="34" t="str">
        <f>ROUND(AN203-AM203,2) &amp; "  (" &amp; ROUND(100*(AN203-AM203)/AM203,1) &amp;"%)"</f>
        <v>37,69  (1,7%)</v>
      </c>
      <c r="AQ203" s="191">
        <f t="shared" si="221"/>
        <v>9.7527987080484151E-3</v>
      </c>
      <c r="AR203" s="28">
        <v>2280</v>
      </c>
      <c r="AS203" s="4">
        <v>0</v>
      </c>
      <c r="AT203" s="35" t="str">
        <f t="shared" ref="AT203" si="228">ROUND(AS203-AN203,2) &amp; "   (" &amp; ROUND(100*(AS203-AN203)/AN203,1) &amp;"%)"</f>
        <v>-2317,69   (-100%)</v>
      </c>
      <c r="AU203" s="34" t="str">
        <f>ROUND(AS203-AR203,2) &amp; "  (" &amp; ROUND(100*(AS203-AR203)/AR203,1) &amp;"%)"</f>
        <v>-2280  (-100%)</v>
      </c>
      <c r="AV203" s="191" t="str">
        <f t="shared" si="222"/>
        <v/>
      </c>
    </row>
    <row r="204" spans="1:48" x14ac:dyDescent="0.3">
      <c r="A204" s="23" t="str">
        <f t="shared" si="162"/>
        <v>6150</v>
      </c>
      <c r="B204" s="212" t="s">
        <v>202</v>
      </c>
      <c r="C204" s="186" t="str">
        <f t="shared" si="163"/>
        <v>6150/(1120)</v>
      </c>
      <c r="D204" s="187" t="str">
        <f t="shared" si="164"/>
        <v>(1120)  01845/050 Ch.Gén.</v>
      </c>
      <c r="E204" s="196" t="str">
        <f>A490</f>
        <v>615981 – Entretien Jardins</v>
      </c>
      <c r="F204" s="27">
        <v>451.61</v>
      </c>
      <c r="G204" s="27">
        <v>817.5</v>
      </c>
      <c r="H204" s="27">
        <v>973.69</v>
      </c>
      <c r="I204" s="27">
        <v>3939.1</v>
      </c>
      <c r="K204" s="28">
        <v>1000</v>
      </c>
      <c r="L204" s="27">
        <v>65</v>
      </c>
      <c r="M204" s="39"/>
      <c r="N204" s="28">
        <v>1000</v>
      </c>
      <c r="P204" s="39"/>
      <c r="Q204" s="123">
        <f>O204-N204</f>
        <v>-1000</v>
      </c>
      <c r="R204" s="191" t="str">
        <f t="shared" si="216"/>
        <v/>
      </c>
      <c r="S204" s="28">
        <v>1000</v>
      </c>
      <c r="V204" s="123">
        <f>T204-S204</f>
        <v>-1000</v>
      </c>
      <c r="W204" s="191" t="str">
        <f t="shared" si="217"/>
        <v/>
      </c>
      <c r="AA204" s="34"/>
      <c r="AB204" s="191" t="str">
        <f t="shared" si="218"/>
        <v/>
      </c>
      <c r="AC204" s="28">
        <v>2600</v>
      </c>
      <c r="AD204" s="192">
        <v>0</v>
      </c>
      <c r="AE204" s="35"/>
      <c r="AF204" s="34" t="str">
        <f>ROUND(AD204-AC204,2) &amp; "  (" &amp; ROUND(100*(AD204-AC204)/AC204,1) &amp;"%)"</f>
        <v>-2600  (-100%)</v>
      </c>
      <c r="AG204" s="191" t="str">
        <f t="shared" si="219"/>
        <v/>
      </c>
      <c r="AH204" s="28">
        <v>2640</v>
      </c>
      <c r="AI204" s="4">
        <v>0</v>
      </c>
      <c r="AJ204" s="29"/>
      <c r="AK204" s="34" t="str">
        <f>ROUND(AI204-AH204,2) &amp; "  (" &amp; ROUND(100*(AI204-AH204)/AH204,1) &amp;"%)"</f>
        <v>-2640  (-100%)</v>
      </c>
      <c r="AL204" s="191" t="str">
        <f t="shared" si="220"/>
        <v/>
      </c>
      <c r="AM204" s="28">
        <v>2680</v>
      </c>
      <c r="AN204" s="205">
        <v>0</v>
      </c>
      <c r="AO204" s="29"/>
      <c r="AP204" s="34" t="str">
        <f>ROUND(AN204-AM204,2) &amp; "  (" &amp; ROUND(100*(AN204-AM204)/AM204,1) &amp;"%)"</f>
        <v>-2680  (-100%)</v>
      </c>
      <c r="AQ204" s="191" t="str">
        <f t="shared" si="221"/>
        <v/>
      </c>
      <c r="AS204" s="4">
        <v>0</v>
      </c>
      <c r="AT204" s="29"/>
      <c r="AU204" s="34" t="e">
        <f>ROUND(AS204-AR204,2) &amp; "  (" &amp; ROUND(100*(AS204-AR204)/AR204,1) &amp;"%)"</f>
        <v>#DIV/0!</v>
      </c>
      <c r="AV204" s="191" t="str">
        <f t="shared" si="222"/>
        <v/>
      </c>
    </row>
    <row r="205" spans="1:48" x14ac:dyDescent="0.3">
      <c r="A205" s="23" t="str">
        <f t="shared" si="162"/>
        <v>6150</v>
      </c>
      <c r="B205" s="212" t="s">
        <v>203</v>
      </c>
      <c r="C205" s="186" t="str">
        <f t="shared" si="163"/>
        <v>6150/(1130)</v>
      </c>
      <c r="D205" s="187" t="str">
        <f t="shared" si="164"/>
        <v>(1130)  01846/050 Ch.Gén.</v>
      </c>
      <c r="E205" s="196" t="str">
        <f>A491</f>
        <v>615982 – Travaux Jardins</v>
      </c>
      <c r="F205" s="27">
        <v>0</v>
      </c>
      <c r="G205" s="27">
        <v>459.84</v>
      </c>
      <c r="H205" s="27">
        <v>7199.27</v>
      </c>
      <c r="J205" s="27">
        <v>1678.75</v>
      </c>
      <c r="K205" s="28">
        <v>800</v>
      </c>
      <c r="L205" s="27">
        <v>3420.5</v>
      </c>
      <c r="M205" s="39">
        <f>(L205-J205)/J205</f>
        <v>1.0375279225614296</v>
      </c>
      <c r="N205" s="28">
        <v>800</v>
      </c>
      <c r="O205" s="27">
        <v>3612</v>
      </c>
      <c r="P205" s="39">
        <f>(O205-L205)/L205</f>
        <v>5.5985966963894171E-2</v>
      </c>
      <c r="Q205" s="123">
        <f>O205-N205</f>
        <v>2812</v>
      </c>
      <c r="R205" s="191">
        <f t="shared" si="216"/>
        <v>1.2097335725917509E-2</v>
      </c>
      <c r="S205" s="28">
        <v>800</v>
      </c>
      <c r="T205" s="27">
        <v>5622</v>
      </c>
      <c r="U205" s="39">
        <f>(T205-O205)/O205</f>
        <v>0.55647840531561465</v>
      </c>
      <c r="V205" s="123">
        <f>T205-S205</f>
        <v>4822</v>
      </c>
      <c r="W205" s="191">
        <f t="shared" si="217"/>
        <v>1.9179279009896168E-2</v>
      </c>
      <c r="X205" s="28">
        <v>2000</v>
      </c>
      <c r="Y205" s="32">
        <v>3066</v>
      </c>
      <c r="Z205" s="197" t="str">
        <f>ROUND(Y205-T205,2) &amp; "   (" &amp; ROUND(100*(Y205-T205)/T205,1) &amp;"%)"</f>
        <v>-2556   (-45,5%)</v>
      </c>
      <c r="AA205" s="34" t="str">
        <f>ROUND(Y205-X205,2) &amp; "  (" &amp; ROUND(100*(Y205-X205)/X205,1) &amp;"%)"</f>
        <v>1066  (53,3%)</v>
      </c>
      <c r="AB205" s="191">
        <f t="shared" si="218"/>
        <v>9.8624592244729477E-3</v>
      </c>
      <c r="AC205" s="28">
        <v>3600</v>
      </c>
      <c r="AD205" s="192">
        <v>4620</v>
      </c>
      <c r="AE205" s="35" t="str">
        <f>ROUND(AD205-Y205,2) &amp; "   (" &amp; ROUND(100*(AD205-Y205)/Y205,1) &amp;"%)"</f>
        <v>1554   (50,7%)</v>
      </c>
      <c r="AF205" s="34" t="str">
        <f>ROUND(AD205-AC205,2) &amp; "  (" &amp; ROUND(100*(AD205-AC205)/AC205,1) &amp;"%)"</f>
        <v>1020  (28,3%)</v>
      </c>
      <c r="AG205" s="191">
        <f t="shared" si="219"/>
        <v>1.5476805193453028E-2</v>
      </c>
      <c r="AH205" s="28">
        <v>3660</v>
      </c>
      <c r="AI205" s="463">
        <v>5090</v>
      </c>
      <c r="AJ205" s="35" t="str">
        <f t="shared" ref="AJ205" si="229">ROUND(AI205-AD205,2) &amp; "   (" &amp; ROUND(100*(AI205-AD205)/AD205,1) &amp;"%)"</f>
        <v>470   (10,2%)</v>
      </c>
      <c r="AK205" s="34" t="str">
        <f>ROUND(AI205-AH205,2) &amp; "  (" &amp; ROUND(100*(AI205-AH205)/AH205,1) &amp;"%)"</f>
        <v>1430  (39,1%)</v>
      </c>
      <c r="AL205" s="191">
        <f t="shared" si="220"/>
        <v>1.7125227434964245E-2</v>
      </c>
      <c r="AM205" s="28">
        <v>3720</v>
      </c>
      <c r="AN205" s="467">
        <v>3816</v>
      </c>
      <c r="AO205" s="35" t="str">
        <f t="shared" ref="AO205" si="230">ROUND(AN205-AI205,2) &amp; "   (" &amp; ROUND(100*(AN205-AI205)/AI205,1) &amp;"%)"</f>
        <v>-1274   (-25%)</v>
      </c>
      <c r="AP205" s="34" t="str">
        <f>ROUND(AN205-AM205,2) &amp; "  (" &amp; ROUND(100*(AN205-AM205)/AM205,1) &amp;"%)"</f>
        <v>96  (2,6%)</v>
      </c>
      <c r="AQ205" s="191">
        <f t="shared" si="221"/>
        <v>1.605766080447029E-2</v>
      </c>
      <c r="AS205" s="4">
        <v>0</v>
      </c>
      <c r="AT205" s="35" t="str">
        <f t="shared" ref="AT205:AT206" si="231">ROUND(AS205-AN205,2) &amp; "   (" &amp; ROUND(100*(AS205-AN205)/AN205,1) &amp;"%)"</f>
        <v>-3816   (-100%)</v>
      </c>
      <c r="AU205" s="34" t="e">
        <f>ROUND(AS205-AR205,2) &amp; "  (" &amp; ROUND(100*(AS205-AR205)/AR205,1) &amp;"%)"</f>
        <v>#DIV/0!</v>
      </c>
      <c r="AV205" s="191" t="str">
        <f t="shared" si="222"/>
        <v/>
      </c>
    </row>
    <row r="206" spans="1:48" x14ac:dyDescent="0.3">
      <c r="A206" s="23" t="str">
        <f t="shared" si="162"/>
        <v>6050</v>
      </c>
      <c r="B206" s="212" t="s">
        <v>204</v>
      </c>
      <c r="C206" s="186" t="str">
        <f t="shared" si="163"/>
        <v>6050/(1140)</v>
      </c>
      <c r="D206" s="187" t="str">
        <f t="shared" si="164"/>
        <v>(1140)  01847/050 Ch.Gén.</v>
      </c>
      <c r="E206" s="190" t="str">
        <f>A391</f>
        <v>60681 – Achats Plantes</v>
      </c>
      <c r="F206" s="27">
        <v>881.99</v>
      </c>
      <c r="I206" s="27">
        <v>722.18</v>
      </c>
      <c r="K206" s="28">
        <v>1500</v>
      </c>
      <c r="L206" s="27">
        <v>1996.7</v>
      </c>
      <c r="M206" s="39"/>
      <c r="N206" s="28">
        <v>1500</v>
      </c>
      <c r="P206" s="39"/>
      <c r="Q206" s="123">
        <f>O206-N206</f>
        <v>-1500</v>
      </c>
      <c r="R206" s="191" t="str">
        <f t="shared" si="216"/>
        <v/>
      </c>
      <c r="S206" s="28">
        <v>1500</v>
      </c>
      <c r="V206" s="123">
        <f>T206-S206</f>
        <v>-1500</v>
      </c>
      <c r="W206" s="191" t="str">
        <f t="shared" si="217"/>
        <v/>
      </c>
      <c r="X206" s="28">
        <v>2000</v>
      </c>
      <c r="Z206" s="89"/>
      <c r="AA206" s="34" t="str">
        <f>ROUND(Y206-X206,2) &amp; "  (" &amp; ROUND(100*(Y206-X206)/X206,1) &amp;"%)"</f>
        <v>-2000  (-100%)</v>
      </c>
      <c r="AB206" s="191" t="str">
        <f t="shared" si="218"/>
        <v/>
      </c>
      <c r="AC206" s="28">
        <v>1000</v>
      </c>
      <c r="AD206" s="4">
        <v>0</v>
      </c>
      <c r="AE206" s="35"/>
      <c r="AF206" s="34" t="str">
        <f>ROUND(AD206-AC206,2) &amp; "  (" &amp; ROUND(100*(AD206-AC206)/AC206,1) &amp;"%)"</f>
        <v>-1000  (-100%)</v>
      </c>
      <c r="AG206" s="191" t="str">
        <f t="shared" si="219"/>
        <v/>
      </c>
      <c r="AH206" s="28">
        <v>1020</v>
      </c>
      <c r="AI206" s="4">
        <v>0</v>
      </c>
      <c r="AJ206" s="35" t="str">
        <f>ROUND(AI206-AD206,2) &amp; "   (" &amp; ROUND(100*(AI206-AD206)/(AD206+0.001),1) &amp;"%)"</f>
        <v>0   (0%)</v>
      </c>
      <c r="AK206" s="34" t="str">
        <f>ROUND(AI206-AH206,2) &amp; "  (" &amp; ROUND(100*(AI206-AH206)/AH206,1) &amp;"%)"</f>
        <v>-1020  (-100%)</v>
      </c>
      <c r="AL206" s="191" t="str">
        <f t="shared" si="220"/>
        <v/>
      </c>
      <c r="AM206" s="28">
        <v>1040</v>
      </c>
      <c r="AN206" s="205">
        <v>0</v>
      </c>
      <c r="AO206" s="35" t="str">
        <f>ROUND(AN206-AI206,2) &amp; "   (" &amp; ROUND(100*(AN206-AI206)/(AI206+0.0001),1) &amp;"%)"</f>
        <v>0   (0%)</v>
      </c>
      <c r="AP206" s="34" t="str">
        <f>ROUND(AN206-AM206,2) &amp; "  (" &amp; ROUND(100*(AN206-AM206)/AM206,1) &amp;"%)"</f>
        <v>-1040  (-100%)</v>
      </c>
      <c r="AQ206" s="191" t="str">
        <f t="shared" si="221"/>
        <v/>
      </c>
      <c r="AS206" s="4">
        <v>0</v>
      </c>
      <c r="AT206" s="35" t="e">
        <f t="shared" si="231"/>
        <v>#DIV/0!</v>
      </c>
      <c r="AU206" s="34" t="e">
        <f>ROUND(AS206-AR206,2) &amp; "  (" &amp; ROUND(100*(AS206-AR206)/AR206,1) &amp;"%)"</f>
        <v>#DIV/0!</v>
      </c>
      <c r="AV206" s="191" t="str">
        <f t="shared" si="222"/>
        <v/>
      </c>
    </row>
    <row r="207" spans="1:48" x14ac:dyDescent="0.3">
      <c r="A207" s="23" t="str">
        <f t="shared" si="162"/>
        <v>6060</v>
      </c>
      <c r="B207" s="212" t="s">
        <v>205</v>
      </c>
      <c r="C207" s="186" t="str">
        <f t="shared" si="163"/>
        <v>6060/(1150)</v>
      </c>
      <c r="D207" s="187" t="str">
        <f t="shared" si="164"/>
        <v>(1150)  01848/050 Ch.Gén.</v>
      </c>
      <c r="E207" s="190" t="str">
        <f>A392</f>
        <v>60682 – Décoration Florale</v>
      </c>
      <c r="F207" s="27">
        <v>1899.61</v>
      </c>
      <c r="G207" s="27">
        <v>1925.44</v>
      </c>
      <c r="H207" s="27">
        <v>3681.29</v>
      </c>
      <c r="I207" s="27">
        <v>2497.81</v>
      </c>
      <c r="M207" s="39"/>
      <c r="P207" s="39"/>
      <c r="Q207" s="123"/>
      <c r="R207" s="191" t="str">
        <f t="shared" si="216"/>
        <v/>
      </c>
      <c r="V207" s="123"/>
      <c r="W207" s="191" t="str">
        <f t="shared" si="217"/>
        <v/>
      </c>
      <c r="Z207" s="89"/>
      <c r="AA207" s="34"/>
      <c r="AB207" s="191" t="str">
        <f t="shared" si="218"/>
        <v/>
      </c>
      <c r="AD207" s="4"/>
      <c r="AE207" s="35"/>
      <c r="AF207" s="34"/>
      <c r="AG207" s="191" t="str">
        <f t="shared" si="219"/>
        <v/>
      </c>
      <c r="AI207" s="4"/>
      <c r="AJ207" s="29"/>
      <c r="AK207" s="34"/>
      <c r="AL207" s="191" t="str">
        <f t="shared" si="220"/>
        <v/>
      </c>
      <c r="AN207" s="205"/>
      <c r="AO207" s="29"/>
      <c r="AP207" s="34"/>
      <c r="AQ207" s="191" t="str">
        <f t="shared" si="221"/>
        <v/>
      </c>
      <c r="AS207" s="4"/>
      <c r="AT207" s="29"/>
      <c r="AU207" s="34"/>
      <c r="AV207" s="191" t="str">
        <f t="shared" si="222"/>
        <v/>
      </c>
    </row>
    <row r="208" spans="1:48" x14ac:dyDescent="0.3">
      <c r="A208" s="23" t="str">
        <f t="shared" si="162"/>
        <v>6140</v>
      </c>
      <c r="B208" s="212" t="s">
        <v>206</v>
      </c>
      <c r="C208" s="186" t="str">
        <f t="shared" si="163"/>
        <v>6140/(1160)</v>
      </c>
      <c r="D208" s="187" t="str">
        <f t="shared" si="164"/>
        <v>(1160)  00861/050 Ch.Gén.</v>
      </c>
      <c r="E208" s="190" t="str">
        <f>A412</f>
        <v>61451 – Contrat Vide-Ordure</v>
      </c>
      <c r="F208" s="27">
        <v>2674.76</v>
      </c>
      <c r="G208" s="27">
        <v>2740.86</v>
      </c>
      <c r="H208" s="27">
        <v>2862.36</v>
      </c>
      <c r="I208" s="27">
        <v>2950.04</v>
      </c>
      <c r="J208" s="27">
        <v>3122.88</v>
      </c>
      <c r="K208" s="28">
        <v>3250</v>
      </c>
      <c r="L208" s="27">
        <v>3213.02</v>
      </c>
      <c r="M208" s="39">
        <f>(L208-J208)/J208</f>
        <v>2.8864381596475006E-2</v>
      </c>
      <c r="N208" s="28">
        <v>3250</v>
      </c>
      <c r="O208" s="27">
        <v>3340.26</v>
      </c>
      <c r="P208" s="39">
        <f>(O208-L208)/L208</f>
        <v>3.9601371918008679E-2</v>
      </c>
      <c r="Q208" s="123">
        <f>O208-N208</f>
        <v>90.260000000000218</v>
      </c>
      <c r="R208" s="191">
        <f t="shared" si="216"/>
        <v>1.1187222212583949E-2</v>
      </c>
      <c r="S208" s="28">
        <v>3250</v>
      </c>
      <c r="T208" s="27">
        <v>3425.1</v>
      </c>
      <c r="U208" s="39">
        <f>(T208-O208)/O208</f>
        <v>2.5399220419967214E-2</v>
      </c>
      <c r="V208" s="123">
        <f>T208-S208</f>
        <v>175.09999999999991</v>
      </c>
      <c r="W208" s="191">
        <f t="shared" si="217"/>
        <v>1.1684622649732367E-2</v>
      </c>
      <c r="X208" s="28">
        <v>3500</v>
      </c>
      <c r="Y208" s="32">
        <v>5060</v>
      </c>
      <c r="Z208" s="197" t="str">
        <f>ROUND(Y208-T208,2) &amp; "   (" &amp; ROUND(100*(Y208-T208)/T208,1) &amp;"%)"</f>
        <v>1634,9   (47,7%)</v>
      </c>
      <c r="AA208" s="34" t="str">
        <f>ROUND(Y208-X208,2) &amp; "  (" &amp; ROUND(100*(Y208-X208)/X208,1) &amp;"%)"</f>
        <v>1560  (44,6%)</v>
      </c>
      <c r="AB208" s="191">
        <f t="shared" si="218"/>
        <v>1.6276596110839241E-2</v>
      </c>
      <c r="AC208" s="28">
        <v>2700</v>
      </c>
      <c r="AD208" s="4">
        <v>0</v>
      </c>
      <c r="AE208" s="35" t="str">
        <f>ROUND(AD208-Y208,2) &amp; "   (" &amp; ROUND(100*(AD208-Y208)/Y208,1) &amp;"%)"</f>
        <v>-5060   (-100%)</v>
      </c>
      <c r="AF208" s="34" t="str">
        <f>ROUND(AD208-AC208,2) &amp; "  (" &amp; ROUND(100*(AD208-AC208)/AC208,1) &amp;"%)"</f>
        <v>-2700  (-100%)</v>
      </c>
      <c r="AG208" s="191" t="str">
        <f t="shared" si="219"/>
        <v/>
      </c>
      <c r="AH208" s="28">
        <v>2750</v>
      </c>
      <c r="AI208" s="4">
        <v>3465</v>
      </c>
      <c r="AJ208" s="35" t="str">
        <f>ROUND(AI208-AD208,2) &amp; "   (" &amp; ROUND(100*(AI208-AD208)/(AD208+0.001),1) &amp;"%)"</f>
        <v>3465   (346500000%)</v>
      </c>
      <c r="AK208" s="34" t="str">
        <f>ROUND(AI208-AH208,2) &amp; "  (" &amp; ROUND(100*(AI208-AH208)/AH208,1) &amp;"%)"</f>
        <v>715  (26%)</v>
      </c>
      <c r="AL208" s="191">
        <f t="shared" si="220"/>
        <v>1.1657939697868588E-2</v>
      </c>
      <c r="AM208" s="28">
        <v>2800</v>
      </c>
      <c r="AN208" s="205">
        <v>3058</v>
      </c>
      <c r="AO208" s="35" t="str">
        <f t="shared" ref="AO208" si="232">ROUND(AN208-AI208,2) &amp; "   (" &amp; ROUND(100*(AN208-AI208)/AI208,1) &amp;"%)"</f>
        <v>-407   (-11,7%)</v>
      </c>
      <c r="AP208" s="34" t="str">
        <f>ROUND(AN208-AM208,2) &amp; "  (" &amp; ROUND(100*(AN208-AM208)/AM208,1) &amp;"%)"</f>
        <v>258  (9,2%)</v>
      </c>
      <c r="AQ208" s="191">
        <f t="shared" si="221"/>
        <v>1.2868010152009998E-2</v>
      </c>
      <c r="AR208" s="28">
        <v>2800</v>
      </c>
      <c r="AS208" s="4">
        <v>0</v>
      </c>
      <c r="AT208" s="35" t="str">
        <f t="shared" ref="AT208" si="233">ROUND(AS208-AN208,2) &amp; "   (" &amp; ROUND(100*(AS208-AN208)/AN208,1) &amp;"%)"</f>
        <v>-3058   (-100%)</v>
      </c>
      <c r="AU208" s="34" t="str">
        <f>ROUND(AS208-AR208,2) &amp; "  (" &amp; ROUND(100*(AS208-AR208)/AR208,1) &amp;"%)"</f>
        <v>-2800  (-100%)</v>
      </c>
      <c r="AV208" s="191" t="str">
        <f t="shared" si="222"/>
        <v/>
      </c>
    </row>
    <row r="209" spans="1:48" x14ac:dyDescent="0.3">
      <c r="A209" s="23" t="str">
        <f t="shared" si="162"/>
        <v>6150</v>
      </c>
      <c r="B209" s="212" t="s">
        <v>207</v>
      </c>
      <c r="C209" s="186" t="str">
        <f t="shared" si="163"/>
        <v>6150/(1170)</v>
      </c>
      <c r="D209" s="187" t="str">
        <f t="shared" si="164"/>
        <v>(1170)  01866/050 Ch.Gén.</v>
      </c>
      <c r="E209" s="190" t="str">
        <f>A454</f>
        <v xml:space="preserve"> 61551 – Travaux Vide-Ordure</v>
      </c>
      <c r="F209" s="27">
        <v>0</v>
      </c>
      <c r="L209" s="27">
        <v>168.3</v>
      </c>
      <c r="M209" s="39"/>
      <c r="O209" s="27">
        <v>183.5</v>
      </c>
      <c r="P209" s="39">
        <f>(O209-L209)/L209</f>
        <v>9.0314913844325537E-2</v>
      </c>
      <c r="Q209" s="123">
        <f>O209-N209</f>
        <v>183.5</v>
      </c>
      <c r="R209" s="191">
        <f t="shared" si="216"/>
        <v>6.1457948662953015E-4</v>
      </c>
      <c r="T209" s="27">
        <v>1012</v>
      </c>
      <c r="U209" s="39">
        <f>(T209-O209)/O209</f>
        <v>4.5149863760217981</v>
      </c>
      <c r="V209" s="123">
        <f>T209-S209</f>
        <v>1012</v>
      </c>
      <c r="W209" s="191">
        <f t="shared" si="217"/>
        <v>3.4524066805433871E-3</v>
      </c>
      <c r="Z209" s="89" t="str">
        <f>ROUND(Y209-T209,2) &amp; "   (" &amp; ROUND(100*(Y209-T209)/T209,1) &amp;"%)"</f>
        <v>-1012   (-100%)</v>
      </c>
      <c r="AA209" s="34"/>
      <c r="AB209" s="191" t="str">
        <f t="shared" si="218"/>
        <v/>
      </c>
      <c r="AD209" s="4">
        <v>1350.25</v>
      </c>
      <c r="AE209" s="35"/>
      <c r="AF209" s="34"/>
      <c r="AG209" s="191">
        <f t="shared" si="219"/>
        <v>4.5232805654675219E-3</v>
      </c>
      <c r="AI209" s="4">
        <v>1783.1</v>
      </c>
      <c r="AJ209" s="29"/>
      <c r="AK209" s="34"/>
      <c r="AL209" s="191">
        <f t="shared" si="220"/>
        <v>5.9992127778555494E-3</v>
      </c>
      <c r="AN209" s="4">
        <v>1056</v>
      </c>
      <c r="AO209" s="29"/>
      <c r="AP209" s="34"/>
      <c r="AQ209" s="191">
        <f t="shared" si="221"/>
        <v>4.4436294050106467E-3</v>
      </c>
      <c r="AS209" s="4"/>
      <c r="AT209" s="29"/>
      <c r="AU209" s="34"/>
      <c r="AV209" s="191" t="str">
        <f t="shared" si="222"/>
        <v/>
      </c>
    </row>
    <row r="210" spans="1:48" x14ac:dyDescent="0.3">
      <c r="A210" s="23" t="str">
        <f t="shared" si="162"/>
        <v>6130</v>
      </c>
      <c r="B210" s="212" t="s">
        <v>208</v>
      </c>
      <c r="C210" s="186" t="str">
        <f t="shared" si="163"/>
        <v>6130/(1180)</v>
      </c>
      <c r="D210" s="187" t="str">
        <f t="shared" si="164"/>
        <v>(1180)  01881/050 Ch.Gén.</v>
      </c>
      <c r="E210" s="188" t="str">
        <f>A401</f>
        <v>6131 – Contrat Loc.Compteur</v>
      </c>
      <c r="F210" s="27">
        <v>85.91</v>
      </c>
      <c r="G210" s="27">
        <v>88.62</v>
      </c>
      <c r="H210" s="27">
        <v>92.09</v>
      </c>
      <c r="I210" s="27">
        <v>94.48</v>
      </c>
      <c r="J210" s="27">
        <v>98.47</v>
      </c>
      <c r="K210" s="28">
        <v>100</v>
      </c>
      <c r="L210" s="27">
        <v>100.86</v>
      </c>
      <c r="M210" s="39">
        <f>(L210-J210)/J210</f>
        <v>2.4271351680714946E-2</v>
      </c>
      <c r="N210" s="28">
        <v>100</v>
      </c>
      <c r="O210" s="27">
        <v>103.31</v>
      </c>
      <c r="P210" s="39">
        <f>(O210-L210)/L210</f>
        <v>2.4291096569502308E-2</v>
      </c>
      <c r="Q210" s="123">
        <f>O210-N210</f>
        <v>3.3100000000000023</v>
      </c>
      <c r="R210" s="191">
        <f t="shared" si="216"/>
        <v>3.4600657636891971E-4</v>
      </c>
      <c r="S210" s="28">
        <v>100</v>
      </c>
      <c r="T210" s="27">
        <v>105.62</v>
      </c>
      <c r="U210" s="39">
        <f>(T210-O210)/O210</f>
        <v>2.2359887716581185E-2</v>
      </c>
      <c r="V210" s="123">
        <f>T210-S210</f>
        <v>5.6200000000000045</v>
      </c>
      <c r="W210" s="191">
        <f t="shared" si="217"/>
        <v>3.6031936126382664E-4</v>
      </c>
      <c r="X210" s="28">
        <v>110</v>
      </c>
      <c r="Y210" s="27">
        <v>108.22</v>
      </c>
      <c r="Z210" s="89" t="str">
        <f>ROUND(Y210-T210,2) &amp; "   (" &amp; ROUND(100*(Y210-T210)/T210,1) &amp;"%)"</f>
        <v>2,6   (2,5%)</v>
      </c>
      <c r="AA210" s="34" t="str">
        <f>ROUND(Y210-X210,2) &amp; "  (" &amp; ROUND(100*(Y210-X210)/X210,1) &amp;"%)"</f>
        <v>-1,78  (-1,6%)</v>
      </c>
      <c r="AB210" s="191">
        <f t="shared" si="218"/>
        <v>3.4811328678162502E-4</v>
      </c>
      <c r="AC210" s="28">
        <v>120</v>
      </c>
      <c r="AD210" s="4">
        <v>110.89</v>
      </c>
      <c r="AE210" s="35" t="str">
        <f>ROUND(AD210-Y210,2) &amp; "   (" &amp; ROUND(100*(AD210-Y210)/Y210,1) &amp;"%)"</f>
        <v>2,67   (2,5%)</v>
      </c>
      <c r="AF210" s="34" t="str">
        <f>ROUND(AD210-AC210,2) &amp; "  (" &amp; ROUND(100*(AD210-AC210)/AC210,1) &amp;"%)"</f>
        <v>-9,11  (-7,6%)</v>
      </c>
      <c r="AG210" s="191">
        <f t="shared" si="219"/>
        <v>3.714768242212135E-4</v>
      </c>
      <c r="AH210" s="28">
        <v>130</v>
      </c>
      <c r="AI210" s="4">
        <v>113.9</v>
      </c>
      <c r="AJ210" s="35" t="str">
        <f t="shared" ref="AJ210" si="234">ROUND(AI210-AD210,2) &amp; "   (" &amp; ROUND(100*(AI210-AD210)/AD210,1) &amp;"%)"</f>
        <v>3,01   (2,7%)</v>
      </c>
      <c r="AK210" s="34" t="str">
        <f>ROUND(AI210-AH210,2) &amp; "  (" &amp; ROUND(100*(AI210-AH210)/AH210,1) &amp;"%)"</f>
        <v>-16,1  (-12,4%)</v>
      </c>
      <c r="AL210" s="191">
        <f t="shared" si="220"/>
        <v>3.8321481431088955E-4</v>
      </c>
      <c r="AM210" s="28">
        <v>140</v>
      </c>
      <c r="AN210" s="205">
        <v>116.65</v>
      </c>
      <c r="AO210" s="35" t="str">
        <f t="shared" ref="AO210" si="235">ROUND(AN210-AI210,2) &amp; "   (" &amp; ROUND(100*(AN210-AI210)/AI210,1) &amp;"%)"</f>
        <v>2,75   (2,4%)</v>
      </c>
      <c r="AP210" s="34" t="str">
        <f>ROUND(AN210-AM210,2) &amp; "  (" &amp; ROUND(100*(AN210-AM210)/AM210,1) &amp;"%)"</f>
        <v>-23,35  (-16,7%)</v>
      </c>
      <c r="AQ210" s="191">
        <f t="shared" si="221"/>
        <v>4.908611459228144E-4</v>
      </c>
      <c r="AR210" s="28">
        <v>140</v>
      </c>
      <c r="AS210" s="4">
        <v>0</v>
      </c>
      <c r="AT210" s="35" t="str">
        <f t="shared" ref="AT210" si="236">ROUND(AS210-AN210,2) &amp; "   (" &amp; ROUND(100*(AS210-AN210)/AN210,1) &amp;"%)"</f>
        <v>-116,65   (-100%)</v>
      </c>
      <c r="AU210" s="34" t="str">
        <f>ROUND(AS210-AR210,2) &amp; "  (" &amp; ROUND(100*(AS210-AR210)/AR210,1) &amp;"%)"</f>
        <v>-140  (-100%)</v>
      </c>
      <c r="AV210" s="191" t="str">
        <f t="shared" si="222"/>
        <v/>
      </c>
    </row>
    <row r="211" spans="1:48" x14ac:dyDescent="0.3">
      <c r="A211" s="23" t="str">
        <f t="shared" si="162"/>
        <v>7130</v>
      </c>
      <c r="B211" s="212" t="s">
        <v>209</v>
      </c>
      <c r="C211" s="186" t="str">
        <f t="shared" si="163"/>
        <v>7130/(1190)</v>
      </c>
      <c r="D211" s="187" t="str">
        <f t="shared" si="164"/>
        <v>(1190)  00952/050 Ch.Gén.</v>
      </c>
      <c r="E211" s="188" t="str">
        <f>A624</f>
        <v>7130 – Indemnités.</v>
      </c>
      <c r="F211" s="27">
        <v>-265.58</v>
      </c>
      <c r="G211" s="27">
        <v>-3511.78</v>
      </c>
      <c r="H211" s="27">
        <v>-7101.32</v>
      </c>
      <c r="I211" s="27">
        <v>-3419.74</v>
      </c>
      <c r="J211" s="27">
        <v>-6029.23</v>
      </c>
      <c r="L211" s="27">
        <v>-1284.04</v>
      </c>
      <c r="M211" s="39"/>
      <c r="O211" s="27">
        <v>-5350.55</v>
      </c>
      <c r="P211" s="39">
        <f>(O211-L211)/L211</f>
        <v>3.166965203576213</v>
      </c>
      <c r="Q211" s="123">
        <f>O211-N211</f>
        <v>-5350.55</v>
      </c>
      <c r="R211" s="191" t="str">
        <f t="shared" si="216"/>
        <v/>
      </c>
      <c r="T211" s="27">
        <v>-5871.65</v>
      </c>
      <c r="U211" s="39">
        <f>(T211-O211)/O211</f>
        <v>9.7391856911906147E-2</v>
      </c>
      <c r="V211" s="123">
        <f>T211-S211</f>
        <v>-5871.65</v>
      </c>
      <c r="W211" s="191" t="str">
        <f t="shared" si="217"/>
        <v/>
      </c>
      <c r="Y211" s="27">
        <v>-30443.29</v>
      </c>
      <c r="Z211" s="89" t="str">
        <f>ROUND(Y211-T211,2) &amp; "   (" &amp; ROUND(100*(Y211-T211)/T211,1) &amp;"%)"</f>
        <v>-24571,64   (418,5%)</v>
      </c>
      <c r="AA211" s="34"/>
      <c r="AB211" s="191" t="str">
        <f t="shared" si="218"/>
        <v/>
      </c>
      <c r="AD211" s="4">
        <v>-757.94</v>
      </c>
      <c r="AE211" s="35" t="str">
        <f>ROUND(AD211-Y211,2) &amp; "   (" &amp; ROUND(100*(AD211-Y211)/Y211,1) &amp;"%)"</f>
        <v>29685,35   (-97,5%)</v>
      </c>
      <c r="AF211" s="34"/>
      <c r="AG211" s="191" t="str">
        <f t="shared" si="219"/>
        <v/>
      </c>
      <c r="AI211" s="4">
        <v>-2112</v>
      </c>
      <c r="AJ211" s="29"/>
      <c r="AK211" s="34"/>
      <c r="AL211" s="191" t="str">
        <f t="shared" si="220"/>
        <v/>
      </c>
      <c r="AN211" s="205">
        <v>0</v>
      </c>
      <c r="AO211" s="29"/>
      <c r="AP211" s="34"/>
      <c r="AQ211" s="191" t="str">
        <f t="shared" si="221"/>
        <v/>
      </c>
      <c r="AS211" s="4"/>
      <c r="AT211" s="29"/>
      <c r="AU211" s="34"/>
      <c r="AV211" s="191" t="str">
        <f t="shared" si="222"/>
        <v/>
      </c>
    </row>
    <row r="212" spans="1:48" x14ac:dyDescent="0.3">
      <c r="A212" s="23" t="str">
        <f t="shared" si="162"/>
        <v>7140</v>
      </c>
      <c r="B212" s="212" t="s">
        <v>210</v>
      </c>
      <c r="C212" s="186" t="str">
        <f t="shared" si="163"/>
        <v>7140/(1200)</v>
      </c>
      <c r="D212" s="187" t="str">
        <f t="shared" si="164"/>
        <v>(1200)  01953/050 Ch.Gén.</v>
      </c>
      <c r="E212" s="188" t="str">
        <f>A628</f>
        <v>7142 – Indemnités Art.700.</v>
      </c>
      <c r="F212" s="27">
        <v>0</v>
      </c>
      <c r="M212" s="39"/>
      <c r="O212" s="27">
        <v>-2200</v>
      </c>
      <c r="P212" s="39"/>
      <c r="Q212" s="123"/>
      <c r="R212" s="191" t="str">
        <f t="shared" si="216"/>
        <v/>
      </c>
      <c r="V212" s="123"/>
      <c r="W212" s="191" t="str">
        <f t="shared" si="217"/>
        <v/>
      </c>
      <c r="Y212" s="27">
        <v>-1000</v>
      </c>
      <c r="Z212" s="89"/>
      <c r="AA212" s="34"/>
      <c r="AB212" s="191" t="str">
        <f t="shared" si="218"/>
        <v/>
      </c>
      <c r="AD212" s="4"/>
      <c r="AE212" s="35"/>
      <c r="AF212" s="34"/>
      <c r="AG212" s="191" t="str">
        <f t="shared" si="219"/>
        <v/>
      </c>
      <c r="AI212" s="4"/>
      <c r="AJ212" s="29"/>
      <c r="AK212" s="34"/>
      <c r="AL212" s="191" t="str">
        <f t="shared" si="220"/>
        <v/>
      </c>
      <c r="AN212" s="205"/>
      <c r="AO212" s="29"/>
      <c r="AP212" s="34"/>
      <c r="AQ212" s="191" t="str">
        <f t="shared" si="221"/>
        <v/>
      </c>
      <c r="AS212" s="4"/>
      <c r="AT212" s="29"/>
      <c r="AU212" s="34"/>
      <c r="AV212" s="191" t="str">
        <f t="shared" si="222"/>
        <v/>
      </c>
    </row>
    <row r="213" spans="1:48" x14ac:dyDescent="0.3">
      <c r="A213" s="23" t="str">
        <f t="shared" si="162"/>
        <v>7180</v>
      </c>
      <c r="B213" s="212" t="s">
        <v>211</v>
      </c>
      <c r="C213" s="186" t="str">
        <f t="shared" si="163"/>
        <v>7180/(1220)</v>
      </c>
      <c r="D213" s="187" t="str">
        <f t="shared" si="164"/>
        <v>(1220)  01954/050 Ch.Gén.</v>
      </c>
      <c r="E213" s="188" t="str">
        <f>A638</f>
        <v>7181 – RecettesDommagesIntérets.</v>
      </c>
      <c r="F213" s="27">
        <v>0</v>
      </c>
      <c r="M213" s="39"/>
      <c r="O213" s="27">
        <v>-1300</v>
      </c>
      <c r="P213" s="39"/>
      <c r="Q213" s="123">
        <f>O213-N213</f>
        <v>-1300</v>
      </c>
      <c r="R213" s="191" t="str">
        <f t="shared" si="216"/>
        <v/>
      </c>
      <c r="V213" s="123">
        <f>T213-S213</f>
        <v>0</v>
      </c>
      <c r="W213" s="191" t="str">
        <f t="shared" si="217"/>
        <v/>
      </c>
      <c r="Y213" s="27">
        <v>-500</v>
      </c>
      <c r="Z213" s="89"/>
      <c r="AA213" s="34"/>
      <c r="AB213" s="191" t="str">
        <f t="shared" si="218"/>
        <v/>
      </c>
      <c r="AD213" s="4"/>
      <c r="AE213" s="35"/>
      <c r="AF213" s="34"/>
      <c r="AG213" s="191" t="str">
        <f t="shared" si="219"/>
        <v/>
      </c>
      <c r="AI213" s="4"/>
      <c r="AJ213" s="29"/>
      <c r="AK213" s="34"/>
      <c r="AL213" s="191" t="str">
        <f t="shared" si="220"/>
        <v/>
      </c>
      <c r="AN213" s="205"/>
      <c r="AO213" s="29"/>
      <c r="AP213" s="34"/>
      <c r="AQ213" s="191" t="str">
        <f t="shared" si="221"/>
        <v/>
      </c>
      <c r="AS213" s="4"/>
      <c r="AT213" s="29"/>
      <c r="AU213" s="34"/>
      <c r="AV213" s="191" t="str">
        <f t="shared" si="222"/>
        <v/>
      </c>
    </row>
    <row r="214" spans="1:48" x14ac:dyDescent="0.3">
      <c r="A214" s="23" t="str">
        <f>LEFT(B214,4)</f>
        <v>7140</v>
      </c>
      <c r="B214" s="212" t="s">
        <v>212</v>
      </c>
      <c r="C214" s="186" t="str">
        <f>LEFT(B214,4) &amp;"/"&amp; RIGHT(B214,6)</f>
        <v>7140/(1230)</v>
      </c>
      <c r="D214" s="187" t="str">
        <f>RIGHT(B214,6) &amp;"  "&amp; RIGHT(LEFT(B214,10),5) &amp;"/"&amp;LEFT(B$81,6)&amp;"."&amp;RIGHT(LEFT(B$81,14),3)&amp;"."</f>
        <v>(1230)  01959/050 Ch.Gén.</v>
      </c>
      <c r="E214" s="218" t="str">
        <f>A630</f>
        <v>71431 – Recettes Diverses.Générales</v>
      </c>
      <c r="F214" s="27">
        <v>-21.34</v>
      </c>
      <c r="L214" s="27">
        <v>-1664.94</v>
      </c>
      <c r="M214" s="39"/>
      <c r="O214" s="27">
        <v>-1751.48</v>
      </c>
      <c r="P214" s="39">
        <f>(O214-L214)/L214</f>
        <v>5.1977849051617453E-2</v>
      </c>
      <c r="Q214" s="123">
        <f>O214-N214</f>
        <v>-1751.48</v>
      </c>
      <c r="R214" s="191" t="str">
        <f t="shared" si="216"/>
        <v/>
      </c>
      <c r="T214" s="27">
        <v>-1684.37</v>
      </c>
      <c r="U214" s="39">
        <f>(T214-O214)/O214</f>
        <v>-3.8316166898851332E-2</v>
      </c>
      <c r="V214" s="123">
        <f>T214-S214</f>
        <v>-1684.37</v>
      </c>
      <c r="W214" s="191" t="str">
        <f t="shared" si="217"/>
        <v/>
      </c>
      <c r="Y214" s="32">
        <v>-1444.05</v>
      </c>
      <c r="Z214" s="89" t="str">
        <f>ROUND(Y214-T214,2) &amp; "   (" &amp; ROUND(100*(Y214-T214)/T214,1) &amp;"%)"</f>
        <v>240,32   (-14,3%)</v>
      </c>
      <c r="AA214" s="34"/>
      <c r="AB214" s="191" t="str">
        <f t="shared" si="218"/>
        <v/>
      </c>
      <c r="AD214" s="192">
        <v>-1039.33</v>
      </c>
      <c r="AE214" s="35" t="str">
        <f>ROUND(AD214-Y214,2) &amp; "   (" &amp; ROUND(100*(AD214-Y214)/Y214,1) &amp;"%)"</f>
        <v>404,72   (-28%)</v>
      </c>
      <c r="AF214" s="34"/>
      <c r="AG214" s="191" t="str">
        <f t="shared" si="219"/>
        <v/>
      </c>
      <c r="AI214" s="4">
        <v>-1662.67</v>
      </c>
      <c r="AJ214" s="29"/>
      <c r="AK214" s="34"/>
      <c r="AL214" s="191" t="str">
        <f t="shared" si="220"/>
        <v/>
      </c>
      <c r="AN214" s="4">
        <v>-1159.1400000000001</v>
      </c>
      <c r="AO214" s="29"/>
      <c r="AP214" s="34"/>
      <c r="AQ214" s="191" t="str">
        <f t="shared" si="221"/>
        <v/>
      </c>
      <c r="AS214" s="4"/>
      <c r="AT214" s="29"/>
      <c r="AU214" s="34"/>
      <c r="AV214" s="191" t="str">
        <f t="shared" si="222"/>
        <v/>
      </c>
    </row>
    <row r="215" spans="1:48" x14ac:dyDescent="0.3">
      <c r="A215" s="23" t="str">
        <f>LEFT(B215,4)</f>
        <v>7140</v>
      </c>
      <c r="B215" s="212" t="s">
        <v>213</v>
      </c>
      <c r="C215" s="186" t="str">
        <f>LEFT(B215,4) &amp;"/"&amp; RIGHT(B215,6)</f>
        <v>7140/(1235)</v>
      </c>
      <c r="D215" s="187" t="str">
        <f>RIGHT(B215,6) &amp;"  "&amp; RIGHT(LEFT(B215,10),5) &amp;"/"&amp;LEFT(B$81,6)&amp;"."&amp;RIGHT(LEFT(B$81,14),3)&amp;"."</f>
        <v>(1235)  01960/050 Ch.Gén.</v>
      </c>
      <c r="E215" s="188" t="str">
        <f>A627</f>
        <v>7141 – RecettesDiv.NonDeclarées</v>
      </c>
      <c r="F215" s="27">
        <v>-2376.77</v>
      </c>
      <c r="G215" s="27">
        <v>-1936.97</v>
      </c>
      <c r="H215" s="27">
        <v>-1373.04</v>
      </c>
      <c r="I215" s="27">
        <v>-1216.44</v>
      </c>
      <c r="J215" s="27">
        <v>-1550.84</v>
      </c>
      <c r="M215" s="39"/>
      <c r="P215" s="39"/>
      <c r="Q215" s="123"/>
      <c r="R215" s="191"/>
      <c r="V215" s="123"/>
      <c r="W215" s="191"/>
      <c r="Y215" s="32"/>
      <c r="Z215" s="89"/>
      <c r="AA215" s="34"/>
      <c r="AB215" s="191"/>
      <c r="AD215" s="4"/>
      <c r="AE215" s="35"/>
      <c r="AF215" s="34"/>
      <c r="AG215" s="191"/>
      <c r="AI215" s="4"/>
      <c r="AJ215" s="29"/>
      <c r="AK215" s="34"/>
      <c r="AL215" s="191"/>
      <c r="AN215" s="205"/>
      <c r="AO215" s="29"/>
      <c r="AP215" s="34"/>
      <c r="AQ215" s="191"/>
      <c r="AS215" s="4"/>
      <c r="AT215" s="29"/>
      <c r="AU215" s="34"/>
      <c r="AV215" s="191"/>
    </row>
    <row r="216" spans="1:48" x14ac:dyDescent="0.3">
      <c r="A216" s="23" t="str">
        <f>LEFT(B216,4)</f>
        <v>7160</v>
      </c>
      <c r="B216" s="212" t="s">
        <v>214</v>
      </c>
      <c r="C216" s="186" t="str">
        <f>LEFT(B216,4) &amp;"/"&amp; RIGHT(B216,6)</f>
        <v>7160/(1237)</v>
      </c>
      <c r="D216" s="187" t="str">
        <f>RIGHT(B216,6) &amp;"  "&amp; RIGHT(LEFT(B216,10),5) &amp;"/"&amp;LEFT(B$81,6)&amp;"."&amp;RIGHT(LEFT(B$81,14),3)&amp;"."</f>
        <v>(1237)  02000/050 Ch.Gén.</v>
      </c>
      <c r="E216" s="218" t="str">
        <f>A636</f>
        <v>7163 – Recettes Diverses.</v>
      </c>
      <c r="F216" s="27">
        <v>0</v>
      </c>
      <c r="M216" s="39"/>
      <c r="P216" s="39"/>
      <c r="Q216" s="123"/>
      <c r="R216" s="191"/>
      <c r="V216" s="123"/>
      <c r="W216" s="191"/>
      <c r="Y216" s="32"/>
      <c r="Z216" s="89"/>
      <c r="AA216" s="34"/>
      <c r="AB216" s="191"/>
      <c r="AD216" s="4"/>
      <c r="AE216" s="35"/>
      <c r="AF216" s="34"/>
      <c r="AG216" s="191"/>
      <c r="AI216" s="4"/>
      <c r="AJ216" s="29"/>
      <c r="AK216" s="34"/>
      <c r="AL216" s="191"/>
      <c r="AN216" s="205"/>
      <c r="AO216" s="29"/>
      <c r="AP216" s="34"/>
      <c r="AQ216" s="191"/>
      <c r="AS216" s="4"/>
      <c r="AT216" s="29"/>
      <c r="AU216" s="34"/>
      <c r="AV216" s="191"/>
    </row>
    <row r="217" spans="1:48" x14ac:dyDescent="0.3">
      <c r="A217" s="23" t="str">
        <f>LEFT(B217,4)</f>
        <v>6780</v>
      </c>
      <c r="B217" s="212" t="s">
        <v>215</v>
      </c>
      <c r="C217" s="186" t="str">
        <f>LEFT(B217,4) &amp;"/"&amp; RIGHT(B217,6)</f>
        <v>6780/(1250)</v>
      </c>
      <c r="D217" s="187" t="str">
        <f>RIGHT(B217,6) &amp;"  "&amp; RIGHT(LEFT(B217,10),5) &amp;"/"&amp;LEFT(B$81,6)&amp;"."&amp;RIGHT(LEFT(B$81,14),3)&amp;"."</f>
        <v>(1250)  00988/050 Ch.Gén.</v>
      </c>
      <c r="E217" s="188" t="str">
        <f>A620</f>
        <v>6788 – Rompus Arrondis</v>
      </c>
      <c r="F217" s="27">
        <v>311.31</v>
      </c>
      <c r="G217" s="27">
        <v>2.25</v>
      </c>
      <c r="H217" s="27">
        <v>-1.81</v>
      </c>
      <c r="I217" s="27">
        <v>16.68</v>
      </c>
      <c r="J217" s="27">
        <v>-0.92</v>
      </c>
      <c r="L217" s="27">
        <v>-6.09</v>
      </c>
      <c r="M217" s="39"/>
      <c r="O217" s="27">
        <v>0.75</v>
      </c>
      <c r="P217" s="39">
        <f>(O217-L217)/L217</f>
        <v>-1.1231527093596059</v>
      </c>
      <c r="Q217" s="123">
        <f>O217-N217</f>
        <v>0.75</v>
      </c>
      <c r="R217" s="191">
        <f>IF(O217&gt;0,O217/O$219,"")</f>
        <v>2.5119052587038016E-6</v>
      </c>
      <c r="T217" s="27">
        <v>-4.41</v>
      </c>
      <c r="U217" s="39">
        <f>(T217-O217)/O217</f>
        <v>-6.88</v>
      </c>
      <c r="V217" s="123">
        <f>T217-S217</f>
        <v>-4.41</v>
      </c>
      <c r="W217" s="191" t="str">
        <f>IF(T217&gt;0,T217/T$219,"")</f>
        <v/>
      </c>
      <c r="Y217" s="27">
        <v>0.24</v>
      </c>
      <c r="Z217" s="89" t="str">
        <f>ROUND(Y217-T217,2) &amp; "   (" &amp; ROUND(100*(Y217-T217)/T217,1) &amp;"%)"</f>
        <v>4,65   (-105,4%)</v>
      </c>
      <c r="AA217" s="34"/>
      <c r="AB217" s="191">
        <f>IF(Y217&gt;0,Y217/Y$219,"")</f>
        <v>7.7201246375522091E-7</v>
      </c>
      <c r="AD217" s="4">
        <v>6.75</v>
      </c>
      <c r="AE217" s="35" t="str">
        <f>ROUND(AD217-Y217,2) &amp; "   (" &amp; ROUND(100*(AD217-Y217)/Y217,1) &amp;"%)"</f>
        <v>6,51   (2712,5%)</v>
      </c>
      <c r="AF217" s="34"/>
      <c r="AG217" s="191">
        <f>IF(AD217&gt;0,AD217/AD$219,"")</f>
        <v>2.2612215380045009E-5</v>
      </c>
      <c r="AI217" s="4">
        <v>-6.41</v>
      </c>
      <c r="AJ217" s="29"/>
      <c r="AK217" s="34"/>
      <c r="AL217" s="191" t="str">
        <f>IF(AI217&gt;0,AI217/AI$219,"")</f>
        <v/>
      </c>
      <c r="AN217" s="4">
        <v>-0.14000000000000001</v>
      </c>
      <c r="AO217" s="29"/>
      <c r="AP217" s="34"/>
      <c r="AQ217" s="191" t="str">
        <f>IF(AN217&gt;0,AN217/AN$219,"")</f>
        <v/>
      </c>
      <c r="AS217" s="4"/>
      <c r="AT217" s="29"/>
      <c r="AU217" s="34"/>
      <c r="AV217" s="191" t="str">
        <f>IF(AS217&gt;0,AS217/AS$219,"")</f>
        <v/>
      </c>
    </row>
    <row r="218" spans="1:48" s="122" customFormat="1" ht="18" thickBot="1" x14ac:dyDescent="0.35">
      <c r="A218" s="111"/>
      <c r="B218" s="220"/>
      <c r="C218" s="221"/>
      <c r="D218" s="221"/>
      <c r="E218" s="221"/>
      <c r="F218" s="153"/>
      <c r="G218" s="153"/>
      <c r="H218" s="153"/>
      <c r="I218" s="153"/>
      <c r="J218" s="153"/>
      <c r="K218" s="154"/>
      <c r="L218" s="153"/>
      <c r="M218" s="116"/>
      <c r="N218" s="154"/>
      <c r="O218" s="153"/>
      <c r="P218" s="222"/>
      <c r="Q218" s="125"/>
      <c r="R218" s="117" t="str">
        <f>IF(O218&gt;0,O218/O$219,"")</f>
        <v/>
      </c>
      <c r="S218" s="154"/>
      <c r="T218" s="153"/>
      <c r="U218" s="116"/>
      <c r="V218" s="125"/>
      <c r="W218" s="117" t="str">
        <f>IF(T218&gt;0,T218/T$219,"")</f>
        <v/>
      </c>
      <c r="X218" s="154"/>
      <c r="Y218" s="153"/>
      <c r="Z218" s="116"/>
      <c r="AA218" s="120"/>
      <c r="AB218" s="117"/>
      <c r="AC218" s="154"/>
      <c r="AD218" s="153"/>
      <c r="AE218" s="121"/>
      <c r="AF218" s="120"/>
      <c r="AG218" s="117"/>
      <c r="AH218" s="154"/>
      <c r="AI218" s="153"/>
      <c r="AJ218" s="116"/>
      <c r="AK218" s="120"/>
      <c r="AL218" s="117"/>
      <c r="AM218" s="154"/>
      <c r="AN218" s="466"/>
      <c r="AO218" s="116"/>
      <c r="AP218" s="120"/>
      <c r="AQ218" s="117"/>
      <c r="AR218" s="154"/>
      <c r="AS218" s="153"/>
      <c r="AT218" s="116"/>
      <c r="AU218" s="120"/>
      <c r="AV218" s="117"/>
    </row>
    <row r="219" spans="1:48" s="228" customFormat="1" x14ac:dyDescent="0.3">
      <c r="A219" s="223"/>
      <c r="B219" s="224"/>
      <c r="C219" s="225"/>
      <c r="D219" s="225"/>
      <c r="E219" s="225"/>
      <c r="F219" s="226">
        <f t="shared" ref="F219:L219" si="237">SUM(F82:F217)</f>
        <v>298817.96999999991</v>
      </c>
      <c r="G219" s="226">
        <f t="shared" si="237"/>
        <v>315402.10000000009</v>
      </c>
      <c r="H219" s="226">
        <f t="shared" si="237"/>
        <v>324474.2300000001</v>
      </c>
      <c r="I219" s="226">
        <f t="shared" si="237"/>
        <v>303113.64999999997</v>
      </c>
      <c r="J219" s="226">
        <f t="shared" si="237"/>
        <v>281001.8600000001</v>
      </c>
      <c r="K219" s="56">
        <f t="shared" si="237"/>
        <v>288560</v>
      </c>
      <c r="L219" s="226">
        <f t="shared" si="237"/>
        <v>287090.75999999995</v>
      </c>
      <c r="M219" s="57">
        <f>(L219-I219)</f>
        <v>-16022.890000000014</v>
      </c>
      <c r="N219" s="56">
        <f>SUM(N82:N217)</f>
        <v>288560</v>
      </c>
      <c r="O219" s="226">
        <f>SUM(O82:O217)</f>
        <v>298578.14</v>
      </c>
      <c r="P219" s="57">
        <f>(O219-L219)</f>
        <v>11487.380000000063</v>
      </c>
      <c r="Q219" s="123">
        <f>O219-N219</f>
        <v>10018.140000000014</v>
      </c>
      <c r="R219" s="97"/>
      <c r="S219" s="56">
        <f>SUM(S82:S217)</f>
        <v>289000</v>
      </c>
      <c r="T219" s="226">
        <f>SUM(T82:T217)</f>
        <v>293128.84999999986</v>
      </c>
      <c r="U219" s="57">
        <f>(T219-O219)</f>
        <v>-5449.2900000001537</v>
      </c>
      <c r="V219" s="123">
        <f>T219-S219</f>
        <v>4128.8499999998603</v>
      </c>
      <c r="W219" s="97"/>
      <c r="X219" s="56">
        <f>SUM(X82:X217)</f>
        <v>302030</v>
      </c>
      <c r="Y219" s="226">
        <f>SUM(Y82:Y217)</f>
        <v>310875.81000000006</v>
      </c>
      <c r="Z219" s="59" t="str">
        <f>ROUND(Y219-T219,2) &amp; "   (" &amp; ROUND(100*(Y219-T219)/T219,1) &amp;"%)"</f>
        <v>17746,96   (6,1%)</v>
      </c>
      <c r="AA219" s="34" t="str">
        <f>ROUND(Y219-X219,2) &amp; "  (" &amp; ROUND(100*(Y219-X219)/X219,1) &amp;"%)"</f>
        <v>8845,81  (2,9%)</v>
      </c>
      <c r="AB219" s="97"/>
      <c r="AC219" s="56">
        <f>SUM(AC82:AC217)</f>
        <v>305600</v>
      </c>
      <c r="AD219" s="227">
        <f>SUM(AD82:AD217)</f>
        <v>298511.22000000003</v>
      </c>
      <c r="AE219" s="35" t="str">
        <f>ROUND(AD219-Y219,2) &amp; "   (" &amp; ROUND(100*(AD219-Y219)/Y219,1) &amp;"%)"</f>
        <v>-12364,59   (-4%)</v>
      </c>
      <c r="AF219" s="34" t="str">
        <f>ROUND(AD219-AC219,2) &amp; "  (" &amp; ROUND(100*(AD219-AC219)/AC219,1) &amp;"%)"</f>
        <v>-7088,78  (-2,3%)</v>
      </c>
      <c r="AG219" s="191">
        <f>IF(AD219&gt;0,AD219/AD$317,"")</f>
        <v>0.59277467594961264</v>
      </c>
      <c r="AH219" s="56">
        <f>SUM(AH82:AH217)</f>
        <v>309890</v>
      </c>
      <c r="AI219" s="227">
        <f>SUM(AI82:AI217)</f>
        <v>297222.33000000019</v>
      </c>
      <c r="AJ219" s="35" t="str">
        <f t="shared" ref="AJ219" si="238">ROUND(AI219-AD219,2) &amp; "   (" &amp; ROUND(100*(AI219-AD219)/AD219,1) &amp;"%)"</f>
        <v>-1288,89   (-0,4%)</v>
      </c>
      <c r="AK219" s="34" t="str">
        <f>ROUND(AI219-AH219,2) &amp; "  (" &amp; ROUND(100*(AI219-AH219)/AH219,1) &amp;"%)"</f>
        <v>-12667,67  (-4,1%)</v>
      </c>
      <c r="AL219" s="97"/>
      <c r="AM219" s="56">
        <f>SUM(AM82:AM217)</f>
        <v>314460</v>
      </c>
      <c r="AN219" s="227">
        <f>SUM(AN82:AN217)</f>
        <v>237643.58</v>
      </c>
      <c r="AO219" s="35" t="str">
        <f t="shared" ref="AO219" si="239">ROUND(AN219-AI219,2) &amp; "   (" &amp; ROUND(100*(AN219-AI219)/AI219,1) &amp;"%)"</f>
        <v>-59578,75   (-20%)</v>
      </c>
      <c r="AP219" s="34" t="str">
        <f>ROUND(AN219-AM219,2) &amp; "  (" &amp; ROUND(100*(AN219-AM219)/AM219,1) &amp;"%)"</f>
        <v>-76816,42  (-24,4%)</v>
      </c>
      <c r="AQ219" s="97"/>
      <c r="AR219" s="56">
        <f>SUM(AR82:AR217)</f>
        <v>300650</v>
      </c>
      <c r="AS219" s="227">
        <f>SUM(AS82:AS217)</f>
        <v>1</v>
      </c>
      <c r="AT219" s="35" t="str">
        <f t="shared" ref="AT219" si="240">ROUND(AS219-AN219,2) &amp; "   (" &amp; ROUND(100*(AS219-AN219)/AN219,1) &amp;"%)"</f>
        <v>-237642,58   (-100%)</v>
      </c>
      <c r="AU219" s="34" t="str">
        <f>ROUND(AS219-AR219,2) &amp; "  (" &amp; ROUND(100*(AS219-AR219)/AR219,1) &amp;"%)"</f>
        <v>-300649  (-100%)</v>
      </c>
      <c r="AV219" s="97"/>
    </row>
    <row r="220" spans="1:48" s="228" customFormat="1" x14ac:dyDescent="0.3">
      <c r="A220" s="223"/>
      <c r="B220" s="224"/>
      <c r="C220" s="225"/>
      <c r="D220" s="225"/>
      <c r="E220" s="225"/>
      <c r="F220" s="226"/>
      <c r="G220" s="226"/>
      <c r="H220" s="226"/>
      <c r="I220" s="226"/>
      <c r="J220" s="226"/>
      <c r="K220" s="56"/>
      <c r="L220" s="226"/>
      <c r="M220" s="57"/>
      <c r="N220" s="56"/>
      <c r="O220" s="226"/>
      <c r="P220" s="57"/>
      <c r="Q220" s="123"/>
      <c r="R220" s="97"/>
      <c r="S220" s="56"/>
      <c r="T220" s="226"/>
      <c r="U220" s="57"/>
      <c r="V220" s="123"/>
      <c r="W220" s="97"/>
      <c r="X220" s="56"/>
      <c r="Y220" s="226"/>
      <c r="Z220" s="59"/>
      <c r="AA220" s="34"/>
      <c r="AB220" s="97"/>
      <c r="AC220" s="56"/>
      <c r="AD220" s="227"/>
      <c r="AE220" s="35"/>
      <c r="AF220" s="34"/>
      <c r="AG220" s="97"/>
      <c r="AH220" s="56"/>
      <c r="AI220" s="227"/>
      <c r="AJ220" s="29"/>
      <c r="AK220" s="34"/>
      <c r="AL220" s="97"/>
      <c r="AM220" s="56"/>
      <c r="AN220" s="227"/>
      <c r="AO220" s="29"/>
      <c r="AP220" s="34"/>
      <c r="AQ220" s="97"/>
      <c r="AR220" s="56"/>
      <c r="AS220" s="227"/>
      <c r="AT220" s="29"/>
      <c r="AU220" s="34"/>
      <c r="AV220" s="97"/>
    </row>
    <row r="221" spans="1:48" s="228" customFormat="1" x14ac:dyDescent="0.3">
      <c r="A221" s="223"/>
      <c r="B221" s="224"/>
      <c r="C221" s="225"/>
      <c r="D221" s="225"/>
      <c r="E221" s="225"/>
      <c r="F221" s="226"/>
      <c r="G221" s="226"/>
      <c r="H221" s="226"/>
      <c r="I221" s="226"/>
      <c r="J221" s="226"/>
      <c r="K221" s="56"/>
      <c r="L221" s="226"/>
      <c r="M221" s="57"/>
      <c r="N221" s="56"/>
      <c r="O221" s="226"/>
      <c r="P221" s="57"/>
      <c r="Q221" s="123"/>
      <c r="R221" s="97"/>
      <c r="S221" s="56"/>
      <c r="T221" s="226"/>
      <c r="U221" s="57"/>
      <c r="V221" s="123"/>
      <c r="W221" s="97"/>
      <c r="X221" s="56"/>
      <c r="Y221" s="226"/>
      <c r="Z221" s="59"/>
      <c r="AA221" s="34"/>
      <c r="AB221" s="97"/>
      <c r="AC221" s="56"/>
      <c r="AD221" s="227"/>
      <c r="AE221" s="35"/>
      <c r="AF221" s="34"/>
      <c r="AG221" s="97"/>
      <c r="AH221" s="56"/>
      <c r="AI221" s="227"/>
      <c r="AJ221" s="29"/>
      <c r="AK221" s="34"/>
      <c r="AL221" s="97"/>
      <c r="AM221" s="56"/>
      <c r="AN221" s="227"/>
      <c r="AO221" s="29"/>
      <c r="AP221" s="34"/>
      <c r="AQ221" s="97"/>
      <c r="AR221" s="56"/>
      <c r="AS221" s="227"/>
      <c r="AT221" s="29"/>
      <c r="AU221" s="34"/>
      <c r="AV221" s="97"/>
    </row>
    <row r="222" spans="1:48" s="136" customFormat="1" x14ac:dyDescent="0.3">
      <c r="A222" s="127"/>
      <c r="B222" s="229" t="s">
        <v>216</v>
      </c>
      <c r="C222" s="230"/>
      <c r="D222" s="230"/>
      <c r="E222" s="230"/>
      <c r="F222" s="231"/>
      <c r="G222" s="231"/>
      <c r="H222" s="231"/>
      <c r="I222" s="231"/>
      <c r="J222" s="231"/>
      <c r="K222" s="232"/>
      <c r="L222" s="231"/>
      <c r="M222" s="233"/>
      <c r="N222" s="232"/>
      <c r="O222" s="231"/>
      <c r="P222" s="233"/>
      <c r="Q222" s="234"/>
      <c r="R222" s="235"/>
      <c r="S222" s="232"/>
      <c r="T222" s="231"/>
      <c r="U222" s="134"/>
      <c r="V222" s="234"/>
      <c r="W222" s="235"/>
      <c r="X222" s="232"/>
      <c r="Y222" s="231"/>
      <c r="Z222" s="134"/>
      <c r="AA222" s="236"/>
      <c r="AB222" s="235"/>
      <c r="AC222" s="232"/>
      <c r="AD222" s="231"/>
      <c r="AE222" s="135"/>
      <c r="AF222" s="236"/>
      <c r="AG222" s="235"/>
      <c r="AH222" s="232"/>
      <c r="AI222" s="231"/>
      <c r="AJ222" s="134"/>
      <c r="AK222" s="236"/>
      <c r="AL222" s="235"/>
      <c r="AM222" s="232"/>
      <c r="AN222" s="231"/>
      <c r="AO222" s="134"/>
      <c r="AP222" s="236"/>
      <c r="AQ222" s="235"/>
      <c r="AR222" s="232"/>
      <c r="AS222" s="231"/>
      <c r="AT222" s="134"/>
      <c r="AU222" s="236"/>
      <c r="AV222" s="235"/>
    </row>
    <row r="223" spans="1:48" s="122" customFormat="1" ht="18" thickBot="1" x14ac:dyDescent="0.35">
      <c r="A223" s="111" t="str">
        <f>LEFT(B223,4)</f>
        <v>6150</v>
      </c>
      <c r="B223" s="237" t="s">
        <v>217</v>
      </c>
      <c r="C223" s="238"/>
      <c r="D223" s="239" t="str">
        <f>RIGHT(LEFT(B223,10),5)&amp;"/ "&amp;LEFT(B$222,3)&amp;"."&amp;RIGHT(LEFT(B$222,7),3)&amp;"."&amp; RIGHT(B$222,1)</f>
        <v>09116/ 101.Esc.A</v>
      </c>
      <c r="E223" s="240"/>
      <c r="F223" s="153">
        <v>0</v>
      </c>
      <c r="G223" s="153">
        <v>0</v>
      </c>
      <c r="H223" s="153">
        <v>0</v>
      </c>
      <c r="I223" s="153">
        <v>0</v>
      </c>
      <c r="J223" s="153">
        <v>0</v>
      </c>
      <c r="K223" s="154">
        <v>0</v>
      </c>
      <c r="L223" s="153">
        <v>0</v>
      </c>
      <c r="M223" s="116"/>
      <c r="N223" s="154">
        <v>0</v>
      </c>
      <c r="O223" s="153">
        <v>0</v>
      </c>
      <c r="P223" s="116"/>
      <c r="Q223" s="125">
        <v>0</v>
      </c>
      <c r="R223" s="117"/>
      <c r="S223" s="154">
        <v>0</v>
      </c>
      <c r="T223" s="153">
        <v>0</v>
      </c>
      <c r="U223" s="116"/>
      <c r="V223" s="125"/>
      <c r="W223" s="117"/>
      <c r="X223" s="154">
        <v>0</v>
      </c>
      <c r="Y223" s="153">
        <v>0</v>
      </c>
      <c r="Z223" s="119"/>
      <c r="AA223" s="120"/>
      <c r="AB223" s="117"/>
      <c r="AC223" s="154">
        <v>0</v>
      </c>
      <c r="AD223" s="153">
        <v>0</v>
      </c>
      <c r="AE223" s="121"/>
      <c r="AF223" s="120"/>
      <c r="AG223" s="117"/>
      <c r="AH223" s="154">
        <v>0</v>
      </c>
      <c r="AI223" s="153">
        <v>0</v>
      </c>
      <c r="AJ223" s="121" t="str">
        <f>ROUND(AI223-AD223,2) &amp; "   (" &amp; ROUND(100*(AI223-AD223)/(AD223+0.001),1) &amp;"%)"</f>
        <v>0   (0%)</v>
      </c>
      <c r="AK223" s="120"/>
      <c r="AL223" s="117"/>
      <c r="AM223" s="154">
        <v>0</v>
      </c>
      <c r="AN223" s="153">
        <v>302.5</v>
      </c>
      <c r="AO223" s="121" t="str">
        <f>ROUND(AN223-AI223,2) &amp; "   (" &amp; ROUND(100*(AN223-AI223)/(AI223+0.0001),1) &amp;"%)"</f>
        <v>302,5   (302500000%)</v>
      </c>
      <c r="AP223" s="120"/>
      <c r="AQ223" s="117"/>
      <c r="AR223" s="154">
        <v>0</v>
      </c>
      <c r="AS223" s="153">
        <v>0</v>
      </c>
      <c r="AT223" s="121" t="str">
        <f t="shared" ref="AT223:AT224" si="241">ROUND(AS223-AN223,2) &amp; "   (" &amp; ROUND(100*(AS223-AN223)/AN223,1) &amp;"%)"</f>
        <v>-302,5   (-100%)</v>
      </c>
      <c r="AU223" s="120"/>
      <c r="AV223" s="117"/>
    </row>
    <row r="224" spans="1:48" s="228" customFormat="1" x14ac:dyDescent="0.3">
      <c r="A224" s="223"/>
      <c r="B224" s="224"/>
      <c r="C224" s="225"/>
      <c r="D224" s="225"/>
      <c r="E224" s="225"/>
      <c r="F224" s="226">
        <f>SUM(F$223:F223)</f>
        <v>0</v>
      </c>
      <c r="G224" s="226">
        <f>SUM(G$223:G223)</f>
        <v>0</v>
      </c>
      <c r="H224" s="226">
        <f>SUM(H$223:H223)</f>
        <v>0</v>
      </c>
      <c r="I224" s="226">
        <f>SUM(I$223:I223)</f>
        <v>0</v>
      </c>
      <c r="J224" s="226">
        <f>SUM(J$223:J223)</f>
        <v>0</v>
      </c>
      <c r="K224" s="241">
        <f>SUM(K$223:K223)</f>
        <v>0</v>
      </c>
      <c r="L224" s="226">
        <f>SUM(L$223:L223)</f>
        <v>0</v>
      </c>
      <c r="M224" s="57"/>
      <c r="N224" s="56">
        <f>SUM(N$223:N223)</f>
        <v>0</v>
      </c>
      <c r="O224" s="226">
        <f>SUM(O$223:O223)</f>
        <v>0</v>
      </c>
      <c r="P224" s="57"/>
      <c r="Q224" s="123">
        <f>SUM(Q$223:Q223)</f>
        <v>0</v>
      </c>
      <c r="R224" s="97"/>
      <c r="S224" s="56">
        <f>SUM(S$223:S223)</f>
        <v>0</v>
      </c>
      <c r="T224" s="226">
        <f>SUM(T$223:T223)</f>
        <v>0</v>
      </c>
      <c r="U224" s="57"/>
      <c r="V224" s="123"/>
      <c r="W224" s="97"/>
      <c r="X224" s="56">
        <f>SUM(X$223:X223)</f>
        <v>0</v>
      </c>
      <c r="Y224" s="226">
        <f>SUM(Y$223:Y223)</f>
        <v>0</v>
      </c>
      <c r="Z224" s="59"/>
      <c r="AA224" s="34"/>
      <c r="AB224" s="97"/>
      <c r="AC224" s="56">
        <f>SUM(AC$223:AC223)</f>
        <v>0</v>
      </c>
      <c r="AD224" s="227">
        <f>SUM(AD$223:AD223)</f>
        <v>0</v>
      </c>
      <c r="AE224" s="35"/>
      <c r="AF224" s="34"/>
      <c r="AG224" s="97"/>
      <c r="AH224" s="56">
        <f>SUM(AH$223:AH223)</f>
        <v>0</v>
      </c>
      <c r="AI224" s="227">
        <f>SUM(AI$223:AI223)</f>
        <v>0</v>
      </c>
      <c r="AJ224" s="29" t="str">
        <f>ROUND(AI224-AD224,2) &amp; "   (" &amp; ROUND(100*(AI224-AD224)/(AD224+0.001),1) &amp;"%)"</f>
        <v>0   (0%)</v>
      </c>
      <c r="AK224" s="34"/>
      <c r="AL224" s="97"/>
      <c r="AM224" s="56">
        <f>SUM(AM$223:AM223)</f>
        <v>0</v>
      </c>
      <c r="AN224" s="227">
        <f>SUM(AN$223:AN223)</f>
        <v>302.5</v>
      </c>
      <c r="AO224" s="35" t="str">
        <f>ROUND(AN224-AI224,2) &amp; "   (" &amp; ROUND(100*(AN224-AI224)/(AI224+0.0001),1) &amp;"%)"</f>
        <v>302,5   (302500000%)</v>
      </c>
      <c r="AP224" s="34"/>
      <c r="AQ224" s="97"/>
      <c r="AR224" s="56">
        <f>SUM(AR$223:AR223)</f>
        <v>0</v>
      </c>
      <c r="AS224" s="227">
        <f>SUM(AS$223:AS223)</f>
        <v>0</v>
      </c>
      <c r="AT224" s="29" t="str">
        <f t="shared" si="241"/>
        <v>-302,5   (-100%)</v>
      </c>
      <c r="AU224" s="34"/>
      <c r="AV224" s="97"/>
    </row>
    <row r="225" spans="1:48" s="228" customFormat="1" x14ac:dyDescent="0.3">
      <c r="A225" s="223"/>
      <c r="B225" s="224"/>
      <c r="C225" s="225"/>
      <c r="D225" s="225"/>
      <c r="E225" s="225"/>
      <c r="F225" s="226"/>
      <c r="G225" s="226"/>
      <c r="H225" s="226"/>
      <c r="I225" s="226"/>
      <c r="J225" s="226"/>
      <c r="K225" s="241"/>
      <c r="L225" s="226"/>
      <c r="M225" s="57"/>
      <c r="N225" s="56"/>
      <c r="O225" s="226"/>
      <c r="P225" s="57"/>
      <c r="Q225" s="123"/>
      <c r="R225" s="97"/>
      <c r="S225" s="56"/>
      <c r="T225" s="226"/>
      <c r="U225" s="57"/>
      <c r="V225" s="123"/>
      <c r="W225" s="97"/>
      <c r="X225" s="56"/>
      <c r="Y225" s="226"/>
      <c r="Z225" s="59"/>
      <c r="AA225" s="34"/>
      <c r="AB225" s="97"/>
      <c r="AC225" s="56"/>
      <c r="AD225" s="227"/>
      <c r="AE225" s="35"/>
      <c r="AF225" s="34"/>
      <c r="AG225" s="97"/>
      <c r="AH225" s="56"/>
      <c r="AI225" s="227"/>
      <c r="AJ225" s="29"/>
      <c r="AK225" s="34"/>
      <c r="AL225" s="97"/>
      <c r="AM225" s="56"/>
      <c r="AN225" s="227"/>
      <c r="AO225" s="29"/>
      <c r="AP225" s="34"/>
      <c r="AQ225" s="97"/>
      <c r="AR225" s="56"/>
      <c r="AS225" s="227"/>
      <c r="AT225" s="29"/>
      <c r="AU225" s="34"/>
      <c r="AV225" s="97"/>
    </row>
    <row r="226" spans="1:48" s="251" customFormat="1" x14ac:dyDescent="0.3">
      <c r="A226" s="217"/>
      <c r="B226" s="242"/>
      <c r="C226" s="243"/>
      <c r="D226" s="243"/>
      <c r="E226" s="243"/>
      <c r="F226" s="244"/>
      <c r="G226" s="244"/>
      <c r="H226" s="244"/>
      <c r="I226" s="244"/>
      <c r="J226" s="244"/>
      <c r="K226" s="245"/>
      <c r="L226" s="246"/>
      <c r="M226" s="63"/>
      <c r="N226" s="247"/>
      <c r="O226" s="246"/>
      <c r="P226" s="63"/>
      <c r="Q226" s="91"/>
      <c r="R226" s="92"/>
      <c r="S226" s="247"/>
      <c r="T226" s="246"/>
      <c r="U226" s="248"/>
      <c r="V226" s="91"/>
      <c r="W226" s="92"/>
      <c r="X226" s="247"/>
      <c r="Y226" s="246"/>
      <c r="Z226" s="249"/>
      <c r="AA226" s="93"/>
      <c r="AB226" s="92"/>
      <c r="AC226" s="247"/>
      <c r="AD226" s="250"/>
      <c r="AE226" s="9"/>
      <c r="AF226" s="93"/>
      <c r="AG226" s="92"/>
      <c r="AH226" s="247"/>
      <c r="AI226" s="250"/>
      <c r="AJ226" s="39"/>
      <c r="AK226" s="93"/>
      <c r="AL226" s="92"/>
      <c r="AM226" s="247"/>
      <c r="AN226" s="250"/>
      <c r="AO226" s="39"/>
      <c r="AP226" s="93"/>
      <c r="AQ226" s="92"/>
      <c r="AR226" s="247"/>
      <c r="AS226" s="250"/>
      <c r="AT226" s="39"/>
      <c r="AU226" s="93"/>
      <c r="AV226" s="92"/>
    </row>
    <row r="227" spans="1:48" s="136" customFormat="1" x14ac:dyDescent="0.3">
      <c r="A227" s="127"/>
      <c r="B227" s="229" t="s">
        <v>218</v>
      </c>
      <c r="C227" s="230"/>
      <c r="D227" s="230"/>
      <c r="E227" s="230"/>
      <c r="F227" s="231"/>
      <c r="G227" s="231"/>
      <c r="H227" s="231"/>
      <c r="I227" s="231"/>
      <c r="J227" s="231"/>
      <c r="K227" s="232"/>
      <c r="L227" s="231"/>
      <c r="M227" s="233"/>
      <c r="N227" s="232"/>
      <c r="O227" s="231"/>
      <c r="P227" s="233"/>
      <c r="Q227" s="234"/>
      <c r="R227" s="235"/>
      <c r="S227" s="232"/>
      <c r="T227" s="231"/>
      <c r="U227" s="134"/>
      <c r="V227" s="234"/>
      <c r="W227" s="235"/>
      <c r="X227" s="232"/>
      <c r="Y227" s="231"/>
      <c r="Z227" s="134"/>
      <c r="AA227" s="236"/>
      <c r="AB227" s="235"/>
      <c r="AC227" s="232"/>
      <c r="AD227" s="231"/>
      <c r="AE227" s="135"/>
      <c r="AF227" s="236"/>
      <c r="AG227" s="235"/>
      <c r="AH227" s="232"/>
      <c r="AI227" s="231"/>
      <c r="AJ227" s="134"/>
      <c r="AK227" s="236"/>
      <c r="AL227" s="235"/>
      <c r="AM227" s="232"/>
      <c r="AN227" s="231"/>
      <c r="AO227" s="134"/>
      <c r="AP227" s="236"/>
      <c r="AQ227" s="235"/>
      <c r="AR227" s="232"/>
      <c r="AS227" s="231"/>
      <c r="AT227" s="134"/>
      <c r="AU227" s="236"/>
      <c r="AV227" s="235"/>
    </row>
    <row r="228" spans="1:48" x14ac:dyDescent="0.3">
      <c r="A228" s="23" t="str">
        <f t="shared" ref="A228:A235" si="242">LEFT(B228,4)</f>
        <v>6020</v>
      </c>
      <c r="B228" s="252" t="s">
        <v>219</v>
      </c>
      <c r="C228" s="253"/>
      <c r="D228" s="187" t="str">
        <f t="shared" ref="D228:D235" si="243">RIGHT(LEFT(B228,10),5) &amp;"/"&amp;LEFT(B$227,3)&amp;"."&amp;RIGHT(LEFT(B$227,7),3)&amp;"."&amp;RIGHT(B$227,1)</f>
        <v>40264/601.Asc.A</v>
      </c>
      <c r="E228" s="187"/>
      <c r="F228" s="27">
        <v>551.17999999999995</v>
      </c>
      <c r="G228" s="27">
        <v>615.05999999999995</v>
      </c>
      <c r="H228" s="27">
        <v>712.9</v>
      </c>
      <c r="I228" s="27">
        <v>519.08000000000004</v>
      </c>
      <c r="J228" s="27">
        <v>389.12</v>
      </c>
      <c r="K228" s="28">
        <v>400</v>
      </c>
      <c r="L228" s="27">
        <v>380.61</v>
      </c>
      <c r="M228" s="39">
        <f>(L228-J228)/J228</f>
        <v>-2.1869860197368397E-2</v>
      </c>
      <c r="N228" s="28">
        <v>400</v>
      </c>
      <c r="O228" s="27">
        <v>438.44</v>
      </c>
      <c r="P228" s="39">
        <f>(O228-L228)/L228</f>
        <v>0.15194030635033232</v>
      </c>
      <c r="Q228" s="123">
        <f>O228-N228</f>
        <v>38.44</v>
      </c>
      <c r="R228" s="97"/>
      <c r="S228" s="28">
        <v>450</v>
      </c>
      <c r="T228" s="27">
        <v>440.64</v>
      </c>
      <c r="U228" s="39">
        <f>(T228-O228)/O228</f>
        <v>5.0177903475959965E-3</v>
      </c>
      <c r="V228" s="123">
        <f>T228-S228</f>
        <v>-9.3600000000000136</v>
      </c>
      <c r="W228" s="97"/>
      <c r="X228" s="28">
        <v>450</v>
      </c>
      <c r="Y228" s="27">
        <v>437.46</v>
      </c>
      <c r="Z228" s="89" t="str">
        <f>ROUND(Y228-T228,2) &amp; "   (" &amp; ROUND(100*(Y228-T228)/T228,1) &amp;"%)"</f>
        <v>-3,18   (-0,7%)</v>
      </c>
      <c r="AA228" s="34" t="str">
        <f>ROUND(Y228-X228,2) &amp; "  (" &amp; ROUND(100*(Y228-X228)/X228,1) &amp;"%)"</f>
        <v>-12,54  (-2,8%)</v>
      </c>
      <c r="AB228" s="97"/>
      <c r="AC228" s="28">
        <v>450</v>
      </c>
      <c r="AD228" s="27">
        <v>587.42999999999995</v>
      </c>
      <c r="AE228" s="9" t="str">
        <f>ROUND(AD228-Y228,2) &amp; "   (" &amp; ROUND(100*(AD228-Y228)/Y228,1) &amp;"%)"</f>
        <v>149,97   (34,3%)</v>
      </c>
      <c r="AF228" s="34" t="str">
        <f>ROUND(AD228-AC228,2) &amp; "  (" &amp; ROUND(100*(AD228-AC228)/AC228,1) &amp;"%)"</f>
        <v>137,43  (30,5%)</v>
      </c>
      <c r="AG228" s="97"/>
      <c r="AH228" s="28">
        <v>460</v>
      </c>
      <c r="AI228" s="27">
        <v>514.58000000000004</v>
      </c>
      <c r="AJ228" s="39" t="str">
        <f t="shared" ref="AJ228:AJ230" si="244">ROUND(AI228-AD228,2) &amp; "   (" &amp; ROUND(100*(AI228-AD228)/AD228,1) &amp;"%)"</f>
        <v>-72,85   (-12,4%)</v>
      </c>
      <c r="AK228" s="34" t="str">
        <f>ROUND(AI228-AH228,2) &amp; "  (" &amp; ROUND(100*(AI228-AH228)/AH228,1) &amp;"%)"</f>
        <v>54,58  (11,9%)</v>
      </c>
      <c r="AL228" s="97"/>
      <c r="AM228" s="28">
        <v>470</v>
      </c>
      <c r="AN228" s="27">
        <v>276.95999999999998</v>
      </c>
      <c r="AO228" s="39" t="str">
        <f t="shared" ref="AO228:AO230" si="245">ROUND(AN228-AI228,2) &amp; "   (" &amp; ROUND(100*(AN228-AI228)/AI228,1) &amp;"%)"</f>
        <v>-237,62   (-46,2%)</v>
      </c>
      <c r="AP228" s="34" t="str">
        <f>ROUND(AN228-AM228,2) &amp; "  (" &amp; ROUND(100*(AN228-AM228)/AM228,1) &amp;"%)"</f>
        <v>-193,04  (-41,1%)</v>
      </c>
      <c r="AQ228" s="97"/>
      <c r="AR228" s="28">
        <v>470</v>
      </c>
      <c r="AS228" s="27">
        <v>0</v>
      </c>
      <c r="AT228" s="39" t="str">
        <f t="shared" ref="AT228:AT230" si="246">ROUND(AS228-AN228,2) &amp; "   (" &amp; ROUND(100*(AS228-AN228)/AN228,1) &amp;"%)"</f>
        <v>-276,96   (-100%)</v>
      </c>
      <c r="AU228" s="34" t="str">
        <f>ROUND(AS228-AR228,2) &amp; "  (" &amp; ROUND(100*(AS228-AR228)/AR228,1) &amp;"%)"</f>
        <v>-470  (-100%)</v>
      </c>
      <c r="AV228" s="97"/>
    </row>
    <row r="229" spans="1:48" x14ac:dyDescent="0.3">
      <c r="A229" s="23" t="str">
        <f t="shared" si="242"/>
        <v>6140</v>
      </c>
      <c r="B229" s="252" t="s">
        <v>220</v>
      </c>
      <c r="C229" s="253"/>
      <c r="D229" s="187" t="str">
        <f t="shared" si="243"/>
        <v>40761/601.Asc.A</v>
      </c>
      <c r="E229" s="187"/>
      <c r="F229" s="27">
        <v>263.57</v>
      </c>
      <c r="G229" s="27">
        <v>265.5</v>
      </c>
      <c r="H229" s="27">
        <v>271.58999999999997</v>
      </c>
      <c r="I229" s="27">
        <v>279.20999999999998</v>
      </c>
      <c r="J229" s="27">
        <v>284.39999999999998</v>
      </c>
      <c r="K229" s="28">
        <v>290</v>
      </c>
      <c r="L229" s="27">
        <v>292.31</v>
      </c>
      <c r="M229" s="39">
        <f>(L229-J229)/J229</f>
        <v>2.7812939521800372E-2</v>
      </c>
      <c r="N229" s="28">
        <v>290</v>
      </c>
      <c r="O229" s="27">
        <v>302.32</v>
      </c>
      <c r="P229" s="39">
        <f>(O229-L229)/L229</f>
        <v>3.4244466491053983E-2</v>
      </c>
      <c r="Q229" s="123">
        <f>O229-N229</f>
        <v>12.319999999999993</v>
      </c>
      <c r="R229" s="97"/>
      <c r="S229" s="28">
        <v>300</v>
      </c>
      <c r="T229" s="27">
        <v>313.87</v>
      </c>
      <c r="U229" s="39">
        <f>(T229-O229)/O229</f>
        <v>3.8204551468642538E-2</v>
      </c>
      <c r="V229" s="123">
        <f>T229-S229</f>
        <v>13.870000000000005</v>
      </c>
      <c r="W229" s="97"/>
      <c r="X229" s="28">
        <v>320</v>
      </c>
      <c r="Y229" s="27">
        <v>322.5</v>
      </c>
      <c r="Z229" s="89" t="str">
        <f>ROUND(Y229-T229,2) &amp; "   (" &amp; ROUND(100*(Y229-T229)/T229,1) &amp;"%)"</f>
        <v>8,63   (2,7%)</v>
      </c>
      <c r="AA229" s="34" t="str">
        <f>ROUND(Y229-X229,2) &amp; "  (" &amp; ROUND(100*(Y229-X229)/X229,1) &amp;"%)"</f>
        <v>2,5  (0,8%)</v>
      </c>
      <c r="AB229" s="97"/>
      <c r="AC229" s="28">
        <v>320</v>
      </c>
      <c r="AD229" s="27">
        <v>327.96</v>
      </c>
      <c r="AE229" s="9" t="str">
        <f>ROUND(AD229-Y229,2) &amp; "   (" &amp; ROUND(100*(AD229-Y229)/Y229,1) &amp;"%)"</f>
        <v>5,46   (1,7%)</v>
      </c>
      <c r="AF229" s="34" t="str">
        <f>ROUND(AD229-AC229,2) &amp; "  (" &amp; ROUND(100*(AD229-AC229)/AC229,1) &amp;"%)"</f>
        <v>7,96  (2,5%)</v>
      </c>
      <c r="AG229" s="97"/>
      <c r="AH229" s="28">
        <v>330</v>
      </c>
      <c r="AI229" s="27">
        <v>344.16</v>
      </c>
      <c r="AJ229" s="39" t="str">
        <f t="shared" si="244"/>
        <v>16,2   (4,9%)</v>
      </c>
      <c r="AK229" s="34" t="str">
        <f>ROUND(AI229-AH229,2) &amp; "  (" &amp; ROUND(100*(AI229-AH229)/AH229,1) &amp;"%)"</f>
        <v>14,16  (4,3%)</v>
      </c>
      <c r="AL229" s="97"/>
      <c r="AM229" s="28">
        <v>340</v>
      </c>
      <c r="AN229" s="27">
        <v>307.2</v>
      </c>
      <c r="AO229" s="39" t="str">
        <f t="shared" si="245"/>
        <v>-36,96   (-10,7%)</v>
      </c>
      <c r="AP229" s="34" t="str">
        <f>ROUND(AN229-AM229,2) &amp; "  (" &amp; ROUND(100*(AN229-AM229)/AM229,1) &amp;"%)"</f>
        <v>-32,8  (-9,6%)</v>
      </c>
      <c r="AQ229" s="97"/>
      <c r="AR229" s="28">
        <v>340</v>
      </c>
      <c r="AS229" s="27">
        <v>0</v>
      </c>
      <c r="AT229" s="39" t="str">
        <f t="shared" si="246"/>
        <v>-307,2   (-100%)</v>
      </c>
      <c r="AU229" s="34" t="str">
        <f>ROUND(AS229-AR229,2) &amp; "  (" &amp; ROUND(100*(AS229-AR229)/AR229,1) &amp;"%)"</f>
        <v>-340  (-100%)</v>
      </c>
      <c r="AV229" s="97"/>
    </row>
    <row r="230" spans="1:48" x14ac:dyDescent="0.3">
      <c r="A230" s="23" t="str">
        <f t="shared" si="242"/>
        <v>6140</v>
      </c>
      <c r="B230" s="252" t="s">
        <v>221</v>
      </c>
      <c r="C230" s="253"/>
      <c r="D230" s="187" t="str">
        <f t="shared" si="243"/>
        <v>40802/601.Asc.A</v>
      </c>
      <c r="E230" s="187"/>
      <c r="F230" s="27">
        <v>3496.1</v>
      </c>
      <c r="G230" s="27">
        <v>3548.56</v>
      </c>
      <c r="H230" s="27">
        <v>2891.74</v>
      </c>
      <c r="I230" s="27">
        <v>1040.2</v>
      </c>
      <c r="J230" s="27">
        <v>2162.88</v>
      </c>
      <c r="K230" s="28">
        <v>2250</v>
      </c>
      <c r="L230" s="27">
        <v>2203.46</v>
      </c>
      <c r="M230" s="39">
        <f>(L230-J230)/J230</f>
        <v>1.8762021009024969E-2</v>
      </c>
      <c r="N230" s="28">
        <v>2250</v>
      </c>
      <c r="O230" s="27">
        <v>2250.91</v>
      </c>
      <c r="P230" s="39">
        <f>(O230-L230)/L230</f>
        <v>2.1534314214916458E-2</v>
      </c>
      <c r="Q230" s="123">
        <f>O230-N230</f>
        <v>0.90999999999985448</v>
      </c>
      <c r="R230" s="97"/>
      <c r="S230" s="28">
        <v>2250</v>
      </c>
      <c r="T230" s="27">
        <v>2273.46</v>
      </c>
      <c r="U230" s="39">
        <f>(T230-O230)/O230</f>
        <v>1.0018170428848857E-2</v>
      </c>
      <c r="V230" s="123">
        <f>T230-S230</f>
        <v>23.460000000000036</v>
      </c>
      <c r="W230" s="97"/>
      <c r="X230" s="28">
        <v>2350</v>
      </c>
      <c r="Y230" s="27">
        <v>2305.96</v>
      </c>
      <c r="Z230" s="89" t="str">
        <f>ROUND(Y230-T230,2) &amp; "   (" &amp; ROUND(100*(Y230-T230)/T230,1) &amp;"%)"</f>
        <v>32,5   (1,4%)</v>
      </c>
      <c r="AA230" s="34" t="str">
        <f>ROUND(Y230-X230,2) &amp; "  (" &amp; ROUND(100*(Y230-X230)/X230,1) &amp;"%)"</f>
        <v>-44,04  (-1,9%)</v>
      </c>
      <c r="AB230" s="97"/>
      <c r="AC230" s="28">
        <v>2350</v>
      </c>
      <c r="AD230" s="27">
        <v>2305.44</v>
      </c>
      <c r="AE230" s="9" t="str">
        <f>ROUND(AD230-Y230,2) &amp; "   (" &amp; ROUND(100*(AD230-Y230)/Y230,1) &amp;"%)"</f>
        <v>-0,52   (0%)</v>
      </c>
      <c r="AF230" s="34" t="str">
        <f>ROUND(AD230-AC230,2) &amp; "  (" &amp; ROUND(100*(AD230-AC230)/AC230,1) &amp;"%)"</f>
        <v>-44,56  (-1,9%)</v>
      </c>
      <c r="AG230" s="97"/>
      <c r="AH230" s="28">
        <v>2390</v>
      </c>
      <c r="AI230" s="27">
        <v>2340.14</v>
      </c>
      <c r="AJ230" s="39" t="str">
        <f t="shared" si="244"/>
        <v>34,7   (1,5%)</v>
      </c>
      <c r="AK230" s="34" t="str">
        <f>ROUND(AI230-AH230,2) &amp; "  (" &amp; ROUND(100*(AI230-AH230)/AH230,1) &amp;"%)"</f>
        <v>-49,86  (-2,1%)</v>
      </c>
      <c r="AL230" s="97"/>
      <c r="AM230" s="28">
        <v>2430</v>
      </c>
      <c r="AN230" s="27">
        <v>2380.04</v>
      </c>
      <c r="AO230" s="39" t="str">
        <f t="shared" si="245"/>
        <v>39,9   (1,7%)</v>
      </c>
      <c r="AP230" s="34" t="str">
        <f>ROUND(AN230-AM230,2) &amp; "  (" &amp; ROUND(100*(AN230-AM230)/AM230,1) &amp;"%)"</f>
        <v>-49,96  (-2,1%)</v>
      </c>
      <c r="AQ230" s="97"/>
      <c r="AR230" s="28">
        <v>2430</v>
      </c>
      <c r="AS230" s="27">
        <v>0</v>
      </c>
      <c r="AT230" s="39" t="str">
        <f t="shared" si="246"/>
        <v>-2380,04   (-100%)</v>
      </c>
      <c r="AU230" s="34" t="str">
        <f>ROUND(AS230-AR230,2) &amp; "  (" &amp; ROUND(100*(AS230-AR230)/AR230,1) &amp;"%)"</f>
        <v>-2430  (-100%)</v>
      </c>
      <c r="AV230" s="97"/>
    </row>
    <row r="231" spans="1:48" x14ac:dyDescent="0.3">
      <c r="A231" s="23" t="str">
        <f t="shared" si="242"/>
        <v>6140</v>
      </c>
      <c r="B231" s="252" t="s">
        <v>222</v>
      </c>
      <c r="C231" s="253"/>
      <c r="D231" s="187" t="str">
        <f t="shared" si="243"/>
        <v>40802/601.Asc.A</v>
      </c>
      <c r="E231" s="187"/>
      <c r="L231" s="27">
        <v>480</v>
      </c>
      <c r="M231" s="39"/>
      <c r="P231" s="39"/>
      <c r="Q231" s="123">
        <f>O231-N231</f>
        <v>0</v>
      </c>
      <c r="R231" s="97"/>
      <c r="V231" s="123">
        <f>T231-S231</f>
        <v>0</v>
      </c>
      <c r="W231" s="97"/>
      <c r="Z231" s="89"/>
      <c r="AA231" s="34"/>
      <c r="AB231" s="97"/>
      <c r="AF231" s="34"/>
      <c r="AG231" s="97"/>
      <c r="AK231" s="34"/>
      <c r="AL231" s="97"/>
      <c r="AP231" s="34"/>
      <c r="AQ231" s="97"/>
      <c r="AU231" s="34"/>
      <c r="AV231" s="97"/>
    </row>
    <row r="232" spans="1:48" x14ac:dyDescent="0.3">
      <c r="A232" s="52" t="str">
        <f t="shared" si="242"/>
        <v>6150</v>
      </c>
      <c r="B232" s="254" t="s">
        <v>223</v>
      </c>
      <c r="C232" s="255"/>
      <c r="D232" s="256" t="str">
        <f t="shared" si="243"/>
        <v>40806/601.Asc.A</v>
      </c>
      <c r="E232" s="256"/>
      <c r="F232" s="87">
        <v>0</v>
      </c>
      <c r="G232" s="87">
        <v>0</v>
      </c>
      <c r="H232" s="87">
        <v>0</v>
      </c>
      <c r="I232" s="87">
        <v>2589.4</v>
      </c>
      <c r="J232" s="87">
        <v>172.8</v>
      </c>
      <c r="K232" s="88">
        <v>200</v>
      </c>
      <c r="L232" s="87">
        <v>109.69</v>
      </c>
      <c r="M232" s="29">
        <f>(L232-J232)/J232</f>
        <v>-0.36521990740740745</v>
      </c>
      <c r="N232" s="88">
        <v>200</v>
      </c>
      <c r="O232" s="87">
        <v>800.01</v>
      </c>
      <c r="P232" s="29"/>
      <c r="Q232" s="123">
        <f>O232-N232</f>
        <v>600.01</v>
      </c>
      <c r="R232" s="97"/>
      <c r="S232" s="88">
        <v>200</v>
      </c>
      <c r="T232" s="87">
        <v>462</v>
      </c>
      <c r="U232" s="29"/>
      <c r="V232" s="123">
        <f>T232-S232</f>
        <v>262</v>
      </c>
      <c r="W232" s="97"/>
      <c r="X232" s="88">
        <v>200</v>
      </c>
      <c r="Y232" s="87">
        <v>1886.5</v>
      </c>
      <c r="Z232" s="37" t="str">
        <f>ROUND(Y232-T232,2) &amp; "   (" &amp; ROUND(100*(Y232-T232)/T232,1) &amp;"%)"</f>
        <v>1424,5   (308,3%)</v>
      </c>
      <c r="AA232" s="34" t="str">
        <f>ROUND(Y232-X232,2) &amp; "  (" &amp; ROUND(100*(Y232-X232)/X232,1) &amp;"%)"</f>
        <v>1686,5  (843,3%)</v>
      </c>
      <c r="AB232" s="97"/>
      <c r="AC232" s="88">
        <v>200</v>
      </c>
      <c r="AD232" s="87">
        <v>1712.74</v>
      </c>
      <c r="AE232" s="35" t="str">
        <f>ROUND(AD232-Y232,2) &amp; "   (" &amp; ROUND(100*(AD232-Y232)/Y232,1) &amp;"%)"</f>
        <v>-173,76   (-9,2%)</v>
      </c>
      <c r="AF232" s="34" t="str">
        <f>ROUND(AD232-AC232,2) &amp; "  (" &amp; ROUND(100*(AD232-AC232)/AC232,1) &amp;"%)"</f>
        <v>1512,74  (756,4%)</v>
      </c>
      <c r="AG232" s="97"/>
      <c r="AH232" s="88">
        <v>210</v>
      </c>
      <c r="AI232" s="87">
        <v>0</v>
      </c>
      <c r="AJ232" s="29" t="str">
        <f t="shared" ref="AJ232" si="247">ROUND(AI232-AD232,2) &amp; "   (" &amp; ROUND(100*(AI232-AD232)/AD232,1) &amp;"%)"</f>
        <v>-1712,74   (-100%)</v>
      </c>
      <c r="AK232" s="34" t="str">
        <f>ROUND(AI232-AH232,2) &amp; "  (" &amp; ROUND(100*(AI232-AH232)/AH232,1) &amp;"%)"</f>
        <v>-210  (-100%)</v>
      </c>
      <c r="AL232" s="97"/>
      <c r="AM232" s="88">
        <v>220</v>
      </c>
      <c r="AN232" s="87">
        <v>0</v>
      </c>
      <c r="AO232" s="35" t="str">
        <f>ROUND(AN232-AI232,2) &amp; "   (" &amp; ROUND(100*(AN232-AI232)/(AI232+0.0001),1) &amp;"%)"</f>
        <v>0   (0%)</v>
      </c>
      <c r="AP232" s="34" t="str">
        <f>ROUND(AN232-AM232,2) &amp; "  (" &amp; ROUND(100*(AN232-AM232)/AM232,1) &amp;"%)"</f>
        <v>-220  (-100%)</v>
      </c>
      <c r="AQ232" s="97"/>
      <c r="AR232" s="88"/>
      <c r="AS232" s="87">
        <v>0</v>
      </c>
      <c r="AT232" s="29" t="e">
        <f t="shared" ref="AT232" si="248">ROUND(AS232-AN232,2) &amp; "   (" &amp; ROUND(100*(AS232-AN232)/AN232,1) &amp;"%)"</f>
        <v>#DIV/0!</v>
      </c>
      <c r="AU232" s="34" t="e">
        <f>ROUND(AS232-AR232,2) &amp; "  (" &amp; ROUND(100*(AS232-AR232)/AR232,1) &amp;"%)"</f>
        <v>#DIV/0!</v>
      </c>
      <c r="AV232" s="97"/>
    </row>
    <row r="233" spans="1:48" x14ac:dyDescent="0.3">
      <c r="A233" s="23" t="str">
        <f t="shared" si="242"/>
        <v>6230</v>
      </c>
      <c r="B233" s="252" t="s">
        <v>224</v>
      </c>
      <c r="C233" s="255"/>
      <c r="D233" s="256" t="str">
        <f t="shared" si="243"/>
        <v>65367/601.Asc.A</v>
      </c>
      <c r="E233" s="256"/>
      <c r="F233" s="87"/>
      <c r="G233" s="87"/>
      <c r="H233" s="87"/>
      <c r="I233" s="87"/>
      <c r="J233" s="87"/>
      <c r="K233" s="88"/>
      <c r="L233" s="87"/>
      <c r="M233" s="29"/>
      <c r="N233" s="88"/>
      <c r="O233" s="87"/>
      <c r="P233" s="29"/>
      <c r="Q233" s="123"/>
      <c r="R233" s="97"/>
      <c r="S233" s="88"/>
      <c r="T233" s="87"/>
      <c r="U233" s="29"/>
      <c r="V233" s="123"/>
      <c r="W233" s="97"/>
      <c r="X233" s="88"/>
      <c r="Y233" s="87"/>
      <c r="Z233" s="37"/>
      <c r="AA233" s="34"/>
      <c r="AB233" s="97"/>
      <c r="AC233" s="88"/>
      <c r="AD233" s="87"/>
      <c r="AE233" s="35"/>
      <c r="AF233" s="34"/>
      <c r="AG233" s="97"/>
      <c r="AH233" s="88"/>
      <c r="AI233" s="87"/>
      <c r="AJ233" s="29"/>
      <c r="AK233" s="34"/>
      <c r="AL233" s="97"/>
      <c r="AM233" s="88"/>
      <c r="AN233" s="87"/>
      <c r="AO233" s="29"/>
      <c r="AP233" s="34"/>
      <c r="AQ233" s="97"/>
      <c r="AR233" s="88"/>
      <c r="AS233" s="87"/>
      <c r="AT233" s="29"/>
      <c r="AU233" s="34"/>
      <c r="AV233" s="97"/>
    </row>
    <row r="234" spans="1:48" x14ac:dyDescent="0.3">
      <c r="A234" s="23" t="str">
        <f>LEFT(B234,4)</f>
        <v>6230</v>
      </c>
      <c r="B234" s="252" t="s">
        <v>622</v>
      </c>
      <c r="C234" s="255"/>
      <c r="D234" s="256"/>
      <c r="E234" s="256"/>
      <c r="F234" s="87"/>
      <c r="G234" s="87"/>
      <c r="H234" s="87"/>
      <c r="I234" s="87"/>
      <c r="J234" s="87"/>
      <c r="K234" s="88"/>
      <c r="L234" s="87"/>
      <c r="M234" s="29"/>
      <c r="N234" s="88"/>
      <c r="O234" s="87"/>
      <c r="P234" s="29"/>
      <c r="Q234" s="123"/>
      <c r="R234" s="97"/>
      <c r="S234" s="88"/>
      <c r="T234" s="87"/>
      <c r="U234" s="29"/>
      <c r="V234" s="123"/>
      <c r="W234" s="97"/>
      <c r="X234" s="88"/>
      <c r="Y234" s="87"/>
      <c r="Z234" s="37"/>
      <c r="AA234" s="34"/>
      <c r="AB234" s="97"/>
      <c r="AC234" s="88"/>
      <c r="AD234" s="87"/>
      <c r="AE234" s="35"/>
      <c r="AF234" s="34"/>
      <c r="AG234" s="97"/>
      <c r="AH234" s="88"/>
      <c r="AI234" s="87">
        <v>420</v>
      </c>
      <c r="AJ234" s="29"/>
      <c r="AK234" s="34"/>
      <c r="AL234" s="97"/>
      <c r="AM234" s="88"/>
      <c r="AN234" s="87">
        <v>0</v>
      </c>
      <c r="AO234" s="29"/>
      <c r="AP234" s="34"/>
      <c r="AQ234" s="97"/>
      <c r="AR234" s="88"/>
      <c r="AS234" s="87"/>
      <c r="AT234" s="29"/>
      <c r="AU234" s="34"/>
      <c r="AV234" s="97"/>
    </row>
    <row r="235" spans="1:48" s="122" customFormat="1" ht="18" thickBot="1" x14ac:dyDescent="0.35">
      <c r="A235" s="111" t="str">
        <f t="shared" si="242"/>
        <v>6730</v>
      </c>
      <c r="B235" s="237" t="s">
        <v>225</v>
      </c>
      <c r="C235" s="238"/>
      <c r="D235" s="257" t="str">
        <f t="shared" si="243"/>
        <v>40368/601.Asc.A</v>
      </c>
      <c r="E235" s="257"/>
      <c r="F235" s="153"/>
      <c r="G235" s="153">
        <v>527</v>
      </c>
      <c r="H235" s="153"/>
      <c r="I235" s="153"/>
      <c r="J235" s="153"/>
      <c r="K235" s="154"/>
      <c r="L235" s="153"/>
      <c r="M235" s="116"/>
      <c r="N235" s="154"/>
      <c r="O235" s="153"/>
      <c r="P235" s="116"/>
      <c r="Q235" s="125"/>
      <c r="R235" s="117"/>
      <c r="S235" s="154"/>
      <c r="T235" s="153"/>
      <c r="U235" s="116"/>
      <c r="V235" s="125"/>
      <c r="W235" s="117"/>
      <c r="X235" s="154"/>
      <c r="Y235" s="153"/>
      <c r="Z235" s="119"/>
      <c r="AA235" s="120"/>
      <c r="AB235" s="117"/>
      <c r="AC235" s="154"/>
      <c r="AD235" s="153"/>
      <c r="AE235" s="121"/>
      <c r="AF235" s="120"/>
      <c r="AG235" s="117"/>
      <c r="AH235" s="154"/>
      <c r="AI235" s="153"/>
      <c r="AJ235" s="116"/>
      <c r="AK235" s="120"/>
      <c r="AL235" s="117"/>
      <c r="AM235" s="154"/>
      <c r="AN235" s="153"/>
      <c r="AO235" s="116"/>
      <c r="AP235" s="120"/>
      <c r="AQ235" s="117"/>
      <c r="AR235" s="154"/>
      <c r="AS235" s="153"/>
      <c r="AT235" s="116"/>
      <c r="AU235" s="120"/>
      <c r="AV235" s="117"/>
    </row>
    <row r="236" spans="1:48" s="265" customFormat="1" x14ac:dyDescent="0.3">
      <c r="A236" s="258"/>
      <c r="B236" s="259"/>
      <c r="C236" s="260"/>
      <c r="D236" s="260"/>
      <c r="E236" s="260"/>
      <c r="F236" s="226">
        <f t="shared" ref="F236:L236" si="249">SUM(F228:F235)</f>
        <v>4310.8500000000004</v>
      </c>
      <c r="G236" s="226">
        <f t="shared" si="249"/>
        <v>4956.12</v>
      </c>
      <c r="H236" s="226">
        <f t="shared" si="249"/>
        <v>3876.2299999999996</v>
      </c>
      <c r="I236" s="226">
        <f t="shared" si="249"/>
        <v>4427.8900000000003</v>
      </c>
      <c r="J236" s="226">
        <f t="shared" si="249"/>
        <v>3009.2000000000003</v>
      </c>
      <c r="K236" s="241">
        <f t="shared" si="249"/>
        <v>3140</v>
      </c>
      <c r="L236" s="226">
        <f t="shared" si="249"/>
        <v>3466.07</v>
      </c>
      <c r="M236" s="57">
        <f>(L236-J236)</f>
        <v>456.86999999999989</v>
      </c>
      <c r="N236" s="56">
        <f>SUM(N228:N235)</f>
        <v>3140</v>
      </c>
      <c r="O236" s="226">
        <f>SUM(O228:O235)</f>
        <v>3791.6800000000003</v>
      </c>
      <c r="P236" s="57">
        <f>(O236-L236)</f>
        <v>325.61000000000013</v>
      </c>
      <c r="Q236" s="123">
        <f>O236-N236</f>
        <v>651.68000000000029</v>
      </c>
      <c r="R236" s="97"/>
      <c r="S236" s="56">
        <f>SUM(S228:S235)</f>
        <v>3200</v>
      </c>
      <c r="T236" s="226">
        <f>SUM(T228:T235)</f>
        <v>3489.9700000000003</v>
      </c>
      <c r="U236" s="57">
        <f>(T236-O236)</f>
        <v>-301.71000000000004</v>
      </c>
      <c r="V236" s="123">
        <f>T236-S236</f>
        <v>289.97000000000025</v>
      </c>
      <c r="W236" s="97"/>
      <c r="X236" s="56">
        <f>SUM(X228:X235)</f>
        <v>3320</v>
      </c>
      <c r="Y236" s="261">
        <f>SUM(Y228:Y235)</f>
        <v>4952.42</v>
      </c>
      <c r="Z236" s="262" t="str">
        <f>ROUND(Y236-T236,2) &amp; "   (" &amp; ROUND(100*(Y236-T236)/T236,1) &amp;"%)"</f>
        <v>1462,45   (41,9%)</v>
      </c>
      <c r="AA236" s="34" t="str">
        <f>ROUND(Y236-X236,2) &amp; "  (" &amp; ROUND(100*(Y236-X236)/X236,1) &amp;"%)"</f>
        <v>1632,42  (49,2%)</v>
      </c>
      <c r="AB236" s="97"/>
      <c r="AC236" s="56">
        <f>SUM(AC228:AC235)</f>
        <v>3320</v>
      </c>
      <c r="AD236" s="261">
        <f>SUM(AD228:AD235)</f>
        <v>4933.57</v>
      </c>
      <c r="AE236" s="263" t="str">
        <f>ROUND(AD236-Y236,2) &amp; "   (" &amp; ROUND(100*(AD236-Y236)/Y236,1) &amp;"%)"</f>
        <v>-18,85   (-0,4%)</v>
      </c>
      <c r="AF236" s="34" t="str">
        <f>ROUND(AD236-AC236,2) &amp; "  (" &amp; ROUND(100*(AD236-AC236)/AC236,1) &amp;"%)"</f>
        <v>1613,57  (48,6%)</v>
      </c>
      <c r="AG236" s="97"/>
      <c r="AH236" s="56">
        <f>SUM(AH228:AH235)</f>
        <v>3390</v>
      </c>
      <c r="AI236" s="261">
        <f>SUM(AI228:AI235)</f>
        <v>3618.88</v>
      </c>
      <c r="AJ236" s="264" t="str">
        <f t="shared" ref="AJ236" si="250">ROUND(AI236-AD236,2) &amp; "   (" &amp; ROUND(100*(AI236-AD236)/AD236,1) &amp;"%)"</f>
        <v>-1314,69   (-26,6%)</v>
      </c>
      <c r="AK236" s="34" t="str">
        <f>ROUND(AI236-AH236,2) &amp; "  (" &amp; ROUND(100*(AI236-AH236)/AH236,1) &amp;"%)"</f>
        <v>228,88  (6,8%)</v>
      </c>
      <c r="AL236" s="97"/>
      <c r="AM236" s="56">
        <f>SUM(AM228:AM235)</f>
        <v>3460</v>
      </c>
      <c r="AN236" s="261">
        <f>SUM(AN224,AN228:AN235)</f>
        <v>3266.7</v>
      </c>
      <c r="AO236" s="264" t="str">
        <f t="shared" ref="AO236" si="251">ROUND(AN236-AI236,2) &amp; "   (" &amp; ROUND(100*(AN236-AI236)/AI236,1) &amp;"%)"</f>
        <v>-352,18   (-9,7%)</v>
      </c>
      <c r="AP236" s="34" t="str">
        <f>ROUND(AN236-AM236,2) &amp; "  (" &amp; ROUND(100*(AN236-AM236)/AM236,1) &amp;"%)"</f>
        <v>-193,3  (-5,6%)</v>
      </c>
      <c r="AQ236" s="97"/>
      <c r="AR236" s="56">
        <f>SUM(AR228:AR235)</f>
        <v>3240</v>
      </c>
      <c r="AS236" s="261">
        <f>SUM(AS228:AS235)</f>
        <v>0</v>
      </c>
      <c r="AT236" s="264" t="str">
        <f t="shared" ref="AT236" si="252">ROUND(AS236-AN236,2) &amp; "   (" &amp; ROUND(100*(AS236-AN236)/AN236,1) &amp;"%)"</f>
        <v>-3266,7   (-100%)</v>
      </c>
      <c r="AU236" s="34" t="str">
        <f>ROUND(AS236-AR236,2) &amp; "  (" &amp; ROUND(100*(AS236-AR236)/AR236,1) &amp;"%)"</f>
        <v>-3240  (-100%)</v>
      </c>
      <c r="AV236" s="97"/>
    </row>
    <row r="237" spans="1:48" s="274" customFormat="1" x14ac:dyDescent="0.3">
      <c r="A237" s="266"/>
      <c r="B237" s="267"/>
      <c r="C237" s="268"/>
      <c r="D237" s="268"/>
      <c r="E237" s="268"/>
      <c r="F237" s="244"/>
      <c r="G237" s="244"/>
      <c r="H237" s="244"/>
      <c r="I237" s="244"/>
      <c r="J237" s="244"/>
      <c r="K237" s="269"/>
      <c r="L237" s="246"/>
      <c r="M237" s="63">
        <f>(L236-J236)/J236</f>
        <v>0.15182440515751691</v>
      </c>
      <c r="N237" s="247"/>
      <c r="O237" s="246"/>
      <c r="P237" s="63">
        <f>(O236-L236)/L236</f>
        <v>9.3942130424371148E-2</v>
      </c>
      <c r="Q237" s="91"/>
      <c r="R237" s="270"/>
      <c r="S237" s="247"/>
      <c r="T237" s="246"/>
      <c r="U237" s="63">
        <f>(T236-O236)/O236</f>
        <v>-7.9571588319689426E-2</v>
      </c>
      <c r="V237" s="91"/>
      <c r="W237" s="270"/>
      <c r="X237" s="247"/>
      <c r="Y237" s="271"/>
      <c r="Z237" s="272"/>
      <c r="AA237" s="93"/>
      <c r="AB237" s="270"/>
      <c r="AC237" s="247"/>
      <c r="AD237" s="271"/>
      <c r="AE237" s="273"/>
      <c r="AF237" s="93"/>
      <c r="AG237" s="270"/>
      <c r="AH237" s="247"/>
      <c r="AI237" s="271"/>
      <c r="AJ237" s="272"/>
      <c r="AK237" s="93"/>
      <c r="AL237" s="270"/>
      <c r="AM237" s="247"/>
      <c r="AN237" s="271"/>
      <c r="AO237" s="272"/>
      <c r="AP237" s="93"/>
      <c r="AQ237" s="270"/>
      <c r="AR237" s="247"/>
      <c r="AS237" s="271"/>
      <c r="AT237" s="272"/>
      <c r="AU237" s="93"/>
      <c r="AV237" s="270"/>
    </row>
    <row r="238" spans="1:48" s="136" customFormat="1" x14ac:dyDescent="0.3">
      <c r="A238" s="127"/>
      <c r="B238" s="229" t="s">
        <v>226</v>
      </c>
      <c r="C238" s="230"/>
      <c r="D238" s="230"/>
      <c r="E238" s="230"/>
      <c r="F238" s="231"/>
      <c r="G238" s="231"/>
      <c r="H238" s="231"/>
      <c r="I238" s="231"/>
      <c r="J238" s="231"/>
      <c r="K238" s="232"/>
      <c r="L238" s="231"/>
      <c r="M238" s="233"/>
      <c r="N238" s="232"/>
      <c r="O238" s="231"/>
      <c r="P238" s="233"/>
      <c r="Q238" s="234"/>
      <c r="R238" s="235"/>
      <c r="S238" s="232"/>
      <c r="T238" s="231"/>
      <c r="U238" s="134"/>
      <c r="V238" s="234"/>
      <c r="W238" s="235"/>
      <c r="X238" s="232"/>
      <c r="Y238" s="231"/>
      <c r="Z238" s="134"/>
      <c r="AA238" s="236"/>
      <c r="AB238" s="235"/>
      <c r="AC238" s="232"/>
      <c r="AD238" s="231"/>
      <c r="AE238" s="135"/>
      <c r="AF238" s="236"/>
      <c r="AG238" s="235"/>
      <c r="AH238" s="232"/>
      <c r="AI238" s="231"/>
      <c r="AJ238" s="134"/>
      <c r="AK238" s="236"/>
      <c r="AL238" s="235"/>
      <c r="AM238" s="232"/>
      <c r="AN238" s="231"/>
      <c r="AO238" s="134"/>
      <c r="AP238" s="236"/>
      <c r="AQ238" s="235"/>
      <c r="AR238" s="232"/>
      <c r="AS238" s="231"/>
      <c r="AT238" s="134"/>
      <c r="AU238" s="236"/>
      <c r="AV238" s="235"/>
    </row>
    <row r="239" spans="1:48" x14ac:dyDescent="0.3">
      <c r="A239" s="23" t="str">
        <f t="shared" ref="A239:A246" si="253">LEFT(B239,4)</f>
        <v>6020</v>
      </c>
      <c r="B239" s="252" t="s">
        <v>227</v>
      </c>
      <c r="C239" s="253"/>
      <c r="D239" s="187" t="str">
        <f t="shared" ref="D239:D244" si="254">RIGHT(LEFT(B239,10),5) &amp;"/"&amp;LEFT(B$238,3)&amp;"."&amp;RIGHT(LEFT(B$238,7),3)&amp;"."&amp;RIGHT(B$238,1)</f>
        <v>40264/602.Asc.B</v>
      </c>
      <c r="E239" s="187"/>
      <c r="F239" s="27">
        <v>339.5</v>
      </c>
      <c r="G239" s="27">
        <v>410.09</v>
      </c>
      <c r="H239" s="27">
        <v>419.48</v>
      </c>
      <c r="I239" s="27">
        <v>426.67</v>
      </c>
      <c r="J239" s="27">
        <v>357.53</v>
      </c>
      <c r="K239" s="28">
        <v>400</v>
      </c>
      <c r="L239" s="27">
        <v>330.48</v>
      </c>
      <c r="M239" s="39">
        <f>(L239-J239)/J239</f>
        <v>-7.5657986742371147E-2</v>
      </c>
      <c r="N239" s="28">
        <v>400</v>
      </c>
      <c r="O239" s="27">
        <v>736.42</v>
      </c>
      <c r="P239" s="39">
        <f>(O239-L239)/L239</f>
        <v>1.2283345436940205</v>
      </c>
      <c r="Q239" s="123">
        <f>O239-N239</f>
        <v>336.41999999999996</v>
      </c>
      <c r="R239" s="97"/>
      <c r="S239" s="28">
        <v>400</v>
      </c>
      <c r="T239" s="27">
        <v>539.14</v>
      </c>
      <c r="U239" s="39">
        <f>(T239-O239)/O239</f>
        <v>-0.26789060590423941</v>
      </c>
      <c r="V239" s="123">
        <f>T239-S239</f>
        <v>139.13999999999999</v>
      </c>
      <c r="W239" s="97"/>
      <c r="X239" s="28">
        <v>600</v>
      </c>
      <c r="Y239" s="27">
        <v>382.44</v>
      </c>
      <c r="Z239" s="89" t="str">
        <f>ROUND(Y239-T239,2) &amp; "   (" &amp; ROUND(100*(Y239-T239)/T239,1) &amp;"%)"</f>
        <v>-156,7   (-29,1%)</v>
      </c>
      <c r="AA239" s="34" t="str">
        <f>ROUND(Y239-X239,2) &amp; "  (" &amp; ROUND(100*(Y239-X239)/X239,1) &amp;"%)"</f>
        <v>-217,56  (-36,3%)</v>
      </c>
      <c r="AB239" s="97"/>
      <c r="AC239" s="28">
        <v>600</v>
      </c>
      <c r="AD239" s="27">
        <v>504.46</v>
      </c>
      <c r="AE239" s="9" t="str">
        <f>ROUND(AD239-Y239,2) &amp; "   (" &amp; ROUND(100*(AD239-Y239)/Y239,1) &amp;"%)"</f>
        <v>122,02   (31,9%)</v>
      </c>
      <c r="AF239" s="34" t="str">
        <f>ROUND(AD239-AC239,2) &amp; "  (" &amp; ROUND(100*(AD239-AC239)/AC239,1) &amp;"%)"</f>
        <v>-95,54  (-15,9%)</v>
      </c>
      <c r="AG239" s="97"/>
      <c r="AH239" s="28">
        <v>610</v>
      </c>
      <c r="AI239" s="87">
        <v>467.56</v>
      </c>
      <c r="AJ239" s="39" t="str">
        <f t="shared" ref="AJ239:AJ241" si="255">ROUND(AI239-AD239,2) &amp; "   (" &amp; ROUND(100*(AI239-AD239)/AD239,1) &amp;"%)"</f>
        <v>-36,9   (-7,3%)</v>
      </c>
      <c r="AK239" s="34" t="str">
        <f>ROUND(AI239-AH239,2) &amp; "  (" &amp; ROUND(100*(AI239-AH239)/AH239,1) &amp;"%)"</f>
        <v>-142,44  (-23,4%)</v>
      </c>
      <c r="AL239" s="97"/>
      <c r="AM239" s="28">
        <v>620</v>
      </c>
      <c r="AN239" s="87">
        <v>233.63</v>
      </c>
      <c r="AO239" s="39" t="str">
        <f t="shared" ref="AO239:AO241" si="256">ROUND(AN239-AI239,2) &amp; "   (" &amp; ROUND(100*(AN239-AI239)/AI239,1) &amp;"%)"</f>
        <v>-233,93   (-50%)</v>
      </c>
      <c r="AP239" s="34" t="str">
        <f>ROUND(AN239-AM239,2) &amp; "  (" &amp; ROUND(100*(AN239-AM239)/AM239,1) &amp;"%)"</f>
        <v>-386,37  (-62,3%)</v>
      </c>
      <c r="AQ239" s="97"/>
      <c r="AR239" s="28">
        <v>620</v>
      </c>
      <c r="AS239" s="27">
        <v>0</v>
      </c>
      <c r="AT239" s="39" t="str">
        <f t="shared" ref="AT239:AT241" si="257">ROUND(AS239-AN239,2) &amp; "   (" &amp; ROUND(100*(AS239-AN239)/AN239,1) &amp;"%)"</f>
        <v>-233,63   (-100%)</v>
      </c>
      <c r="AU239" s="34" t="str">
        <f>ROUND(AS239-AR239,2) &amp; "  (" &amp; ROUND(100*(AS239-AR239)/AR239,1) &amp;"%)"</f>
        <v>-620  (-100%)</v>
      </c>
      <c r="AV239" s="97"/>
    </row>
    <row r="240" spans="1:48" x14ac:dyDescent="0.3">
      <c r="A240" s="23" t="str">
        <f t="shared" si="253"/>
        <v>6140</v>
      </c>
      <c r="B240" s="252" t="s">
        <v>228</v>
      </c>
      <c r="C240" s="253"/>
      <c r="D240" s="187" t="str">
        <f t="shared" si="254"/>
        <v>40761/602.Asc.B</v>
      </c>
      <c r="E240" s="187"/>
      <c r="F240" s="27">
        <v>263.76</v>
      </c>
      <c r="G240" s="27">
        <v>265.5</v>
      </c>
      <c r="H240" s="27">
        <v>271.58999999999997</v>
      </c>
      <c r="I240" s="27">
        <v>279.20999999999998</v>
      </c>
      <c r="J240" s="27">
        <v>284.39999999999998</v>
      </c>
      <c r="K240" s="28">
        <v>290</v>
      </c>
      <c r="L240" s="27">
        <v>292.31</v>
      </c>
      <c r="M240" s="39">
        <f>(L240-J240)/J240</f>
        <v>2.7812939521800372E-2</v>
      </c>
      <c r="N240" s="28">
        <v>290</v>
      </c>
      <c r="O240" s="27">
        <v>302.32</v>
      </c>
      <c r="P240" s="39">
        <f>(O240-L240)/L240</f>
        <v>3.4244466491053983E-2</v>
      </c>
      <c r="Q240" s="123">
        <f>O240-N240</f>
        <v>12.319999999999993</v>
      </c>
      <c r="R240" s="97"/>
      <c r="S240" s="28">
        <v>300</v>
      </c>
      <c r="T240" s="27">
        <v>313.87</v>
      </c>
      <c r="U240" s="39">
        <f>(T240-O240)/O240</f>
        <v>3.8204551468642538E-2</v>
      </c>
      <c r="V240" s="123">
        <f>T240-S240</f>
        <v>13.870000000000005</v>
      </c>
      <c r="W240" s="97"/>
      <c r="X240" s="28">
        <v>320</v>
      </c>
      <c r="Y240" s="27">
        <v>322.5</v>
      </c>
      <c r="Z240" s="89" t="str">
        <f>ROUND(Y240-T240,2) &amp; "   (" &amp; ROUND(100*(Y240-T240)/T240,1) &amp;"%)"</f>
        <v>8,63   (2,7%)</v>
      </c>
      <c r="AA240" s="34" t="str">
        <f>ROUND(Y240-X240,2) &amp; "  (" &amp; ROUND(100*(Y240-X240)/X240,1) &amp;"%)"</f>
        <v>2,5  (0,8%)</v>
      </c>
      <c r="AB240" s="97"/>
      <c r="AC240" s="28">
        <v>320</v>
      </c>
      <c r="AD240" s="27">
        <v>327.96</v>
      </c>
      <c r="AE240" s="9" t="str">
        <f>ROUND(AD240-Y240,2) &amp; "   (" &amp; ROUND(100*(AD240-Y240)/Y240,1) &amp;"%)"</f>
        <v>5,46   (1,7%)</v>
      </c>
      <c r="AF240" s="34" t="str">
        <f>ROUND(AD240-AC240,2) &amp; "  (" &amp; ROUND(100*(AD240-AC240)/AC240,1) &amp;"%)"</f>
        <v>7,96  (2,5%)</v>
      </c>
      <c r="AG240" s="97"/>
      <c r="AH240" s="28">
        <v>330</v>
      </c>
      <c r="AI240" s="27">
        <v>344.16</v>
      </c>
      <c r="AJ240" s="39" t="str">
        <f t="shared" si="255"/>
        <v>16,2   (4,9%)</v>
      </c>
      <c r="AK240" s="34" t="str">
        <f>ROUND(AI240-AH240,2) &amp; "  (" &amp; ROUND(100*(AI240-AH240)/AH240,1) &amp;"%)"</f>
        <v>14,16  (4,3%)</v>
      </c>
      <c r="AL240" s="97"/>
      <c r="AM240" s="28">
        <v>340</v>
      </c>
      <c r="AN240" s="27">
        <v>307.2</v>
      </c>
      <c r="AO240" s="39" t="str">
        <f t="shared" si="256"/>
        <v>-36,96   (-10,7%)</v>
      </c>
      <c r="AP240" s="34" t="str">
        <f>ROUND(AN240-AM240,2) &amp; "  (" &amp; ROUND(100*(AN240-AM240)/AM240,1) &amp;"%)"</f>
        <v>-32,8  (-9,6%)</v>
      </c>
      <c r="AQ240" s="97"/>
      <c r="AR240" s="28">
        <v>340</v>
      </c>
      <c r="AS240" s="27">
        <v>0</v>
      </c>
      <c r="AT240" s="39" t="str">
        <f t="shared" si="257"/>
        <v>-307,2   (-100%)</v>
      </c>
      <c r="AU240" s="34" t="str">
        <f>ROUND(AS240-AR240,2) &amp; "  (" &amp; ROUND(100*(AS240-AR240)/AR240,1) &amp;"%)"</f>
        <v>-340  (-100%)</v>
      </c>
      <c r="AV240" s="97"/>
    </row>
    <row r="241" spans="1:48" x14ac:dyDescent="0.3">
      <c r="A241" s="23" t="str">
        <f t="shared" si="253"/>
        <v>6140</v>
      </c>
      <c r="B241" s="252" t="s">
        <v>229</v>
      </c>
      <c r="C241" s="253"/>
      <c r="D241" s="187" t="str">
        <f t="shared" si="254"/>
        <v>40802/602.Asc.B</v>
      </c>
      <c r="E241" s="187"/>
      <c r="F241" s="27">
        <v>3309.56</v>
      </c>
      <c r="G241" s="27">
        <v>3359.24</v>
      </c>
      <c r="H241" s="27">
        <v>2791.74</v>
      </c>
      <c r="I241" s="27">
        <v>1040.2</v>
      </c>
      <c r="J241" s="27">
        <v>2162.88</v>
      </c>
      <c r="K241" s="28">
        <v>2250</v>
      </c>
      <c r="L241" s="27">
        <v>2203.46</v>
      </c>
      <c r="M241" s="39">
        <f>(L241-J241)/J241</f>
        <v>1.8762021009024969E-2</v>
      </c>
      <c r="N241" s="28">
        <v>2250</v>
      </c>
      <c r="O241" s="27">
        <v>2225.36</v>
      </c>
      <c r="P241" s="39">
        <f>(O241-L241)/L241</f>
        <v>9.9389142530384444E-3</v>
      </c>
      <c r="Q241" s="123">
        <f>O241-N241</f>
        <v>-24.639999999999873</v>
      </c>
      <c r="R241" s="97"/>
      <c r="S241" s="28">
        <v>2250</v>
      </c>
      <c r="T241" s="27">
        <v>2247.62</v>
      </c>
      <c r="U241" s="39">
        <f>(T241-O241)/O241</f>
        <v>1.000287593917378E-2</v>
      </c>
      <c r="V241" s="123">
        <f>T241-S241</f>
        <v>-2.3800000000001091</v>
      </c>
      <c r="W241" s="97"/>
      <c r="X241" s="28">
        <v>2350</v>
      </c>
      <c r="Y241" s="27">
        <v>2279.7199999999998</v>
      </c>
      <c r="Z241" s="89" t="str">
        <f>ROUND(Y241-T241,2) &amp; "   (" &amp; ROUND(100*(Y241-T241)/T241,1) &amp;"%)"</f>
        <v>32,1   (1,4%)</v>
      </c>
      <c r="AA241" s="34" t="str">
        <f>ROUND(Y241-X241,2) &amp; "  (" &amp; ROUND(100*(Y241-X241)/X241,1) &amp;"%)"</f>
        <v>-70,28  (-3%)</v>
      </c>
      <c r="AB241" s="97"/>
      <c r="AC241" s="28">
        <v>2350</v>
      </c>
      <c r="AD241" s="27">
        <v>2279.3200000000002</v>
      </c>
      <c r="AE241" s="9" t="str">
        <f>ROUND(AD241-Y241,2) &amp; "   (" &amp; ROUND(100*(AD241-Y241)/Y241,1) &amp;"%)"</f>
        <v>-0,4   (0%)</v>
      </c>
      <c r="AF241" s="34" t="str">
        <f>ROUND(AD241-AC241,2) &amp; "  (" &amp; ROUND(100*(AD241-AC241)/AC241,1) &amp;"%)"</f>
        <v>-70,68  (-3%)</v>
      </c>
      <c r="AG241" s="97"/>
      <c r="AH241" s="28">
        <v>2390</v>
      </c>
      <c r="AI241" s="27">
        <v>2313.6</v>
      </c>
      <c r="AJ241" s="39" t="str">
        <f t="shared" si="255"/>
        <v>34,28   (1,5%)</v>
      </c>
      <c r="AK241" s="34" t="str">
        <f>ROUND(AI241-AH241,2) &amp; "  (" &amp; ROUND(100*(AI241-AH241)/AH241,1) &amp;"%)"</f>
        <v>-76,4  (-3,2%)</v>
      </c>
      <c r="AL241" s="97"/>
      <c r="AM241" s="28">
        <v>2430</v>
      </c>
      <c r="AN241" s="27">
        <v>2353.04</v>
      </c>
      <c r="AO241" s="39" t="str">
        <f t="shared" si="256"/>
        <v>39,44   (1,7%)</v>
      </c>
      <c r="AP241" s="34" t="str">
        <f>ROUND(AN241-AM241,2) &amp; "  (" &amp; ROUND(100*(AN241-AM241)/AM241,1) &amp;"%)"</f>
        <v>-76,96  (-3,2%)</v>
      </c>
      <c r="AQ241" s="97"/>
      <c r="AR241" s="28">
        <v>2430</v>
      </c>
      <c r="AS241" s="27">
        <v>0</v>
      </c>
      <c r="AT241" s="39" t="str">
        <f t="shared" si="257"/>
        <v>-2353,04   (-100%)</v>
      </c>
      <c r="AU241" s="34" t="str">
        <f>ROUND(AS241-AR241,2) &amp; "  (" &amp; ROUND(100*(AS241-AR241)/AR241,1) &amp;"%)"</f>
        <v>-2430  (-100%)</v>
      </c>
      <c r="AV241" s="97"/>
    </row>
    <row r="242" spans="1:48" x14ac:dyDescent="0.3">
      <c r="A242" s="23" t="str">
        <f t="shared" si="253"/>
        <v>6140</v>
      </c>
      <c r="B242" s="252" t="s">
        <v>230</v>
      </c>
      <c r="C242" s="253"/>
      <c r="D242" s="187" t="str">
        <f t="shared" si="254"/>
        <v>40802/602.Asc.B</v>
      </c>
      <c r="E242" s="187"/>
      <c r="L242" s="27">
        <v>480</v>
      </c>
      <c r="M242" s="39"/>
      <c r="P242" s="39"/>
      <c r="Q242" s="123">
        <f>O242-N242</f>
        <v>0</v>
      </c>
      <c r="R242" s="97"/>
      <c r="V242" s="123">
        <f>T242-S242</f>
        <v>0</v>
      </c>
      <c r="W242" s="97"/>
      <c r="AA242" s="34"/>
      <c r="AB242" s="97"/>
      <c r="AF242" s="34"/>
      <c r="AG242" s="97"/>
      <c r="AK242" s="34"/>
      <c r="AL242" s="97"/>
      <c r="AN242" s="27">
        <v>115.85</v>
      </c>
      <c r="AP242" s="34"/>
      <c r="AQ242" s="97"/>
      <c r="AU242" s="34"/>
      <c r="AV242" s="97"/>
    </row>
    <row r="243" spans="1:48" x14ac:dyDescent="0.3">
      <c r="A243" s="52" t="str">
        <f t="shared" si="253"/>
        <v>6150</v>
      </c>
      <c r="B243" s="254" t="s">
        <v>231</v>
      </c>
      <c r="C243" s="255"/>
      <c r="D243" s="275" t="str">
        <f t="shared" si="254"/>
        <v>40806/602.Asc.B</v>
      </c>
      <c r="E243" s="275"/>
      <c r="F243" s="87">
        <v>0</v>
      </c>
      <c r="G243" s="87">
        <v>0</v>
      </c>
      <c r="H243" s="87">
        <v>0</v>
      </c>
      <c r="I243" s="87">
        <v>2589.4</v>
      </c>
      <c r="J243" s="87">
        <v>3170.33</v>
      </c>
      <c r="K243" s="88">
        <v>200</v>
      </c>
      <c r="L243" s="87">
        <v>164.38</v>
      </c>
      <c r="M243" s="29">
        <f>(L243-J243)/J243</f>
        <v>-0.94815050799128164</v>
      </c>
      <c r="N243" s="88">
        <v>200</v>
      </c>
      <c r="O243" s="87"/>
      <c r="P243" s="29"/>
      <c r="Q243" s="123">
        <f>O243-N243</f>
        <v>-200</v>
      </c>
      <c r="R243" s="97"/>
      <c r="S243" s="88">
        <v>200</v>
      </c>
      <c r="T243" s="87">
        <v>1000</v>
      </c>
      <c r="U243" s="29"/>
      <c r="V243" s="123">
        <f>T243-S243</f>
        <v>800</v>
      </c>
      <c r="W243" s="97"/>
      <c r="X243" s="88">
        <v>200</v>
      </c>
      <c r="Y243" s="87">
        <v>1026.92</v>
      </c>
      <c r="Z243" s="37" t="str">
        <f>ROUND(Y243-T243,2) &amp; "   (" &amp; ROUND(100*(Y243-T243)/T243,1) &amp;"%)"</f>
        <v>26,92   (2,7%)</v>
      </c>
      <c r="AA243" s="34" t="str">
        <f>ROUND(Y243-X243,2) &amp; "  (" &amp; ROUND(100*(Y243-X243)/X243,1) &amp;"%)"</f>
        <v>826,92  (413,5%)</v>
      </c>
      <c r="AB243" s="97"/>
      <c r="AC243" s="88">
        <v>500</v>
      </c>
      <c r="AD243" s="87">
        <v>152.9</v>
      </c>
      <c r="AE243" s="35" t="str">
        <f>ROUND(AD243-Y243,2) &amp; "   (" &amp; ROUND(100*(AD243-Y243)/Y243,1) &amp;"%)"</f>
        <v>-874,02   (-85,1%)</v>
      </c>
      <c r="AF243" s="34" t="str">
        <f>ROUND(AD243-AC243,2) &amp; "  (" &amp; ROUND(100*(AD243-AC243)/AC243,1) &amp;"%)"</f>
        <v>-347,1  (-69,4%)</v>
      </c>
      <c r="AG243" s="97"/>
      <c r="AH243" s="88">
        <v>510</v>
      </c>
      <c r="AI243" s="87">
        <v>618.88</v>
      </c>
      <c r="AJ243" s="29" t="str">
        <f t="shared" ref="AJ243" si="258">ROUND(AI243-AD243,2) &amp; "   (" &amp; ROUND(100*(AI243-AD243)/AD243,1) &amp;"%)"</f>
        <v>465,98   (304,8%)</v>
      </c>
      <c r="AK243" s="34" t="str">
        <f>ROUND(AI243-AH243,2) &amp; "  (" &amp; ROUND(100*(AI243-AH243)/AH243,1) &amp;"%)"</f>
        <v>108,88  (21,3%)</v>
      </c>
      <c r="AL243" s="97"/>
      <c r="AM243" s="88">
        <v>520</v>
      </c>
      <c r="AN243" s="87">
        <v>0</v>
      </c>
      <c r="AO243" s="29" t="str">
        <f t="shared" ref="AO243" si="259">ROUND(AN243-AI243,2) &amp; "   (" &amp; ROUND(100*(AN243-AI243)/AI243,1) &amp;"%)"</f>
        <v>-618,88   (-100%)</v>
      </c>
      <c r="AP243" s="34" t="str">
        <f>ROUND(AN243-AM243,2) &amp; "  (" &amp; ROUND(100*(AN243-AM243)/AM243,1) &amp;"%)"</f>
        <v>-520  (-100%)</v>
      </c>
      <c r="AQ243" s="97"/>
      <c r="AR243" s="88"/>
      <c r="AS243" s="87">
        <v>0</v>
      </c>
      <c r="AT243" s="29" t="e">
        <f t="shared" ref="AT243" si="260">ROUND(AS243-AN243,2) &amp; "   (" &amp; ROUND(100*(AS243-AN243)/AN243,1) &amp;"%)"</f>
        <v>#DIV/0!</v>
      </c>
      <c r="AU243" s="34" t="e">
        <f>ROUND(AS243-AR243,2) &amp; "  (" &amp; ROUND(100*(AS243-AR243)/AR243,1) &amp;"%)"</f>
        <v>#DIV/0!</v>
      </c>
      <c r="AV243" s="97"/>
    </row>
    <row r="244" spans="1:48" x14ac:dyDescent="0.3">
      <c r="A244" s="23" t="str">
        <f t="shared" si="253"/>
        <v>6230</v>
      </c>
      <c r="B244" s="252" t="s">
        <v>232</v>
      </c>
      <c r="C244" s="255"/>
      <c r="D244" s="275" t="str">
        <f t="shared" si="254"/>
        <v>65367/602.Asc.B</v>
      </c>
      <c r="E244" s="275"/>
      <c r="F244" s="87"/>
      <c r="G244" s="87"/>
      <c r="H244" s="87"/>
      <c r="I244" s="87"/>
      <c r="J244" s="87"/>
      <c r="K244" s="88"/>
      <c r="L244" s="87"/>
      <c r="M244" s="29"/>
      <c r="N244" s="88"/>
      <c r="O244" s="87"/>
      <c r="P244" s="29"/>
      <c r="Q244" s="123"/>
      <c r="R244" s="97"/>
      <c r="S244" s="88"/>
      <c r="T244" s="87"/>
      <c r="U244" s="29"/>
      <c r="V244" s="123"/>
      <c r="W244" s="97"/>
      <c r="X244" s="88"/>
      <c r="Y244" s="87"/>
      <c r="Z244" s="37"/>
      <c r="AA244" s="34"/>
      <c r="AB244" s="97"/>
      <c r="AC244" s="88"/>
      <c r="AD244" s="87"/>
      <c r="AE244" s="35"/>
      <c r="AF244" s="34"/>
      <c r="AG244" s="97"/>
      <c r="AH244" s="88"/>
      <c r="AI244" s="87"/>
      <c r="AJ244" s="29"/>
      <c r="AK244" s="34"/>
      <c r="AL244" s="97"/>
      <c r="AM244" s="88"/>
      <c r="AN244" s="87"/>
      <c r="AO244" s="29"/>
      <c r="AP244" s="34"/>
      <c r="AQ244" s="97"/>
      <c r="AR244" s="88"/>
      <c r="AS244" s="87"/>
      <c r="AT244" s="29"/>
      <c r="AU244" s="34"/>
      <c r="AV244" s="97"/>
    </row>
    <row r="245" spans="1:48" x14ac:dyDescent="0.3">
      <c r="A245" s="23" t="str">
        <f t="shared" si="253"/>
        <v>6230</v>
      </c>
      <c r="B245" s="252" t="s">
        <v>623</v>
      </c>
      <c r="C245" s="255"/>
      <c r="D245" s="256"/>
      <c r="E245" s="256"/>
      <c r="F245" s="87"/>
      <c r="G245" s="87"/>
      <c r="H245" s="87"/>
      <c r="I245" s="87"/>
      <c r="J245" s="87"/>
      <c r="K245" s="88"/>
      <c r="L245" s="87"/>
      <c r="M245" s="29"/>
      <c r="N245" s="88"/>
      <c r="O245" s="87"/>
      <c r="P245" s="29"/>
      <c r="Q245" s="123"/>
      <c r="R245" s="97"/>
      <c r="S245" s="88"/>
      <c r="T245" s="87"/>
      <c r="U245" s="29"/>
      <c r="V245" s="123"/>
      <c r="W245" s="97"/>
      <c r="X245" s="88"/>
      <c r="Y245" s="87"/>
      <c r="Z245" s="37"/>
      <c r="AA245" s="34"/>
      <c r="AB245" s="97"/>
      <c r="AC245" s="88"/>
      <c r="AD245" s="87"/>
      <c r="AE245" s="35"/>
      <c r="AF245" s="34"/>
      <c r="AG245" s="97"/>
      <c r="AH245" s="88"/>
      <c r="AI245" s="87">
        <v>420</v>
      </c>
      <c r="AJ245" s="29"/>
      <c r="AK245" s="34"/>
      <c r="AL245" s="97"/>
      <c r="AM245" s="88"/>
      <c r="AN245" s="87">
        <v>0</v>
      </c>
      <c r="AO245" s="29"/>
      <c r="AP245" s="34"/>
      <c r="AQ245" s="97"/>
      <c r="AR245" s="88"/>
      <c r="AS245" s="87"/>
      <c r="AT245" s="29"/>
      <c r="AU245" s="34"/>
      <c r="AV245" s="97"/>
    </row>
    <row r="246" spans="1:48" s="122" customFormat="1" ht="18" thickBot="1" x14ac:dyDescent="0.35">
      <c r="A246" s="111" t="str">
        <f t="shared" si="253"/>
        <v>6730</v>
      </c>
      <c r="B246" s="237" t="s">
        <v>233</v>
      </c>
      <c r="C246" s="238"/>
      <c r="D246" s="257" t="str">
        <f>RIGHT(LEFT(B246,10),5) &amp;"/"&amp;LEFT(B$238,3)&amp;"."&amp;RIGHT(LEFT(B$238,7),3)&amp;"."&amp;RIGHT(B$238,1)</f>
        <v>40368/602.Asc.B</v>
      </c>
      <c r="E246" s="257"/>
      <c r="F246" s="153"/>
      <c r="G246" s="153">
        <v>527</v>
      </c>
      <c r="H246" s="153"/>
      <c r="I246" s="153"/>
      <c r="J246" s="153"/>
      <c r="K246" s="154"/>
      <c r="L246" s="153"/>
      <c r="M246" s="116"/>
      <c r="N246" s="154"/>
      <c r="O246" s="153"/>
      <c r="P246" s="116"/>
      <c r="Q246" s="125"/>
      <c r="R246" s="117"/>
      <c r="S246" s="154"/>
      <c r="T246" s="153"/>
      <c r="U246" s="116"/>
      <c r="V246" s="125"/>
      <c r="W246" s="117"/>
      <c r="X246" s="154"/>
      <c r="Y246" s="153"/>
      <c r="Z246" s="119"/>
      <c r="AA246" s="120"/>
      <c r="AB246" s="117"/>
      <c r="AC246" s="154"/>
      <c r="AD246" s="153"/>
      <c r="AE246" s="121"/>
      <c r="AF246" s="120"/>
      <c r="AG246" s="117"/>
      <c r="AH246" s="154"/>
      <c r="AI246" s="153"/>
      <c r="AJ246" s="116"/>
      <c r="AK246" s="120"/>
      <c r="AL246" s="117"/>
      <c r="AM246" s="154"/>
      <c r="AN246" s="153"/>
      <c r="AO246" s="116"/>
      <c r="AP246" s="120"/>
      <c r="AQ246" s="117"/>
      <c r="AR246" s="154"/>
      <c r="AS246" s="153"/>
      <c r="AT246" s="116"/>
      <c r="AU246" s="120"/>
      <c r="AV246" s="117"/>
    </row>
    <row r="247" spans="1:48" s="265" customFormat="1" x14ac:dyDescent="0.3">
      <c r="A247" s="258"/>
      <c r="B247" s="259"/>
      <c r="C247" s="260"/>
      <c r="D247" s="260"/>
      <c r="E247" s="260"/>
      <c r="F247" s="226">
        <f t="shared" ref="F247:L247" si="261">SUM(F239:F246)</f>
        <v>3912.8199999999997</v>
      </c>
      <c r="G247" s="226">
        <f t="shared" si="261"/>
        <v>4561.83</v>
      </c>
      <c r="H247" s="226">
        <f t="shared" si="261"/>
        <v>3482.8099999999995</v>
      </c>
      <c r="I247" s="226">
        <f t="shared" si="261"/>
        <v>4335.4799999999996</v>
      </c>
      <c r="J247" s="226">
        <f t="shared" si="261"/>
        <v>5975.1399999999994</v>
      </c>
      <c r="K247" s="241">
        <f t="shared" si="261"/>
        <v>3140</v>
      </c>
      <c r="L247" s="226">
        <f t="shared" si="261"/>
        <v>3470.63</v>
      </c>
      <c r="M247" s="57">
        <f>(L247-J247)</f>
        <v>-2504.5099999999993</v>
      </c>
      <c r="N247" s="56">
        <f>SUM(N239:N246)</f>
        <v>3140</v>
      </c>
      <c r="O247" s="226">
        <f>SUM(O239:O246)</f>
        <v>3264.1000000000004</v>
      </c>
      <c r="P247" s="57">
        <f>(O247-L247)</f>
        <v>-206.52999999999975</v>
      </c>
      <c r="Q247" s="123">
        <f>O247-N247</f>
        <v>124.10000000000036</v>
      </c>
      <c r="R247" s="97"/>
      <c r="S247" s="241">
        <f>SUM(S239:S246)</f>
        <v>3150</v>
      </c>
      <c r="T247" s="226">
        <f>SUM(T239:T246)</f>
        <v>4100.63</v>
      </c>
      <c r="U247" s="57">
        <f>(T247-O247)</f>
        <v>836.52999999999975</v>
      </c>
      <c r="V247" s="123">
        <f>T247-S247</f>
        <v>950.63000000000011</v>
      </c>
      <c r="W247" s="97"/>
      <c r="X247" s="241">
        <f>SUM(X239:X246)</f>
        <v>3470</v>
      </c>
      <c r="Y247" s="226">
        <f>SUM(Y239:Y246)</f>
        <v>4011.58</v>
      </c>
      <c r="Z247" s="262" t="str">
        <f>ROUND(Y247-T247,2) &amp; "   (" &amp; ROUND(100*(Y247-T247)/T247,1) &amp;"%)"</f>
        <v>-89,05   (-2,2%)</v>
      </c>
      <c r="AA247" s="34" t="str">
        <f>ROUND(Y247-X247,2) &amp; "  (" &amp; ROUND(100*(Y247-X247)/X247,1) &amp;"%)"</f>
        <v>541,58  (15,6%)</v>
      </c>
      <c r="AB247" s="97"/>
      <c r="AC247" s="241">
        <f>SUM(AC239:AC246)</f>
        <v>3770</v>
      </c>
      <c r="AD247" s="226">
        <f>SUM(AD239:AD246)</f>
        <v>3264.6400000000003</v>
      </c>
      <c r="AE247" s="263" t="str">
        <f>ROUND(AD247-Y247,2) &amp; "   (" &amp; ROUND(100*(AD247-Y247)/Y247,1) &amp;"%)"</f>
        <v>-746,94   (-18,6%)</v>
      </c>
      <c r="AF247" s="34" t="str">
        <f>ROUND(AD247-AC247,2) &amp; "  (" &amp; ROUND(100*(AD247-AC247)/AC247,1) &amp;"%)"</f>
        <v>-505,36  (-13,4%)</v>
      </c>
      <c r="AG247" s="97"/>
      <c r="AH247" s="241">
        <f>SUM(AH239:AH246)</f>
        <v>3840</v>
      </c>
      <c r="AI247" s="226">
        <f>SUM(AI239:AI246)</f>
        <v>4164.2</v>
      </c>
      <c r="AJ247" s="264" t="str">
        <f t="shared" ref="AJ247" si="262">ROUND(AI247-AD247,2) &amp; "   (" &amp; ROUND(100*(AI247-AD247)/AD247,1) &amp;"%)"</f>
        <v>899,56   (27,6%)</v>
      </c>
      <c r="AK247" s="34" t="str">
        <f>ROUND(AI247-AH247,2) &amp; "  (" &amp; ROUND(100*(AI247-AH247)/AH247,1) &amp;"%)"</f>
        <v>324,2  (8,4%)</v>
      </c>
      <c r="AL247" s="97"/>
      <c r="AM247" s="241">
        <f>SUM(AM239:AM246)</f>
        <v>3910</v>
      </c>
      <c r="AN247" s="226">
        <f>SUM(AN239:AN246)</f>
        <v>3009.72</v>
      </c>
      <c r="AO247" s="264" t="str">
        <f t="shared" ref="AO247" si="263">ROUND(AN247-AI247,2) &amp; "   (" &amp; ROUND(100*(AN247-AI247)/AI247,1) &amp;"%)"</f>
        <v>-1154,48   (-27,7%)</v>
      </c>
      <c r="AP247" s="34" t="str">
        <f>ROUND(AN247-AM247,2) &amp; "  (" &amp; ROUND(100*(AN247-AM247)/AM247,1) &amp;"%)"</f>
        <v>-900,28  (-23%)</v>
      </c>
      <c r="AQ247" s="97"/>
      <c r="AR247" s="241">
        <f>SUM(AR239:AR246)</f>
        <v>3390</v>
      </c>
      <c r="AS247" s="226">
        <f>SUM(AS239:AS246)</f>
        <v>0</v>
      </c>
      <c r="AT247" s="264" t="str">
        <f t="shared" ref="AT247" si="264">ROUND(AS247-AN247,2) &amp; "   (" &amp; ROUND(100*(AS247-AN247)/AN247,1) &amp;"%)"</f>
        <v>-3009,72   (-100%)</v>
      </c>
      <c r="AU247" s="34" t="str">
        <f>ROUND(AS247-AR247,2) &amp; "  (" &amp; ROUND(100*(AS247-AR247)/AR247,1) &amp;"%)"</f>
        <v>-3390  (-100%)</v>
      </c>
      <c r="AV247" s="97"/>
    </row>
    <row r="248" spans="1:48" s="274" customFormat="1" x14ac:dyDescent="0.3">
      <c r="A248" s="266"/>
      <c r="B248" s="267"/>
      <c r="C248" s="268"/>
      <c r="D248" s="268"/>
      <c r="E248" s="268"/>
      <c r="F248" s="244"/>
      <c r="G248" s="244"/>
      <c r="H248" s="244"/>
      <c r="I248" s="244"/>
      <c r="J248" s="244"/>
      <c r="K248" s="269"/>
      <c r="L248" s="246"/>
      <c r="M248" s="63">
        <f>(L247-J247)/J247</f>
        <v>-0.41915503235070634</v>
      </c>
      <c r="N248" s="247"/>
      <c r="O248" s="246"/>
      <c r="P248" s="63">
        <f>(O247-L247)/L247</f>
        <v>-5.9507927955443171E-2</v>
      </c>
      <c r="Q248" s="91"/>
      <c r="R248" s="270"/>
      <c r="S248" s="247"/>
      <c r="T248" s="246"/>
      <c r="U248" s="63">
        <f>(T247-O247)/O247</f>
        <v>0.25628197665512686</v>
      </c>
      <c r="V248" s="91"/>
      <c r="W248" s="270"/>
      <c r="X248" s="247"/>
      <c r="Y248" s="271"/>
      <c r="Z248" s="272"/>
      <c r="AA248" s="93"/>
      <c r="AB248" s="270"/>
      <c r="AC248" s="247"/>
      <c r="AD248" s="271"/>
      <c r="AE248" s="273"/>
      <c r="AF248" s="93"/>
      <c r="AG248" s="270"/>
      <c r="AH248" s="247"/>
      <c r="AI248" s="271"/>
      <c r="AJ248" s="272"/>
      <c r="AK248" s="93"/>
      <c r="AL248" s="270"/>
      <c r="AM248" s="247"/>
      <c r="AN248" s="271"/>
      <c r="AO248" s="272"/>
      <c r="AP248" s="93"/>
      <c r="AQ248" s="270"/>
      <c r="AR248" s="247"/>
      <c r="AS248" s="271"/>
      <c r="AT248" s="272"/>
      <c r="AU248" s="93"/>
      <c r="AV248" s="270"/>
    </row>
    <row r="249" spans="1:48" s="136" customFormat="1" x14ac:dyDescent="0.3">
      <c r="A249" s="127"/>
      <c r="B249" s="229" t="s">
        <v>234</v>
      </c>
      <c r="C249" s="230"/>
      <c r="D249" s="230"/>
      <c r="E249" s="230"/>
      <c r="F249" s="231"/>
      <c r="G249" s="231"/>
      <c r="H249" s="231"/>
      <c r="I249" s="231"/>
      <c r="J249" s="231"/>
      <c r="K249" s="232"/>
      <c r="L249" s="231"/>
      <c r="M249" s="233"/>
      <c r="N249" s="232"/>
      <c r="O249" s="231"/>
      <c r="P249" s="233"/>
      <c r="Q249" s="234"/>
      <c r="R249" s="235"/>
      <c r="S249" s="232"/>
      <c r="T249" s="231"/>
      <c r="U249" s="134"/>
      <c r="V249" s="234"/>
      <c r="W249" s="235"/>
      <c r="X249" s="232"/>
      <c r="Y249" s="231"/>
      <c r="Z249" s="134"/>
      <c r="AA249" s="236"/>
      <c r="AB249" s="235"/>
      <c r="AC249" s="232"/>
      <c r="AD249" s="231"/>
      <c r="AE249" s="135"/>
      <c r="AF249" s="236"/>
      <c r="AG249" s="235"/>
      <c r="AH249" s="232"/>
      <c r="AI249" s="231"/>
      <c r="AJ249" s="134"/>
      <c r="AK249" s="236"/>
      <c r="AL249" s="235"/>
      <c r="AM249" s="232"/>
      <c r="AN249" s="231"/>
      <c r="AO249" s="134"/>
      <c r="AP249" s="236"/>
      <c r="AQ249" s="235"/>
      <c r="AR249" s="232"/>
      <c r="AS249" s="231"/>
      <c r="AT249" s="134"/>
      <c r="AU249" s="236"/>
      <c r="AV249" s="235"/>
    </row>
    <row r="250" spans="1:48" s="62" customFormat="1" x14ac:dyDescent="0.3">
      <c r="A250" s="23" t="str">
        <f t="shared" ref="A250:A258" si="265">LEFT(B250,4)</f>
        <v>6150</v>
      </c>
      <c r="B250" s="472" t="s">
        <v>638</v>
      </c>
      <c r="C250" s="253"/>
      <c r="D250" s="187" t="str">
        <f t="shared" ref="D250" si="266">RIGHT(LEFT(B250,10),5) &amp;"/"&amp;LEFT(B$249,3)&amp;"."&amp;RIGHT(LEFT(B$249,7),3)&amp;"."&amp;RIGHT(B$249,1)</f>
        <v>40146/603.Asc.C</v>
      </c>
      <c r="E250" s="187"/>
      <c r="F250" s="87"/>
      <c r="G250" s="87"/>
      <c r="H250" s="87"/>
      <c r="I250" s="87"/>
      <c r="J250" s="87"/>
      <c r="K250" s="88"/>
      <c r="L250" s="87"/>
      <c r="M250" s="189"/>
      <c r="N250" s="88"/>
      <c r="O250" s="87"/>
      <c r="P250" s="189"/>
      <c r="Q250" s="123"/>
      <c r="R250" s="124"/>
      <c r="S250" s="88"/>
      <c r="T250" s="87"/>
      <c r="U250" s="29"/>
      <c r="V250" s="123"/>
      <c r="W250" s="124"/>
      <c r="X250" s="88"/>
      <c r="Y250" s="87"/>
      <c r="Z250" s="29"/>
      <c r="AA250" s="34"/>
      <c r="AB250" s="124"/>
      <c r="AC250" s="88"/>
      <c r="AD250" s="87"/>
      <c r="AE250" s="35"/>
      <c r="AF250" s="34"/>
      <c r="AG250" s="124"/>
      <c r="AH250" s="88"/>
      <c r="AI250" s="87"/>
      <c r="AJ250" s="29"/>
      <c r="AK250" s="34"/>
      <c r="AL250" s="124"/>
      <c r="AM250" s="88"/>
      <c r="AN250" s="87">
        <v>1174.53</v>
      </c>
      <c r="AO250" s="29"/>
      <c r="AP250" s="34"/>
      <c r="AQ250" s="124"/>
      <c r="AR250" s="88"/>
      <c r="AS250" s="87"/>
      <c r="AT250" s="29"/>
      <c r="AU250" s="34"/>
      <c r="AV250" s="124"/>
    </row>
    <row r="251" spans="1:48" x14ac:dyDescent="0.3">
      <c r="A251" s="23" t="str">
        <f t="shared" si="265"/>
        <v>6020</v>
      </c>
      <c r="B251" s="252" t="s">
        <v>235</v>
      </c>
      <c r="C251" s="253"/>
      <c r="D251" s="187" t="str">
        <f t="shared" ref="D251:D256" si="267">RIGHT(LEFT(B251,10),5) &amp;"/"&amp;LEFT(B$249,3)&amp;"."&amp;RIGHT(LEFT(B$249,7),3)&amp;"."&amp;RIGHT(B$249,1)</f>
        <v>40264/603.Asc.C</v>
      </c>
      <c r="E251" s="187"/>
      <c r="F251" s="27">
        <v>523.39</v>
      </c>
      <c r="G251" s="27">
        <v>599.12</v>
      </c>
      <c r="H251" s="27">
        <v>449.77</v>
      </c>
      <c r="I251" s="27">
        <v>838.21</v>
      </c>
      <c r="J251" s="27">
        <v>313.88</v>
      </c>
      <c r="K251" s="28">
        <v>400</v>
      </c>
      <c r="L251" s="27">
        <v>387.92</v>
      </c>
      <c r="M251" s="39">
        <f>(L251-J251)/J251</f>
        <v>0.23588632598445272</v>
      </c>
      <c r="N251" s="28">
        <v>400</v>
      </c>
      <c r="O251" s="27">
        <v>427.34</v>
      </c>
      <c r="P251" s="39">
        <f>(O251-L251)/L251</f>
        <v>0.10161889049288503</v>
      </c>
      <c r="Q251" s="123"/>
      <c r="R251" s="124"/>
      <c r="S251" s="28">
        <v>400</v>
      </c>
      <c r="T251" s="27">
        <v>447.97</v>
      </c>
      <c r="U251" s="39">
        <f>(T251-O251)/O251</f>
        <v>4.8275377919221353E-2</v>
      </c>
      <c r="V251" s="123"/>
      <c r="W251" s="124"/>
      <c r="X251" s="28">
        <v>450</v>
      </c>
      <c r="Y251" s="27">
        <v>451.59</v>
      </c>
      <c r="Z251" s="89" t="str">
        <f>ROUND(Y251-T251,2) &amp; "   (" &amp; ROUND(100*(Y251-T251)/T251,1) &amp;"%)"</f>
        <v>3,62   (0,8%)</v>
      </c>
      <c r="AA251" s="34"/>
      <c r="AB251" s="124"/>
      <c r="AC251" s="28">
        <v>450</v>
      </c>
      <c r="AD251" s="27">
        <v>580.67999999999995</v>
      </c>
      <c r="AE251" s="9" t="str">
        <f>ROUND(AD251-Y251,2) &amp; "   (" &amp; ROUND(100*(AD251-Y251)/Y251,1) &amp;"%)"</f>
        <v>129,09   (28,6%)</v>
      </c>
      <c r="AF251" s="34"/>
      <c r="AG251" s="124"/>
      <c r="AH251" s="28">
        <v>460</v>
      </c>
      <c r="AI251" s="87">
        <v>520.01</v>
      </c>
      <c r="AJ251" s="39" t="str">
        <f t="shared" ref="AJ251:AJ253" si="268">ROUND(AI251-AD251,2) &amp; "   (" &amp; ROUND(100*(AI251-AD251)/AD251,1) &amp;"%)"</f>
        <v>-60,67   (-10,4%)</v>
      </c>
      <c r="AK251" s="34"/>
      <c r="AL251" s="124"/>
      <c r="AM251" s="28">
        <v>470</v>
      </c>
      <c r="AN251" s="87">
        <v>263.44</v>
      </c>
      <c r="AO251" s="39" t="str">
        <f t="shared" ref="AO251:AO253" si="269">ROUND(AN251-AI251,2) &amp; "   (" &amp; ROUND(100*(AN251-AI251)/AI251,1) &amp;"%)"</f>
        <v>-256,57   (-49,3%)</v>
      </c>
      <c r="AP251" s="34"/>
      <c r="AQ251" s="124"/>
      <c r="AR251" s="28">
        <v>470</v>
      </c>
      <c r="AS251" s="27">
        <v>0</v>
      </c>
      <c r="AT251" s="39" t="str">
        <f t="shared" ref="AT251:AT253" si="270">ROUND(AS251-AN251,2) &amp; "   (" &amp; ROUND(100*(AS251-AN251)/AN251,1) &amp;"%)"</f>
        <v>-263,44   (-100%)</v>
      </c>
      <c r="AU251" s="34"/>
      <c r="AV251" s="124"/>
    </row>
    <row r="252" spans="1:48" x14ac:dyDescent="0.3">
      <c r="A252" s="23" t="str">
        <f t="shared" si="265"/>
        <v>6140</v>
      </c>
      <c r="B252" s="252" t="s">
        <v>236</v>
      </c>
      <c r="C252" s="253"/>
      <c r="D252" s="187" t="str">
        <f t="shared" si="267"/>
        <v>40761/603.Asc.C</v>
      </c>
      <c r="E252" s="187"/>
      <c r="F252" s="27">
        <v>263.57</v>
      </c>
      <c r="G252" s="27">
        <v>265.5</v>
      </c>
      <c r="H252" s="27">
        <v>271.58999999999997</v>
      </c>
      <c r="I252" s="27">
        <v>279.20999999999998</v>
      </c>
      <c r="J252" s="27">
        <v>284.39999999999998</v>
      </c>
      <c r="K252" s="28">
        <v>290</v>
      </c>
      <c r="L252" s="27">
        <v>292.31</v>
      </c>
      <c r="M252" s="39">
        <f>(L252-J252)/J252</f>
        <v>2.7812939521800372E-2</v>
      </c>
      <c r="N252" s="28">
        <v>290</v>
      </c>
      <c r="O252" s="27">
        <v>302.32</v>
      </c>
      <c r="P252" s="39">
        <f>(O252-L252)/L252</f>
        <v>3.4244466491053983E-2</v>
      </c>
      <c r="Q252" s="123">
        <f>O252-N252</f>
        <v>12.319999999999993</v>
      </c>
      <c r="R252" s="97"/>
      <c r="S252" s="28">
        <v>300</v>
      </c>
      <c r="T252" s="27">
        <v>313.87</v>
      </c>
      <c r="U252" s="39">
        <f>(T252-O252)/O252</f>
        <v>3.8204551468642538E-2</v>
      </c>
      <c r="V252" s="123">
        <f>T252-S252</f>
        <v>13.870000000000005</v>
      </c>
      <c r="W252" s="97"/>
      <c r="X252" s="28">
        <v>350</v>
      </c>
      <c r="Y252" s="27">
        <v>322.5</v>
      </c>
      <c r="Z252" s="89" t="str">
        <f>ROUND(Y252-T252,2) &amp; "   (" &amp; ROUND(100*(Y252-T252)/T252,1) &amp;"%)"</f>
        <v>8,63   (2,7%)</v>
      </c>
      <c r="AA252" s="34" t="str">
        <f>ROUND(Y252-X252,2) &amp; "  (" &amp; ROUND(100*(Y252-X252)/X252,1) &amp;"%)"</f>
        <v>-27,5  (-7,9%)</v>
      </c>
      <c r="AB252" s="97"/>
      <c r="AC252" s="28">
        <v>320</v>
      </c>
      <c r="AD252" s="27">
        <v>327.96</v>
      </c>
      <c r="AE252" s="9" t="str">
        <f>ROUND(AD252-Y252,2) &amp; "   (" &amp; ROUND(100*(AD252-Y252)/Y252,1) &amp;"%)"</f>
        <v>5,46   (1,7%)</v>
      </c>
      <c r="AF252" s="34" t="str">
        <f>ROUND(AD252-AC252,2) &amp; "  (" &amp; ROUND(100*(AD252-AC252)/AC252,1) &amp;"%)"</f>
        <v>7,96  (2,5%)</v>
      </c>
      <c r="AG252" s="97"/>
      <c r="AH252" s="28">
        <v>330</v>
      </c>
      <c r="AI252" s="27">
        <v>344.16</v>
      </c>
      <c r="AJ252" s="39" t="str">
        <f t="shared" si="268"/>
        <v>16,2   (4,9%)</v>
      </c>
      <c r="AK252" s="34" t="str">
        <f>ROUND(AI252-AH252,2) &amp; "  (" &amp; ROUND(100*(AI252-AH252)/AH252,1) &amp;"%)"</f>
        <v>14,16  (4,3%)</v>
      </c>
      <c r="AL252" s="97"/>
      <c r="AM252" s="28">
        <v>340</v>
      </c>
      <c r="AN252" s="27">
        <v>307.2</v>
      </c>
      <c r="AO252" s="39" t="str">
        <f t="shared" si="269"/>
        <v>-36,96   (-10,7%)</v>
      </c>
      <c r="AP252" s="34" t="str">
        <f>ROUND(AN252-AM252,2) &amp; "  (" &amp; ROUND(100*(AN252-AM252)/AM252,1) &amp;"%)"</f>
        <v>-32,8  (-9,6%)</v>
      </c>
      <c r="AQ252" s="97"/>
      <c r="AR252" s="28">
        <v>340</v>
      </c>
      <c r="AS252" s="27">
        <v>0</v>
      </c>
      <c r="AT252" s="39" t="str">
        <f t="shared" si="270"/>
        <v>-307,2   (-100%)</v>
      </c>
      <c r="AU252" s="34" t="str">
        <f>ROUND(AS252-AR252,2) &amp; "  (" &amp; ROUND(100*(AS252-AR252)/AR252,1) &amp;"%)"</f>
        <v>-340  (-100%)</v>
      </c>
      <c r="AV252" s="97"/>
    </row>
    <row r="253" spans="1:48" x14ac:dyDescent="0.3">
      <c r="A253" s="23" t="str">
        <f t="shared" si="265"/>
        <v>6140</v>
      </c>
      <c r="B253" s="252" t="s">
        <v>237</v>
      </c>
      <c r="C253" s="253"/>
      <c r="D253" s="187" t="str">
        <f t="shared" si="267"/>
        <v>40802/603.Asc.C</v>
      </c>
      <c r="E253" s="187"/>
      <c r="F253" s="27">
        <v>3272.26</v>
      </c>
      <c r="G253" s="27">
        <v>3321.36</v>
      </c>
      <c r="H253" s="27">
        <v>2744.9</v>
      </c>
      <c r="I253" s="27">
        <v>1013.22</v>
      </c>
      <c r="J253" s="27">
        <v>2105.92</v>
      </c>
      <c r="K253" s="28">
        <v>2150</v>
      </c>
      <c r="L253" s="27">
        <v>2145.27</v>
      </c>
      <c r="M253" s="39">
        <f>(L253-J253)/J253</f>
        <v>1.8685420148913494E-2</v>
      </c>
      <c r="N253" s="28">
        <v>2150</v>
      </c>
      <c r="O253" s="27">
        <v>2166.7800000000002</v>
      </c>
      <c r="P253" s="39">
        <f>(O253-L253)/L253</f>
        <v>1.0026709924624974E-2</v>
      </c>
      <c r="Q253" s="123">
        <f>O253-N253</f>
        <v>16.7800000000002</v>
      </c>
      <c r="R253" s="97"/>
      <c r="S253" s="28">
        <v>2250</v>
      </c>
      <c r="T253" s="27">
        <v>2188.42</v>
      </c>
      <c r="U253" s="39">
        <f>(T253-O253)/O253</f>
        <v>9.987169901881995E-3</v>
      </c>
      <c r="V253" s="123">
        <f>T253-S253</f>
        <v>-61.579999999999927</v>
      </c>
      <c r="W253" s="97"/>
      <c r="X253" s="28">
        <v>2350</v>
      </c>
      <c r="Y253" s="27">
        <v>2219.7600000000002</v>
      </c>
      <c r="Z253" s="89" t="str">
        <f>ROUND(Y253-T253,2) &amp; "   (" &amp; ROUND(100*(Y253-T253)/T253,1) &amp;"%)"</f>
        <v>31,34   (1,4%)</v>
      </c>
      <c r="AA253" s="34" t="str">
        <f>ROUND(Y253-X253,2) &amp; "  (" &amp; ROUND(100*(Y253-X253)/X253,1) &amp;"%)"</f>
        <v>-130,24  (-5,5%)</v>
      </c>
      <c r="AB253" s="97"/>
      <c r="AC253" s="28">
        <v>2350</v>
      </c>
      <c r="AD253" s="27">
        <v>2219.44</v>
      </c>
      <c r="AE253" s="9" t="str">
        <f>ROUND(AD253-Y253,2) &amp; "   (" &amp; ROUND(100*(AD253-Y253)/Y253,1) &amp;"%)"</f>
        <v>-0,32   (0%)</v>
      </c>
      <c r="AF253" s="34" t="str">
        <f>ROUND(AD253-AC253,2) &amp; "  (" &amp; ROUND(100*(AD253-AC253)/AC253,1) &amp;"%)"</f>
        <v>-130,56  (-5,6%)</v>
      </c>
      <c r="AG253" s="97"/>
      <c r="AH253" s="28">
        <v>2390</v>
      </c>
      <c r="AI253" s="27">
        <v>2252.79</v>
      </c>
      <c r="AJ253" s="39" t="str">
        <f t="shared" si="268"/>
        <v>33,35   (1,5%)</v>
      </c>
      <c r="AK253" s="34" t="str">
        <f>ROUND(AI253-AH253,2) &amp; "  (" &amp; ROUND(100*(AI253-AH253)/AH253,1) &amp;"%)"</f>
        <v>-137,21  (-5,7%)</v>
      </c>
      <c r="AL253" s="97"/>
      <c r="AM253" s="28">
        <v>2430</v>
      </c>
      <c r="AN253" s="27">
        <v>2291.25</v>
      </c>
      <c r="AO253" s="39" t="str">
        <f t="shared" si="269"/>
        <v>38,46   (1,7%)</v>
      </c>
      <c r="AP253" s="34" t="str">
        <f>ROUND(AN253-AM253,2) &amp; "  (" &amp; ROUND(100*(AN253-AM253)/AM253,1) &amp;"%)"</f>
        <v>-138,75  (-5,7%)</v>
      </c>
      <c r="AQ253" s="97"/>
      <c r="AR253" s="28">
        <v>2430</v>
      </c>
      <c r="AS253" s="27">
        <v>0</v>
      </c>
      <c r="AT253" s="39" t="str">
        <f t="shared" si="270"/>
        <v>-2291,25   (-100%)</v>
      </c>
      <c r="AU253" s="34" t="str">
        <f>ROUND(AS253-AR253,2) &amp; "  (" &amp; ROUND(100*(AS253-AR253)/AR253,1) &amp;"%)"</f>
        <v>-2430  (-100%)</v>
      </c>
      <c r="AV253" s="97"/>
    </row>
    <row r="254" spans="1:48" x14ac:dyDescent="0.3">
      <c r="A254" s="23" t="str">
        <f t="shared" si="265"/>
        <v>6140</v>
      </c>
      <c r="B254" s="252" t="s">
        <v>238</v>
      </c>
      <c r="C254" s="253"/>
      <c r="D254" s="187" t="str">
        <f t="shared" si="267"/>
        <v>40802/603.Asc.C</v>
      </c>
      <c r="E254" s="187"/>
      <c r="L254" s="27">
        <v>480</v>
      </c>
      <c r="M254" s="39"/>
      <c r="P254" s="39"/>
      <c r="Q254" s="123">
        <f>O254-N254</f>
        <v>0</v>
      </c>
      <c r="R254" s="97"/>
      <c r="V254" s="123">
        <f>T254-S254</f>
        <v>0</v>
      </c>
      <c r="W254" s="97"/>
      <c r="Z254" s="89"/>
      <c r="AA254" s="34"/>
      <c r="AB254" s="97"/>
      <c r="AF254" s="34"/>
      <c r="AG254" s="97"/>
      <c r="AK254" s="34"/>
      <c r="AL254" s="97"/>
      <c r="AP254" s="34"/>
      <c r="AQ254" s="97"/>
      <c r="AU254" s="34"/>
      <c r="AV254" s="97"/>
    </row>
    <row r="255" spans="1:48" x14ac:dyDescent="0.3">
      <c r="A255" s="52" t="str">
        <f t="shared" si="265"/>
        <v>6150</v>
      </c>
      <c r="B255" s="254" t="s">
        <v>239</v>
      </c>
      <c r="C255" s="255"/>
      <c r="D255" s="275" t="str">
        <f t="shared" si="267"/>
        <v>40806/603.Asc.C</v>
      </c>
      <c r="E255" s="275"/>
      <c r="F255" s="87">
        <v>0</v>
      </c>
      <c r="G255" s="87">
        <v>0</v>
      </c>
      <c r="H255" s="87">
        <v>0</v>
      </c>
      <c r="I255" s="87">
        <v>2589.4</v>
      </c>
      <c r="J255" s="87">
        <v>172.8</v>
      </c>
      <c r="K255" s="88">
        <v>200</v>
      </c>
      <c r="L255" s="87"/>
      <c r="M255" s="29"/>
      <c r="N255" s="88">
        <v>200</v>
      </c>
      <c r="O255" s="87">
        <v>159.19</v>
      </c>
      <c r="P255" s="29"/>
      <c r="Q255" s="123">
        <f>O255-N255</f>
        <v>-40.81</v>
      </c>
      <c r="R255" s="97"/>
      <c r="S255" s="88">
        <v>200</v>
      </c>
      <c r="T255" s="87">
        <v>1204.07</v>
      </c>
      <c r="U255" s="29"/>
      <c r="V255" s="123">
        <f>T255-S255</f>
        <v>1004.0699999999999</v>
      </c>
      <c r="W255" s="97"/>
      <c r="X255" s="88">
        <v>200</v>
      </c>
      <c r="Y255" s="87">
        <v>537.33000000000004</v>
      </c>
      <c r="Z255" s="37" t="str">
        <f>ROUND(Y255-T255,2) &amp; "   (" &amp; ROUND(100*(Y255-T255)/T255,1) &amp;"%)"</f>
        <v>-666,74   (-55,4%)</v>
      </c>
      <c r="AA255" s="34" t="str">
        <f>ROUND(Y255-X255,2) &amp; "  (" &amp; ROUND(100*(Y255-X255)/X255,1) &amp;"%)"</f>
        <v>337,33  (168,7%)</v>
      </c>
      <c r="AB255" s="97"/>
      <c r="AC255" s="88">
        <v>500</v>
      </c>
      <c r="AD255" s="87">
        <v>999.9</v>
      </c>
      <c r="AE255" s="35" t="str">
        <f>ROUND(AD255-Y255,2) &amp; "   (" &amp; ROUND(100*(AD255-Y255)/Y255,1) &amp;"%)"</f>
        <v>462,57   (86,1%)</v>
      </c>
      <c r="AF255" s="34" t="str">
        <f>ROUND(AD255-AC255,2) &amp; "  (" &amp; ROUND(100*(AD255-AC255)/AC255,1) &amp;"%)"</f>
        <v>499,9  (100%)</v>
      </c>
      <c r="AG255" s="97"/>
      <c r="AH255" s="88">
        <v>510</v>
      </c>
      <c r="AI255" s="87">
        <v>0</v>
      </c>
      <c r="AJ255" s="29" t="str">
        <f t="shared" ref="AJ255" si="271">ROUND(AI255-AD255,2) &amp; "   (" &amp; ROUND(100*(AI255-AD255)/AD255,1) &amp;"%)"</f>
        <v>-999,9   (-100%)</v>
      </c>
      <c r="AK255" s="34" t="str">
        <f>ROUND(AI255-AH255,2) &amp; "  (" &amp; ROUND(100*(AI255-AH255)/AH255,1) &amp;"%)"</f>
        <v>-510  (-100%)</v>
      </c>
      <c r="AL255" s="97"/>
      <c r="AM255" s="88">
        <v>520</v>
      </c>
      <c r="AN255" s="87">
        <v>0</v>
      </c>
      <c r="AO255" s="29" t="str">
        <f>ROUND(AN255-AI255,2) &amp; "   (" &amp; ROUND(100*(AN255-AI255)/(AI255+0.0001),1) &amp;"%)"</f>
        <v>0   (0%)</v>
      </c>
      <c r="AP255" s="34" t="str">
        <f>ROUND(AN255-AM255,2) &amp; "  (" &amp; ROUND(100*(AN255-AM255)/AM255,1) &amp;"%)"</f>
        <v>-520  (-100%)</v>
      </c>
      <c r="AQ255" s="97"/>
      <c r="AR255" s="88">
        <v>520</v>
      </c>
      <c r="AS255" s="87">
        <v>0</v>
      </c>
      <c r="AT255" s="29" t="e">
        <f t="shared" ref="AT255" si="272">ROUND(AS255-AN255,2) &amp; "   (" &amp; ROUND(100*(AS255-AN255)/AN255,1) &amp;"%)"</f>
        <v>#DIV/0!</v>
      </c>
      <c r="AU255" s="34" t="str">
        <f>ROUND(AS255-AR255,2) &amp; "  (" &amp; ROUND(100*(AS255-AR255)/AR255,1) &amp;"%)"</f>
        <v>-520  (-100%)</v>
      </c>
      <c r="AV255" s="97"/>
    </row>
    <row r="256" spans="1:48" x14ac:dyDescent="0.3">
      <c r="A256" s="23" t="str">
        <f t="shared" si="265"/>
        <v>6230</v>
      </c>
      <c r="B256" s="252" t="s">
        <v>240</v>
      </c>
      <c r="C256" s="255"/>
      <c r="D256" s="275" t="str">
        <f t="shared" si="267"/>
        <v>65367/603.Asc.C</v>
      </c>
      <c r="E256" s="275"/>
      <c r="F256" s="87"/>
      <c r="G256" s="87"/>
      <c r="H256" s="87"/>
      <c r="I256" s="87"/>
      <c r="J256" s="87"/>
      <c r="K256" s="88"/>
      <c r="L256" s="87"/>
      <c r="M256" s="29"/>
      <c r="N256" s="88"/>
      <c r="O256" s="87"/>
      <c r="P256" s="29"/>
      <c r="Q256" s="123"/>
      <c r="R256" s="97"/>
      <c r="S256" s="88"/>
      <c r="T256" s="87"/>
      <c r="U256" s="29"/>
      <c r="V256" s="123"/>
      <c r="W256" s="97"/>
      <c r="X256" s="88"/>
      <c r="Y256" s="87"/>
      <c r="Z256" s="37"/>
      <c r="AA256" s="34"/>
      <c r="AB256" s="97"/>
      <c r="AC256" s="88"/>
      <c r="AD256" s="87"/>
      <c r="AE256" s="35"/>
      <c r="AF256" s="34"/>
      <c r="AG256" s="97"/>
      <c r="AH256" s="88"/>
      <c r="AI256" s="87"/>
      <c r="AJ256" s="29"/>
      <c r="AK256" s="34"/>
      <c r="AL256" s="97"/>
      <c r="AM256" s="88"/>
      <c r="AN256" s="87"/>
      <c r="AO256" s="29"/>
      <c r="AP256" s="34"/>
      <c r="AQ256" s="97"/>
      <c r="AR256" s="88"/>
      <c r="AS256" s="87"/>
      <c r="AT256" s="29"/>
      <c r="AU256" s="34"/>
      <c r="AV256" s="97"/>
    </row>
    <row r="257" spans="1:48" x14ac:dyDescent="0.3">
      <c r="A257" s="23" t="str">
        <f t="shared" si="265"/>
        <v>6230</v>
      </c>
      <c r="B257" s="252" t="s">
        <v>622</v>
      </c>
      <c r="C257" s="255"/>
      <c r="D257" s="256"/>
      <c r="E257" s="256"/>
      <c r="F257" s="87"/>
      <c r="G257" s="87"/>
      <c r="H257" s="87"/>
      <c r="I257" s="87"/>
      <c r="J257" s="87"/>
      <c r="K257" s="88"/>
      <c r="L257" s="87"/>
      <c r="M257" s="29"/>
      <c r="N257" s="88"/>
      <c r="O257" s="87"/>
      <c r="P257" s="29"/>
      <c r="Q257" s="123"/>
      <c r="R257" s="97"/>
      <c r="S257" s="88"/>
      <c r="T257" s="87"/>
      <c r="U257" s="29"/>
      <c r="V257" s="123"/>
      <c r="W257" s="97"/>
      <c r="X257" s="88"/>
      <c r="Y257" s="87"/>
      <c r="Z257" s="37"/>
      <c r="AA257" s="34"/>
      <c r="AB257" s="97"/>
      <c r="AC257" s="88"/>
      <c r="AD257" s="87"/>
      <c r="AE257" s="35"/>
      <c r="AF257" s="34"/>
      <c r="AG257" s="97"/>
      <c r="AH257" s="88"/>
      <c r="AI257" s="87">
        <v>420</v>
      </c>
      <c r="AJ257" s="29"/>
      <c r="AK257" s="34"/>
      <c r="AL257" s="97"/>
      <c r="AM257" s="88"/>
      <c r="AN257" s="87">
        <v>0</v>
      </c>
      <c r="AO257" s="29"/>
      <c r="AP257" s="34"/>
      <c r="AQ257" s="97"/>
      <c r="AR257" s="88"/>
      <c r="AS257" s="87"/>
      <c r="AT257" s="29"/>
      <c r="AU257" s="34"/>
      <c r="AV257" s="97"/>
    </row>
    <row r="258" spans="1:48" s="122" customFormat="1" ht="18" thickBot="1" x14ac:dyDescent="0.35">
      <c r="A258" s="111" t="str">
        <f t="shared" si="265"/>
        <v>6730</v>
      </c>
      <c r="B258" s="237" t="s">
        <v>241</v>
      </c>
      <c r="C258" s="238"/>
      <c r="D258" s="257" t="str">
        <f>RIGHT(LEFT(B258,10),5) &amp;"/"&amp;LEFT(B$249,3)&amp;"."&amp;RIGHT(LEFT(B$249,7),3)&amp;"."&amp;RIGHT(B$249,1)</f>
        <v>40368/603.Asc.C</v>
      </c>
      <c r="E258" s="257"/>
      <c r="F258" s="153"/>
      <c r="G258" s="153">
        <v>527</v>
      </c>
      <c r="H258" s="153"/>
      <c r="I258" s="153"/>
      <c r="J258" s="153"/>
      <c r="K258" s="154"/>
      <c r="L258" s="153"/>
      <c r="M258" s="116"/>
      <c r="N258" s="154"/>
      <c r="O258" s="153"/>
      <c r="P258" s="116"/>
      <c r="Q258" s="125"/>
      <c r="R258" s="126"/>
      <c r="S258" s="154"/>
      <c r="T258" s="153"/>
      <c r="U258" s="116"/>
      <c r="V258" s="125"/>
      <c r="W258" s="126"/>
      <c r="X258" s="154"/>
      <c r="Y258" s="153"/>
      <c r="Z258" s="119"/>
      <c r="AA258" s="120"/>
      <c r="AB258" s="126"/>
      <c r="AC258" s="154"/>
      <c r="AD258" s="153"/>
      <c r="AE258" s="121"/>
      <c r="AF258" s="120"/>
      <c r="AG258" s="126"/>
      <c r="AH258" s="154"/>
      <c r="AI258" s="153"/>
      <c r="AJ258" s="116"/>
      <c r="AK258" s="120"/>
      <c r="AL258" s="126"/>
      <c r="AM258" s="154"/>
      <c r="AN258" s="153"/>
      <c r="AO258" s="116"/>
      <c r="AP258" s="120"/>
      <c r="AQ258" s="126"/>
      <c r="AR258" s="154"/>
      <c r="AS258" s="153"/>
      <c r="AT258" s="116"/>
      <c r="AU258" s="120"/>
      <c r="AV258" s="126"/>
    </row>
    <row r="259" spans="1:48" s="265" customFormat="1" x14ac:dyDescent="0.3">
      <c r="A259" s="258"/>
      <c r="B259" s="259"/>
      <c r="C259" s="260"/>
      <c r="D259" s="260"/>
      <c r="E259" s="260"/>
      <c r="F259" s="226">
        <f t="shared" ref="F259:L259" si="273">SUM(F251:F258)</f>
        <v>4059.2200000000003</v>
      </c>
      <c r="G259" s="226">
        <f t="shared" si="273"/>
        <v>4712.9800000000005</v>
      </c>
      <c r="H259" s="226">
        <f t="shared" si="273"/>
        <v>3466.26</v>
      </c>
      <c r="I259" s="226">
        <f t="shared" si="273"/>
        <v>4720.0400000000009</v>
      </c>
      <c r="J259" s="226">
        <f t="shared" si="273"/>
        <v>2877</v>
      </c>
      <c r="K259" s="241">
        <f t="shared" si="273"/>
        <v>3040</v>
      </c>
      <c r="L259" s="226">
        <f t="shared" si="273"/>
        <v>3305.5</v>
      </c>
      <c r="M259" s="57">
        <f>(L259-J259)</f>
        <v>428.5</v>
      </c>
      <c r="N259" s="241">
        <f>SUM(N251:N258)</f>
        <v>3040</v>
      </c>
      <c r="O259" s="226">
        <f>SUM(O251:O258)</f>
        <v>3055.63</v>
      </c>
      <c r="P259" s="57">
        <f>(O259-L259)</f>
        <v>-249.86999999999989</v>
      </c>
      <c r="Q259" s="123">
        <f>O259-N259</f>
        <v>15.630000000000109</v>
      </c>
      <c r="R259" s="97"/>
      <c r="S259" s="241">
        <f>SUM(S251:S258)</f>
        <v>3150</v>
      </c>
      <c r="T259" s="226">
        <f>SUM(T251:T258)</f>
        <v>4154.33</v>
      </c>
      <c r="U259" s="57">
        <f>(T259-O259)</f>
        <v>1098.6999999999998</v>
      </c>
      <c r="V259" s="123">
        <f>T259-S259</f>
        <v>1004.3299999999999</v>
      </c>
      <c r="W259" s="97"/>
      <c r="X259" s="241">
        <f>SUM(X251:X258)</f>
        <v>3350</v>
      </c>
      <c r="Y259" s="226">
        <f>SUM(Y251:Y258)</f>
        <v>3531.1800000000003</v>
      </c>
      <c r="Z259" s="262" t="str">
        <f>ROUND(Y259-T259,2) &amp; "   (" &amp; ROUND(100*(Y259-T259)/T259,1) &amp;"%)"</f>
        <v>-623,15   (-15%)</v>
      </c>
      <c r="AA259" s="34" t="str">
        <f>ROUND(Y259-X259,2) &amp; "  (" &amp; ROUND(100*(Y259-X259)/X259,1) &amp;"%)"</f>
        <v>181,18  (5,4%)</v>
      </c>
      <c r="AB259" s="97"/>
      <c r="AC259" s="241">
        <f>SUM(AC251:AC258)</f>
        <v>3620</v>
      </c>
      <c r="AD259" s="226">
        <f>SUM(AD251:AD258)</f>
        <v>4127.9799999999996</v>
      </c>
      <c r="AE259" s="263" t="str">
        <f>ROUND(AD259-Y259,2) &amp; "   (" &amp; ROUND(100*(AD259-Y259)/Y259,1) &amp;"%)"</f>
        <v>596,8   (16,9%)</v>
      </c>
      <c r="AF259" s="34" t="str">
        <f>ROUND(AD259-AC259,2) &amp; "  (" &amp; ROUND(100*(AD259-AC259)/AC259,1) &amp;"%)"</f>
        <v>507,98  (14%)</v>
      </c>
      <c r="AG259" s="97"/>
      <c r="AH259" s="241">
        <f>SUM(AH251:AH258)</f>
        <v>3690</v>
      </c>
      <c r="AI259" s="226">
        <f>SUM(AI251:AI258)</f>
        <v>3536.96</v>
      </c>
      <c r="AJ259" s="264" t="str">
        <f t="shared" ref="AJ259" si="274">ROUND(AI259-AD259,2) &amp; "   (" &amp; ROUND(100*(AI259-AD259)/AD259,1) &amp;"%)"</f>
        <v>-591,02   (-14,3%)</v>
      </c>
      <c r="AK259" s="34" t="str">
        <f>ROUND(AI259-AH259,2) &amp; "  (" &amp; ROUND(100*(AI259-AH259)/AH259,1) &amp;"%)"</f>
        <v>-153,04  (-4,1%)</v>
      </c>
      <c r="AL259" s="97"/>
      <c r="AM259" s="241">
        <f>SUM(AM251:AM258)</f>
        <v>3760</v>
      </c>
      <c r="AN259" s="226">
        <f>SUM(AN250:AN258)</f>
        <v>4036.42</v>
      </c>
      <c r="AO259" s="264" t="str">
        <f t="shared" ref="AO259" si="275">ROUND(AN259-AI259,2) &amp; "   (" &amp; ROUND(100*(AN259-AI259)/AI259,1) &amp;"%)"</f>
        <v>499,46   (14,1%)</v>
      </c>
      <c r="AP259" s="34" t="str">
        <f>ROUND(AN259-AM259,2) &amp; "  (" &amp; ROUND(100*(AN259-AM259)/AM259,1) &amp;"%)"</f>
        <v>276,42  (7,4%)</v>
      </c>
      <c r="AQ259" s="97"/>
      <c r="AR259" s="241">
        <f>SUM(AR251:AR258)</f>
        <v>3760</v>
      </c>
      <c r="AS259" s="226">
        <f>SUM(AS251:AS258)</f>
        <v>0</v>
      </c>
      <c r="AT259" s="264" t="str">
        <f t="shared" ref="AT259" si="276">ROUND(AS259-AN259,2) &amp; "   (" &amp; ROUND(100*(AS259-AN259)/AN259,1) &amp;"%)"</f>
        <v>-4036,42   (-100%)</v>
      </c>
      <c r="AU259" s="34" t="str">
        <f>ROUND(AS259-AR259,2) &amp; "  (" &amp; ROUND(100*(AS259-AR259)/AR259,1) &amp;"%)"</f>
        <v>-3760  (-100%)</v>
      </c>
      <c r="AV259" s="97"/>
    </row>
    <row r="260" spans="1:48" s="274" customFormat="1" x14ac:dyDescent="0.3">
      <c r="A260" s="266"/>
      <c r="B260" s="267"/>
      <c r="C260" s="268"/>
      <c r="D260" s="268"/>
      <c r="E260" s="268"/>
      <c r="F260" s="244"/>
      <c r="G260" s="244"/>
      <c r="H260" s="244"/>
      <c r="I260" s="244"/>
      <c r="J260" s="244"/>
      <c r="K260" s="269"/>
      <c r="L260" s="246"/>
      <c r="M260" s="63">
        <f>(L259-J259)/J259</f>
        <v>0.14893986791797012</v>
      </c>
      <c r="N260" s="247"/>
      <c r="O260" s="246"/>
      <c r="P260" s="63">
        <f>(O259-L259)/L259</f>
        <v>-7.559219482680378E-2</v>
      </c>
      <c r="Q260" s="123"/>
      <c r="R260" s="97"/>
      <c r="S260" s="247"/>
      <c r="T260" s="246"/>
      <c r="U260" s="63">
        <f>(T259-O259)/O259</f>
        <v>0.35956578512450782</v>
      </c>
      <c r="V260" s="123"/>
      <c r="W260" s="97"/>
      <c r="X260" s="247"/>
      <c r="Y260" s="271"/>
      <c r="Z260" s="272"/>
      <c r="AA260" s="34"/>
      <c r="AB260" s="97"/>
      <c r="AC260" s="247"/>
      <c r="AD260" s="271"/>
      <c r="AE260" s="273"/>
      <c r="AF260" s="34"/>
      <c r="AG260" s="97"/>
      <c r="AH260" s="247"/>
      <c r="AI260" s="271"/>
      <c r="AJ260" s="272"/>
      <c r="AK260" s="34"/>
      <c r="AL260" s="97"/>
      <c r="AM260" s="247"/>
      <c r="AN260" s="271"/>
      <c r="AO260" s="272"/>
      <c r="AP260" s="34"/>
      <c r="AQ260" s="97"/>
      <c r="AR260" s="247"/>
      <c r="AS260" s="271"/>
      <c r="AT260" s="272"/>
      <c r="AU260" s="34"/>
      <c r="AV260" s="97"/>
    </row>
    <row r="261" spans="1:48" s="136" customFormat="1" x14ac:dyDescent="0.3">
      <c r="A261" s="127"/>
      <c r="B261" s="229" t="s">
        <v>242</v>
      </c>
      <c r="C261" s="230"/>
      <c r="D261" s="230"/>
      <c r="E261" s="230"/>
      <c r="F261" s="231"/>
      <c r="G261" s="231"/>
      <c r="H261" s="231"/>
      <c r="I261" s="231"/>
      <c r="J261" s="231"/>
      <c r="K261" s="232"/>
      <c r="L261" s="231"/>
      <c r="M261" s="233"/>
      <c r="N261" s="232"/>
      <c r="O261" s="231"/>
      <c r="P261" s="233"/>
      <c r="Q261" s="234"/>
      <c r="R261" s="235"/>
      <c r="S261" s="232"/>
      <c r="T261" s="231"/>
      <c r="U261" s="134"/>
      <c r="V261" s="234"/>
      <c r="W261" s="235"/>
      <c r="X261" s="232"/>
      <c r="Y261" s="231"/>
      <c r="Z261" s="134"/>
      <c r="AA261" s="236"/>
      <c r="AB261" s="235"/>
      <c r="AC261" s="232"/>
      <c r="AD261" s="231"/>
      <c r="AE261" s="135"/>
      <c r="AF261" s="236"/>
      <c r="AG261" s="235"/>
      <c r="AH261" s="232"/>
      <c r="AI261" s="231"/>
      <c r="AJ261" s="134"/>
      <c r="AK261" s="236"/>
      <c r="AL261" s="235"/>
      <c r="AM261" s="232"/>
      <c r="AN261" s="231"/>
      <c r="AO261" s="134"/>
      <c r="AP261" s="236"/>
      <c r="AQ261" s="235"/>
      <c r="AR261" s="232"/>
      <c r="AS261" s="231"/>
      <c r="AT261" s="134"/>
      <c r="AU261" s="236"/>
      <c r="AV261" s="235"/>
    </row>
    <row r="262" spans="1:48" x14ac:dyDescent="0.3">
      <c r="A262" s="23" t="str">
        <f t="shared" ref="A262:A270" si="277">LEFT(B262,4)</f>
        <v>6020</v>
      </c>
      <c r="B262" s="252" t="s">
        <v>243</v>
      </c>
      <c r="C262" s="253"/>
      <c r="D262" s="187" t="str">
        <f>RIGHT(LEFT(B262,10),5) &amp;"/"&amp;LEFT(B$261,3)&amp;"."&amp;RIGHT(LEFT(B$261,7),3)&amp;"."&amp;RIGHT(B$261,1)</f>
        <v>40264/604.Asc.D</v>
      </c>
      <c r="E262" s="187"/>
      <c r="F262" s="27">
        <v>421.12</v>
      </c>
      <c r="G262" s="27">
        <v>435.26</v>
      </c>
      <c r="H262" s="27">
        <v>353.38</v>
      </c>
      <c r="I262" s="27">
        <v>577.52</v>
      </c>
      <c r="J262" s="27">
        <v>366.71</v>
      </c>
      <c r="K262" s="28">
        <v>400</v>
      </c>
      <c r="L262" s="27">
        <v>375.9</v>
      </c>
      <c r="M262" s="39">
        <f>(L262-J262)/J262</f>
        <v>2.506067464754165E-2</v>
      </c>
      <c r="N262" s="28">
        <v>400</v>
      </c>
      <c r="O262" s="27">
        <v>409.67</v>
      </c>
      <c r="P262" s="39">
        <f>(O262-L262)/L262</f>
        <v>8.9837722798616765E-2</v>
      </c>
      <c r="Q262" s="123"/>
      <c r="R262" s="124"/>
      <c r="S262" s="28">
        <v>400</v>
      </c>
      <c r="T262" s="27">
        <v>408.64</v>
      </c>
      <c r="U262" s="39">
        <f>(T262-O262)/O262</f>
        <v>-2.5142187614422083E-3</v>
      </c>
      <c r="V262" s="123"/>
      <c r="W262" s="124"/>
      <c r="X262" s="28">
        <v>450</v>
      </c>
      <c r="Y262" s="27">
        <v>447</v>
      </c>
      <c r="Z262" s="89" t="str">
        <f>ROUND(Y262-T262,2) &amp; "   (" &amp; ROUND(100*(Y262-T262)/T262,1) &amp;"%)"</f>
        <v>38,36   (9,4%)</v>
      </c>
      <c r="AA262" s="34"/>
      <c r="AB262" s="124"/>
      <c r="AC262" s="28">
        <v>450</v>
      </c>
      <c r="AD262" s="27">
        <v>549.61</v>
      </c>
      <c r="AE262" s="9" t="str">
        <f>ROUND(AD262-Y262,2) &amp; "   (" &amp; ROUND(100*(AD262-Y262)/Y262,1) &amp;"%)"</f>
        <v>102,61   (23%)</v>
      </c>
      <c r="AF262" s="34"/>
      <c r="AG262" s="124"/>
      <c r="AH262" s="28">
        <v>460</v>
      </c>
      <c r="AI262" s="27">
        <v>460.08</v>
      </c>
      <c r="AJ262" s="9" t="str">
        <f t="shared" ref="AJ262:AJ264" si="278">ROUND(AI262-AD262,2) &amp; "   (" &amp; ROUND(100*(AI262-AD262)/AD262,1) &amp;"%)"</f>
        <v>-89,53   (-16,3%)</v>
      </c>
      <c r="AK262" s="34"/>
      <c r="AL262" s="124"/>
      <c r="AM262" s="28">
        <v>470</v>
      </c>
      <c r="AN262" s="27">
        <v>237.49</v>
      </c>
      <c r="AO262" s="9" t="str">
        <f t="shared" ref="AO262:AO264" si="279">ROUND(AN262-AI262,2) &amp; "   (" &amp; ROUND(100*(AN262-AI262)/AI262,1) &amp;"%)"</f>
        <v>-222,59   (-48,4%)</v>
      </c>
      <c r="AP262" s="34"/>
      <c r="AQ262" s="124"/>
      <c r="AR262" s="28">
        <v>470</v>
      </c>
      <c r="AS262" s="27">
        <v>0</v>
      </c>
      <c r="AT262" s="9" t="str">
        <f t="shared" ref="AT262:AT264" si="280">ROUND(AS262-AN262,2) &amp; "   (" &amp; ROUND(100*(AS262-AN262)/AN262,1) &amp;"%)"</f>
        <v>-237,49   (-100%)</v>
      </c>
      <c r="AU262" s="34"/>
      <c r="AV262" s="124"/>
    </row>
    <row r="263" spans="1:48" x14ac:dyDescent="0.3">
      <c r="A263" s="23" t="str">
        <f t="shared" si="277"/>
        <v>6140</v>
      </c>
      <c r="B263" s="252" t="s">
        <v>244</v>
      </c>
      <c r="C263" s="253"/>
      <c r="D263" s="187" t="str">
        <f>RIGHT(LEFT(B263,10),5) &amp;"/"&amp;LEFT(B$261,3)&amp;"."&amp;RIGHT(LEFT(B$261,7),3)&amp;"."&amp;RIGHT(B$261,1)</f>
        <v>40761/604.Asc.D</v>
      </c>
      <c r="E263" s="187"/>
      <c r="F263" s="27">
        <v>263.57</v>
      </c>
      <c r="G263" s="27">
        <v>265.5</v>
      </c>
      <c r="H263" s="27">
        <v>271.58999999999997</v>
      </c>
      <c r="I263" s="27">
        <v>279.20999999999998</v>
      </c>
      <c r="J263" s="27">
        <v>284.39999999999998</v>
      </c>
      <c r="K263" s="28">
        <v>290</v>
      </c>
      <c r="L263" s="27">
        <v>292.31</v>
      </c>
      <c r="M263" s="39">
        <f>(L263-J263)/J263</f>
        <v>2.7812939521800372E-2</v>
      </c>
      <c r="N263" s="28">
        <v>290</v>
      </c>
      <c r="O263" s="27">
        <v>302.32</v>
      </c>
      <c r="P263" s="39">
        <f>(O263-L263)/L263</f>
        <v>3.4244466491053983E-2</v>
      </c>
      <c r="Q263" s="123">
        <f>O263-N263</f>
        <v>12.319999999999993</v>
      </c>
      <c r="R263" s="97"/>
      <c r="S263" s="28">
        <v>300</v>
      </c>
      <c r="T263" s="27">
        <v>313.87</v>
      </c>
      <c r="U263" s="39">
        <f>(T263-O263)/O263</f>
        <v>3.8204551468642538E-2</v>
      </c>
      <c r="V263" s="123">
        <f>T263-S263</f>
        <v>13.870000000000005</v>
      </c>
      <c r="W263" s="97"/>
      <c r="X263" s="28">
        <v>300</v>
      </c>
      <c r="Y263" s="27">
        <v>322.5</v>
      </c>
      <c r="Z263" s="89" t="str">
        <f>ROUND(Y263-T263,2) &amp; "   (" &amp; ROUND(100*(Y263-T263)/T263,1) &amp;"%)"</f>
        <v>8,63   (2,7%)</v>
      </c>
      <c r="AA263" s="34" t="str">
        <f>ROUND(Y263-X263,2) &amp; "  (" &amp; ROUND(100*(Y263-X263)/X263,1) &amp;"%)"</f>
        <v>22,5  (7,5%)</v>
      </c>
      <c r="AB263" s="97"/>
      <c r="AC263" s="28">
        <v>320</v>
      </c>
      <c r="AD263" s="27">
        <v>327.96</v>
      </c>
      <c r="AE263" s="9" t="str">
        <f>ROUND(AD263-Y263,2) &amp; "   (" &amp; ROUND(100*(AD263-Y263)/Y263,1) &amp;"%)"</f>
        <v>5,46   (1,7%)</v>
      </c>
      <c r="AF263" s="34" t="str">
        <f>ROUND(AD263-AC263,2) &amp; "  (" &amp; ROUND(100*(AD263-AC263)/AC263,1) &amp;"%)"</f>
        <v>7,96  (2,5%)</v>
      </c>
      <c r="AG263" s="97"/>
      <c r="AH263" s="28">
        <v>330</v>
      </c>
      <c r="AI263" s="27">
        <v>344.16</v>
      </c>
      <c r="AJ263" s="9" t="str">
        <f t="shared" si="278"/>
        <v>16,2   (4,9%)</v>
      </c>
      <c r="AK263" s="34" t="str">
        <f>ROUND(AI263-AH263,2) &amp; "  (" &amp; ROUND(100*(AI263-AH263)/AH263,1) &amp;"%)"</f>
        <v>14,16  (4,3%)</v>
      </c>
      <c r="AL263" s="97"/>
      <c r="AM263" s="28">
        <v>340</v>
      </c>
      <c r="AN263" s="27">
        <v>307.2</v>
      </c>
      <c r="AO263" s="9" t="str">
        <f t="shared" si="279"/>
        <v>-36,96   (-10,7%)</v>
      </c>
      <c r="AP263" s="34" t="str">
        <f>ROUND(AN263-AM263,2) &amp; "  (" &amp; ROUND(100*(AN263-AM263)/AM263,1) &amp;"%)"</f>
        <v>-32,8  (-9,6%)</v>
      </c>
      <c r="AQ263" s="97"/>
      <c r="AR263" s="28">
        <v>340</v>
      </c>
      <c r="AS263" s="27">
        <v>0</v>
      </c>
      <c r="AT263" s="9" t="str">
        <f t="shared" si="280"/>
        <v>-307,2   (-100%)</v>
      </c>
      <c r="AU263" s="34" t="str">
        <f>ROUND(AS263-AR263,2) &amp; "  (" &amp; ROUND(100*(AS263-AR263)/AR263,1) &amp;"%)"</f>
        <v>-340  (-100%)</v>
      </c>
      <c r="AV263" s="97"/>
    </row>
    <row r="264" spans="1:48" x14ac:dyDescent="0.3">
      <c r="A264" s="23" t="str">
        <f t="shared" si="277"/>
        <v>6140</v>
      </c>
      <c r="B264" s="252" t="s">
        <v>245</v>
      </c>
      <c r="C264" s="253"/>
      <c r="D264" s="187" t="str">
        <f>RIGHT(LEFT(B264,10),5) &amp;"/"&amp;LEFT(B$261,3)&amp;"."&amp;RIGHT(LEFT(B$261,7),3)&amp;"."&amp;RIGHT(B$261,1)</f>
        <v>40802/604.Asc.D</v>
      </c>
      <c r="E264" s="187"/>
      <c r="F264" s="27">
        <v>3306.46</v>
      </c>
      <c r="G264" s="27">
        <v>3356.08</v>
      </c>
      <c r="H264" s="27">
        <v>2762.49</v>
      </c>
      <c r="I264" s="27">
        <v>1013.22</v>
      </c>
      <c r="J264" s="27">
        <v>2105.92</v>
      </c>
      <c r="K264" s="28">
        <v>2150</v>
      </c>
      <c r="L264" s="27">
        <v>2145.27</v>
      </c>
      <c r="M264" s="39">
        <f>(L264-J264)/J264</f>
        <v>1.8685420148913494E-2</v>
      </c>
      <c r="N264" s="28">
        <v>2150</v>
      </c>
      <c r="O264" s="27">
        <v>2166.7800000000002</v>
      </c>
      <c r="P264" s="39">
        <f>(O264-L264)/L264</f>
        <v>1.0026709924624974E-2</v>
      </c>
      <c r="Q264" s="123">
        <f>O264-N264</f>
        <v>16.7800000000002</v>
      </c>
      <c r="R264" s="97"/>
      <c r="S264" s="28">
        <v>2250</v>
      </c>
      <c r="T264" s="27">
        <v>2188.42</v>
      </c>
      <c r="U264" s="39">
        <f>(T264-O264)/O264</f>
        <v>9.987169901881995E-3</v>
      </c>
      <c r="V264" s="123">
        <f>T264-S264</f>
        <v>-61.579999999999927</v>
      </c>
      <c r="W264" s="97"/>
      <c r="X264" s="28">
        <v>2300</v>
      </c>
      <c r="Y264" s="27">
        <v>2219.7600000000002</v>
      </c>
      <c r="Z264" s="89" t="str">
        <f>ROUND(Y264-T264,2) &amp; "   (" &amp; ROUND(100*(Y264-T264)/T264,1) &amp;"%)"</f>
        <v>31,34   (1,4%)</v>
      </c>
      <c r="AA264" s="34" t="str">
        <f>ROUND(Y264-X264,2) &amp; "  (" &amp; ROUND(100*(Y264-X264)/X264,1) &amp;"%)"</f>
        <v>-80,24  (-3,5%)</v>
      </c>
      <c r="AB264" s="97"/>
      <c r="AC264" s="28">
        <v>2300</v>
      </c>
      <c r="AD264" s="27">
        <v>2219.44</v>
      </c>
      <c r="AE264" s="9" t="str">
        <f>ROUND(AD264-Y264,2) &amp; "   (" &amp; ROUND(100*(AD264-Y264)/Y264,1) &amp;"%)"</f>
        <v>-0,32   (0%)</v>
      </c>
      <c r="AF264" s="34" t="str">
        <f>ROUND(AD264-AC264,2) &amp; "  (" &amp; ROUND(100*(AD264-AC264)/AC264,1) &amp;"%)"</f>
        <v>-80,56  (-3,5%)</v>
      </c>
      <c r="AG264" s="97"/>
      <c r="AH264" s="28">
        <v>2340</v>
      </c>
      <c r="AI264" s="27">
        <v>2252.79</v>
      </c>
      <c r="AJ264" s="9" t="str">
        <f t="shared" si="278"/>
        <v>33,35   (1,5%)</v>
      </c>
      <c r="AK264" s="34" t="str">
        <f>ROUND(AI264-AH264,2) &amp; "  (" &amp; ROUND(100*(AI264-AH264)/AH264,1) &amp;"%)"</f>
        <v>-87,21  (-3,7%)</v>
      </c>
      <c r="AL264" s="97"/>
      <c r="AM264" s="28">
        <v>2380</v>
      </c>
      <c r="AN264" s="27">
        <v>2291.25</v>
      </c>
      <c r="AO264" s="9" t="str">
        <f t="shared" si="279"/>
        <v>38,46   (1,7%)</v>
      </c>
      <c r="AP264" s="34" t="str">
        <f>ROUND(AN264-AM264,2) &amp; "  (" &amp; ROUND(100*(AN264-AM264)/AM264,1) &amp;"%)"</f>
        <v>-88,75  (-3,7%)</v>
      </c>
      <c r="AQ264" s="97"/>
      <c r="AR264" s="28">
        <v>2380</v>
      </c>
      <c r="AS264" s="27">
        <v>0</v>
      </c>
      <c r="AT264" s="9" t="str">
        <f t="shared" si="280"/>
        <v>-2291,25   (-100%)</v>
      </c>
      <c r="AU264" s="34" t="str">
        <f>ROUND(AS264-AR264,2) &amp; "  (" &amp; ROUND(100*(AS264-AR264)/AR264,1) &amp;"%)"</f>
        <v>-2380  (-100%)</v>
      </c>
      <c r="AV264" s="97"/>
    </row>
    <row r="265" spans="1:48" x14ac:dyDescent="0.3">
      <c r="A265" s="23" t="str">
        <f t="shared" si="277"/>
        <v>6140</v>
      </c>
      <c r="B265" s="252" t="s">
        <v>246</v>
      </c>
      <c r="C265" s="253"/>
      <c r="D265" s="187" t="str">
        <f>RIGHT(LEFT(B265,10),5) &amp;"/"&amp;LEFT(B$261,3)&amp;"."&amp;RIGHT(LEFT(B$261,7),3)&amp;"."&amp;RIGHT(B$261,1)</f>
        <v>40802/604.Asc.D</v>
      </c>
      <c r="E265" s="187"/>
      <c r="L265" s="27">
        <v>480</v>
      </c>
      <c r="M265" s="39"/>
      <c r="P265" s="39"/>
      <c r="Q265" s="123">
        <f>O265-N265</f>
        <v>0</v>
      </c>
      <c r="R265" s="97"/>
      <c r="V265" s="123">
        <f>T265-S265</f>
        <v>0</v>
      </c>
      <c r="W265" s="97"/>
      <c r="Z265" s="89"/>
      <c r="AA265" s="34"/>
      <c r="AB265" s="97"/>
      <c r="AF265" s="34"/>
      <c r="AG265" s="97"/>
      <c r="AK265" s="34"/>
      <c r="AL265" s="97"/>
      <c r="AP265" s="34"/>
      <c r="AQ265" s="97"/>
      <c r="AU265" s="34"/>
      <c r="AV265" s="97"/>
    </row>
    <row r="266" spans="1:48" x14ac:dyDescent="0.3">
      <c r="A266" s="52" t="str">
        <f>LEFT(B266,4)</f>
        <v>6150</v>
      </c>
      <c r="B266" s="254" t="s">
        <v>247</v>
      </c>
      <c r="C266" s="253"/>
      <c r="D266" s="187"/>
      <c r="E266" s="187"/>
      <c r="M266" s="39"/>
      <c r="P266" s="39"/>
      <c r="Q266" s="123"/>
      <c r="R266" s="97"/>
      <c r="V266" s="123"/>
      <c r="W266" s="97"/>
      <c r="Z266" s="89"/>
      <c r="AA266" s="34"/>
      <c r="AB266" s="97"/>
      <c r="AD266" s="27">
        <v>140.80000000000001</v>
      </c>
      <c r="AF266" s="34"/>
      <c r="AG266" s="97"/>
      <c r="AK266" s="34"/>
      <c r="AL266" s="97"/>
      <c r="AP266" s="34"/>
      <c r="AQ266" s="97"/>
      <c r="AU266" s="34"/>
      <c r="AV266" s="97"/>
    </row>
    <row r="267" spans="1:48" x14ac:dyDescent="0.3">
      <c r="A267" s="52" t="str">
        <f t="shared" si="277"/>
        <v>6150</v>
      </c>
      <c r="B267" s="254" t="s">
        <v>248</v>
      </c>
      <c r="C267" s="255"/>
      <c r="D267" s="275" t="str">
        <f>RIGHT(LEFT(B267,10),5) &amp;"/"&amp;LEFT(B$261,3)&amp;"."&amp;RIGHT(LEFT(B$261,7),3)&amp;"."&amp;RIGHT(B$261,1)</f>
        <v>40806/604.Asc.D</v>
      </c>
      <c r="E267" s="275"/>
      <c r="F267" s="87">
        <v>0</v>
      </c>
      <c r="G267" s="87">
        <v>693.94</v>
      </c>
      <c r="H267" s="87">
        <v>0</v>
      </c>
      <c r="I267" s="87">
        <v>2589.4</v>
      </c>
      <c r="J267" s="87">
        <v>172.8</v>
      </c>
      <c r="K267" s="88">
        <v>200</v>
      </c>
      <c r="L267" s="87"/>
      <c r="M267" s="29"/>
      <c r="N267" s="88">
        <v>200</v>
      </c>
      <c r="O267" s="87">
        <v>159.82</v>
      </c>
      <c r="P267" s="29"/>
      <c r="Q267" s="123">
        <f>O267-N267</f>
        <v>-40.180000000000007</v>
      </c>
      <c r="R267" s="97"/>
      <c r="S267" s="88"/>
      <c r="T267" s="87">
        <v>869</v>
      </c>
      <c r="U267" s="29"/>
      <c r="V267" s="123">
        <f>T267-S267</f>
        <v>869</v>
      </c>
      <c r="W267" s="97"/>
      <c r="X267" s="88">
        <v>200</v>
      </c>
      <c r="Y267" s="87"/>
      <c r="Z267" s="37" t="str">
        <f>ROUND(Y267-T267,2) &amp; "   (" &amp; ROUND(100*(Y267-T267)/T267,1) &amp;"%)"</f>
        <v>-869   (-100%)</v>
      </c>
      <c r="AA267" s="34" t="str">
        <f>ROUND(Y267-X267,2) &amp; "  (" &amp; ROUND(100*(Y267-X267)/X267,1) &amp;"%)"</f>
        <v>-200  (-100%)</v>
      </c>
      <c r="AB267" s="97"/>
      <c r="AC267" s="88">
        <v>500</v>
      </c>
      <c r="AD267" s="87">
        <v>537.33000000000004</v>
      </c>
      <c r="AE267" s="35"/>
      <c r="AF267" s="34" t="str">
        <f>ROUND(AD267-AC267,2) &amp; "  (" &amp; ROUND(100*(AD267-AC267)/AC267,1) &amp;"%)"</f>
        <v>37,33  (7,5%)</v>
      </c>
      <c r="AG267" s="97"/>
      <c r="AH267" s="88">
        <v>510</v>
      </c>
      <c r="AI267" s="87"/>
      <c r="AJ267" s="35" t="str">
        <f t="shared" ref="AJ267" si="281">ROUND(AI267-AD267,2) &amp; "   (" &amp; ROUND(100*(AI267-AD267)/AD267,1) &amp;"%)"</f>
        <v>-537,33   (-100%)</v>
      </c>
      <c r="AK267" s="34" t="str">
        <f>ROUND(AI267-AH267,2) &amp; "  (" &amp; ROUND(100*(AI267-AH267)/AH267,1) &amp;"%)"</f>
        <v>-510  (-100%)</v>
      </c>
      <c r="AL267" s="97"/>
      <c r="AM267" s="88">
        <v>520</v>
      </c>
      <c r="AN267" s="87"/>
      <c r="AO267" s="35" t="str">
        <f>ROUND(AN267-AI267,2) &amp; "   (" &amp; ROUND(100*(AN267-AI267)/(AI267+0.0001),1) &amp;"%)"</f>
        <v>0   (0%)</v>
      </c>
      <c r="AP267" s="34" t="str">
        <f>ROUND(AN267-AM267,2) &amp; "  (" &amp; ROUND(100*(AN267-AM267)/AM267,1) &amp;"%)"</f>
        <v>-520  (-100%)</v>
      </c>
      <c r="AQ267" s="97"/>
      <c r="AR267" s="88">
        <v>520</v>
      </c>
      <c r="AS267" s="87"/>
      <c r="AT267" s="35" t="e">
        <f t="shared" ref="AT267" si="282">ROUND(AS267-AN267,2) &amp; "   (" &amp; ROUND(100*(AS267-AN267)/AN267,1) &amp;"%)"</f>
        <v>#DIV/0!</v>
      </c>
      <c r="AU267" s="34" t="str">
        <f>ROUND(AS267-AR267,2) &amp; "  (" &amp; ROUND(100*(AS267-AR267)/AR267,1) &amp;"%)"</f>
        <v>-520  (-100%)</v>
      </c>
      <c r="AV267" s="97"/>
    </row>
    <row r="268" spans="1:48" x14ac:dyDescent="0.3">
      <c r="A268" s="23" t="str">
        <f t="shared" si="277"/>
        <v>6230</v>
      </c>
      <c r="B268" s="252" t="s">
        <v>249</v>
      </c>
      <c r="C268" s="255"/>
      <c r="D268" s="275" t="str">
        <f>RIGHT(LEFT(B268,10),5) &amp;"/"&amp;LEFT(B$261,3)&amp;"."&amp;RIGHT(LEFT(B$261,7),3)&amp;"."&amp;RIGHT(B$261,1)</f>
        <v>65367/604.Asc.D</v>
      </c>
      <c r="E268" s="275"/>
      <c r="F268" s="87"/>
      <c r="G268" s="87"/>
      <c r="H268" s="87"/>
      <c r="I268" s="87"/>
      <c r="J268" s="87"/>
      <c r="K268" s="88"/>
      <c r="L268" s="87"/>
      <c r="M268" s="29"/>
      <c r="N268" s="88"/>
      <c r="O268" s="87"/>
      <c r="P268" s="29"/>
      <c r="Q268" s="123"/>
      <c r="R268" s="97"/>
      <c r="S268" s="88"/>
      <c r="T268" s="87"/>
      <c r="U268" s="29"/>
      <c r="V268" s="123"/>
      <c r="W268" s="97"/>
      <c r="X268" s="88"/>
      <c r="Y268" s="87"/>
      <c r="Z268" s="37"/>
      <c r="AA268" s="34"/>
      <c r="AB268" s="97"/>
      <c r="AC268" s="88"/>
      <c r="AD268" s="87"/>
      <c r="AE268" s="35"/>
      <c r="AF268" s="34"/>
      <c r="AG268" s="97"/>
      <c r="AH268" s="88"/>
      <c r="AI268" s="87"/>
      <c r="AJ268" s="29"/>
      <c r="AK268" s="34"/>
      <c r="AL268" s="97"/>
      <c r="AM268" s="88"/>
      <c r="AN268" s="87"/>
      <c r="AO268" s="29"/>
      <c r="AP268" s="34"/>
      <c r="AQ268" s="97"/>
      <c r="AR268" s="88"/>
      <c r="AS268" s="87"/>
      <c r="AT268" s="29"/>
      <c r="AU268" s="34"/>
      <c r="AV268" s="97"/>
    </row>
    <row r="269" spans="1:48" x14ac:dyDescent="0.3">
      <c r="A269" s="23" t="str">
        <f t="shared" si="277"/>
        <v>6230</v>
      </c>
      <c r="B269" s="252" t="s">
        <v>622</v>
      </c>
      <c r="C269" s="255"/>
      <c r="D269" s="256"/>
      <c r="E269" s="256"/>
      <c r="F269" s="87"/>
      <c r="G269" s="87"/>
      <c r="H269" s="87"/>
      <c r="I269" s="87"/>
      <c r="J269" s="87"/>
      <c r="K269" s="88"/>
      <c r="L269" s="87"/>
      <c r="M269" s="29"/>
      <c r="N269" s="88"/>
      <c r="O269" s="87"/>
      <c r="P269" s="29"/>
      <c r="Q269" s="123"/>
      <c r="R269" s="97"/>
      <c r="S269" s="88"/>
      <c r="T269" s="87"/>
      <c r="U269" s="29"/>
      <c r="V269" s="123"/>
      <c r="W269" s="97"/>
      <c r="X269" s="88"/>
      <c r="Y269" s="87"/>
      <c r="Z269" s="37"/>
      <c r="AA269" s="34"/>
      <c r="AB269" s="97"/>
      <c r="AC269" s="88"/>
      <c r="AD269" s="87"/>
      <c r="AE269" s="35"/>
      <c r="AF269" s="34"/>
      <c r="AG269" s="97"/>
      <c r="AH269" s="88"/>
      <c r="AI269" s="27">
        <v>420</v>
      </c>
      <c r="AJ269" s="29"/>
      <c r="AK269" s="34"/>
      <c r="AL269" s="97"/>
      <c r="AM269" s="88"/>
      <c r="AN269" s="27">
        <v>0</v>
      </c>
      <c r="AO269" s="29"/>
      <c r="AP269" s="34"/>
      <c r="AQ269" s="97"/>
      <c r="AR269" s="88"/>
      <c r="AS269" s="87"/>
      <c r="AT269" s="29"/>
      <c r="AU269" s="34"/>
      <c r="AV269" s="97"/>
    </row>
    <row r="270" spans="1:48" s="122" customFormat="1" ht="18" thickBot="1" x14ac:dyDescent="0.35">
      <c r="A270" s="111" t="str">
        <f t="shared" si="277"/>
        <v>6730</v>
      </c>
      <c r="B270" s="237" t="s">
        <v>250</v>
      </c>
      <c r="C270" s="238"/>
      <c r="D270" s="257" t="str">
        <f>RIGHT(LEFT(B270,10),5) &amp;"/"&amp;LEFT(B$261,3)&amp;"."&amp;RIGHT(LEFT(B$261,7),3)&amp;"."&amp;RIGHT(B$261,1)</f>
        <v>40368/604.Asc.D</v>
      </c>
      <c r="E270" s="257"/>
      <c r="F270" s="153">
        <v>418.6</v>
      </c>
      <c r="G270" s="153">
        <v>527</v>
      </c>
      <c r="H270" s="153"/>
      <c r="I270" s="153"/>
      <c r="J270" s="153"/>
      <c r="K270" s="154"/>
      <c r="L270" s="153"/>
      <c r="M270" s="116"/>
      <c r="N270" s="154"/>
      <c r="O270" s="153"/>
      <c r="P270" s="116"/>
      <c r="Q270" s="125"/>
      <c r="R270" s="126"/>
      <c r="S270" s="154"/>
      <c r="T270" s="153"/>
      <c r="U270" s="116"/>
      <c r="V270" s="125"/>
      <c r="W270" s="126"/>
      <c r="X270" s="154"/>
      <c r="Y270" s="153"/>
      <c r="Z270" s="119"/>
      <c r="AA270" s="120"/>
      <c r="AB270" s="126"/>
      <c r="AC270" s="154"/>
      <c r="AD270" s="153"/>
      <c r="AE270" s="121"/>
      <c r="AF270" s="120"/>
      <c r="AG270" s="126"/>
      <c r="AH270" s="154"/>
      <c r="AI270" s="153"/>
      <c r="AJ270" s="116"/>
      <c r="AK270" s="120"/>
      <c r="AL270" s="126"/>
      <c r="AM270" s="154"/>
      <c r="AN270" s="153"/>
      <c r="AO270" s="116"/>
      <c r="AP270" s="120"/>
      <c r="AQ270" s="126"/>
      <c r="AR270" s="154"/>
      <c r="AS270" s="153"/>
      <c r="AT270" s="116"/>
      <c r="AU270" s="120"/>
      <c r="AV270" s="126"/>
    </row>
    <row r="271" spans="1:48" s="265" customFormat="1" x14ac:dyDescent="0.3">
      <c r="A271" s="258"/>
      <c r="B271" s="259"/>
      <c r="C271" s="260"/>
      <c r="D271" s="260"/>
      <c r="E271" s="260"/>
      <c r="F271" s="226">
        <f t="shared" ref="F271:L271" si="283">SUM(F262:F270)</f>
        <v>4409.75</v>
      </c>
      <c r="G271" s="226">
        <f t="shared" si="283"/>
        <v>5277.7800000000007</v>
      </c>
      <c r="H271" s="226">
        <f t="shared" si="283"/>
        <v>3387.46</v>
      </c>
      <c r="I271" s="226">
        <f t="shared" si="283"/>
        <v>4459.3500000000004</v>
      </c>
      <c r="J271" s="226">
        <f t="shared" si="283"/>
        <v>2929.83</v>
      </c>
      <c r="K271" s="241">
        <f t="shared" si="283"/>
        <v>3040</v>
      </c>
      <c r="L271" s="226">
        <f t="shared" si="283"/>
        <v>3293.48</v>
      </c>
      <c r="M271" s="57">
        <f>(L271-J271)</f>
        <v>363.65000000000009</v>
      </c>
      <c r="N271" s="56">
        <f>SUM(N262:N270)</f>
        <v>3040</v>
      </c>
      <c r="O271" s="226">
        <f>SUM(O262:O270)</f>
        <v>3038.5900000000006</v>
      </c>
      <c r="P271" s="57">
        <f>(O271-L271)</f>
        <v>-254.88999999999942</v>
      </c>
      <c r="Q271" s="123">
        <f>O271-N271</f>
        <v>-1.4099999999993997</v>
      </c>
      <c r="R271" s="97"/>
      <c r="S271" s="56">
        <f>SUM(S262:S270)</f>
        <v>2950</v>
      </c>
      <c r="T271" s="226">
        <f>SUM(T262:T270)</f>
        <v>3779.9300000000003</v>
      </c>
      <c r="U271" s="57">
        <f>(T271-O271)</f>
        <v>741.33999999999969</v>
      </c>
      <c r="V271" s="123">
        <f>T271-S271</f>
        <v>829.93000000000029</v>
      </c>
      <c r="W271" s="97"/>
      <c r="X271" s="56">
        <f>SUM(X262:X270)</f>
        <v>3250</v>
      </c>
      <c r="Y271" s="226">
        <f>SUM(Y262:Y270)</f>
        <v>2989.26</v>
      </c>
      <c r="Z271" s="262" t="str">
        <f>ROUND(Y271-T271,2) &amp; "   (" &amp; ROUND(100*(Y271-T271)/T271,1) &amp;"%)"</f>
        <v>-790,67   (-20,9%)</v>
      </c>
      <c r="AA271" s="34" t="str">
        <f>ROUND(Y271-X271,2) &amp; "  (" &amp; ROUND(100*(Y271-X271)/X271,1) &amp;"%)"</f>
        <v>-260,74  (-8%)</v>
      </c>
      <c r="AB271" s="97"/>
      <c r="AC271" s="56">
        <f>SUM(AC262:AC270)</f>
        <v>3570</v>
      </c>
      <c r="AD271" s="261">
        <f>SUM(AD262:AD270)</f>
        <v>3775.1400000000003</v>
      </c>
      <c r="AE271" s="263" t="str">
        <f>ROUND(AD271-Y271,2) &amp; "   (" &amp; ROUND(100*(AD271-Y271)/Y271,1) &amp;"%)"</f>
        <v>785,88   (26,3%)</v>
      </c>
      <c r="AF271" s="34" t="str">
        <f>ROUND(AD271-AC271,2) &amp; "  (" &amp; ROUND(100*(AD271-AC271)/AC271,1) &amp;"%)"</f>
        <v>205,14  (5,7%)</v>
      </c>
      <c r="AG271" s="97"/>
      <c r="AH271" s="56">
        <f>SUM(AH262:AH270)</f>
        <v>3640</v>
      </c>
      <c r="AI271" s="261">
        <f>SUM(AI262:AI270)</f>
        <v>3477.0299999999997</v>
      </c>
      <c r="AJ271" s="263" t="str">
        <f t="shared" ref="AJ271" si="284">ROUND(AI271-AD271,2) &amp; "   (" &amp; ROUND(100*(AI271-AD271)/AD271,1) &amp;"%)"</f>
        <v>-298,11   (-7,9%)</v>
      </c>
      <c r="AK271" s="34" t="str">
        <f>ROUND(AI271-AH271,2) &amp; "  (" &amp; ROUND(100*(AI271-AH271)/AH271,1) &amp;"%)"</f>
        <v>-162,97  (-4,5%)</v>
      </c>
      <c r="AL271" s="97"/>
      <c r="AM271" s="56">
        <f>SUM(AM262:AM270)</f>
        <v>3710</v>
      </c>
      <c r="AN271" s="261">
        <f>SUM(AN262:AN270)</f>
        <v>2835.94</v>
      </c>
      <c r="AO271" s="263" t="str">
        <f t="shared" ref="AO271" si="285">ROUND(AN271-AI271,2) &amp; "   (" &amp; ROUND(100*(AN271-AI271)/AI271,1) &amp;"%)"</f>
        <v>-641,09   (-18,4%)</v>
      </c>
      <c r="AP271" s="34" t="str">
        <f>ROUND(AN271-AM271,2) &amp; "  (" &amp; ROUND(100*(AN271-AM271)/AM271,1) &amp;"%)"</f>
        <v>-874,06  (-23,6%)</v>
      </c>
      <c r="AQ271" s="97"/>
      <c r="AR271" s="56">
        <f>SUM(AR262:AR270)</f>
        <v>3710</v>
      </c>
      <c r="AS271" s="261">
        <f>SUM(AS262:AS270)</f>
        <v>0</v>
      </c>
      <c r="AT271" s="263" t="str">
        <f t="shared" ref="AT271" si="286">ROUND(AS271-AN271,2) &amp; "   (" &amp; ROUND(100*(AS271-AN271)/AN271,1) &amp;"%)"</f>
        <v>-2835,94   (-100%)</v>
      </c>
      <c r="AU271" s="34" t="str">
        <f>ROUND(AS271-AR271,2) &amp; "  (" &amp; ROUND(100*(AS271-AR271)/AR271,1) &amp;"%)"</f>
        <v>-3710  (-100%)</v>
      </c>
      <c r="AV271" s="97"/>
    </row>
    <row r="272" spans="1:48" s="274" customFormat="1" x14ac:dyDescent="0.3">
      <c r="A272" s="266"/>
      <c r="B272" s="267"/>
      <c r="C272" s="268"/>
      <c r="D272" s="268"/>
      <c r="E272" s="268"/>
      <c r="F272" s="244"/>
      <c r="G272" s="244"/>
      <c r="H272" s="244"/>
      <c r="I272" s="244"/>
      <c r="J272" s="244"/>
      <c r="K272" s="269"/>
      <c r="L272" s="246"/>
      <c r="M272" s="63">
        <f>(L271-J271)/J271</f>
        <v>0.12411982947816089</v>
      </c>
      <c r="N272" s="247"/>
      <c r="O272" s="246"/>
      <c r="P272" s="63">
        <f>(O271-L271)/L271</f>
        <v>-7.7392302367100888E-2</v>
      </c>
      <c r="Q272" s="91"/>
      <c r="R272" s="270"/>
      <c r="S272" s="247"/>
      <c r="T272" s="246"/>
      <c r="U272" s="63">
        <f>(T271-O271)/O271</f>
        <v>0.24397500156322491</v>
      </c>
      <c r="V272" s="91"/>
      <c r="W272" s="270"/>
      <c r="X272" s="247"/>
      <c r="Y272" s="271"/>
      <c r="Z272" s="272"/>
      <c r="AA272" s="7"/>
      <c r="AB272" s="270"/>
      <c r="AC272" s="247"/>
      <c r="AD272" s="271"/>
      <c r="AE272" s="273"/>
      <c r="AF272" s="7"/>
      <c r="AG272" s="270"/>
      <c r="AH272" s="247"/>
      <c r="AI272" s="271"/>
      <c r="AJ272" s="272"/>
      <c r="AK272" s="7"/>
      <c r="AL272" s="270"/>
      <c r="AM272" s="247"/>
      <c r="AN272" s="271"/>
      <c r="AO272" s="272"/>
      <c r="AP272" s="7"/>
      <c r="AQ272" s="270"/>
      <c r="AR272" s="247"/>
      <c r="AS272" s="271"/>
      <c r="AT272" s="272"/>
      <c r="AU272" s="7"/>
      <c r="AV272" s="270"/>
    </row>
    <row r="273" spans="1:48" s="136" customFormat="1" x14ac:dyDescent="0.3">
      <c r="A273" s="127"/>
      <c r="B273" s="229" t="s">
        <v>251</v>
      </c>
      <c r="C273" s="230"/>
      <c r="D273" s="230"/>
      <c r="E273" s="230"/>
      <c r="F273" s="231"/>
      <c r="G273" s="231"/>
      <c r="H273" s="231"/>
      <c r="I273" s="231"/>
      <c r="J273" s="231"/>
      <c r="K273" s="232"/>
      <c r="L273" s="231"/>
      <c r="M273" s="233"/>
      <c r="N273" s="232"/>
      <c r="O273" s="231"/>
      <c r="P273" s="233"/>
      <c r="Q273" s="234"/>
      <c r="R273" s="235"/>
      <c r="S273" s="232"/>
      <c r="T273" s="231"/>
      <c r="U273" s="134"/>
      <c r="V273" s="234"/>
      <c r="W273" s="235"/>
      <c r="X273" s="232"/>
      <c r="Y273" s="231"/>
      <c r="Z273" s="134"/>
      <c r="AA273" s="236"/>
      <c r="AB273" s="235"/>
      <c r="AC273" s="232"/>
      <c r="AD273" s="231"/>
      <c r="AE273" s="135"/>
      <c r="AF273" s="236"/>
      <c r="AG273" s="235"/>
      <c r="AH273" s="232"/>
      <c r="AI273" s="231"/>
      <c r="AJ273" s="134"/>
      <c r="AK273" s="236"/>
      <c r="AL273" s="235"/>
      <c r="AM273" s="232"/>
      <c r="AN273" s="231"/>
      <c r="AO273" s="134"/>
      <c r="AP273" s="236"/>
      <c r="AQ273" s="235"/>
      <c r="AR273" s="232"/>
      <c r="AS273" s="231"/>
      <c r="AT273" s="134"/>
      <c r="AU273" s="236"/>
      <c r="AV273" s="235"/>
    </row>
    <row r="274" spans="1:48" x14ac:dyDescent="0.3">
      <c r="A274" s="23" t="str">
        <f t="shared" ref="A274:A281" si="287">LEFT(B274,4)</f>
        <v>6020</v>
      </c>
      <c r="B274" s="252" t="s">
        <v>252</v>
      </c>
      <c r="C274" s="253"/>
      <c r="D274" s="187" t="str">
        <f t="shared" ref="D274:D279" si="288">RIGHT(LEFT(B274,10),5) &amp;"/"&amp;LEFT(B$273,3)&amp;"."&amp;RIGHT(LEFT(B$273,7),3)&amp;"."&amp;RIGHT(B$273,1)</f>
        <v>40264/605.Asc.E</v>
      </c>
      <c r="E274" s="187"/>
      <c r="F274" s="27">
        <v>236.84</v>
      </c>
      <c r="G274" s="27">
        <v>231.56</v>
      </c>
      <c r="H274" s="27">
        <v>278.49</v>
      </c>
      <c r="I274" s="27">
        <v>320.26</v>
      </c>
      <c r="J274" s="27">
        <v>283.24</v>
      </c>
      <c r="K274" s="28">
        <v>300</v>
      </c>
      <c r="L274" s="27">
        <v>314.11</v>
      </c>
      <c r="M274" s="39">
        <f>(L274-J274)/J274</f>
        <v>0.10898884338370288</v>
      </c>
      <c r="N274" s="28">
        <v>300</v>
      </c>
      <c r="O274" s="27">
        <v>312.48</v>
      </c>
      <c r="P274" s="39">
        <f>(O274-L274)/L274</f>
        <v>-5.1892649071981004E-3</v>
      </c>
      <c r="Q274" s="123"/>
      <c r="R274" s="124"/>
      <c r="S274" s="28">
        <v>350</v>
      </c>
      <c r="T274" s="27">
        <v>334.94</v>
      </c>
      <c r="U274" s="39">
        <f>(T274-O274)/O274</f>
        <v>7.1876600102406485E-2</v>
      </c>
      <c r="V274" s="123"/>
      <c r="W274" s="124"/>
      <c r="X274" s="28">
        <v>350</v>
      </c>
      <c r="Y274" s="27">
        <v>336.39</v>
      </c>
      <c r="Z274" s="89" t="str">
        <f>ROUND(Y274-T274,2) &amp; "   (" &amp; ROUND(100*(Y274-T274)/T274,1) &amp;"%)"</f>
        <v>1,45   (0,4%)</v>
      </c>
      <c r="AA274" s="34"/>
      <c r="AB274" s="124"/>
      <c r="AC274" s="28">
        <v>350</v>
      </c>
      <c r="AD274" s="27">
        <v>415.4</v>
      </c>
      <c r="AE274" s="9" t="str">
        <f>ROUND(AD274-Y274,2) &amp; "   (" &amp; ROUND(100*(AD274-Y274)/Y274,1) &amp;"%)"</f>
        <v>79,01   (23,5%)</v>
      </c>
      <c r="AF274" s="34"/>
      <c r="AG274" s="124"/>
      <c r="AH274" s="28">
        <v>360</v>
      </c>
      <c r="AI274" s="87">
        <v>401.31</v>
      </c>
      <c r="AJ274" s="9" t="str">
        <f t="shared" ref="AJ274:AJ276" si="289">ROUND(AI274-AD274,2) &amp; "   (" &amp; ROUND(100*(AI274-AD274)/AD274,1) &amp;"%)"</f>
        <v>-14,09   (-3,4%)</v>
      </c>
      <c r="AK274" s="34"/>
      <c r="AL274" s="124"/>
      <c r="AM274" s="28">
        <v>370</v>
      </c>
      <c r="AN274" s="87">
        <v>194.08</v>
      </c>
      <c r="AO274" s="9" t="str">
        <f t="shared" ref="AO274:AO276" si="290">ROUND(AN274-AI274,2) &amp; "   (" &amp; ROUND(100*(AN274-AI274)/AI274,1) &amp;"%)"</f>
        <v>-207,23   (-51,6%)</v>
      </c>
      <c r="AP274" s="34"/>
      <c r="AQ274" s="124"/>
      <c r="AR274" s="28">
        <v>370</v>
      </c>
      <c r="AS274" s="27">
        <v>0</v>
      </c>
      <c r="AT274" s="9" t="str">
        <f t="shared" ref="AT274:AT276" si="291">ROUND(AS274-AN274,2) &amp; "   (" &amp; ROUND(100*(AS274-AN274)/AN274,1) &amp;"%)"</f>
        <v>-194,08   (-100%)</v>
      </c>
      <c r="AU274" s="34"/>
      <c r="AV274" s="124"/>
    </row>
    <row r="275" spans="1:48" x14ac:dyDescent="0.3">
      <c r="A275" s="23" t="str">
        <f t="shared" si="287"/>
        <v>6140</v>
      </c>
      <c r="B275" s="252" t="s">
        <v>253</v>
      </c>
      <c r="C275" s="253"/>
      <c r="D275" s="187" t="str">
        <f t="shared" si="288"/>
        <v>40761/605.Asc.E</v>
      </c>
      <c r="E275" s="187"/>
      <c r="F275" s="27">
        <v>0</v>
      </c>
      <c r="M275" s="39"/>
      <c r="P275" s="39"/>
      <c r="Q275" s="123">
        <f>O275-N275</f>
        <v>0</v>
      </c>
      <c r="R275" s="97"/>
      <c r="V275" s="123">
        <f>T275-S275</f>
        <v>0</v>
      </c>
      <c r="W275" s="97"/>
      <c r="Z275" s="89"/>
      <c r="AA275" s="34"/>
      <c r="AB275" s="97"/>
      <c r="AF275" s="34"/>
      <c r="AG275" s="97"/>
      <c r="AJ275" s="9" t="str">
        <f>ROUND(AI275-AD275,2) &amp; "   (" &amp; ROUND(100*(AI275-AD275)/(AD275+0.001),1) &amp;"%)"</f>
        <v>0   (0%)</v>
      </c>
      <c r="AK275" s="34"/>
      <c r="AL275" s="97"/>
      <c r="AO275" s="9" t="str">
        <f>ROUND(AN275-AI275,2) &amp; "   (" &amp; ROUND(100*(AN275-AI275)/(AI275+0.0001),1) &amp;"%)"</f>
        <v>0   (0%)</v>
      </c>
      <c r="AP275" s="34"/>
      <c r="AQ275" s="97"/>
      <c r="AT275" s="9" t="e">
        <f t="shared" si="291"/>
        <v>#DIV/0!</v>
      </c>
      <c r="AU275" s="34"/>
      <c r="AV275" s="97"/>
    </row>
    <row r="276" spans="1:48" x14ac:dyDescent="0.3">
      <c r="A276" s="23" t="str">
        <f t="shared" si="287"/>
        <v>6140</v>
      </c>
      <c r="B276" s="252" t="s">
        <v>254</v>
      </c>
      <c r="C276" s="253"/>
      <c r="D276" s="187" t="str">
        <f t="shared" si="288"/>
        <v>40802/605.Asc.E</v>
      </c>
      <c r="E276" s="187"/>
      <c r="F276" s="27">
        <v>2160.7800000000002</v>
      </c>
      <c r="G276" s="27">
        <v>2193.1999999999998</v>
      </c>
      <c r="H276" s="27">
        <v>1988.65</v>
      </c>
      <c r="I276" s="27">
        <v>0.36</v>
      </c>
      <c r="J276" s="27">
        <v>1764.46</v>
      </c>
      <c r="K276" s="28">
        <v>1800</v>
      </c>
      <c r="L276" s="27">
        <v>1797.22</v>
      </c>
      <c r="M276" s="39">
        <f>(L276-J276)/J276</f>
        <v>1.8566586944447589E-2</v>
      </c>
      <c r="N276" s="28">
        <v>1800</v>
      </c>
      <c r="O276" s="27">
        <v>1815.37</v>
      </c>
      <c r="P276" s="39">
        <f>(O276-L276)/L276</f>
        <v>1.009893057054777E-2</v>
      </c>
      <c r="Q276" s="123">
        <f>O276-N276</f>
        <v>15.369999999999891</v>
      </c>
      <c r="R276" s="97"/>
      <c r="S276" s="28">
        <v>1850</v>
      </c>
      <c r="T276" s="27">
        <v>1833.56</v>
      </c>
      <c r="U276" s="39">
        <f>(T276-O276)/O276</f>
        <v>1.0019995923696026E-2</v>
      </c>
      <c r="V276" s="123">
        <f>T276-S276</f>
        <v>-16.440000000000055</v>
      </c>
      <c r="W276" s="97"/>
      <c r="X276" s="28">
        <v>1950</v>
      </c>
      <c r="Y276" s="27">
        <v>1859.8</v>
      </c>
      <c r="Z276" s="89" t="str">
        <f>ROUND(Y276-T276,2) &amp; "   (" &amp; ROUND(100*(Y276-T276)/T276,1) &amp;"%)"</f>
        <v>26,24   (1,4%)</v>
      </c>
      <c r="AA276" s="34" t="str">
        <f>ROUND(Y276-X276,2) &amp; "  (" &amp; ROUND(100*(Y276-X276)/X276,1) &amp;"%)"</f>
        <v>-90,2  (-4,6%)</v>
      </c>
      <c r="AB276" s="97"/>
      <c r="AC276" s="28">
        <v>1950</v>
      </c>
      <c r="AD276" s="27">
        <v>1861.36</v>
      </c>
      <c r="AE276" s="9" t="str">
        <f>ROUND(AD276-Y276,2) &amp; "   (" &amp; ROUND(100*(AD276-Y276)/Y276,1) &amp;"%)"</f>
        <v>1,56   (0,1%)</v>
      </c>
      <c r="AF276" s="34" t="str">
        <f>ROUND(AD276-AC276,2) &amp; "  (" &amp; ROUND(100*(AD276-AC276)/AC276,1) &amp;"%)"</f>
        <v>-88,64  (-4,5%)</v>
      </c>
      <c r="AG276" s="97"/>
      <c r="AH276" s="28">
        <v>1980</v>
      </c>
      <c r="AI276" s="27">
        <v>1888.88</v>
      </c>
      <c r="AJ276" s="9" t="str">
        <f t="shared" si="289"/>
        <v>27,52   (1,5%)</v>
      </c>
      <c r="AK276" s="34" t="str">
        <f>ROUND(AI276-AH276,2) &amp; "  (" &amp; ROUND(100*(AI276-AH276)/AH276,1) &amp;"%)"</f>
        <v>-91,12  (-4,6%)</v>
      </c>
      <c r="AL276" s="97"/>
      <c r="AM276" s="28">
        <v>2010</v>
      </c>
      <c r="AN276" s="27">
        <v>1921.54</v>
      </c>
      <c r="AO276" s="9" t="str">
        <f t="shared" si="290"/>
        <v>32,66   (1,7%)</v>
      </c>
      <c r="AP276" s="34" t="str">
        <f>ROUND(AN276-AM276,2) &amp; "  (" &amp; ROUND(100*(AN276-AM276)/AM276,1) &amp;"%)"</f>
        <v>-88,46  (-4,4%)</v>
      </c>
      <c r="AQ276" s="97"/>
      <c r="AR276" s="28">
        <v>2010</v>
      </c>
      <c r="AS276" s="27">
        <v>0</v>
      </c>
      <c r="AT276" s="9" t="str">
        <f t="shared" si="291"/>
        <v>-1921,54   (-100%)</v>
      </c>
      <c r="AU276" s="34" t="str">
        <f>ROUND(AS276-AR276,2) &amp; "  (" &amp; ROUND(100*(AS276-AR276)/AR276,1) &amp;"%)"</f>
        <v>-2010  (-100%)</v>
      </c>
      <c r="AV276" s="97"/>
    </row>
    <row r="277" spans="1:48" x14ac:dyDescent="0.3">
      <c r="A277" s="23" t="str">
        <f t="shared" si="287"/>
        <v>6140</v>
      </c>
      <c r="B277" s="252" t="s">
        <v>255</v>
      </c>
      <c r="C277" s="253"/>
      <c r="D277" s="187" t="str">
        <f t="shared" si="288"/>
        <v>40802/605.Asc.E</v>
      </c>
      <c r="E277" s="187"/>
      <c r="L277" s="27">
        <v>480</v>
      </c>
      <c r="M277" s="39"/>
      <c r="P277" s="39"/>
      <c r="Q277" s="123">
        <f>O277-N277</f>
        <v>0</v>
      </c>
      <c r="R277" s="97"/>
      <c r="V277" s="123">
        <f>T277-S277</f>
        <v>0</v>
      </c>
      <c r="W277" s="97"/>
      <c r="Z277" s="89"/>
      <c r="AA277" s="34"/>
      <c r="AB277" s="97"/>
      <c r="AF277" s="34"/>
      <c r="AG277" s="97"/>
      <c r="AK277" s="34"/>
      <c r="AL277" s="97"/>
      <c r="AP277" s="34"/>
      <c r="AQ277" s="97"/>
      <c r="AU277" s="34"/>
      <c r="AV277" s="97"/>
    </row>
    <row r="278" spans="1:48" x14ac:dyDescent="0.3">
      <c r="A278" s="52" t="str">
        <f t="shared" si="287"/>
        <v>6150</v>
      </c>
      <c r="B278" s="254" t="s">
        <v>256</v>
      </c>
      <c r="C278" s="255"/>
      <c r="D278" s="275" t="str">
        <f t="shared" si="288"/>
        <v>40806/605.Asc.E</v>
      </c>
      <c r="E278" s="275"/>
      <c r="F278" s="87">
        <v>0</v>
      </c>
      <c r="G278" s="87"/>
      <c r="H278" s="87"/>
      <c r="I278" s="87">
        <v>1712</v>
      </c>
      <c r="J278" s="87">
        <v>172.8</v>
      </c>
      <c r="K278" s="88">
        <v>200</v>
      </c>
      <c r="L278" s="87"/>
      <c r="M278" s="29"/>
      <c r="N278" s="88">
        <v>200</v>
      </c>
      <c r="O278" s="87">
        <v>154.15</v>
      </c>
      <c r="P278" s="29"/>
      <c r="Q278" s="123">
        <f>O278-N278</f>
        <v>-45.849999999999994</v>
      </c>
      <c r="R278" s="97"/>
      <c r="S278" s="88"/>
      <c r="T278" s="87">
        <v>152.9</v>
      </c>
      <c r="U278" s="29"/>
      <c r="V278" s="123">
        <f>T278-S278</f>
        <v>152.9</v>
      </c>
      <c r="W278" s="97"/>
      <c r="X278" s="88">
        <v>200</v>
      </c>
      <c r="Y278" s="87">
        <v>307.05</v>
      </c>
      <c r="Z278" s="37" t="str">
        <f>ROUND(Y278-T278,2) &amp; "   (" &amp; ROUND(100*(Y278-T278)/T278,1) &amp;"%)"</f>
        <v>154,15   (100,8%)</v>
      </c>
      <c r="AA278" s="34" t="str">
        <f>ROUND(Y278-X278,2) &amp; "  (" &amp; ROUND(100*(Y278-X278)/X278,1) &amp;"%)"</f>
        <v>107,05  (53,5%)</v>
      </c>
      <c r="AB278" s="97"/>
      <c r="AC278" s="88">
        <v>500</v>
      </c>
      <c r="AD278" s="87">
        <v>1162.74</v>
      </c>
      <c r="AE278" s="35" t="str">
        <f>ROUND(AD278-Y278,2) &amp; "   (" &amp; ROUND(100*(AD278-Y278)/Y278,1) &amp;"%)"</f>
        <v>855,69   (278,7%)</v>
      </c>
      <c r="AF278" s="34" t="str">
        <f>ROUND(AD278-AC278,2) &amp; "  (" &amp; ROUND(100*(AD278-AC278)/AC278,1) &amp;"%)"</f>
        <v>662,74  (132,5%)</v>
      </c>
      <c r="AG278" s="97"/>
      <c r="AH278" s="88">
        <v>510</v>
      </c>
      <c r="AI278" s="87">
        <v>0</v>
      </c>
      <c r="AJ278" s="35" t="str">
        <f t="shared" ref="AJ278" si="292">ROUND(AI278-AD278,2) &amp; "   (" &amp; ROUND(100*(AI278-AD278)/AD278,1) &amp;"%)"</f>
        <v>-1162,74   (-100%)</v>
      </c>
      <c r="AK278" s="34" t="str">
        <f>ROUND(AI278-AH278,2) &amp; "  (" &amp; ROUND(100*(AI278-AH278)/AH278,1) &amp;"%)"</f>
        <v>-510  (-100%)</v>
      </c>
      <c r="AL278" s="97"/>
      <c r="AM278" s="88">
        <v>520</v>
      </c>
      <c r="AN278" s="87">
        <v>0</v>
      </c>
      <c r="AO278" s="35" t="str">
        <f>ROUND(AN278-AI278,2) &amp; "   (" &amp; ROUND(100*(AN278-AI278)/(AI278+0.0001),1) &amp;"%)"</f>
        <v>0   (0%)</v>
      </c>
      <c r="AP278" s="34" t="str">
        <f>ROUND(AN278-AM278,2) &amp; "  (" &amp; ROUND(100*(AN278-AM278)/AM278,1) &amp;"%)"</f>
        <v>-520  (-100%)</v>
      </c>
      <c r="AQ278" s="97"/>
      <c r="AR278" s="88"/>
      <c r="AS278" s="87">
        <v>0</v>
      </c>
      <c r="AT278" s="35" t="e">
        <f t="shared" ref="AT278" si="293">ROUND(AS278-AN278,2) &amp; "   (" &amp; ROUND(100*(AS278-AN278)/AN278,1) &amp;"%)"</f>
        <v>#DIV/0!</v>
      </c>
      <c r="AU278" s="34" t="e">
        <f>ROUND(AS278-AR278,2) &amp; "  (" &amp; ROUND(100*(AS278-AR278)/AR278,1) &amp;"%)"</f>
        <v>#DIV/0!</v>
      </c>
      <c r="AV278" s="97"/>
    </row>
    <row r="279" spans="1:48" x14ac:dyDescent="0.3">
      <c r="A279" s="23" t="str">
        <f t="shared" si="287"/>
        <v>6230</v>
      </c>
      <c r="B279" s="252" t="s">
        <v>257</v>
      </c>
      <c r="C279" s="255"/>
      <c r="D279" s="275" t="str">
        <f t="shared" si="288"/>
        <v>65367/605.Asc.E</v>
      </c>
      <c r="E279" s="275"/>
      <c r="F279" s="87"/>
      <c r="G279" s="87"/>
      <c r="H279" s="87"/>
      <c r="I279" s="87"/>
      <c r="J279" s="87"/>
      <c r="K279" s="88"/>
      <c r="L279" s="87"/>
      <c r="M279" s="29"/>
      <c r="N279" s="88"/>
      <c r="O279" s="87"/>
      <c r="P279" s="29"/>
      <c r="Q279" s="123"/>
      <c r="R279" s="97"/>
      <c r="S279" s="88"/>
      <c r="T279" s="87"/>
      <c r="U279" s="29"/>
      <c r="V279" s="123"/>
      <c r="W279" s="97"/>
      <c r="X279" s="88"/>
      <c r="Y279" s="87"/>
      <c r="Z279" s="37"/>
      <c r="AA279" s="34"/>
      <c r="AB279" s="97"/>
      <c r="AC279" s="88"/>
      <c r="AD279" s="87"/>
      <c r="AE279" s="35"/>
      <c r="AF279" s="34"/>
      <c r="AG279" s="97"/>
      <c r="AH279" s="88"/>
      <c r="AI279" s="87"/>
      <c r="AJ279" s="29"/>
      <c r="AK279" s="34"/>
      <c r="AL279" s="97"/>
      <c r="AM279" s="88"/>
      <c r="AN279" s="87"/>
      <c r="AO279" s="29"/>
      <c r="AP279" s="34"/>
      <c r="AQ279" s="97"/>
      <c r="AR279" s="88"/>
      <c r="AS279" s="87"/>
      <c r="AT279" s="29"/>
      <c r="AU279" s="34"/>
      <c r="AV279" s="97"/>
    </row>
    <row r="280" spans="1:48" x14ac:dyDescent="0.3">
      <c r="A280" s="23" t="str">
        <f t="shared" si="287"/>
        <v>6230</v>
      </c>
      <c r="B280" s="252" t="s">
        <v>622</v>
      </c>
      <c r="C280" s="255"/>
      <c r="D280" s="256"/>
      <c r="E280" s="256"/>
      <c r="F280" s="87"/>
      <c r="G280" s="87"/>
      <c r="H280" s="87"/>
      <c r="I280" s="87"/>
      <c r="J280" s="87"/>
      <c r="K280" s="88"/>
      <c r="L280" s="87"/>
      <c r="M280" s="29"/>
      <c r="N280" s="88"/>
      <c r="O280" s="87"/>
      <c r="P280" s="29"/>
      <c r="Q280" s="123"/>
      <c r="R280" s="97"/>
      <c r="S280" s="88"/>
      <c r="T280" s="87"/>
      <c r="U280" s="29"/>
      <c r="V280" s="123"/>
      <c r="W280" s="97"/>
      <c r="X280" s="88"/>
      <c r="Y280" s="87"/>
      <c r="Z280" s="37"/>
      <c r="AA280" s="34"/>
      <c r="AB280" s="97"/>
      <c r="AC280" s="88"/>
      <c r="AD280" s="87"/>
      <c r="AE280" s="35"/>
      <c r="AF280" s="34"/>
      <c r="AG280" s="97"/>
      <c r="AH280" s="88"/>
      <c r="AI280" s="87">
        <v>420</v>
      </c>
      <c r="AJ280" s="29"/>
      <c r="AK280" s="34"/>
      <c r="AL280" s="97"/>
      <c r="AM280" s="88"/>
      <c r="AN280" s="87">
        <v>0</v>
      </c>
      <c r="AO280" s="29"/>
      <c r="AP280" s="34"/>
      <c r="AQ280" s="97"/>
      <c r="AR280" s="88"/>
      <c r="AS280" s="87"/>
      <c r="AT280" s="29"/>
      <c r="AU280" s="34"/>
      <c r="AV280" s="97"/>
    </row>
    <row r="281" spans="1:48" s="122" customFormat="1" ht="18" thickBot="1" x14ac:dyDescent="0.35">
      <c r="A281" s="111" t="str">
        <f t="shared" si="287"/>
        <v>6730</v>
      </c>
      <c r="B281" s="237" t="s">
        <v>258</v>
      </c>
      <c r="C281" s="238"/>
      <c r="D281" s="257" t="str">
        <f>RIGHT(LEFT(B281,10),5) &amp;"/"&amp;LEFT(B$273,3)&amp;"."&amp;RIGHT(LEFT(B$273,7),3)&amp;"."&amp;RIGHT(B$273,1)</f>
        <v>40368/605.Asc.E</v>
      </c>
      <c r="E281" s="257"/>
      <c r="F281" s="153"/>
      <c r="G281" s="153">
        <v>529.5</v>
      </c>
      <c r="H281" s="153"/>
      <c r="I281" s="153"/>
      <c r="J281" s="153"/>
      <c r="K281" s="154"/>
      <c r="L281" s="153"/>
      <c r="M281" s="116"/>
      <c r="N281" s="154"/>
      <c r="O281" s="153"/>
      <c r="P281" s="116"/>
      <c r="Q281" s="125"/>
      <c r="R281" s="126"/>
      <c r="S281" s="154"/>
      <c r="T281" s="153"/>
      <c r="U281" s="116"/>
      <c r="V281" s="125"/>
      <c r="W281" s="126"/>
      <c r="X281" s="154"/>
      <c r="Y281" s="153"/>
      <c r="Z281" s="119"/>
      <c r="AA281" s="120"/>
      <c r="AB281" s="126"/>
      <c r="AC281" s="154"/>
      <c r="AD281" s="153"/>
      <c r="AE281" s="121"/>
      <c r="AF281" s="120"/>
      <c r="AG281" s="126"/>
      <c r="AH281" s="154"/>
      <c r="AI281" s="153"/>
      <c r="AJ281" s="116"/>
      <c r="AK281" s="120"/>
      <c r="AL281" s="126"/>
      <c r="AM281" s="154"/>
      <c r="AN281" s="153"/>
      <c r="AO281" s="116"/>
      <c r="AP281" s="120"/>
      <c r="AQ281" s="126"/>
      <c r="AR281" s="154"/>
      <c r="AS281" s="153"/>
      <c r="AT281" s="116"/>
      <c r="AU281" s="120"/>
      <c r="AV281" s="126"/>
    </row>
    <row r="282" spans="1:48" s="265" customFormat="1" x14ac:dyDescent="0.3">
      <c r="A282" s="258"/>
      <c r="B282" s="259"/>
      <c r="C282" s="260"/>
      <c r="D282" s="260"/>
      <c r="E282" s="260"/>
      <c r="F282" s="226">
        <f t="shared" ref="F282:L282" si="294">SUM(F274:F281)</f>
        <v>2397.6200000000003</v>
      </c>
      <c r="G282" s="226">
        <f t="shared" si="294"/>
        <v>2954.2599999999998</v>
      </c>
      <c r="H282" s="226">
        <f t="shared" si="294"/>
        <v>2267.1400000000003</v>
      </c>
      <c r="I282" s="226">
        <f t="shared" si="294"/>
        <v>2032.62</v>
      </c>
      <c r="J282" s="226">
        <f t="shared" si="294"/>
        <v>2220.5</v>
      </c>
      <c r="K282" s="241">
        <f t="shared" si="294"/>
        <v>2300</v>
      </c>
      <c r="L282" s="226">
        <f t="shared" si="294"/>
        <v>2591.33</v>
      </c>
      <c r="M282" s="57">
        <f>(L282-J282)</f>
        <v>370.82999999999993</v>
      </c>
      <c r="N282" s="56">
        <f>SUM(N274:N281)</f>
        <v>2300</v>
      </c>
      <c r="O282" s="226">
        <f>SUM(O274:O281)</f>
        <v>2282</v>
      </c>
      <c r="P282" s="57">
        <f>(O282-L282)</f>
        <v>-309.32999999999993</v>
      </c>
      <c r="Q282" s="123">
        <f>O282-N282</f>
        <v>-18</v>
      </c>
      <c r="R282" s="97"/>
      <c r="S282" s="56">
        <f>SUM(S274:S281)</f>
        <v>2200</v>
      </c>
      <c r="T282" s="226">
        <f>SUM(T274:T281)</f>
        <v>2321.4</v>
      </c>
      <c r="U282" s="57">
        <f>(T282-O282)</f>
        <v>39.400000000000091</v>
      </c>
      <c r="V282" s="123">
        <f>T282-S282</f>
        <v>121.40000000000009</v>
      </c>
      <c r="W282" s="97"/>
      <c r="X282" s="56">
        <f>SUM(X274:X281)</f>
        <v>2500</v>
      </c>
      <c r="Y282" s="226">
        <f>SUM(Y274:Y281)</f>
        <v>2503.2400000000002</v>
      </c>
      <c r="Z282" s="262" t="str">
        <f>ROUND(Y282-T282,2) &amp; "   (" &amp; ROUND(100*(Y282-T282)/T282,1) &amp;"%)"</f>
        <v>181,84   (7,8%)</v>
      </c>
      <c r="AA282" s="34" t="str">
        <f>ROUND(Y282-X282,2) &amp; "  (" &amp; ROUND(100*(Y282-X282)/X282,1) &amp;"%)"</f>
        <v>3,24  (0,1%)</v>
      </c>
      <c r="AB282" s="97"/>
      <c r="AC282" s="56">
        <f>SUM(AC274:AC281)</f>
        <v>2800</v>
      </c>
      <c r="AD282" s="261">
        <f>SUM(AD274:AD281)</f>
        <v>3439.5</v>
      </c>
      <c r="AE282" s="263" t="str">
        <f>ROUND(AD282-Y282,2) &amp; "   (" &amp; ROUND(100*(AD282-Y282)/Y282,1) &amp;"%)"</f>
        <v>936,26   (37,4%)</v>
      </c>
      <c r="AF282" s="34" t="str">
        <f>ROUND(AD282-AC282,2) &amp; "  (" &amp; ROUND(100*(AD282-AC282)/AC282,1) &amp;"%)"</f>
        <v>639,5  (22,8%)</v>
      </c>
      <c r="AG282" s="97"/>
      <c r="AH282" s="56">
        <f>SUM(AH274:AH281)</f>
        <v>2850</v>
      </c>
      <c r="AI282" s="261">
        <f>SUM(AI274:AI281)</f>
        <v>2710.19</v>
      </c>
      <c r="AJ282" s="263" t="str">
        <f t="shared" ref="AJ282" si="295">ROUND(AI282-AD282,2) &amp; "   (" &amp; ROUND(100*(AI282-AD282)/AD282,1) &amp;"%)"</f>
        <v>-729,31   (-21,2%)</v>
      </c>
      <c r="AK282" s="34" t="str">
        <f>ROUND(AI282-AH282,2) &amp; "  (" &amp; ROUND(100*(AI282-AH282)/AH282,1) &amp;"%)"</f>
        <v>-139,81  (-4,9%)</v>
      </c>
      <c r="AL282" s="97"/>
      <c r="AM282" s="56">
        <f>SUM(AM274:AM281)</f>
        <v>2900</v>
      </c>
      <c r="AN282" s="261">
        <f>SUM(AN274:AN281)</f>
        <v>2115.62</v>
      </c>
      <c r="AO282" s="263" t="str">
        <f t="shared" ref="AO282" si="296">ROUND(AN282-AI282,2) &amp; "   (" &amp; ROUND(100*(AN282-AI282)/AI282,1) &amp;"%)"</f>
        <v>-594,57   (-21,9%)</v>
      </c>
      <c r="AP282" s="34" t="str">
        <f>ROUND(AN282-AM282,2) &amp; "  (" &amp; ROUND(100*(AN282-AM282)/AM282,1) &amp;"%)"</f>
        <v>-784,38  (-27%)</v>
      </c>
      <c r="AQ282" s="97"/>
      <c r="AR282" s="56">
        <f>SUM(AR274:AR281)</f>
        <v>2380</v>
      </c>
      <c r="AS282" s="261">
        <f>SUM(AS274:AS281)</f>
        <v>0</v>
      </c>
      <c r="AT282" s="263" t="str">
        <f t="shared" ref="AT282" si="297">ROUND(AS282-AN282,2) &amp; "   (" &amp; ROUND(100*(AS282-AN282)/AN282,1) &amp;"%)"</f>
        <v>-2115,62   (-100%)</v>
      </c>
      <c r="AU282" s="34" t="str">
        <f>ROUND(AS282-AR282,2) &amp; "  (" &amp; ROUND(100*(AS282-AR282)/AR282,1) &amp;"%)"</f>
        <v>-2380  (-100%)</v>
      </c>
      <c r="AV282" s="97"/>
    </row>
    <row r="283" spans="1:48" s="274" customFormat="1" x14ac:dyDescent="0.3">
      <c r="A283" s="266"/>
      <c r="B283" s="267"/>
      <c r="C283" s="268"/>
      <c r="D283" s="268"/>
      <c r="E283" s="268"/>
      <c r="F283" s="244"/>
      <c r="G283" s="244"/>
      <c r="H283" s="244"/>
      <c r="I283" s="244"/>
      <c r="J283" s="244"/>
      <c r="K283" s="269"/>
      <c r="L283" s="246"/>
      <c r="M283" s="63">
        <f>(L282-J282)/J282</f>
        <v>0.16700292726863317</v>
      </c>
      <c r="N283" s="247"/>
      <c r="O283" s="246"/>
      <c r="P283" s="63">
        <f>(O282-L282)/L282</f>
        <v>-0.11937113374213239</v>
      </c>
      <c r="Q283" s="91"/>
      <c r="R283" s="270"/>
      <c r="S283" s="247"/>
      <c r="T283" s="246"/>
      <c r="U283" s="63">
        <f>(T282-O282)/O282</f>
        <v>1.7265556529360251E-2</v>
      </c>
      <c r="V283" s="91"/>
      <c r="W283" s="270"/>
      <c r="X283" s="247"/>
      <c r="Y283" s="244">
        <f>Y282-T282</f>
        <v>181.84000000000015</v>
      </c>
      <c r="Z283" s="272"/>
      <c r="AA283" s="93"/>
      <c r="AB283" s="270"/>
      <c r="AC283" s="247"/>
      <c r="AD283" s="271">
        <f>AD282-Y282</f>
        <v>936.25999999999976</v>
      </c>
      <c r="AE283" s="273"/>
      <c r="AF283" s="93"/>
      <c r="AG283" s="270"/>
      <c r="AH283" s="247"/>
      <c r="AI283" s="271">
        <f>AI282-AD282</f>
        <v>-729.31</v>
      </c>
      <c r="AJ283" s="272"/>
      <c r="AK283" s="93"/>
      <c r="AL283" s="270"/>
      <c r="AM283" s="247"/>
      <c r="AN283" s="271">
        <f>AN282-AI282</f>
        <v>-594.57000000000016</v>
      </c>
      <c r="AO283" s="272"/>
      <c r="AP283" s="93"/>
      <c r="AQ283" s="270"/>
      <c r="AR283" s="247"/>
      <c r="AS283" s="271">
        <f>AS282-AN282</f>
        <v>-2115.62</v>
      </c>
      <c r="AT283" s="272"/>
      <c r="AU283" s="93"/>
      <c r="AV283" s="270"/>
    </row>
    <row r="284" spans="1:48" s="136" customFormat="1" x14ac:dyDescent="0.3">
      <c r="A284" s="127"/>
      <c r="B284" s="229" t="s">
        <v>259</v>
      </c>
      <c r="C284" s="230"/>
      <c r="D284" s="230"/>
      <c r="E284" s="230"/>
      <c r="F284" s="231"/>
      <c r="G284" s="231"/>
      <c r="H284" s="231"/>
      <c r="I284" s="231"/>
      <c r="J284" s="231"/>
      <c r="K284" s="232"/>
      <c r="L284" s="231"/>
      <c r="M284" s="233"/>
      <c r="N284" s="232"/>
      <c r="O284" s="231"/>
      <c r="P284" s="233"/>
      <c r="Q284" s="234"/>
      <c r="R284" s="235"/>
      <c r="S284" s="232"/>
      <c r="T284" s="231"/>
      <c r="U284" s="134"/>
      <c r="V284" s="234"/>
      <c r="W284" s="235"/>
      <c r="X284" s="232"/>
      <c r="Y284" s="231"/>
      <c r="Z284" s="134"/>
      <c r="AA284" s="236"/>
      <c r="AB284" s="235"/>
      <c r="AC284" s="232"/>
      <c r="AD284" s="231"/>
      <c r="AE284" s="135"/>
      <c r="AF284" s="236"/>
      <c r="AG284" s="235"/>
      <c r="AH284" s="232"/>
      <c r="AI284" s="231"/>
      <c r="AJ284" s="134"/>
      <c r="AK284" s="236"/>
      <c r="AL284" s="235"/>
      <c r="AM284" s="232"/>
      <c r="AN284" s="231"/>
      <c r="AO284" s="134"/>
      <c r="AP284" s="236"/>
      <c r="AQ284" s="235"/>
      <c r="AR284" s="232"/>
      <c r="AS284" s="231"/>
      <c r="AT284" s="134"/>
      <c r="AU284" s="236"/>
      <c r="AV284" s="235"/>
    </row>
    <row r="285" spans="1:48" s="62" customFormat="1" x14ac:dyDescent="0.3">
      <c r="A285" s="23" t="str">
        <f t="shared" ref="A285" si="298">LEFT(B285,4)</f>
        <v>6150</v>
      </c>
      <c r="B285" s="472" t="s">
        <v>637</v>
      </c>
      <c r="C285" s="253"/>
      <c r="D285" s="187" t="str">
        <f t="shared" ref="D285" si="299">RIGHT(LEFT(B285,10),5) &amp;"/"&amp;LEFT(B$284,3)&amp;"."&amp;RIGHT(LEFT(B$284,7),3)&amp;"."&amp;RIGHT(B$284,5)</f>
        <v>40146/600.Asc.Total</v>
      </c>
      <c r="E285" s="188" t="str">
        <f>A365</f>
        <v xml:space="preserve">6021 – Consom.EDF  </v>
      </c>
      <c r="F285" s="87"/>
      <c r="G285" s="87"/>
      <c r="H285" s="87"/>
      <c r="I285" s="87"/>
      <c r="J285" s="87"/>
      <c r="K285" s="88"/>
      <c r="L285" s="87"/>
      <c r="M285" s="189"/>
      <c r="N285" s="88"/>
      <c r="O285" s="87"/>
      <c r="P285" s="189"/>
      <c r="Q285" s="123"/>
      <c r="R285" s="124"/>
      <c r="S285" s="88"/>
      <c r="T285" s="87"/>
      <c r="U285" s="29"/>
      <c r="V285" s="123"/>
      <c r="W285" s="124"/>
      <c r="X285" s="88"/>
      <c r="Y285" s="87"/>
      <c r="Z285" s="29"/>
      <c r="AA285" s="34"/>
      <c r="AB285" s="124"/>
      <c r="AC285" s="88"/>
      <c r="AD285" s="87"/>
      <c r="AE285" s="35"/>
      <c r="AF285" s="34"/>
      <c r="AG285" s="124"/>
      <c r="AH285" s="88"/>
      <c r="AI285" s="87"/>
      <c r="AJ285" s="29"/>
      <c r="AK285" s="34"/>
      <c r="AL285" s="124"/>
      <c r="AM285" s="28">
        <f>AM227+AM238+AM250+AM261+AM273</f>
        <v>0</v>
      </c>
      <c r="AN285" s="27">
        <f>AN250</f>
        <v>1174.53</v>
      </c>
      <c r="AO285" s="9" t="e">
        <f t="shared" ref="AO285" si="300">ROUND(AN285-AI285,2) &amp; "   (" &amp; ROUND(100*(AN285-AI285)/AI285,1) &amp;"%)"</f>
        <v>#DIV/0!</v>
      </c>
      <c r="AP285" s="34" t="e">
        <f>ROUND(AN285-AM285,2) &amp; "  (" &amp; ROUND(100*(AN285-AM285)/AM285,1) &amp;"%)"</f>
        <v>#DIV/0!</v>
      </c>
      <c r="AQ285" s="124"/>
      <c r="AR285" s="88"/>
      <c r="AS285" s="87"/>
      <c r="AT285" s="29"/>
      <c r="AU285" s="34"/>
      <c r="AV285" s="124"/>
    </row>
    <row r="286" spans="1:48" x14ac:dyDescent="0.3">
      <c r="A286" s="23" t="str">
        <f t="shared" ref="A286:A293" si="301">LEFT(B286,4)</f>
        <v>6020</v>
      </c>
      <c r="B286" s="252" t="s">
        <v>260</v>
      </c>
      <c r="C286" s="253"/>
      <c r="D286" s="187" t="str">
        <f t="shared" ref="D286:D291" si="302">RIGHT(LEFT(B286,10),5) &amp;"/"&amp;LEFT(B$284,3)&amp;"."&amp;RIGHT(LEFT(B$284,7),3)&amp;"."&amp;RIGHT(B$284,5)</f>
        <v>40264/600.Asc.Total</v>
      </c>
      <c r="E286" s="188" t="str">
        <f>A366</f>
        <v>6022 – Électricité  Asc</v>
      </c>
      <c r="F286" s="27">
        <f t="shared" ref="F286:L286" si="303">F228+F239+F251+F262+F274</f>
        <v>2072.0300000000002</v>
      </c>
      <c r="G286" s="27">
        <f t="shared" si="303"/>
        <v>2291.0899999999997</v>
      </c>
      <c r="H286" s="27">
        <f t="shared" si="303"/>
        <v>2214.0200000000004</v>
      </c>
      <c r="I286" s="27">
        <f t="shared" si="303"/>
        <v>2681.74</v>
      </c>
      <c r="J286" s="27">
        <f t="shared" si="303"/>
        <v>1710.48</v>
      </c>
      <c r="K286" s="28">
        <f t="shared" si="303"/>
        <v>1900</v>
      </c>
      <c r="L286" s="27">
        <f t="shared" si="303"/>
        <v>1789.02</v>
      </c>
      <c r="M286" s="39">
        <f>(L286-J286)/J286</f>
        <v>4.5916935597025373E-2</v>
      </c>
      <c r="N286" s="245">
        <f>N228+N239+N251+N262+N274</f>
        <v>1900</v>
      </c>
      <c r="O286" s="27">
        <f>O228+O239+O251+O262+O274</f>
        <v>2324.35</v>
      </c>
      <c r="P286" s="39">
        <f>(O286-L286)/L286</f>
        <v>0.29923086382488734</v>
      </c>
      <c r="Q286" s="123"/>
      <c r="R286" s="124"/>
      <c r="S286" s="245">
        <f>S228+S239+S251+S262+S274</f>
        <v>2000</v>
      </c>
      <c r="T286" s="27">
        <f>T228+T239+T251+T262+T274</f>
        <v>2171.33</v>
      </c>
      <c r="U286" s="39">
        <f>(T286-O286)/O286</f>
        <v>-6.5833458816443299E-2</v>
      </c>
      <c r="V286" s="123"/>
      <c r="W286" s="124"/>
      <c r="X286" s="28">
        <f>X228+X239+X251+X262+X274</f>
        <v>2300</v>
      </c>
      <c r="Y286" s="27">
        <f>Y228+Y239+Y251+Y262+Y274</f>
        <v>2054.88</v>
      </c>
      <c r="Z286" s="89" t="str">
        <f>ROUND(Y286-T286,2) &amp; "   (" &amp; ROUND(100*(Y286-T286)/T286,1) &amp;"%)"</f>
        <v>-116,45   (-5,4%)</v>
      </c>
      <c r="AA286" s="34" t="str">
        <f>ROUND(Y286-X286,2) &amp; "  (" &amp; ROUND(100*(Y286-X286)/X286,1) &amp;"%)"</f>
        <v>-245,12  (-10,7%)</v>
      </c>
      <c r="AB286" s="124"/>
      <c r="AC286" s="28">
        <f>AC228+AC239+AC251+AC262+AC274</f>
        <v>2300</v>
      </c>
      <c r="AD286" s="27">
        <f>AD228+AD239+AD251+AD262+AD274</f>
        <v>2637.58</v>
      </c>
      <c r="AE286" s="9" t="str">
        <f>ROUND(AD286-Y286,2) &amp; "   (" &amp; ROUND(100*(AD286-Y286)/Y286,1) &amp;"%)"</f>
        <v>582,7   (28,4%)</v>
      </c>
      <c r="AF286" s="34" t="str">
        <f>ROUND(AD286-AC286,2) &amp; "  (" &amp; ROUND(100*(AD286-AC286)/AC286,1) &amp;"%)"</f>
        <v>337,58  (14,7%)</v>
      </c>
      <c r="AG286" s="124"/>
      <c r="AH286" s="28">
        <f>AH228+AH239+AH251+AH262+AH274</f>
        <v>2350</v>
      </c>
      <c r="AI286" s="27">
        <f>AI228+AI239+AI251+AI262+AI274</f>
        <v>2363.54</v>
      </c>
      <c r="AJ286" s="9" t="str">
        <f t="shared" ref="AJ286:AJ288" si="304">ROUND(AI286-AD286,2) &amp; "   (" &amp; ROUND(100*(AI286-AD286)/AD286,1) &amp;"%)"</f>
        <v>-274,04   (-10,4%)</v>
      </c>
      <c r="AK286" s="34" t="str">
        <f>ROUND(AI286-AH286,2) &amp; "  (" &amp; ROUND(100*(AI286-AH286)/AH286,1) &amp;"%)"</f>
        <v>13,54  (0,6%)</v>
      </c>
      <c r="AL286" s="124"/>
      <c r="AM286" s="28">
        <f>AM228+AM239+AM251+AM262+AM274</f>
        <v>2400</v>
      </c>
      <c r="AN286" s="27">
        <f>AN228+AN239+AN251+AN262+AN274</f>
        <v>1205.5999999999999</v>
      </c>
      <c r="AO286" s="9" t="str">
        <f t="shared" ref="AO286:AO288" si="305">ROUND(AN286-AI286,2) &amp; "   (" &amp; ROUND(100*(AN286-AI286)/AI286,1) &amp;"%)"</f>
        <v>-1157,94   (-49%)</v>
      </c>
      <c r="AP286" s="34" t="str">
        <f>ROUND(AN286-AM286,2) &amp; "  (" &amp; ROUND(100*(AN286-AM286)/AM286,1) &amp;"%)"</f>
        <v>-1194,4  (-49,8%)</v>
      </c>
      <c r="AQ286" s="124"/>
      <c r="AR286" s="28">
        <f t="shared" ref="AR286:AS288" si="306">AR228+AR239+AR251+AR262+AR274</f>
        <v>2400</v>
      </c>
      <c r="AS286" s="27">
        <f t="shared" si="306"/>
        <v>0</v>
      </c>
      <c r="AT286" s="9" t="str">
        <f t="shared" ref="AT286:AT288" si="307">ROUND(AS286-AN286,2) &amp; "   (" &amp; ROUND(100*(AS286-AN286)/AN286,1) &amp;"%)"</f>
        <v>-1205,6   (-100%)</v>
      </c>
      <c r="AU286" s="34" t="str">
        <f>ROUND(AS286-AR286,2) &amp; "  (" &amp; ROUND(100*(AS286-AR286)/AR286,1) &amp;"%)"</f>
        <v>-2400  (-100%)</v>
      </c>
      <c r="AV286" s="124"/>
    </row>
    <row r="287" spans="1:48" x14ac:dyDescent="0.3">
      <c r="A287" s="23" t="str">
        <f t="shared" si="301"/>
        <v>6140</v>
      </c>
      <c r="B287" s="252" t="s">
        <v>261</v>
      </c>
      <c r="C287" s="253"/>
      <c r="D287" s="187" t="str">
        <f t="shared" si="302"/>
        <v>40761/600.Asc.Total</v>
      </c>
      <c r="E287" s="190"/>
      <c r="F287" s="27">
        <f t="shared" ref="F287:J289" si="308">F229+F240+F252+F263+F275</f>
        <v>1054.4699999999998</v>
      </c>
      <c r="G287" s="27">
        <f t="shared" si="308"/>
        <v>1062</v>
      </c>
      <c r="H287" s="27">
        <f t="shared" si="308"/>
        <v>1086.3599999999999</v>
      </c>
      <c r="I287" s="27">
        <f t="shared" si="308"/>
        <v>1116.8399999999999</v>
      </c>
      <c r="J287" s="27">
        <f t="shared" si="308"/>
        <v>1137.5999999999999</v>
      </c>
      <c r="K287" s="28">
        <f>K230+K241+K253+K264+K276</f>
        <v>10600</v>
      </c>
      <c r="L287" s="27">
        <f>L229+L240+L252+L263+L275</f>
        <v>1169.24</v>
      </c>
      <c r="M287" s="39">
        <f>(L287-J287)/J287</f>
        <v>2.7812939521800372E-2</v>
      </c>
      <c r="N287" s="245">
        <f>N230+N241+N253+N264+N276</f>
        <v>10600</v>
      </c>
      <c r="O287" s="27">
        <f>O229+O240+O252+O263+O275</f>
        <v>1209.28</v>
      </c>
      <c r="P287" s="39">
        <f>(O287-L287)/L287</f>
        <v>3.4244466491053983E-2</v>
      </c>
      <c r="Q287" s="123">
        <f>O287-N287</f>
        <v>-9390.7199999999993</v>
      </c>
      <c r="R287" s="97"/>
      <c r="S287" s="245">
        <f>S230+S241+S253+S264+S276</f>
        <v>10850</v>
      </c>
      <c r="T287" s="27">
        <f>T229+T240+T252+T263+T275</f>
        <v>1255.48</v>
      </c>
      <c r="U287" s="39">
        <f>(T287-O287)/O287</f>
        <v>3.8204551468642538E-2</v>
      </c>
      <c r="V287" s="123">
        <f>T287-S287</f>
        <v>-9594.52</v>
      </c>
      <c r="W287" s="97"/>
      <c r="X287" s="28">
        <f>X230+X241+X253+X264+X276</f>
        <v>11300</v>
      </c>
      <c r="Y287" s="27">
        <f>Y229+Y240+Y252+Y263+Y275</f>
        <v>1290</v>
      </c>
      <c r="Z287" s="89" t="str">
        <f>ROUND(Y287-T287,2) &amp; "   (" &amp; ROUND(100*(Y287-T287)/T287,1) &amp;"%)"</f>
        <v>34,52   (2,7%)</v>
      </c>
      <c r="AA287" s="34" t="str">
        <f>ROUND(Y287-X287,2) &amp; "  (" &amp; ROUND(100*(Y287-X287)/X287,1) &amp;"%)"</f>
        <v>-10010  (-88,6%)</v>
      </c>
      <c r="AB287" s="97"/>
      <c r="AD287" s="27">
        <f>AD229+AD240+AD252+AD263+AD275</f>
        <v>1311.84</v>
      </c>
      <c r="AE287" s="9" t="str">
        <f>ROUND(AD287-Y287,2) &amp; "   (" &amp; ROUND(100*(AD287-Y287)/Y287,1) &amp;"%)"</f>
        <v>21,84   (1,7%)</v>
      </c>
      <c r="AF287" s="34" t="e">
        <f>ROUND(AD287-AC287,2) &amp; "  (" &amp; ROUND(100*(AD287-AC287)/AC287,1) &amp;"%)"</f>
        <v>#DIV/0!</v>
      </c>
      <c r="AG287" s="97"/>
      <c r="AH287" s="28">
        <f>AH230+AH241+AH253+AH264+AH276</f>
        <v>11490</v>
      </c>
      <c r="AI287" s="27">
        <f>AI229+AI240+AI252+AI263+AI275</f>
        <v>1376.64</v>
      </c>
      <c r="AJ287" s="9" t="str">
        <f t="shared" si="304"/>
        <v>64,8   (4,9%)</v>
      </c>
      <c r="AK287" s="34" t="str">
        <f>ROUND(AI287-AH287,2) &amp; "  (" &amp; ROUND(100*(AI287-AH287)/AH287,1) &amp;"%)"</f>
        <v>-10113,36  (-88%)</v>
      </c>
      <c r="AL287" s="97"/>
      <c r="AM287" s="28">
        <f>AM229+AM240+AM252+AM263+AM275</f>
        <v>1360</v>
      </c>
      <c r="AN287" s="27">
        <f>AN229+AN240+AN252+AN263+AN275</f>
        <v>1228.8</v>
      </c>
      <c r="AO287" s="9" t="str">
        <f t="shared" si="305"/>
        <v>-147,84   (-10,7%)</v>
      </c>
      <c r="AP287" s="34" t="str">
        <f>ROUND(AN287-AM287,2) &amp; "  (" &amp; ROUND(100*(AN287-AM287)/AM287,1) &amp;"%)"</f>
        <v>-131,2  (-9,6%)</v>
      </c>
      <c r="AQ287" s="97"/>
      <c r="AR287" s="28">
        <f t="shared" si="306"/>
        <v>1360</v>
      </c>
      <c r="AS287" s="27">
        <f t="shared" si="306"/>
        <v>0</v>
      </c>
      <c r="AT287" s="9" t="str">
        <f t="shared" si="307"/>
        <v>-1228,8   (-100%)</v>
      </c>
      <c r="AU287" s="34" t="str">
        <f>ROUND(AS287-AR287,2) &amp; "  (" &amp; ROUND(100*(AS287-AR287)/AR287,1) &amp;"%)"</f>
        <v>-1360  (-100%)</v>
      </c>
      <c r="AV287" s="97"/>
    </row>
    <row r="288" spans="1:48" x14ac:dyDescent="0.3">
      <c r="A288" s="23" t="str">
        <f t="shared" si="301"/>
        <v>6140</v>
      </c>
      <c r="B288" s="252" t="s">
        <v>262</v>
      </c>
      <c r="C288" s="253"/>
      <c r="D288" s="187" t="str">
        <f t="shared" si="302"/>
        <v>40802/600.Asc.Total</v>
      </c>
      <c r="E288" s="188" t="str">
        <f xml:space="preserve"> A410</f>
        <v>6144 – Contrat Entretien Ascenseurs</v>
      </c>
      <c r="F288" s="27">
        <f t="shared" si="308"/>
        <v>15545.160000000002</v>
      </c>
      <c r="G288" s="27">
        <f t="shared" si="308"/>
        <v>15778.439999999999</v>
      </c>
      <c r="H288" s="27">
        <f t="shared" si="308"/>
        <v>13179.519999999999</v>
      </c>
      <c r="I288" s="27">
        <f t="shared" si="308"/>
        <v>4107.2</v>
      </c>
      <c r="J288" s="27">
        <f t="shared" si="308"/>
        <v>10302.060000000001</v>
      </c>
      <c r="K288" s="28">
        <f>K231+K242+K254+K265+K277</f>
        <v>0</v>
      </c>
      <c r="L288" s="27">
        <f>L230+L241+L253+L264+L276</f>
        <v>10494.68</v>
      </c>
      <c r="M288" s="39">
        <f>(L288-J288)/J288</f>
        <v>1.8697231427500807E-2</v>
      </c>
      <c r="N288" s="245">
        <f>N231+N242+N254+N265+N277</f>
        <v>0</v>
      </c>
      <c r="O288" s="27">
        <f>O230+O241+O253+O264+O276</f>
        <v>10625.2</v>
      </c>
      <c r="P288" s="39">
        <f>(O288-L288)/L288</f>
        <v>1.2436777491071709E-2</v>
      </c>
      <c r="Q288" s="123">
        <f>O288-N288</f>
        <v>10625.2</v>
      </c>
      <c r="R288" s="97"/>
      <c r="S288" s="245">
        <f>S231+S242+S254+S265+S277</f>
        <v>0</v>
      </c>
      <c r="T288" s="27">
        <f>T230+T241+T253+T264+T276</f>
        <v>10731.48</v>
      </c>
      <c r="U288" s="39">
        <f>(T288-O288)/O288</f>
        <v>1.0002635244512934E-2</v>
      </c>
      <c r="V288" s="123">
        <f>T288-S288</f>
        <v>10731.48</v>
      </c>
      <c r="W288" s="97"/>
      <c r="X288" s="28">
        <f>X231+X242+X254+X265+X277</f>
        <v>0</v>
      </c>
      <c r="Y288" s="27">
        <f>Y230+Y241+Y253+Y264+Y276</f>
        <v>10885</v>
      </c>
      <c r="Z288" s="89" t="str">
        <f>ROUND(Y288-T288,2) &amp; "   (" &amp; ROUND(100*(Y288-T288)/T288,1) &amp;"%)"</f>
        <v>153,52   (1,4%)</v>
      </c>
      <c r="AA288" s="34"/>
      <c r="AB288" s="97"/>
      <c r="AC288" s="28">
        <f>AC230+AC241+AC253+AC264+AC276</f>
        <v>11300</v>
      </c>
      <c r="AD288" s="276">
        <f>AD230+AD241+AD253+AD264+AD276</f>
        <v>10885.000000000002</v>
      </c>
      <c r="AE288" s="9" t="str">
        <f>ROUND(AD288-Y288,2) &amp; "   (" &amp; ROUND(100*(AD288-Y288)/Y288,1) &amp;"%)"</f>
        <v>0   (0%)</v>
      </c>
      <c r="AF288" s="34" t="str">
        <f>ROUND(AD288-AC288,2) &amp; "  (" &amp; ROUND(100*(AD288-AC288)/AC288,1) &amp;"%)"</f>
        <v>-415  (-3,7%)</v>
      </c>
      <c r="AG288" s="97"/>
      <c r="AH288" s="28">
        <f>AH231+AH242+AH254+AH265+AH277</f>
        <v>0</v>
      </c>
      <c r="AI288" s="27">
        <f>AI230+AI241+AI253+AI264+AI276</f>
        <v>11048.2</v>
      </c>
      <c r="AJ288" s="9" t="str">
        <f t="shared" si="304"/>
        <v>163,2   (1,5%)</v>
      </c>
      <c r="AK288" s="34" t="e">
        <f>ROUND(AI288-AH288,2) &amp; "  (" &amp; ROUND(100*(AI288-AH288)/AH288,1) &amp;"%)"</f>
        <v>#DIV/0!</v>
      </c>
      <c r="AL288" s="97"/>
      <c r="AM288" s="28">
        <f>AM230+AM241+AM253+AM264+AM276</f>
        <v>11680</v>
      </c>
      <c r="AN288" s="27">
        <f>AN230+AN241+AN253+AN264+AN276</f>
        <v>11237.119999999999</v>
      </c>
      <c r="AO288" s="9" t="str">
        <f t="shared" si="305"/>
        <v>188,92   (1,7%)</v>
      </c>
      <c r="AP288" s="34" t="str">
        <f>ROUND(AN288-AM288,2) &amp; "  (" &amp; ROUND(100*(AN288-AM288)/AM288,1) &amp;"%)"</f>
        <v>-442,88  (-3,8%)</v>
      </c>
      <c r="AQ288" s="97"/>
      <c r="AR288" s="28">
        <f t="shared" si="306"/>
        <v>11680</v>
      </c>
      <c r="AS288" s="27">
        <f t="shared" si="306"/>
        <v>0</v>
      </c>
      <c r="AT288" s="9" t="str">
        <f t="shared" si="307"/>
        <v>-11237,12   (-100%)</v>
      </c>
      <c r="AU288" s="34" t="str">
        <f>ROUND(AS288-AR288,2) &amp; "  (" &amp; ROUND(100*(AS288-AR288)/AR288,1) &amp;"%)"</f>
        <v>-11680  (-100%)</v>
      </c>
      <c r="AV288" s="97"/>
    </row>
    <row r="289" spans="1:48" x14ac:dyDescent="0.3">
      <c r="A289" s="23" t="str">
        <f t="shared" si="301"/>
        <v>6140</v>
      </c>
      <c r="B289" s="252" t="s">
        <v>263</v>
      </c>
      <c r="C289" s="253"/>
      <c r="D289" s="187" t="str">
        <f t="shared" si="302"/>
        <v>40802/600.Asc.Total</v>
      </c>
      <c r="E289" s="190" t="str">
        <f>A449</f>
        <v>61541 – Entretiens Ascenseurs</v>
      </c>
      <c r="F289" s="27">
        <f t="shared" si="308"/>
        <v>0</v>
      </c>
      <c r="G289" s="27">
        <f t="shared" si="308"/>
        <v>0</v>
      </c>
      <c r="H289" s="27">
        <f t="shared" si="308"/>
        <v>0</v>
      </c>
      <c r="I289" s="27">
        <f t="shared" si="308"/>
        <v>0</v>
      </c>
      <c r="J289" s="27">
        <f t="shared" si="308"/>
        <v>0</v>
      </c>
      <c r="K289" s="28">
        <f>K232+K243+K255+K267+K278</f>
        <v>1000</v>
      </c>
      <c r="L289" s="27">
        <f>L231+L242+L254+L265+L277</f>
        <v>2400</v>
      </c>
      <c r="M289" s="39"/>
      <c r="N289" s="245">
        <f>N232+N243+N255+N267+N278</f>
        <v>1000</v>
      </c>
      <c r="O289" s="27">
        <f>O231+O242+O254+O265+O277</f>
        <v>0</v>
      </c>
      <c r="P289" s="39">
        <f>(O289-L289)/L289</f>
        <v>-1</v>
      </c>
      <c r="Q289" s="123">
        <f>O289-N289</f>
        <v>-1000</v>
      </c>
      <c r="R289" s="97"/>
      <c r="S289" s="245">
        <f>S232+S243+S255+S267+S278</f>
        <v>600</v>
      </c>
      <c r="T289" s="27">
        <f>T231+T242+T254+T265+T277</f>
        <v>0</v>
      </c>
      <c r="V289" s="123">
        <f>T289-S289</f>
        <v>-600</v>
      </c>
      <c r="W289" s="97"/>
      <c r="X289" s="28">
        <f>X232+X243+X255+X267+X278</f>
        <v>1000</v>
      </c>
      <c r="Y289" s="27">
        <f>Y231+Y242+Y254+Y265+Y277</f>
        <v>0</v>
      </c>
      <c r="Z289" s="89"/>
      <c r="AA289" s="34"/>
      <c r="AB289" s="97"/>
      <c r="AC289" s="28">
        <f>AC231+AC242+AC254+AC265+AC277</f>
        <v>0</v>
      </c>
      <c r="AD289" s="27">
        <f>AD231+AD242+AD254+AD265+AD277</f>
        <v>0</v>
      </c>
      <c r="AF289" s="34"/>
      <c r="AG289" s="97"/>
      <c r="AH289" s="28">
        <f>AH232+AH243+AH255+AH267+AH278</f>
        <v>2250</v>
      </c>
      <c r="AI289" s="27">
        <f>AI231+AI242+AI254+AI265+AI277</f>
        <v>0</v>
      </c>
      <c r="AK289" s="34"/>
      <c r="AL289" s="97"/>
      <c r="AM289" s="28">
        <f>SUM(AM231,AM242,AM254,AM265:AM266,AM277)</f>
        <v>0</v>
      </c>
      <c r="AN289" s="27">
        <f>AN231+AN242+AN254+AN265+AN277</f>
        <v>115.85</v>
      </c>
      <c r="AP289" s="34"/>
      <c r="AQ289" s="97"/>
      <c r="AR289" s="28">
        <f>SUM(AR231,AR242,AR254,AR265:AR266,AR277)</f>
        <v>0</v>
      </c>
      <c r="AS289" s="27">
        <f>AS231+AS242+AS254+AS265+AS277</f>
        <v>0</v>
      </c>
      <c r="AU289" s="34"/>
      <c r="AV289" s="97"/>
    </row>
    <row r="290" spans="1:48" x14ac:dyDescent="0.3">
      <c r="A290" s="23" t="str">
        <f t="shared" si="301"/>
        <v>6150</v>
      </c>
      <c r="B290" s="252" t="s">
        <v>264</v>
      </c>
      <c r="C290" s="253"/>
      <c r="D290" s="187" t="str">
        <f t="shared" si="302"/>
        <v>40806/600.Asc.Total</v>
      </c>
      <c r="E290" s="190" t="str">
        <f>A452</f>
        <v>61542 – Travaux Ascenseurs</v>
      </c>
      <c r="F290" s="27">
        <f t="shared" ref="F290:J291" si="309">F232+F243+F255+F267+F278</f>
        <v>0</v>
      </c>
      <c r="G290" s="27">
        <f t="shared" si="309"/>
        <v>693.94</v>
      </c>
      <c r="H290" s="27">
        <f t="shared" si="309"/>
        <v>0</v>
      </c>
      <c r="I290" s="27">
        <f t="shared" si="309"/>
        <v>12069.6</v>
      </c>
      <c r="J290" s="27">
        <f t="shared" si="309"/>
        <v>3861.5300000000007</v>
      </c>
      <c r="K290" s="28">
        <f>K235+K246+K258+K270+K281</f>
        <v>0</v>
      </c>
      <c r="L290" s="27">
        <f>L232+L243+L255+L267+L278</f>
        <v>274.07</v>
      </c>
      <c r="M290" s="39">
        <f>(L290-J290)/J290</f>
        <v>-0.92902554168943396</v>
      </c>
      <c r="N290" s="245">
        <f>N235+N246+N258+N270+N281</f>
        <v>0</v>
      </c>
      <c r="O290" s="27">
        <f>O232+O243+O255+O267+O278</f>
        <v>1273.17</v>
      </c>
      <c r="P290" s="39">
        <f>(O290-L290)/L290</f>
        <v>3.6454190535264721</v>
      </c>
      <c r="Q290" s="123">
        <f>O290-N290</f>
        <v>1273.17</v>
      </c>
      <c r="R290" s="97"/>
      <c r="S290" s="245">
        <f>S235+S246+S258+S270+S281</f>
        <v>0</v>
      </c>
      <c r="T290" s="27">
        <f>T232+T243+T255+T267+T278</f>
        <v>3687.97</v>
      </c>
      <c r="U290" s="39">
        <f>(T290-O290)/O290</f>
        <v>1.896683082384913</v>
      </c>
      <c r="V290" s="123">
        <f>T290-S290</f>
        <v>3687.97</v>
      </c>
      <c r="W290" s="97"/>
      <c r="X290" s="28">
        <f>X235+X246+X258+X270+X281</f>
        <v>0</v>
      </c>
      <c r="Y290" s="27">
        <f>Y232+Y243+Y255+Y267+Y278</f>
        <v>3757.8</v>
      </c>
      <c r="Z290" s="89" t="str">
        <f>ROUND(Y290-T290,2) &amp; "   (" &amp; ROUND(100*(Y290-T290)/T290,1) &amp;"%)"</f>
        <v>69,83   (1,9%)</v>
      </c>
      <c r="AA290" s="34"/>
      <c r="AB290" s="97"/>
      <c r="AC290" s="28">
        <f>AC232+AC243+AC255+AC267+AC278</f>
        <v>2200</v>
      </c>
      <c r="AD290" s="276">
        <f>SUM(AD232,AD243,AD255,AD266:AD267,AD278)</f>
        <v>4706.41</v>
      </c>
      <c r="AE290" s="9" t="str">
        <f>ROUND(AD290-Y290,2) &amp; "   (" &amp; ROUND(100*(AD290-Y290)/Y290,1) &amp;"%)"</f>
        <v>948,61   (25,2%)</v>
      </c>
      <c r="AF290" s="34" t="str">
        <f>ROUND(AD290-AC290,2) &amp; "  (" &amp; ROUND(100*(AD290-AC290)/AC290,1) &amp;"%)"</f>
        <v>2506,41  (113,9%)</v>
      </c>
      <c r="AG290" s="97"/>
      <c r="AH290" s="28">
        <f>AH235+AH246+AH258+AH270+AH281</f>
        <v>0</v>
      </c>
      <c r="AI290" s="27">
        <f>AI232+AI243+AI255+AI267+AI278</f>
        <v>618.88</v>
      </c>
      <c r="AJ290" s="9" t="str">
        <f t="shared" ref="AJ290" si="310">ROUND(AI290-AD290,2) &amp; "   (" &amp; ROUND(100*(AI290-AD290)/AD290,1) &amp;"%)"</f>
        <v>-4087,53   (-86,9%)</v>
      </c>
      <c r="AK290" s="34" t="e">
        <f>ROUND(AI290-AH290,2) &amp; "  (" &amp; ROUND(100*(AI290-AH290)/AH290,1) &amp;"%)"</f>
        <v>#DIV/0!</v>
      </c>
      <c r="AL290" s="97"/>
      <c r="AM290" s="28">
        <f>SUM(AM232,AM243,AM255,AM267,AM278)</f>
        <v>2300</v>
      </c>
      <c r="AN290" s="27">
        <f>AN232+AN243+AN255+AN267+AN278</f>
        <v>0</v>
      </c>
      <c r="AO290" s="9" t="str">
        <f t="shared" ref="AO290" si="311">ROUND(AN290-AI290,2) &amp; "   (" &amp; ROUND(100*(AN290-AI290)/AI290,1) &amp;"%)"</f>
        <v>-618,88   (-100%)</v>
      </c>
      <c r="AP290" s="34" t="str">
        <f>ROUND(AN290-AM290,2) &amp; "  (" &amp; ROUND(100*(AN290-AM290)/AM290,1) &amp;"%)"</f>
        <v>-2300  (-100%)</v>
      </c>
      <c r="AQ290" s="97"/>
      <c r="AR290" s="28">
        <f>SUM(AR232,AR243,AR255,AR267,AR278)</f>
        <v>1040</v>
      </c>
      <c r="AS290" s="27">
        <f>AS232+AS243+AS255+AS267+AS278</f>
        <v>0</v>
      </c>
      <c r="AT290" s="9" t="e">
        <f t="shared" ref="AT290" si="312">ROUND(AS290-AN290,2) &amp; "   (" &amp; ROUND(100*(AS290-AN290)/AN290,1) &amp;"%)"</f>
        <v>#DIV/0!</v>
      </c>
      <c r="AU290" s="34" t="str">
        <f>ROUND(AS290-AR290,2) &amp; "  (" &amp; ROUND(100*(AS290-AR290)/AR290,1) &amp;"%)"</f>
        <v>-1040  (-100%)</v>
      </c>
      <c r="AV290" s="97"/>
    </row>
    <row r="291" spans="1:48" x14ac:dyDescent="0.3">
      <c r="A291" s="23" t="str">
        <f t="shared" si="301"/>
        <v>6230</v>
      </c>
      <c r="B291" s="252" t="s">
        <v>265</v>
      </c>
      <c r="C291" s="253"/>
      <c r="D291" s="187" t="str">
        <f t="shared" si="302"/>
        <v>65367/600.Asc.Total</v>
      </c>
      <c r="E291" s="190" t="str">
        <f xml:space="preserve"> A523</f>
        <v>62312 – Expertises Ascenseurs</v>
      </c>
      <c r="F291" s="27">
        <f t="shared" si="309"/>
        <v>0</v>
      </c>
      <c r="G291" s="27">
        <f t="shared" si="309"/>
        <v>0</v>
      </c>
      <c r="H291" s="27">
        <f t="shared" si="309"/>
        <v>0</v>
      </c>
      <c r="I291" s="27">
        <f t="shared" si="309"/>
        <v>0</v>
      </c>
      <c r="J291" s="27">
        <f t="shared" si="309"/>
        <v>0</v>
      </c>
      <c r="L291" s="27">
        <f>L233+L244+L256+L268+L279</f>
        <v>0</v>
      </c>
      <c r="M291" s="39"/>
      <c r="N291" s="245"/>
      <c r="O291" s="27">
        <f>O233+O244+O256+O268+O279</f>
        <v>0</v>
      </c>
      <c r="P291" s="39"/>
      <c r="Q291" s="123"/>
      <c r="R291" s="97"/>
      <c r="S291" s="245"/>
      <c r="T291" s="27">
        <f>T233+T244+T256+T268+T279</f>
        <v>0</v>
      </c>
      <c r="V291" s="123"/>
      <c r="W291" s="97"/>
      <c r="Y291" s="27">
        <f>Y233+Y244+Y256+Y268+Y279</f>
        <v>0</v>
      </c>
      <c r="Z291" s="89"/>
      <c r="AA291" s="34"/>
      <c r="AB291" s="97"/>
      <c r="AC291" s="28">
        <f>AC235+AC246+AC258+AC270+AC281</f>
        <v>0</v>
      </c>
      <c r="AD291" s="27">
        <f>AD233+AD244+AD256+AD268+AD279</f>
        <v>0</v>
      </c>
      <c r="AF291" s="34"/>
      <c r="AG291" s="97"/>
      <c r="AI291" s="27">
        <f>AI233+AI244+AI256+AI268+AI279</f>
        <v>0</v>
      </c>
      <c r="AK291" s="34"/>
      <c r="AL291" s="97"/>
      <c r="AM291" s="28">
        <f>SUM(AM233,AM244,AM256,AM268,AM279)</f>
        <v>0</v>
      </c>
      <c r="AN291" s="27">
        <f>AN233+AN244+AN256+AN268+AN279</f>
        <v>0</v>
      </c>
      <c r="AP291" s="34"/>
      <c r="AQ291" s="97"/>
      <c r="AR291" s="28">
        <f>SUM(AR233,AR244,AR256,AR268,AR279)</f>
        <v>0</v>
      </c>
      <c r="AS291" s="27">
        <f>AS233+AS244+AS256+AS268+AS279</f>
        <v>0</v>
      </c>
      <c r="AU291" s="34"/>
      <c r="AV291" s="97"/>
    </row>
    <row r="292" spans="1:48" x14ac:dyDescent="0.3">
      <c r="A292" s="23" t="str">
        <f t="shared" si="301"/>
        <v>6230</v>
      </c>
      <c r="B292" s="252" t="s">
        <v>622</v>
      </c>
      <c r="C292" s="255"/>
      <c r="D292" s="256"/>
      <c r="E292" s="256"/>
      <c r="F292" s="87"/>
      <c r="G292" s="87"/>
      <c r="H292" s="87"/>
      <c r="I292" s="87"/>
      <c r="J292" s="87"/>
      <c r="K292" s="88"/>
      <c r="L292" s="87"/>
      <c r="M292" s="29"/>
      <c r="N292" s="88"/>
      <c r="O292" s="87"/>
      <c r="P292" s="29"/>
      <c r="Q292" s="123"/>
      <c r="R292" s="97"/>
      <c r="S292" s="88"/>
      <c r="T292" s="87"/>
      <c r="U292" s="29"/>
      <c r="V292" s="123"/>
      <c r="W292" s="97"/>
      <c r="X292" s="88"/>
      <c r="Y292" s="87"/>
      <c r="Z292" s="37"/>
      <c r="AA292" s="34"/>
      <c r="AB292" s="97"/>
      <c r="AC292" s="88"/>
      <c r="AD292" s="87"/>
      <c r="AE292" s="35"/>
      <c r="AF292" s="34"/>
      <c r="AG292" s="97"/>
      <c r="AH292" s="88"/>
      <c r="AI292" s="27">
        <f>AI234+AI245+AI257+AI269+AI280</f>
        <v>2100</v>
      </c>
      <c r="AJ292" s="29"/>
      <c r="AK292" s="34"/>
      <c r="AL292" s="97"/>
      <c r="AM292" s="88"/>
      <c r="AN292" s="87">
        <f>AN234+AN245+AN257+AN269+AN280</f>
        <v>0</v>
      </c>
      <c r="AO292" s="29"/>
      <c r="AP292" s="34"/>
      <c r="AQ292" s="97"/>
      <c r="AR292" s="88"/>
      <c r="AS292" s="87"/>
      <c r="AT292" s="29"/>
      <c r="AU292" s="34"/>
      <c r="AV292" s="97"/>
    </row>
    <row r="293" spans="1:48" s="122" customFormat="1" ht="18" thickBot="1" x14ac:dyDescent="0.35">
      <c r="A293" s="111" t="str">
        <f t="shared" si="301"/>
        <v>6730</v>
      </c>
      <c r="B293" s="237" t="s">
        <v>266</v>
      </c>
      <c r="C293" s="238"/>
      <c r="D293" s="257" t="str">
        <f>RIGHT(LEFT(B293,10),5) &amp;"/"&amp;LEFT(B$284,3)&amp;"."&amp;RIGHT(LEFT(B$284,7),3)&amp;"."&amp;RIGHT(B$284,5)</f>
        <v>40368/600.Asc.Total</v>
      </c>
      <c r="E293" s="277" t="str">
        <f>A612</f>
        <v>6732 – Etudes Techn.Ascenseurs</v>
      </c>
      <c r="F293" s="153">
        <f>F235+F246+F258+F270+F281</f>
        <v>418.6</v>
      </c>
      <c r="G293" s="153">
        <f>G235+G246+G258+G270+G281</f>
        <v>2637.5</v>
      </c>
      <c r="H293" s="153">
        <f>H235+H246+H258+H270+H281</f>
        <v>0</v>
      </c>
      <c r="I293" s="153">
        <f>I235+I246+I258+I270+I281</f>
        <v>0</v>
      </c>
      <c r="J293" s="153">
        <f>J235+J246+J258+J270+J281</f>
        <v>0</v>
      </c>
      <c r="K293" s="154"/>
      <c r="L293" s="153">
        <f>L235+L246+L258+L270+L281</f>
        <v>0</v>
      </c>
      <c r="M293" s="116"/>
      <c r="N293" s="278"/>
      <c r="O293" s="153">
        <f>O235+O246+O258+O270+O281</f>
        <v>0</v>
      </c>
      <c r="P293" s="116"/>
      <c r="Q293" s="125"/>
      <c r="R293" s="117"/>
      <c r="S293" s="278"/>
      <c r="T293" s="153">
        <f>T235+T246+T258+T270+T281</f>
        <v>0</v>
      </c>
      <c r="U293" s="116"/>
      <c r="V293" s="125"/>
      <c r="W293" s="117"/>
      <c r="X293" s="154"/>
      <c r="Y293" s="153">
        <f>Y235+Y246+Y258+Y270+Y281</f>
        <v>0</v>
      </c>
      <c r="Z293" s="119"/>
      <c r="AA293" s="120"/>
      <c r="AB293" s="117"/>
      <c r="AC293" s="154"/>
      <c r="AD293" s="153">
        <f>AD235+AD246+AD258+AD270+AD281</f>
        <v>0</v>
      </c>
      <c r="AE293" s="121"/>
      <c r="AF293" s="120"/>
      <c r="AG293" s="117"/>
      <c r="AH293" s="154"/>
      <c r="AI293" s="153">
        <f>AI235+AI246+AI258+AI270+AI281</f>
        <v>0</v>
      </c>
      <c r="AJ293" s="116"/>
      <c r="AK293" s="120"/>
      <c r="AL293" s="117"/>
      <c r="AM293" s="154">
        <f>SUM(AM235,AM246,AM258,AM270,AM281)</f>
        <v>0</v>
      </c>
      <c r="AN293" s="153">
        <f>AN235+AN246+AN258+AN270+AN281</f>
        <v>0</v>
      </c>
      <c r="AO293" s="116"/>
      <c r="AP293" s="120"/>
      <c r="AQ293" s="117"/>
      <c r="AR293" s="154">
        <f>SUM(AR235,AR246,AR258,AR270,AR281)</f>
        <v>0</v>
      </c>
      <c r="AS293" s="153">
        <f>AS235+AS246+AS258+AS270+AS281</f>
        <v>0</v>
      </c>
      <c r="AT293" s="116"/>
      <c r="AU293" s="120"/>
      <c r="AV293" s="117"/>
    </row>
    <row r="294" spans="1:48" s="265" customFormat="1" x14ac:dyDescent="0.3">
      <c r="A294" s="258"/>
      <c r="B294" s="259"/>
      <c r="C294" s="260"/>
      <c r="D294" s="260"/>
      <c r="E294" s="260"/>
      <c r="F294" s="226">
        <f t="shared" ref="F294:L294" si="313">SUM(F286:F293)</f>
        <v>19090.260000000002</v>
      </c>
      <c r="G294" s="226">
        <f t="shared" si="313"/>
        <v>22462.969999999998</v>
      </c>
      <c r="H294" s="226">
        <f t="shared" si="313"/>
        <v>16479.899999999998</v>
      </c>
      <c r="I294" s="226">
        <f t="shared" si="313"/>
        <v>19975.38</v>
      </c>
      <c r="J294" s="226">
        <f t="shared" si="313"/>
        <v>17011.670000000002</v>
      </c>
      <c r="K294" s="241">
        <f t="shared" si="313"/>
        <v>13500</v>
      </c>
      <c r="L294" s="226">
        <f t="shared" si="313"/>
        <v>16127.01</v>
      </c>
      <c r="M294" s="57">
        <f>(L294-J294)</f>
        <v>-884.66000000000167</v>
      </c>
      <c r="N294" s="56">
        <f>SUM(N286:N293)</f>
        <v>13500</v>
      </c>
      <c r="O294" s="226">
        <f>SUM(O286:O293)</f>
        <v>15432.000000000002</v>
      </c>
      <c r="P294" s="57">
        <f>(O294-L294)</f>
        <v>-695.0099999999984</v>
      </c>
      <c r="Q294" s="123">
        <f>O294-N294</f>
        <v>1932.0000000000018</v>
      </c>
      <c r="R294" s="97"/>
      <c r="S294" s="56">
        <f>SUM(S286:S293)</f>
        <v>13450</v>
      </c>
      <c r="T294" s="226">
        <f>SUM(T286:T293)</f>
        <v>17846.259999999998</v>
      </c>
      <c r="U294" s="264">
        <f>(T294-O294)/O294</f>
        <v>0.15644504924831495</v>
      </c>
      <c r="V294" s="123">
        <f>T294-S294</f>
        <v>4396.2599999999984</v>
      </c>
      <c r="W294" s="97"/>
      <c r="X294" s="56">
        <f>SUM(X286:X293)</f>
        <v>14600</v>
      </c>
      <c r="Y294" s="226">
        <f>SUM(Y286:Y293)</f>
        <v>17987.68</v>
      </c>
      <c r="Z294" s="262" t="str">
        <f>ROUND(Y294-T294,2) &amp; "   (" &amp; ROUND(100*(Y294-T294)/T294,1) &amp;"%)"</f>
        <v>141,42   (0,8%)</v>
      </c>
      <c r="AA294" s="34" t="str">
        <f>ROUND(Y294-X294,2) &amp; "  (" &amp; ROUND(100*(Y294-X294)/X294,1) &amp;"%)"</f>
        <v>3387,68  (23,2%)</v>
      </c>
      <c r="AB294" s="97"/>
      <c r="AC294" s="56">
        <f>SUM(AC286:AC293)</f>
        <v>15800</v>
      </c>
      <c r="AD294" s="226">
        <f>SUM(AD286:AD293)</f>
        <v>19540.830000000002</v>
      </c>
      <c r="AE294" s="263" t="str">
        <f>ROUND(AD294-Y294,2) &amp; "   (" &amp; ROUND(100*(AD294-Y294)/Y294,1) &amp;"%)"</f>
        <v>1553,15   (8,6%)</v>
      </c>
      <c r="AF294" s="34" t="str">
        <f>ROUND(AD294-AC294,2) &amp; "  (" &amp; ROUND(100*(AD294-AC294)/AC294,1) &amp;"%)"</f>
        <v>3740,83  (23,7%)</v>
      </c>
      <c r="AG294" s="191">
        <f>IF(AD294&gt;0,AD294/AD$317,"")</f>
        <v>3.8803597302092929E-2</v>
      </c>
      <c r="AH294" s="56">
        <f>SUM(AH286:AH293)</f>
        <v>16090</v>
      </c>
      <c r="AI294" s="226">
        <f>SUM(AI286:AI293)</f>
        <v>17507.260000000002</v>
      </c>
      <c r="AJ294" s="263" t="str">
        <f t="shared" ref="AJ294" si="314">ROUND(AI294-AD294,2) &amp; "   (" &amp; ROUND(100*(AI294-AD294)/AD294,1) &amp;"%)"</f>
        <v>-2033,57   (-10,4%)</v>
      </c>
      <c r="AK294" s="34" t="str">
        <f>ROUND(AI294-AH294,2) &amp; "  (" &amp; ROUND(100*(AI294-AH294)/AH294,1) &amp;"%)"</f>
        <v>1417,26  (8,8%)</v>
      </c>
      <c r="AL294" s="97"/>
      <c r="AM294" s="56">
        <f>SUM(AM286:AM293)</f>
        <v>17740</v>
      </c>
      <c r="AN294" s="226">
        <f>SUM(AN285:AN293)</f>
        <v>14961.9</v>
      </c>
      <c r="AO294" s="263" t="str">
        <f t="shared" ref="AO294" si="315">ROUND(AN294-AI294,2) &amp; "   (" &amp; ROUND(100*(AN294-AI294)/AI294,1) &amp;"%)"</f>
        <v>-2545,36   (-14,5%)</v>
      </c>
      <c r="AP294" s="34" t="str">
        <f>ROUND(AN294-AM294,2) &amp; "  (" &amp; ROUND(100*(AN294-AM294)/AM294,1) &amp;"%)"</f>
        <v>-2778,1  (-15,7%)</v>
      </c>
      <c r="AQ294" s="97"/>
      <c r="AR294" s="56">
        <f>SUM(AR286:AR293)</f>
        <v>16480</v>
      </c>
      <c r="AS294" s="226">
        <f>SUM(AS286:AS293)</f>
        <v>0</v>
      </c>
      <c r="AT294" s="263" t="str">
        <f t="shared" ref="AT294" si="316">ROUND(AS294-AN294,2) &amp; "   (" &amp; ROUND(100*(AS294-AN294)/AN294,1) &amp;"%)"</f>
        <v>-14961,9   (-100%)</v>
      </c>
      <c r="AU294" s="34" t="str">
        <f>ROUND(AS294-AR294,2) &amp; "  (" &amp; ROUND(100*(AS294-AR294)/AR294,1) &amp;"%)"</f>
        <v>-16480  (-100%)</v>
      </c>
      <c r="AV294" s="97"/>
    </row>
    <row r="295" spans="1:48" s="274" customFormat="1" x14ac:dyDescent="0.3">
      <c r="A295" s="266"/>
      <c r="B295" s="267"/>
      <c r="C295" s="268"/>
      <c r="D295" s="268"/>
      <c r="E295" s="268"/>
      <c r="F295" s="244"/>
      <c r="G295" s="244"/>
      <c r="H295" s="244"/>
      <c r="I295" s="244"/>
      <c r="J295" s="244"/>
      <c r="K295" s="269"/>
      <c r="L295" s="246"/>
      <c r="M295" s="63">
        <f>(L294-J294)/J294</f>
        <v>-5.2003124913662303E-2</v>
      </c>
      <c r="N295" s="247"/>
      <c r="O295" s="246"/>
      <c r="P295" s="63">
        <f>(O294-L294)/L294</f>
        <v>-4.3096023379411208E-2</v>
      </c>
      <c r="Q295" s="91"/>
      <c r="R295" s="270"/>
      <c r="S295" s="247"/>
      <c r="T295" s="271">
        <f>T294-O294</f>
        <v>2414.2599999999966</v>
      </c>
      <c r="U295" s="272"/>
      <c r="V295" s="91"/>
      <c r="W295" s="270"/>
      <c r="X295" s="247"/>
      <c r="Y295" s="244">
        <f>Y294-T294</f>
        <v>141.42000000000189</v>
      </c>
      <c r="Z295" s="272"/>
      <c r="AA295" s="93"/>
      <c r="AB295" s="270"/>
      <c r="AC295" s="247"/>
      <c r="AD295" s="271">
        <f>AD294-Y294</f>
        <v>1553.1500000000015</v>
      </c>
      <c r="AE295" s="273"/>
      <c r="AF295" s="93"/>
      <c r="AG295" s="270"/>
      <c r="AH295" s="247"/>
      <c r="AI295" s="271">
        <f>AI294-AD294</f>
        <v>-2033.5699999999997</v>
      </c>
      <c r="AJ295" s="272"/>
      <c r="AK295" s="93"/>
      <c r="AL295" s="270"/>
      <c r="AM295" s="247"/>
      <c r="AN295" s="271">
        <f>AN294-AI294</f>
        <v>-2545.3600000000024</v>
      </c>
      <c r="AO295" s="272"/>
      <c r="AP295" s="93"/>
      <c r="AQ295" s="270"/>
      <c r="AR295" s="247"/>
      <c r="AS295" s="271">
        <f>AS294-AN294</f>
        <v>-14961.9</v>
      </c>
      <c r="AT295" s="272"/>
      <c r="AU295" s="93"/>
      <c r="AV295" s="270"/>
    </row>
    <row r="296" spans="1:48" x14ac:dyDescent="0.3">
      <c r="B296" s="279" t="s">
        <v>267</v>
      </c>
      <c r="C296" s="280"/>
      <c r="D296" s="280"/>
      <c r="E296" s="280"/>
      <c r="AA296" s="93"/>
      <c r="AF296" s="93"/>
      <c r="AK296" s="93"/>
      <c r="AP296" s="93"/>
      <c r="AU296" s="93"/>
    </row>
    <row r="297" spans="1:48" x14ac:dyDescent="0.3">
      <c r="A297" s="23" t="str">
        <f t="shared" ref="A297:A309" si="317">LEFT(B297,4)</f>
        <v>6020</v>
      </c>
      <c r="B297" s="252" t="s">
        <v>268</v>
      </c>
      <c r="C297" s="253"/>
      <c r="D297" s="187" t="str">
        <f t="shared" ref="D297:D309" si="318">RIGHT(LEFT(B297,10),5) &amp;"/"&amp;LEFT(B$296,3)&amp;"  "&amp;RIGHT(LEFT(B$296,10),6)&amp;"."</f>
        <v>65264/700  Chauff.</v>
      </c>
      <c r="E297" s="188" t="str">
        <f xml:space="preserve"> A367</f>
        <v>6023 – Électricité Chauff.</v>
      </c>
      <c r="F297" s="27">
        <v>6232.66</v>
      </c>
      <c r="G297" s="27">
        <v>6751.28</v>
      </c>
      <c r="H297" s="27">
        <v>6667.81</v>
      </c>
      <c r="I297" s="27">
        <v>9025.85</v>
      </c>
      <c r="J297" s="27">
        <v>6833.11</v>
      </c>
      <c r="K297" s="28">
        <v>6000</v>
      </c>
      <c r="L297" s="27">
        <v>4550.46</v>
      </c>
      <c r="M297" s="39">
        <f>(L297-J297)/J297</f>
        <v>-0.3340572594323814</v>
      </c>
      <c r="N297" s="28">
        <v>6000</v>
      </c>
      <c r="O297" s="27">
        <v>8476.49</v>
      </c>
      <c r="P297" s="90">
        <f>(O297-L297)/L297</f>
        <v>0.86277651050663007</v>
      </c>
      <c r="Q297" s="123">
        <f>O297-N297</f>
        <v>2476.4899999999998</v>
      </c>
      <c r="R297" s="97"/>
      <c r="T297" s="27">
        <v>8213.98</v>
      </c>
      <c r="U297" s="39">
        <f>(T297-O297)/O297</f>
        <v>-3.0969186538295949E-2</v>
      </c>
      <c r="V297" s="123">
        <f>T297-S297</f>
        <v>8213.98</v>
      </c>
      <c r="W297" s="97"/>
      <c r="X297" s="28">
        <v>6000</v>
      </c>
      <c r="Y297" s="27">
        <v>8392.9599999999991</v>
      </c>
      <c r="Z297" s="89" t="str">
        <f>ROUND(Y297-T297,2) &amp; "   (" &amp; ROUND(100*(Y297-T297)/T297,1) &amp;"%)"</f>
        <v>178,98   (2,2%)</v>
      </c>
      <c r="AA297" s="34" t="str">
        <f>ROUND(Y297-X297,2) &amp; "  (" &amp; ROUND(100*(Y297-X297)/X297,1) &amp;"%)"</f>
        <v>2392,96  (39,9%)</v>
      </c>
      <c r="AB297" s="97"/>
      <c r="AC297" s="28">
        <v>8000</v>
      </c>
      <c r="AD297" s="27">
        <v>8678.85</v>
      </c>
      <c r="AE297" s="9" t="str">
        <f>ROUND(AD297-Y297,2) &amp; "   (" &amp; ROUND(100*(AD297-Y297)/Y297,1) &amp;"%)"</f>
        <v>285,89   (3,4%)</v>
      </c>
      <c r="AF297" s="34" t="str">
        <f>ROUND(AD297-AC297,2) &amp; "  (" &amp; ROUND(100*(AD297-AC297)/AC297,1) &amp;"%)"</f>
        <v>678,85  (8,5%)</v>
      </c>
      <c r="AG297" s="97"/>
      <c r="AH297" s="28">
        <v>8120</v>
      </c>
      <c r="AI297" s="27">
        <v>6722.67</v>
      </c>
      <c r="AJ297" s="9" t="str">
        <f t="shared" ref="AJ297:AJ299" si="319">ROUND(AI297-AD297,2) &amp; "   (" &amp; ROUND(100*(AI297-AD297)/AD297,1) &amp;"%)"</f>
        <v>-1956,18   (-22,5%)</v>
      </c>
      <c r="AK297" s="34" t="str">
        <f>ROUND(AI297-AH297,2) &amp; "  (" &amp; ROUND(100*(AI297-AH297)/AH297,1) &amp;"%)"</f>
        <v>-1397,33  (-17,2%)</v>
      </c>
      <c r="AL297" s="97"/>
      <c r="AM297" s="28">
        <v>8250</v>
      </c>
      <c r="AN297" s="27">
        <v>3630</v>
      </c>
      <c r="AO297" s="9" t="str">
        <f t="shared" ref="AO297:AO299" si="320">ROUND(AN297-AI297,2) &amp; "   (" &amp; ROUND(100*(AN297-AI297)/AI297,1) &amp;"%)"</f>
        <v>-3092,67   (-46%)</v>
      </c>
      <c r="AP297" s="34" t="str">
        <f>ROUND(AN297-AM297,2) &amp; "  (" &amp; ROUND(100*(AN297-AM297)/AM297,1) &amp;"%)"</f>
        <v>-4620  (-56%)</v>
      </c>
      <c r="AQ297" s="97"/>
      <c r="AR297" s="28">
        <v>8250</v>
      </c>
      <c r="AS297" s="27">
        <v>0</v>
      </c>
      <c r="AT297" s="9" t="str">
        <f t="shared" ref="AT297:AT300" si="321">ROUND(AS297-AN297,2) &amp; "   (" &amp; ROUND(100*(AS297-AN297)/AN297,1) &amp;"%)"</f>
        <v>-3630   (-100%)</v>
      </c>
      <c r="AU297" s="34" t="str">
        <f>ROUND(AS297-AR297,2) &amp; "  (" &amp; ROUND(100*(AS297-AR297)/AR297,1) &amp;"%)"</f>
        <v>-8250  (-100%)</v>
      </c>
      <c r="AV297" s="97"/>
    </row>
    <row r="298" spans="1:48" x14ac:dyDescent="0.3">
      <c r="A298" s="23" t="str">
        <f t="shared" si="317"/>
        <v>6030</v>
      </c>
      <c r="B298" s="281" t="s">
        <v>269</v>
      </c>
      <c r="C298" s="282"/>
      <c r="D298" s="187" t="str">
        <f t="shared" si="318"/>
        <v>65263/700  Chauff.</v>
      </c>
      <c r="E298" s="188" t="str">
        <f>A369</f>
        <v>6031 – Combustible Gaz</v>
      </c>
      <c r="F298" s="27">
        <v>141095.54999999999</v>
      </c>
      <c r="G298" s="27">
        <v>123289.66</v>
      </c>
      <c r="H298" s="27">
        <v>134341.22</v>
      </c>
      <c r="I298" s="87">
        <v>152968.94</v>
      </c>
      <c r="J298" s="27">
        <v>135002.89000000001</v>
      </c>
      <c r="K298" s="88"/>
      <c r="L298" s="87">
        <v>74078</v>
      </c>
      <c r="M298" s="189"/>
      <c r="N298" s="88"/>
      <c r="O298" s="87"/>
      <c r="P298" s="29"/>
      <c r="Q298" s="123"/>
      <c r="R298" s="124"/>
      <c r="S298" s="88"/>
      <c r="T298" s="87"/>
      <c r="U298" s="29"/>
      <c r="V298" s="123"/>
      <c r="W298" s="124"/>
      <c r="X298" s="88"/>
      <c r="Y298" s="87"/>
      <c r="Z298" s="37"/>
      <c r="AA298" s="34"/>
      <c r="AB298" s="124"/>
      <c r="AC298" s="88"/>
      <c r="AD298" s="87"/>
      <c r="AE298" s="35"/>
      <c r="AF298" s="34"/>
      <c r="AG298" s="124"/>
      <c r="AH298" s="88"/>
      <c r="AI298" s="87"/>
      <c r="AJ298" s="35"/>
      <c r="AK298" s="34"/>
      <c r="AL298" s="124"/>
      <c r="AM298" s="88"/>
      <c r="AN298" s="87"/>
      <c r="AO298" s="35" t="str">
        <f>ROUND(AN298-AI298,2) &amp; "   (" &amp; ROUND(100*(AN298-AI298)/(AI298+0.0001),1) &amp;"%)"</f>
        <v>0   (0%)</v>
      </c>
      <c r="AP298" s="34"/>
      <c r="AQ298" s="124"/>
      <c r="AR298" s="88"/>
      <c r="AS298" s="87"/>
      <c r="AT298" s="35" t="e">
        <f t="shared" si="321"/>
        <v>#DIV/0!</v>
      </c>
      <c r="AU298" s="34"/>
      <c r="AV298" s="124"/>
    </row>
    <row r="299" spans="1:48" x14ac:dyDescent="0.3">
      <c r="A299" s="23" t="str">
        <f t="shared" si="317"/>
        <v>6030</v>
      </c>
      <c r="B299" s="252" t="s">
        <v>270</v>
      </c>
      <c r="C299" s="253"/>
      <c r="D299" s="187" t="str">
        <f t="shared" si="318"/>
        <v>65282/700  Chauff.</v>
      </c>
      <c r="E299" s="188" t="str">
        <f>A370</f>
        <v>6032 – CPCU</v>
      </c>
      <c r="K299" s="28">
        <v>140000</v>
      </c>
      <c r="L299" s="27">
        <v>86542.05</v>
      </c>
      <c r="M299" s="39">
        <f>(L299-J298)/J298</f>
        <v>-0.35896150075009509</v>
      </c>
      <c r="N299" s="28">
        <v>140000</v>
      </c>
      <c r="O299" s="27">
        <v>165776.71</v>
      </c>
      <c r="P299" s="39">
        <f>(O299-L299)/L299</f>
        <v>0.91556255022847255</v>
      </c>
      <c r="Q299" s="123">
        <f>O299-N299</f>
        <v>25776.709999999992</v>
      </c>
      <c r="R299" s="97"/>
      <c r="S299" s="28">
        <v>160500</v>
      </c>
      <c r="T299" s="27">
        <v>161745.16</v>
      </c>
      <c r="U299" s="39">
        <f>(T299-O299)/O299</f>
        <v>-2.4319157980635449E-2</v>
      </c>
      <c r="V299" s="123">
        <f>T299-S299</f>
        <v>1245.1600000000035</v>
      </c>
      <c r="W299" s="97"/>
      <c r="X299" s="28">
        <v>180000</v>
      </c>
      <c r="Y299" s="27">
        <v>161803.51</v>
      </c>
      <c r="Z299" s="89" t="str">
        <f>ROUND(Y299-T299,2) &amp; "   (" &amp; ROUND(100*(Y299-T299)/T299,1) &amp;"%)"</f>
        <v>58,35   (0%)</v>
      </c>
      <c r="AA299" s="34" t="str">
        <f>ROUND(Y299-X299,2) &amp; "  (" &amp; ROUND(100*(Y299-X299)/X299,1) &amp;"%)"</f>
        <v>-18196,49  (-10,1%)</v>
      </c>
      <c r="AB299" s="97"/>
      <c r="AC299" s="28">
        <v>170000</v>
      </c>
      <c r="AD299" s="27">
        <v>163038.54</v>
      </c>
      <c r="AE299" s="9" t="str">
        <f>ROUND(AD299-Y299,2) &amp; "   (" &amp; ROUND(100*(AD299-Y299)/Y299,1) &amp;"%)"</f>
        <v>1235,03   (0,8%)</v>
      </c>
      <c r="AF299" s="34" t="str">
        <f>ROUND(AD299-AC299,2) &amp; "  (" &amp; ROUND(100*(AD299-AC299)/AC299,1) &amp;"%)"</f>
        <v>-6961,46  (-4,1%)</v>
      </c>
      <c r="AG299" s="97"/>
      <c r="AH299" s="28">
        <v>172550</v>
      </c>
      <c r="AI299" s="464">
        <v>152017.54999999999</v>
      </c>
      <c r="AJ299" s="9" t="str">
        <f t="shared" si="319"/>
        <v>-11020,99   (-6,8%)</v>
      </c>
      <c r="AK299" s="34" t="str">
        <f>ROUND(AI299-AH299,2) &amp; "  (" &amp; ROUND(100*(AI299-AH299)/AH299,1) &amp;"%)"</f>
        <v>-20532,45  (-11,9%)</v>
      </c>
      <c r="AL299" s="97"/>
      <c r="AM299" s="28">
        <v>175140</v>
      </c>
      <c r="AN299" s="469">
        <v>104304.24</v>
      </c>
      <c r="AO299" s="9" t="str">
        <f t="shared" si="320"/>
        <v>-47713,31   (-31,4%)</v>
      </c>
      <c r="AP299" s="34" t="str">
        <f>ROUND(AN299-AM299,2) &amp; "  (" &amp; ROUND(100*(AN299-AM299)/AM299,1) &amp;"%)"</f>
        <v>-70835,76  (-40,4%)</v>
      </c>
      <c r="AQ299" s="97"/>
      <c r="AR299" s="28">
        <v>170140</v>
      </c>
      <c r="AS299" s="27">
        <v>0</v>
      </c>
      <c r="AT299" s="9" t="str">
        <f t="shared" si="321"/>
        <v>-104304,24   (-100%)</v>
      </c>
      <c r="AU299" s="34" t="str">
        <f>ROUND(AS299-AR299,2) &amp; "  (" &amp; ROUND(100*(AS299-AR299)/AR299,1) &amp;"%)"</f>
        <v>-170140  (-100%)</v>
      </c>
      <c r="AV299" s="97"/>
    </row>
    <row r="300" spans="1:48" x14ac:dyDescent="0.3">
      <c r="A300" s="23" t="str">
        <f t="shared" si="317"/>
        <v>6060</v>
      </c>
      <c r="B300" s="252" t="s">
        <v>271</v>
      </c>
      <c r="C300" s="253"/>
      <c r="D300" s="187" t="str">
        <f t="shared" si="318"/>
        <v>65177/700  Chauff.</v>
      </c>
      <c r="E300" s="188" t="str">
        <f>A373</f>
        <v>6043 - Produits Entretien Chauffage</v>
      </c>
      <c r="K300" s="28">
        <v>1500</v>
      </c>
      <c r="M300" s="39"/>
      <c r="N300" s="28">
        <v>1500</v>
      </c>
      <c r="O300" s="27">
        <f>976.9</f>
        <v>976.9</v>
      </c>
      <c r="P300" s="39"/>
      <c r="Q300" s="123">
        <f>O300-N300</f>
        <v>-523.1</v>
      </c>
      <c r="R300" s="97"/>
      <c r="S300" s="28">
        <v>1500</v>
      </c>
      <c r="T300" s="27">
        <v>682.8</v>
      </c>
      <c r="U300" s="39">
        <f>(T300-O300)/O300</f>
        <v>-0.30105435561469956</v>
      </c>
      <c r="V300" s="123">
        <f>T300-S300</f>
        <v>-817.2</v>
      </c>
      <c r="W300" s="97"/>
      <c r="X300" s="28">
        <v>1000</v>
      </c>
      <c r="Z300" s="89" t="str">
        <f>ROUND(Y300-T300,2) &amp; "   (" &amp; ROUND(100*(Y300-T300)/T300,1) &amp;"%)"</f>
        <v>-682,8   (-100%)</v>
      </c>
      <c r="AA300" s="34" t="str">
        <f>ROUND(Y300-X300,2) &amp; "  (" &amp; ROUND(100*(Y300-X300)/X300,1) &amp;"%)"</f>
        <v>-1000  (-100%)</v>
      </c>
      <c r="AB300" s="97"/>
      <c r="AC300" s="28">
        <v>1000</v>
      </c>
      <c r="AE300" s="9" t="e">
        <f>ROUND(AD300-Y300,2) &amp; "   (" &amp; ROUND(100*(AD300-Y300)/Y300,1) &amp;"%)"</f>
        <v>#DIV/0!</v>
      </c>
      <c r="AF300" s="34" t="str">
        <f>ROUND(AD300-AC300,2) &amp; "  (" &amp; ROUND(100*(AD300-AC300)/AC300,1) &amp;"%)"</f>
        <v>-1000  (-100%)</v>
      </c>
      <c r="AG300" s="97"/>
      <c r="AH300" s="28">
        <v>1020</v>
      </c>
      <c r="AJ300" s="9" t="str">
        <f>ROUND(AI300-AD300,2) &amp; "   (" &amp; ROUND(100*(AI300-AD300)/(AD300+0.001),1) &amp;"%)"</f>
        <v>0   (0%)</v>
      </c>
      <c r="AK300" s="34" t="str">
        <f>ROUND(AI300-AH300,2) &amp; "  (" &amp; ROUND(100*(AI300-AH300)/AH300,1) &amp;"%)"</f>
        <v>-1020  (-100%)</v>
      </c>
      <c r="AL300" s="97"/>
      <c r="AM300" s="28">
        <v>1040</v>
      </c>
      <c r="AO300" s="9" t="str">
        <f>ROUND(AN300-AI300,2) &amp; "   (" &amp; ROUND(100*(AN300-AI300)/(AI300+0.0001),1) &amp;"%)"</f>
        <v>0   (0%)</v>
      </c>
      <c r="AP300" s="34" t="str">
        <f>ROUND(AN300-AM300,2) &amp; "  (" &amp; ROUND(100*(AN300-AM300)/AM300,1) &amp;"%)"</f>
        <v>-1040  (-100%)</v>
      </c>
      <c r="AQ300" s="97"/>
      <c r="AR300" s="28">
        <v>1040</v>
      </c>
      <c r="AT300" s="9" t="e">
        <f t="shared" si="321"/>
        <v>#DIV/0!</v>
      </c>
      <c r="AU300" s="34" t="str">
        <f>ROUND(AS300-AR300,2) &amp; "  (" &amp; ROUND(100*(AS300-AR300)/AR300,1) &amp;"%)"</f>
        <v>-1040  (-100%)</v>
      </c>
      <c r="AV300" s="97"/>
    </row>
    <row r="301" spans="1:48" x14ac:dyDescent="0.3">
      <c r="A301" s="23" t="str">
        <f t="shared" si="317"/>
        <v>6140</v>
      </c>
      <c r="B301" s="252" t="s">
        <v>272</v>
      </c>
      <c r="C301" s="253"/>
      <c r="D301" s="187" t="str">
        <f t="shared" si="318"/>
        <v>65621/700  Chauff.</v>
      </c>
      <c r="E301" s="283" t="str">
        <f>A434</f>
        <v>614961 – Contrat Entretien Téléphone</v>
      </c>
      <c r="J301" s="87">
        <v>521.4</v>
      </c>
      <c r="L301" s="27">
        <v>521.4</v>
      </c>
      <c r="M301" s="39"/>
      <c r="O301" s="27">
        <v>1608.76</v>
      </c>
      <c r="P301" s="39">
        <f>(O301-L301)/L301</f>
        <v>2.085462217107787</v>
      </c>
      <c r="Q301" s="123">
        <f>O301-N301</f>
        <v>1608.76</v>
      </c>
      <c r="R301" s="97"/>
      <c r="S301" s="28">
        <v>530</v>
      </c>
      <c r="T301" s="27">
        <v>1094.6400000000001</v>
      </c>
      <c r="U301" s="39">
        <f>(T301-O301)/O301</f>
        <v>-0.31957532509510422</v>
      </c>
      <c r="V301" s="123">
        <f>T301-S301</f>
        <v>564.6400000000001</v>
      </c>
      <c r="W301" s="97"/>
      <c r="X301" s="28">
        <v>1200</v>
      </c>
      <c r="Y301" s="27">
        <v>1115.08</v>
      </c>
      <c r="Z301" s="89" t="str">
        <f>ROUND(Y301-T301,2) &amp; "   (" &amp; ROUND(100*(Y301-T301)/T301,1) &amp;"%)"</f>
        <v>20,44   (1,9%)</v>
      </c>
      <c r="AA301" s="34" t="str">
        <f>ROUND(Y301-X301,2) &amp; "  (" &amp; ROUND(100*(Y301-X301)/X301,1) &amp;"%)"</f>
        <v>-84,92  (-7,1%)</v>
      </c>
      <c r="AB301" s="97"/>
      <c r="AC301" s="28">
        <v>1500</v>
      </c>
      <c r="AD301" s="27">
        <v>1139.6199999999999</v>
      </c>
      <c r="AE301" s="9" t="str">
        <f>ROUND(AD301-Y301,2) &amp; "   (" &amp; ROUND(100*(AD301-Y301)/Y301,1) &amp;"%)"</f>
        <v>24,54   (2,2%)</v>
      </c>
      <c r="AF301" s="34" t="str">
        <f>ROUND(AD301-AC301,2) &amp; "  (" &amp; ROUND(100*(AD301-AC301)/AC301,1) &amp;"%)"</f>
        <v>-360,38  (-24%)</v>
      </c>
      <c r="AG301" s="97"/>
      <c r="AH301" s="28">
        <v>1530</v>
      </c>
      <c r="AI301" s="27">
        <v>1159.7</v>
      </c>
      <c r="AK301" s="34" t="str">
        <f>ROUND(AI301-AH301,2) &amp; "  (" &amp; ROUND(100*(AI301-AH301)/AH301,1) &amp;"%)"</f>
        <v>-370,3  (-24,2%)</v>
      </c>
      <c r="AL301" s="97"/>
      <c r="AM301" s="28">
        <v>1560</v>
      </c>
      <c r="AN301" s="27">
        <v>1175.82</v>
      </c>
      <c r="AP301" s="34" t="str">
        <f>ROUND(AN301-AM301,2) &amp; "  (" &amp; ROUND(100*(AN301-AM301)/AM301,1) &amp;"%)"</f>
        <v>-384,18  (-24,6%)</v>
      </c>
      <c r="AQ301" s="97"/>
      <c r="AR301" s="28">
        <v>1560</v>
      </c>
      <c r="AS301" s="27">
        <v>0</v>
      </c>
      <c r="AU301" s="34" t="str">
        <f>ROUND(AS301-AR301,2) &amp; "  (" &amp; ROUND(100*(AS301-AR301)/AR301,1) &amp;"%)"</f>
        <v>-1560  (-100%)</v>
      </c>
      <c r="AV301" s="97"/>
    </row>
    <row r="302" spans="1:48" x14ac:dyDescent="0.3">
      <c r="A302" s="23" t="str">
        <f t="shared" si="317"/>
        <v>6140</v>
      </c>
      <c r="B302" s="252" t="s">
        <v>273</v>
      </c>
      <c r="C302" s="253"/>
      <c r="D302" s="187" t="str">
        <f t="shared" si="318"/>
        <v>65761/700  Chauff.</v>
      </c>
      <c r="E302" s="198" t="str">
        <f>A466</f>
        <v>61564 – Travaux Signalétique</v>
      </c>
      <c r="M302" s="39"/>
      <c r="O302" s="27">
        <v>432.72</v>
      </c>
      <c r="P302" s="39"/>
      <c r="Q302" s="123">
        <f>O302-N302</f>
        <v>432.72</v>
      </c>
      <c r="R302" s="97"/>
      <c r="T302" s="27">
        <v>374.67</v>
      </c>
      <c r="V302" s="123">
        <f>T302-S302</f>
        <v>374.67</v>
      </c>
      <c r="W302" s="97"/>
      <c r="Y302" s="27">
        <v>386.14</v>
      </c>
      <c r="Z302" s="89" t="str">
        <f>ROUND(Y302-T302,2) &amp; "   (" &amp; ROUND(100*(Y302-T302)/T302,1) &amp;"%)"</f>
        <v>11,47   (3,1%)</v>
      </c>
      <c r="AA302" s="34"/>
      <c r="AB302" s="97"/>
      <c r="AD302" s="27">
        <v>423.09</v>
      </c>
      <c r="AE302" s="9" t="str">
        <f>ROUND(AD302-Y302,2) &amp; "   (" &amp; ROUND(100*(AD302-Y302)/Y302,1) &amp;"%)"</f>
        <v>36,95   (9,6%)</v>
      </c>
      <c r="AF302" s="34"/>
      <c r="AG302" s="97"/>
      <c r="AI302" s="27">
        <v>432.63</v>
      </c>
      <c r="AJ302" s="9" t="str">
        <f t="shared" ref="AJ302:AJ306" si="322">ROUND(AI302-AD302,2) &amp; "   (" &amp; ROUND(100*(AI302-AD302)/AD302,1) &amp;"%)"</f>
        <v>9,54   (2,3%)</v>
      </c>
      <c r="AK302" s="34"/>
      <c r="AL302" s="97"/>
      <c r="AN302" s="27">
        <v>285.49</v>
      </c>
      <c r="AO302" s="9" t="str">
        <f t="shared" ref="AO302:AO306" si="323">ROUND(AN302-AI302,2) &amp; "   (" &amp; ROUND(100*(AN302-AI302)/AI302,1) &amp;"%)"</f>
        <v>-147,14   (-34%)</v>
      </c>
      <c r="AP302" s="34"/>
      <c r="AQ302" s="97"/>
      <c r="AS302" s="27">
        <v>0</v>
      </c>
      <c r="AT302" s="9" t="str">
        <f t="shared" ref="AT302:AT306" si="324">ROUND(AS302-AN302,2) &amp; "   (" &amp; ROUND(100*(AS302-AN302)/AN302,1) &amp;"%)"</f>
        <v>-285,49   (-100%)</v>
      </c>
      <c r="AU302" s="34"/>
      <c r="AV302" s="97"/>
    </row>
    <row r="303" spans="1:48" ht="16.149999999999999" customHeight="1" x14ac:dyDescent="0.3">
      <c r="A303" s="52" t="str">
        <f t="shared" si="317"/>
        <v>6150</v>
      </c>
      <c r="B303" s="281" t="s">
        <v>274</v>
      </c>
      <c r="C303" s="282"/>
      <c r="D303" s="187" t="str">
        <f t="shared" si="318"/>
        <v>65821/700  Chauff.</v>
      </c>
      <c r="E303" s="198" t="str">
        <f>A409</f>
        <v>61432 - Contrat Entretien Chauffage,</v>
      </c>
      <c r="F303" s="27">
        <v>8263.06</v>
      </c>
      <c r="G303" s="27">
        <v>8639.93</v>
      </c>
      <c r="H303" s="27">
        <v>8898.42</v>
      </c>
      <c r="I303" s="87">
        <v>0</v>
      </c>
      <c r="K303" s="88"/>
      <c r="L303" s="87"/>
      <c r="M303" s="189"/>
      <c r="N303" s="88">
        <v>8000</v>
      </c>
      <c r="O303" s="87">
        <f>275</f>
        <v>275</v>
      </c>
      <c r="P303" s="29"/>
      <c r="Q303" s="123"/>
      <c r="R303" s="124"/>
      <c r="S303" s="88"/>
      <c r="T303" s="87"/>
      <c r="U303" s="29"/>
      <c r="V303" s="123"/>
      <c r="W303" s="124"/>
      <c r="X303" s="88"/>
      <c r="Y303" s="87">
        <v>2491.9499999999998</v>
      </c>
      <c r="Z303" s="89"/>
      <c r="AA303" s="34"/>
      <c r="AB303" s="124"/>
      <c r="AC303" s="88"/>
      <c r="AD303" s="87">
        <v>0</v>
      </c>
      <c r="AE303" s="35"/>
      <c r="AF303" s="34"/>
      <c r="AG303" s="124"/>
      <c r="AH303" s="88"/>
      <c r="AI303" s="87">
        <v>0</v>
      </c>
      <c r="AJ303" s="35" t="str">
        <f>ROUND(AI303-AD303,2) &amp; "   (" &amp; ROUND(100*(AI303-AD303)/(AD303+0.001),1) &amp;"%)"</f>
        <v>0   (0%)</v>
      </c>
      <c r="AK303" s="34"/>
      <c r="AL303" s="124"/>
      <c r="AM303" s="88"/>
      <c r="AN303" s="87">
        <v>0</v>
      </c>
      <c r="AO303" s="35" t="str">
        <f>ROUND(AN303-AI303,2) &amp; "   (" &amp; ROUND(100*(AN303-AI303)/(AI303+0.0001),1) &amp;"%)"</f>
        <v>0   (0%)</v>
      </c>
      <c r="AP303" s="34"/>
      <c r="AQ303" s="124"/>
      <c r="AR303" s="88"/>
      <c r="AS303" s="87">
        <v>0</v>
      </c>
      <c r="AT303" s="35" t="e">
        <f t="shared" si="324"/>
        <v>#DIV/0!</v>
      </c>
      <c r="AU303" s="34"/>
      <c r="AV303" s="124"/>
    </row>
    <row r="304" spans="1:48" x14ac:dyDescent="0.3">
      <c r="A304" s="23" t="str">
        <f t="shared" si="317"/>
        <v>6150</v>
      </c>
      <c r="B304" s="284" t="s">
        <v>275</v>
      </c>
      <c r="C304" s="285"/>
      <c r="D304" s="187" t="str">
        <f t="shared" si="318"/>
        <v>65825/700  Chauff.</v>
      </c>
      <c r="E304" s="190" t="str">
        <f>A446</f>
        <v>61533 - Entretien Chauffage (Chauff)</v>
      </c>
      <c r="F304" s="27">
        <v>531.02</v>
      </c>
      <c r="G304" s="27">
        <v>1062.04</v>
      </c>
      <c r="I304" s="27">
        <v>0</v>
      </c>
      <c r="K304" s="28">
        <v>8000</v>
      </c>
      <c r="L304" s="27">
        <v>582</v>
      </c>
      <c r="M304" s="39"/>
      <c r="P304" s="39"/>
      <c r="Z304" s="89"/>
      <c r="AA304" s="93"/>
      <c r="AD304" s="27">
        <v>720</v>
      </c>
      <c r="AF304" s="93"/>
      <c r="AI304" s="464">
        <v>867.85</v>
      </c>
      <c r="AJ304" s="9" t="str">
        <f t="shared" si="322"/>
        <v>147,85   (20,5%)</v>
      </c>
      <c r="AK304" s="93"/>
      <c r="AN304" s="469">
        <v>0</v>
      </c>
      <c r="AO304" s="9" t="str">
        <f t="shared" si="323"/>
        <v>-867,85   (-100%)</v>
      </c>
      <c r="AP304" s="93"/>
      <c r="AT304" s="9" t="e">
        <f t="shared" si="324"/>
        <v>#DIV/0!</v>
      </c>
      <c r="AU304" s="93"/>
    </row>
    <row r="305" spans="1:48" s="62" customFormat="1" x14ac:dyDescent="0.3">
      <c r="A305" s="23" t="str">
        <f t="shared" si="317"/>
        <v>6150</v>
      </c>
      <c r="B305" s="284" t="s">
        <v>276</v>
      </c>
      <c r="C305" s="285"/>
      <c r="D305" s="187" t="str">
        <f t="shared" si="318"/>
        <v>65826/700  Chauff.</v>
      </c>
      <c r="E305" s="190" t="str">
        <f>A447</f>
        <v>61534 - Travaux Chauffage (Chauff)</v>
      </c>
      <c r="F305" s="27"/>
      <c r="G305" s="27">
        <v>5929.53</v>
      </c>
      <c r="H305" s="27"/>
      <c r="I305" s="27">
        <v>1718.48</v>
      </c>
      <c r="J305" s="27">
        <v>1119.8</v>
      </c>
      <c r="K305" s="28">
        <v>2500</v>
      </c>
      <c r="L305" s="27">
        <v>5587.48</v>
      </c>
      <c r="M305" s="39">
        <f>(L305-J305)/J305</f>
        <v>3.9897124486515447</v>
      </c>
      <c r="N305" s="28">
        <v>2500</v>
      </c>
      <c r="O305" s="27">
        <v>3206.5</v>
      </c>
      <c r="P305" s="39">
        <f>(O305-L305)/L305</f>
        <v>-0.42612769978595</v>
      </c>
      <c r="Q305" s="91">
        <f>O305-N305</f>
        <v>706.5</v>
      </c>
      <c r="R305" s="92"/>
      <c r="S305" s="28">
        <v>2500</v>
      </c>
      <c r="T305" s="27">
        <v>385</v>
      </c>
      <c r="U305" s="39"/>
      <c r="V305" s="91">
        <f>T305-S305</f>
        <v>-2115</v>
      </c>
      <c r="W305" s="92"/>
      <c r="X305" s="28">
        <v>2500</v>
      </c>
      <c r="Y305" s="27">
        <v>627</v>
      </c>
      <c r="Z305" s="89" t="str">
        <f>ROUND(Y305-T305,2) &amp; "   (" &amp; ROUND(100*(Y305-T305)/T305,1) &amp;"%)"</f>
        <v>242   (62,9%)</v>
      </c>
      <c r="AA305" s="93" t="str">
        <f>ROUND(Y305-X305,2) &amp; "  (" &amp; ROUND(100*(Y305-X305)/X305,1) &amp;"%)"</f>
        <v>-1873  (-74,9%)</v>
      </c>
      <c r="AB305" s="92"/>
      <c r="AC305" s="28">
        <v>1500</v>
      </c>
      <c r="AD305" s="276">
        <v>5700.42</v>
      </c>
      <c r="AE305" s="9" t="str">
        <f>ROUND(AD305-Y305,2) &amp; "   (" &amp; ROUND(100*(AD305-Y305)/Y305,1) &amp;"%)"</f>
        <v>5073,42   (809,2%)</v>
      </c>
      <c r="AF305" s="286" t="str">
        <f>ROUND(AD305-AC305,2) &amp; "  (" &amp; ROUND(100*(AD305-AC305)/AC305,1) &amp;"%)"</f>
        <v>4200,42  (280%)</v>
      </c>
      <c r="AG305" s="92"/>
      <c r="AH305" s="28">
        <v>1530</v>
      </c>
      <c r="AI305" s="470">
        <v>1</v>
      </c>
      <c r="AJ305" s="9" t="str">
        <f t="shared" si="322"/>
        <v>-5699,42   (-100%)</v>
      </c>
      <c r="AK305" s="93" t="str">
        <f>ROUND(AI305-AH305,2) &amp; "  (" &amp; ROUND(100*(AI305-AH305)/AH305,1) &amp;"%)"</f>
        <v>-1529  (-99,9%)</v>
      </c>
      <c r="AL305" s="92"/>
      <c r="AM305" s="28">
        <v>1560</v>
      </c>
      <c r="AN305" s="469">
        <v>2619.65</v>
      </c>
      <c r="AO305" s="9" t="str">
        <f t="shared" si="323"/>
        <v>2618,65   (261865%)</v>
      </c>
      <c r="AP305" s="93" t="str">
        <f>ROUND(AN305-AM305,2) &amp; "  (" &amp; ROUND(100*(AN305-AM305)/AM305,1) &amp;"%)"</f>
        <v>1059,65  (67,9%)</v>
      </c>
      <c r="AQ305" s="92"/>
      <c r="AR305" s="28"/>
      <c r="AS305" s="27">
        <v>0</v>
      </c>
      <c r="AT305" s="9" t="str">
        <f t="shared" si="324"/>
        <v>-2619,65   (-100%)</v>
      </c>
      <c r="AU305" s="93" t="e">
        <f>ROUND(AS305-AR305,2) &amp; "  (" &amp; ROUND(100*(AS305-AR305)/AR305,1) &amp;"%)"</f>
        <v>#DIV/0!</v>
      </c>
      <c r="AV305" s="92"/>
    </row>
    <row r="306" spans="1:48" x14ac:dyDescent="0.3">
      <c r="A306" s="23" t="str">
        <f>LEFT(B306,4)</f>
        <v>6140</v>
      </c>
      <c r="B306" s="252" t="s">
        <v>277</v>
      </c>
      <c r="C306" s="253"/>
      <c r="D306" s="187" t="str">
        <f t="shared" si="318"/>
        <v>65828/700  Chauff.</v>
      </c>
      <c r="E306" s="190" t="str">
        <f>A408</f>
        <v>61431 - Contrat Chauffage P2</v>
      </c>
      <c r="I306" s="27">
        <v>9170.09</v>
      </c>
      <c r="J306" s="27">
        <v>7398.58</v>
      </c>
      <c r="L306" s="27">
        <v>5395.48</v>
      </c>
      <c r="M306" s="39"/>
      <c r="O306" s="27">
        <v>5502.46</v>
      </c>
      <c r="P306" s="39">
        <f>(O306-L306)/L306</f>
        <v>1.9827707636762712E-2</v>
      </c>
      <c r="Q306" s="123">
        <f>O306-N306</f>
        <v>5502.46</v>
      </c>
      <c r="R306" s="97"/>
      <c r="S306" s="28">
        <v>5500</v>
      </c>
      <c r="T306" s="27">
        <v>5600.14</v>
      </c>
      <c r="U306" s="39">
        <f>(T306-O306)/O306</f>
        <v>1.775205998771464E-2</v>
      </c>
      <c r="V306" s="123">
        <f>T306-S306</f>
        <v>100.14000000000033</v>
      </c>
      <c r="W306" s="97"/>
      <c r="X306" s="28">
        <v>5600</v>
      </c>
      <c r="Y306" s="27">
        <v>5704.8</v>
      </c>
      <c r="Z306" s="89" t="str">
        <f>ROUND(Y306-T306,2) &amp; "   (" &amp; ROUND(100*(Y306-T306)/T306,1) &amp;"%)"</f>
        <v>104,66   (1,9%)</v>
      </c>
      <c r="AA306" s="34" t="str">
        <f>ROUND(Y306-X306,2) &amp; "  (" &amp; ROUND(100*(Y306-X306)/X306,1) &amp;"%)"</f>
        <v>104,8  (1,9%)</v>
      </c>
      <c r="AB306" s="97"/>
      <c r="AC306" s="28">
        <v>5700</v>
      </c>
      <c r="AD306" s="276">
        <v>5830.38</v>
      </c>
      <c r="AE306" s="9" t="str">
        <f>ROUND(AD306-Y306,2) &amp; "   (" &amp; ROUND(100*(AD306-Y306)/Y306,1) &amp;"%)"</f>
        <v>125,58   (2,2%)</v>
      </c>
      <c r="AF306" s="287" t="str">
        <f>ROUND(AD306-AC306,2) &amp; "  (" &amp; ROUND(100*(AD306-AC306)/AC306,1) &amp;"%)"</f>
        <v>130,38  (2,3%)</v>
      </c>
      <c r="AG306" s="97"/>
      <c r="AH306" s="28">
        <v>5790</v>
      </c>
      <c r="AI306" s="27">
        <v>5933.08</v>
      </c>
      <c r="AJ306" s="9" t="str">
        <f t="shared" si="322"/>
        <v>102,7   (1,8%)</v>
      </c>
      <c r="AK306" s="34" t="str">
        <f>ROUND(AI306-AH306,2) &amp; "  (" &amp; ROUND(100*(AI306-AH306)/AH306,1) &amp;"%)"</f>
        <v>143,08  (2,5%)</v>
      </c>
      <c r="AL306" s="97"/>
      <c r="AM306" s="28">
        <v>5880</v>
      </c>
      <c r="AN306" s="27">
        <v>6015.62</v>
      </c>
      <c r="AO306" s="9" t="str">
        <f t="shared" si="323"/>
        <v>82,54   (1,4%)</v>
      </c>
      <c r="AP306" s="34" t="str">
        <f>ROUND(AN306-AM306,2) &amp; "  (" &amp; ROUND(100*(AN306-AM306)/AM306,1) &amp;"%)"</f>
        <v>135,62  (2,3%)</v>
      </c>
      <c r="AQ306" s="97"/>
      <c r="AR306" s="28">
        <v>5880</v>
      </c>
      <c r="AS306" s="27">
        <v>0</v>
      </c>
      <c r="AT306" s="9" t="str">
        <f t="shared" si="324"/>
        <v>-6015,62   (-100%)</v>
      </c>
      <c r="AU306" s="34" t="str">
        <f>ROUND(AS306-AR306,2) &amp; "  (" &amp; ROUND(100*(AS306-AR306)/AR306,1) &amp;"%)"</f>
        <v>-5880  (-100%)</v>
      </c>
      <c r="AV306" s="97"/>
    </row>
    <row r="307" spans="1:48" s="62" customFormat="1" x14ac:dyDescent="0.3">
      <c r="A307" s="23" t="str">
        <f t="shared" si="317"/>
        <v>6230</v>
      </c>
      <c r="B307" s="252" t="s">
        <v>278</v>
      </c>
      <c r="C307" s="253"/>
      <c r="D307" s="187" t="str">
        <f t="shared" si="318"/>
        <v>65367/700  Chauff.</v>
      </c>
      <c r="E307" s="190" t="str">
        <f xml:space="preserve"> A524</f>
        <v>62313 – Expertises Chauffage</v>
      </c>
      <c r="F307" s="27"/>
      <c r="G307" s="27"/>
      <c r="H307" s="27">
        <v>4784</v>
      </c>
      <c r="I307" s="27"/>
      <c r="J307" s="27"/>
      <c r="K307" s="28"/>
      <c r="L307" s="27"/>
      <c r="M307" s="39"/>
      <c r="N307" s="28"/>
      <c r="O307" s="27"/>
      <c r="P307" s="39"/>
      <c r="Q307" s="123"/>
      <c r="R307" s="97"/>
      <c r="S307" s="28"/>
      <c r="T307" s="27"/>
      <c r="U307" s="39"/>
      <c r="V307" s="123"/>
      <c r="W307" s="97"/>
      <c r="X307" s="28"/>
      <c r="Y307" s="27"/>
      <c r="Z307" s="89"/>
      <c r="AA307" s="34"/>
      <c r="AB307" s="97"/>
      <c r="AC307" s="28"/>
      <c r="AD307" s="27"/>
      <c r="AE307" s="9"/>
      <c r="AF307" s="34"/>
      <c r="AG307" s="97"/>
      <c r="AH307" s="28"/>
      <c r="AI307" s="27"/>
      <c r="AJ307" s="39"/>
      <c r="AK307" s="34"/>
      <c r="AL307" s="97"/>
      <c r="AM307" s="28"/>
      <c r="AN307" s="27"/>
      <c r="AO307" s="39"/>
      <c r="AP307" s="34"/>
      <c r="AQ307" s="97"/>
      <c r="AR307" s="28"/>
      <c r="AS307" s="27"/>
      <c r="AT307" s="39"/>
      <c r="AU307" s="34"/>
      <c r="AV307" s="97"/>
    </row>
    <row r="308" spans="1:48" s="62" customFormat="1" x14ac:dyDescent="0.3">
      <c r="A308" s="23" t="str">
        <f t="shared" si="317"/>
        <v>6730</v>
      </c>
      <c r="B308" s="252" t="s">
        <v>279</v>
      </c>
      <c r="C308" s="253"/>
      <c r="D308" s="187" t="str">
        <f t="shared" si="318"/>
        <v>65367/700  Chauff.</v>
      </c>
      <c r="E308" s="218" t="str">
        <f>A613</f>
        <v>6733 – Etudes Techn.Chauffage</v>
      </c>
      <c r="F308" s="27"/>
      <c r="G308" s="27"/>
      <c r="H308" s="27"/>
      <c r="I308" s="27"/>
      <c r="J308" s="27"/>
      <c r="K308" s="28"/>
      <c r="L308" s="27"/>
      <c r="M308" s="39"/>
      <c r="N308" s="28"/>
      <c r="O308" s="27"/>
      <c r="P308" s="39"/>
      <c r="Q308" s="123"/>
      <c r="R308" s="97"/>
      <c r="S308" s="28"/>
      <c r="T308" s="27"/>
      <c r="U308" s="39"/>
      <c r="V308" s="123"/>
      <c r="W308" s="97"/>
      <c r="X308" s="28"/>
      <c r="Y308" s="27"/>
      <c r="Z308" s="89"/>
      <c r="AA308" s="34"/>
      <c r="AB308" s="97"/>
      <c r="AC308" s="28"/>
      <c r="AD308" s="27"/>
      <c r="AE308" s="9"/>
      <c r="AF308" s="34"/>
      <c r="AG308" s="97"/>
      <c r="AH308" s="28"/>
      <c r="AI308" s="27"/>
      <c r="AJ308" s="39"/>
      <c r="AK308" s="34"/>
      <c r="AL308" s="97"/>
      <c r="AM308" s="28"/>
      <c r="AN308" s="27"/>
      <c r="AO308" s="39"/>
      <c r="AP308" s="34"/>
      <c r="AQ308" s="97"/>
      <c r="AR308" s="28"/>
      <c r="AS308" s="27"/>
      <c r="AT308" s="39"/>
      <c r="AU308" s="34"/>
      <c r="AV308" s="97"/>
    </row>
    <row r="309" spans="1:48" s="122" customFormat="1" ht="18" thickBot="1" x14ac:dyDescent="0.35">
      <c r="A309" s="111" t="str">
        <f t="shared" si="317"/>
        <v>7140</v>
      </c>
      <c r="B309" s="237" t="s">
        <v>280</v>
      </c>
      <c r="C309" s="238"/>
      <c r="D309" s="257" t="str">
        <f t="shared" si="318"/>
        <v>65959/700  Chauff.</v>
      </c>
      <c r="E309" s="288" t="str">
        <f xml:space="preserve"> A633</f>
        <v>71433 – Recettes DiversesChauff.</v>
      </c>
      <c r="F309" s="153">
        <v>0</v>
      </c>
      <c r="G309" s="153">
        <v>0</v>
      </c>
      <c r="H309" s="153">
        <v>0</v>
      </c>
      <c r="I309" s="153">
        <v>-228.34</v>
      </c>
      <c r="J309" s="153"/>
      <c r="K309" s="154">
        <v>2500</v>
      </c>
      <c r="L309" s="153"/>
      <c r="M309" s="116"/>
      <c r="N309" s="154">
        <v>2500</v>
      </c>
      <c r="O309" s="153"/>
      <c r="P309" s="116"/>
      <c r="Q309" s="125">
        <f>O309-N309</f>
        <v>-2500</v>
      </c>
      <c r="R309" s="117"/>
      <c r="S309" s="154">
        <v>0</v>
      </c>
      <c r="T309" s="153">
        <v>0</v>
      </c>
      <c r="U309" s="116"/>
      <c r="V309" s="125">
        <f>T309-S309</f>
        <v>0</v>
      </c>
      <c r="W309" s="117"/>
      <c r="X309" s="154">
        <v>0</v>
      </c>
      <c r="Y309" s="153"/>
      <c r="Z309" s="119"/>
      <c r="AA309" s="120"/>
      <c r="AB309" s="117"/>
      <c r="AC309" s="154"/>
      <c r="AD309" s="153"/>
      <c r="AE309" s="121"/>
      <c r="AF309" s="120"/>
      <c r="AG309" s="117"/>
      <c r="AH309" s="154"/>
      <c r="AI309" s="153"/>
      <c r="AJ309" s="116"/>
      <c r="AK309" s="120"/>
      <c r="AL309" s="117"/>
      <c r="AM309" s="154"/>
      <c r="AN309" s="153"/>
      <c r="AO309" s="116"/>
      <c r="AP309" s="120"/>
      <c r="AQ309" s="117"/>
      <c r="AR309" s="154"/>
      <c r="AS309" s="153"/>
      <c r="AT309" s="116"/>
      <c r="AU309" s="120"/>
      <c r="AV309" s="117"/>
    </row>
    <row r="310" spans="1:48" s="228" customFormat="1" x14ac:dyDescent="0.3">
      <c r="A310" s="223"/>
      <c r="B310" s="224"/>
      <c r="C310" s="225"/>
      <c r="D310" s="225"/>
      <c r="E310" s="225"/>
      <c r="F310" s="226">
        <f t="shared" ref="F310:L310" si="325">SUM(F297:F309)</f>
        <v>156122.28999999998</v>
      </c>
      <c r="G310" s="226">
        <f t="shared" si="325"/>
        <v>145672.44</v>
      </c>
      <c r="H310" s="226">
        <f t="shared" si="325"/>
        <v>154691.45000000001</v>
      </c>
      <c r="I310" s="226">
        <f t="shared" si="325"/>
        <v>172655.02000000002</v>
      </c>
      <c r="J310" s="226">
        <f t="shared" si="325"/>
        <v>150875.77999999997</v>
      </c>
      <c r="K310" s="289">
        <f t="shared" si="325"/>
        <v>160500</v>
      </c>
      <c r="L310" s="226">
        <f t="shared" si="325"/>
        <v>177256.87000000002</v>
      </c>
      <c r="M310" s="57">
        <f>(L310-J310)</f>
        <v>26381.090000000055</v>
      </c>
      <c r="N310" s="56">
        <f>SUM(N297:N309)</f>
        <v>160500</v>
      </c>
      <c r="O310" s="226">
        <f>SUM(O297:O309)</f>
        <v>186255.53999999998</v>
      </c>
      <c r="P310" s="57">
        <f>(O310-L310)</f>
        <v>8998.6699999999546</v>
      </c>
      <c r="Q310" s="123">
        <f>O310-N310</f>
        <v>25755.539999999979</v>
      </c>
      <c r="R310" s="97"/>
      <c r="S310" s="56">
        <f>SUM(S297:S309)</f>
        <v>170530</v>
      </c>
      <c r="T310" s="226">
        <f>SUM(T297:T309)</f>
        <v>178096.39000000004</v>
      </c>
      <c r="U310" s="57">
        <f>(T310-O310)</f>
        <v>-8159.149999999936</v>
      </c>
      <c r="V310" s="123">
        <f>T310-S310</f>
        <v>7566.3900000000431</v>
      </c>
      <c r="W310" s="97"/>
      <c r="X310" s="56">
        <f>SUM(X297:X309)</f>
        <v>196300</v>
      </c>
      <c r="Y310" s="226">
        <f>SUM(Y297:Y309)</f>
        <v>180521.44</v>
      </c>
      <c r="Z310" s="59" t="str">
        <f>ROUND(Y310-T310,2) &amp; "   (" &amp; ROUND(100*(Y310-T310)/T310,1) &amp;"%)"</f>
        <v>2425,05   (1,4%)</v>
      </c>
      <c r="AA310" s="34" t="str">
        <f>ROUND(Y310-X310,2) &amp; "  (" &amp; ROUND(100*(Y310-X310)/X310,1) &amp;"%)"</f>
        <v>-15778,56  (-8%)</v>
      </c>
      <c r="AB310" s="97"/>
      <c r="AC310" s="56">
        <f>SUM(AC297:AC309)</f>
        <v>187700</v>
      </c>
      <c r="AD310" s="227">
        <f>SUM(AD297:AD309)</f>
        <v>185530.90000000002</v>
      </c>
      <c r="AE310" s="35" t="str">
        <f>ROUND(AD310-Y310,2) &amp; "   (" &amp; ROUND(100*(AD310-Y310)/Y310,1) &amp;"%)"</f>
        <v>5009,46   (2,8%)</v>
      </c>
      <c r="AF310" s="34" t="str">
        <f>ROUND(AD310-AC310,2) &amp; "  (" &amp; ROUND(100*(AD310-AC310)/AC310,1) &amp;"%)"</f>
        <v>-2169,1  (-1,2%)</v>
      </c>
      <c r="AG310" s="191">
        <f>IF(AD310&gt;0,AD310/AD$317,"")</f>
        <v>0.36842172674829438</v>
      </c>
      <c r="AH310" s="56">
        <f>SUM(AH297:AH309)</f>
        <v>190540</v>
      </c>
      <c r="AI310" s="227">
        <f>SUM(AI297:AI309)</f>
        <v>167134.48000000001</v>
      </c>
      <c r="AJ310" s="35" t="str">
        <f t="shared" ref="AJ310" si="326">ROUND(AI310-AD310,2) &amp; "   (" &amp; ROUND(100*(AI310-AD310)/AD310,1) &amp;"%)"</f>
        <v>-18396,42   (-9,9%)</v>
      </c>
      <c r="AK310" s="34" t="str">
        <f>ROUND(AI310-AH310,2) &amp; "  (" &amp; ROUND(100*(AI310-AH310)/AH310,1) &amp;"%)"</f>
        <v>-23405,52  (-12,3%)</v>
      </c>
      <c r="AL310" s="97"/>
      <c r="AM310" s="56">
        <f>SUM(AM297:AM309)</f>
        <v>193430</v>
      </c>
      <c r="AN310" s="227">
        <f>SUM(AN297:AN309)</f>
        <v>118030.82</v>
      </c>
      <c r="AO310" s="35" t="str">
        <f t="shared" ref="AO310" si="327">ROUND(AN310-AI310,2) &amp; "   (" &amp; ROUND(100*(AN310-AI310)/AI310,1) &amp;"%)"</f>
        <v>-49103,66   (-29,4%)</v>
      </c>
      <c r="AP310" s="34" t="str">
        <f>ROUND(AN310-AM310,2) &amp; "  (" &amp; ROUND(100*(AN310-AM310)/AM310,1) &amp;"%)"</f>
        <v>-75399,18  (-39%)</v>
      </c>
      <c r="AQ310" s="97"/>
      <c r="AR310" s="56">
        <f>SUM(AR297:AR309)</f>
        <v>186870</v>
      </c>
      <c r="AS310" s="227">
        <f>SUM(AS297:AS309)</f>
        <v>0</v>
      </c>
      <c r="AT310" s="35" t="str">
        <f t="shared" ref="AT310" si="328">ROUND(AS310-AN310,2) &amp; "   (" &amp; ROUND(100*(AS310-AN310)/AN310,1) &amp;"%)"</f>
        <v>-118030,82   (-100%)</v>
      </c>
      <c r="AU310" s="34" t="str">
        <f>ROUND(AS310-AR310,2) &amp; "  (" &amp; ROUND(100*(AS310-AR310)/AR310,1) &amp;"%)"</f>
        <v>-186870  (-100%)</v>
      </c>
      <c r="AV310" s="97"/>
    </row>
    <row r="311" spans="1:48" s="251" customFormat="1" x14ac:dyDescent="0.3">
      <c r="A311" s="217"/>
      <c r="B311" s="242"/>
      <c r="C311" s="243"/>
      <c r="D311" s="243"/>
      <c r="E311" s="243"/>
      <c r="F311" s="244"/>
      <c r="G311" s="244"/>
      <c r="H311" s="244"/>
      <c r="I311" s="244"/>
      <c r="J311" s="244"/>
      <c r="K311" s="245"/>
      <c r="L311" s="246"/>
      <c r="M311" s="63">
        <f>(L310-J310)/J310</f>
        <v>0.17485304798424281</v>
      </c>
      <c r="N311" s="247"/>
      <c r="O311" s="246"/>
      <c r="P311" s="63">
        <f>(O310-L310)/L310</f>
        <v>5.0766269313002953E-2</v>
      </c>
      <c r="Q311" s="91"/>
      <c r="R311" s="92"/>
      <c r="S311" s="247"/>
      <c r="T311" s="246"/>
      <c r="U311" s="63">
        <f>(T310-O310)/O310</f>
        <v>-4.3806213764164742E-2</v>
      </c>
      <c r="V311" s="91"/>
      <c r="W311" s="92"/>
      <c r="X311" s="247"/>
      <c r="Y311" s="244"/>
      <c r="Z311" s="290"/>
      <c r="AA311" s="7"/>
      <c r="AB311" s="92"/>
      <c r="AC311" s="247"/>
      <c r="AD311" s="250"/>
      <c r="AE311" s="9"/>
      <c r="AF311" s="7"/>
      <c r="AG311" s="92"/>
      <c r="AH311" s="247"/>
      <c r="AI311" s="250"/>
      <c r="AJ311" s="39"/>
      <c r="AK311" s="7"/>
      <c r="AL311" s="92"/>
      <c r="AM311" s="247"/>
      <c r="AN311" s="250"/>
      <c r="AO311" s="39"/>
      <c r="AP311" s="7"/>
      <c r="AQ311" s="92"/>
      <c r="AR311" s="247"/>
      <c r="AS311" s="250"/>
      <c r="AT311" s="39"/>
      <c r="AU311" s="7"/>
      <c r="AV311" s="92"/>
    </row>
    <row r="312" spans="1:48" x14ac:dyDescent="0.3">
      <c r="B312" s="279" t="s">
        <v>281</v>
      </c>
      <c r="C312" s="280"/>
      <c r="D312" s="280"/>
      <c r="E312" s="280"/>
    </row>
    <row r="313" spans="1:48" x14ac:dyDescent="0.3">
      <c r="B313" s="252" t="s">
        <v>282</v>
      </c>
      <c r="C313" s="253"/>
      <c r="D313" s="253"/>
      <c r="E313" s="253"/>
    </row>
    <row r="314" spans="1:48" ht="18" thickBot="1" x14ac:dyDescent="0.35">
      <c r="B314" s="252" t="s">
        <v>283</v>
      </c>
      <c r="C314" s="253"/>
      <c r="D314" s="253"/>
      <c r="E314" s="253"/>
    </row>
    <row r="315" spans="1:48" s="299" customFormat="1" x14ac:dyDescent="0.3">
      <c r="A315" s="291"/>
      <c r="B315" s="292"/>
      <c r="C315" s="293"/>
      <c r="D315" s="293"/>
      <c r="E315" s="293"/>
      <c r="F315" s="294">
        <f t="shared" ref="F315:L315" si="329">SUM(F314)</f>
        <v>0</v>
      </c>
      <c r="G315" s="294">
        <f t="shared" si="329"/>
        <v>0</v>
      </c>
      <c r="H315" s="294">
        <f t="shared" si="329"/>
        <v>0</v>
      </c>
      <c r="I315" s="294">
        <f t="shared" si="329"/>
        <v>0</v>
      </c>
      <c r="J315" s="294">
        <f t="shared" si="329"/>
        <v>0</v>
      </c>
      <c r="K315" s="295">
        <f t="shared" si="329"/>
        <v>0</v>
      </c>
      <c r="L315" s="294">
        <f t="shared" si="329"/>
        <v>0</v>
      </c>
      <c r="M315" s="146">
        <f>(L315-J315)/(IF(J315=0,0.0001,J315))</f>
        <v>0</v>
      </c>
      <c r="N315" s="296">
        <f>SUM(N314)</f>
        <v>0</v>
      </c>
      <c r="O315" s="294">
        <f>SUM(O314)</f>
        <v>0</v>
      </c>
      <c r="P315" s="146">
        <f>(O315-L315)/(IF(L315=0,0.0001,L315))</f>
        <v>0</v>
      </c>
      <c r="Q315" s="147"/>
      <c r="R315" s="184"/>
      <c r="S315" s="296">
        <f>SUM(S314)</f>
        <v>0</v>
      </c>
      <c r="T315" s="297">
        <f>SUM(T314)</f>
        <v>0</v>
      </c>
      <c r="U315" s="146">
        <f>(T315-O315)/(IF(O315=0,0.0001,O315))</f>
        <v>0</v>
      </c>
      <c r="V315" s="147"/>
      <c r="W315" s="184"/>
      <c r="X315" s="296">
        <f>SUM(X314)</f>
        <v>0</v>
      </c>
      <c r="Y315" s="297">
        <f>SUM(Y314)</f>
        <v>0</v>
      </c>
      <c r="Z315" s="146">
        <f>(Y315-T315)/(IF(T315=0,0.0001,T315))</f>
        <v>0</v>
      </c>
      <c r="AA315" s="298"/>
      <c r="AB315" s="184"/>
      <c r="AC315" s="296">
        <f>SUM(AC314)</f>
        <v>0</v>
      </c>
      <c r="AD315" s="297">
        <f>SUM(AD314)</f>
        <v>0</v>
      </c>
      <c r="AE315" s="151">
        <f>(AD315-Y315)/(IF(Y315=0,0.0001,Y315))</f>
        <v>0</v>
      </c>
      <c r="AF315" s="298"/>
      <c r="AG315" s="184"/>
      <c r="AH315" s="296">
        <f>SUM(AH314)</f>
        <v>0</v>
      </c>
      <c r="AI315" s="297">
        <f>SUM(AI314)</f>
        <v>0</v>
      </c>
      <c r="AJ315" s="151" t="str">
        <f>ROUND(AI315-AD315,2) &amp; "   (" &amp; ROUND(100*(AI315-AD315)/(AD315+0.001),1) &amp;"%)"</f>
        <v>0   (0%)</v>
      </c>
      <c r="AK315" s="298"/>
      <c r="AL315" s="184"/>
      <c r="AM315" s="296">
        <f>SUM(AM314)</f>
        <v>0</v>
      </c>
      <c r="AN315" s="297">
        <f>SUM(AN314)</f>
        <v>0</v>
      </c>
      <c r="AO315" s="151" t="str">
        <f>ROUND(AN315-AI315,2) &amp; "   (" &amp; ROUND(100*(AN315-AI315)/(AI315+0.0001),1) &amp;"%)"</f>
        <v>0   (0%)</v>
      </c>
      <c r="AP315" s="298"/>
      <c r="AQ315" s="184"/>
      <c r="AR315" s="296">
        <f>SUM(AR314)</f>
        <v>0</v>
      </c>
      <c r="AS315" s="297">
        <f>SUM(AS314)</f>
        <v>0</v>
      </c>
      <c r="AT315" s="151" t="e">
        <f t="shared" ref="AT315" si="330">ROUND(AS315-AN315,2) &amp; "   (" &amp; ROUND(100*(AS315-AN315)/AN315,1) &amp;"%)"</f>
        <v>#DIV/0!</v>
      </c>
      <c r="AU315" s="298"/>
      <c r="AV315" s="184"/>
    </row>
    <row r="316" spans="1:48" s="306" customFormat="1" ht="18" thickBot="1" x14ac:dyDescent="0.35">
      <c r="A316" s="300"/>
      <c r="B316" s="301"/>
      <c r="C316" s="302"/>
      <c r="D316" s="302"/>
      <c r="E316" s="302"/>
      <c r="F316" s="303"/>
      <c r="G316" s="303"/>
      <c r="H316" s="303"/>
      <c r="I316" s="303"/>
      <c r="J316" s="303"/>
      <c r="K316" s="278"/>
      <c r="L316" s="304">
        <f>L315-J315</f>
        <v>0</v>
      </c>
      <c r="M316" s="116"/>
      <c r="N316" s="115"/>
      <c r="O316" s="304">
        <f>O315-L315</f>
        <v>0</v>
      </c>
      <c r="P316" s="116"/>
      <c r="Q316" s="125"/>
      <c r="R316" s="126"/>
      <c r="S316" s="115"/>
      <c r="T316" s="305"/>
      <c r="U316" s="116"/>
      <c r="V316" s="125"/>
      <c r="W316" s="126"/>
      <c r="X316" s="115"/>
      <c r="Y316" s="305"/>
      <c r="Z316" s="116"/>
      <c r="AA316" s="118"/>
      <c r="AB316" s="126"/>
      <c r="AC316" s="115"/>
      <c r="AD316" s="305"/>
      <c r="AE316" s="121"/>
      <c r="AF316" s="118"/>
      <c r="AG316" s="126"/>
      <c r="AH316" s="115"/>
      <c r="AI316" s="305"/>
      <c r="AJ316" s="116"/>
      <c r="AK316" s="118"/>
      <c r="AL316" s="126"/>
      <c r="AM316" s="115"/>
      <c r="AN316" s="305"/>
      <c r="AO316" s="116"/>
      <c r="AP316" s="118"/>
      <c r="AQ316" s="126"/>
      <c r="AR316" s="115"/>
      <c r="AS316" s="305"/>
      <c r="AT316" s="116"/>
      <c r="AU316" s="118"/>
      <c r="AV316" s="126"/>
    </row>
    <row r="317" spans="1:48" s="228" customFormat="1" x14ac:dyDescent="0.3">
      <c r="A317" s="223"/>
      <c r="B317" s="224"/>
      <c r="C317" s="225"/>
      <c r="D317" s="225"/>
      <c r="E317" s="225"/>
      <c r="F317" s="307">
        <f>SUM(F219,F294,F310,F315)</f>
        <v>474030.5199999999</v>
      </c>
      <c r="G317" s="307">
        <f t="shared" ref="G317:L317" si="331">G219+G294+G310+G315</f>
        <v>483537.51000000007</v>
      </c>
      <c r="H317" s="307">
        <f t="shared" si="331"/>
        <v>495645.58000000013</v>
      </c>
      <c r="I317" s="307">
        <f t="shared" si="331"/>
        <v>495744.05</v>
      </c>
      <c r="J317" s="307">
        <f t="shared" si="331"/>
        <v>448889.31000000006</v>
      </c>
      <c r="K317" s="289">
        <f t="shared" si="331"/>
        <v>462560</v>
      </c>
      <c r="L317" s="307">
        <f t="shared" si="331"/>
        <v>480474.64</v>
      </c>
      <c r="M317" s="57">
        <f>(L317-J317)</f>
        <v>31585.329999999958</v>
      </c>
      <c r="N317" s="289">
        <f>N219+N294+N310+N315</f>
        <v>462560</v>
      </c>
      <c r="O317" s="307">
        <f>O219+O294+O310+O315</f>
        <v>500265.68</v>
      </c>
      <c r="P317" s="57">
        <f>(O317-L317)</f>
        <v>19791.039999999979</v>
      </c>
      <c r="Q317" s="123">
        <f>O317-N317</f>
        <v>37705.679999999993</v>
      </c>
      <c r="R317" s="97"/>
      <c r="S317" s="289">
        <f>S219+S294+S310+S315</f>
        <v>472980</v>
      </c>
      <c r="T317" s="307">
        <f>T219+T294+T310+T315</f>
        <v>489071.49999999988</v>
      </c>
      <c r="U317" s="29">
        <f>(T317-O317)/O317</f>
        <v>-2.237647003888036E-2</v>
      </c>
      <c r="V317" s="123">
        <f>T317-S317</f>
        <v>16091.499999999884</v>
      </c>
      <c r="W317" s="97"/>
      <c r="X317" s="289">
        <f>X219+X294+X310+X315</f>
        <v>512930</v>
      </c>
      <c r="Y317" s="307">
        <f>Y219+Y294+Y310+Y315</f>
        <v>509384.93000000005</v>
      </c>
      <c r="Z317" s="37" t="str">
        <f>ROUND(Y317-T317,2) &amp; "   (" &amp; ROUND(100*(Y317-T317)/T317,1) &amp;"%)"</f>
        <v>20313,43   (4,2%)</v>
      </c>
      <c r="AA317" s="34" t="str">
        <f>ROUND(Y317-X317,2) &amp; "  (" &amp; ROUND(100*(Y317-X317)/X317,1) &amp;"%)"</f>
        <v>-3545,07  (-0,7%)</v>
      </c>
      <c r="AB317" s="97"/>
      <c r="AC317" s="289">
        <f>AC219+AC294+AC310+AC315</f>
        <v>509100</v>
      </c>
      <c r="AD317" s="307">
        <f>SUM(AD219,AD224,AD294,AD310,AD315)</f>
        <v>503582.95000000007</v>
      </c>
      <c r="AE317" s="35" t="str">
        <f>ROUND(AD317-Y317,2) &amp; "   (" &amp; ROUND(100*(AD317-Y317)/Y317,1) &amp;"%)"</f>
        <v>-5801,98   (-1,1%)</v>
      </c>
      <c r="AF317" s="34" t="str">
        <f>ROUND(AD317-AC317,2) &amp; "  (" &amp; ROUND(100*(AD317-AC317)/AC317,1) &amp;"%)"</f>
        <v>-5517,05  (-1,1%)</v>
      </c>
      <c r="AG317" s="191">
        <f>IF(AD317&gt;0,AD317/AD$317,"")</f>
        <v>1</v>
      </c>
      <c r="AH317" s="289">
        <f>AH219+AH294+AH310+AH315</f>
        <v>516520</v>
      </c>
      <c r="AI317" s="307">
        <f>AI219+AI294+AI310+AI315</f>
        <v>481864.07000000018</v>
      </c>
      <c r="AJ317" s="35" t="str">
        <f t="shared" ref="AJ317" si="332">ROUND(AI317-AD317,2) &amp; "   (" &amp; ROUND(100*(AI317-AD317)/AD317,1) &amp;"%)"</f>
        <v>-21718,88   (-4,3%)</v>
      </c>
      <c r="AK317" s="34" t="str">
        <f>ROUND(AI317-AH317,2) &amp; "  (" &amp; ROUND(100*(AI317-AH317)/AH317,1) &amp;"%)"</f>
        <v>-34655,93  (-6,7%)</v>
      </c>
      <c r="AL317" s="97"/>
      <c r="AM317" s="289">
        <f>AM219+AM294+AM310+AM315</f>
        <v>525630</v>
      </c>
      <c r="AN317" s="307">
        <f>SUM(AN219,AN224,AN294,AN310,AN315)</f>
        <v>370938.8</v>
      </c>
      <c r="AO317" s="35" t="str">
        <f t="shared" ref="AO317" si="333">ROUND(AN317-AI317,2) &amp; "   (" &amp; ROUND(100*(AN317-AI317)/AI317,1) &amp;"%)"</f>
        <v>-110925,27   (-23%)</v>
      </c>
      <c r="AP317" s="34" t="str">
        <f>ROUND(AN317-AM317,2) &amp; "  (" &amp; ROUND(100*(AN317-AM317)/AM317,1) &amp;"%)"</f>
        <v>-154691,2  (-29,4%)</v>
      </c>
      <c r="AQ317" s="97"/>
      <c r="AR317" s="289">
        <f>AR219+AR294+AR310+AR315</f>
        <v>504000</v>
      </c>
      <c r="AS317" s="307">
        <f>AS219+AS294+AS310+AS315</f>
        <v>1</v>
      </c>
      <c r="AT317" s="35" t="str">
        <f t="shared" ref="AT317" si="334">ROUND(AS317-AN317,2) &amp; "   (" &amp; ROUND(100*(AS317-AN317)/AN317,1) &amp;"%)"</f>
        <v>-370937,8   (-100%)</v>
      </c>
      <c r="AU317" s="34" t="str">
        <f>ROUND(AS317-AR317,2) &amp; "  (" &amp; ROUND(100*(AS317-AR317)/AR317,1) &amp;"%)"</f>
        <v>-503999  (-100%)</v>
      </c>
      <c r="AV317" s="97"/>
    </row>
    <row r="318" spans="1:48" s="251" customFormat="1" ht="16.899999999999999" customHeight="1" x14ac:dyDescent="0.3">
      <c r="A318" s="217"/>
      <c r="B318" s="242"/>
      <c r="C318" s="243"/>
      <c r="D318" s="243"/>
      <c r="E318" s="243"/>
      <c r="F318" s="308"/>
      <c r="G318" s="308"/>
      <c r="H318" s="308"/>
      <c r="I318" s="308"/>
      <c r="J318" s="308"/>
      <c r="K318" s="245"/>
      <c r="L318" s="246"/>
      <c r="M318" s="63">
        <f>(L317-J317)/J317</f>
        <v>7.0363292901762256E-2</v>
      </c>
      <c r="N318" s="247"/>
      <c r="O318" s="246"/>
      <c r="P318" s="63">
        <f>(O317-L317)/L317</f>
        <v>4.119060269237098E-2</v>
      </c>
      <c r="Q318" s="91"/>
      <c r="R318" s="92"/>
      <c r="S318" s="247"/>
      <c r="T318" s="250"/>
      <c r="U318" s="39"/>
      <c r="V318" s="91"/>
      <c r="W318" s="92"/>
      <c r="X318" s="247"/>
      <c r="Y318" s="250"/>
      <c r="Z318" s="39"/>
      <c r="AA318" s="7"/>
      <c r="AB318" s="92"/>
      <c r="AC318" s="247"/>
      <c r="AD318" s="250"/>
      <c r="AE318" s="9"/>
      <c r="AF318" s="7"/>
      <c r="AG318" s="92"/>
      <c r="AH318" s="247"/>
      <c r="AI318" s="250"/>
      <c r="AJ318" s="39"/>
      <c r="AK318" s="7"/>
      <c r="AL318" s="92"/>
      <c r="AM318" s="247"/>
      <c r="AN318" s="250"/>
      <c r="AO318" s="39"/>
      <c r="AP318" s="7"/>
      <c r="AQ318" s="92"/>
      <c r="AR318" s="247"/>
      <c r="AS318" s="250"/>
      <c r="AT318" s="39"/>
      <c r="AU318" s="7"/>
      <c r="AV318" s="92"/>
    </row>
    <row r="319" spans="1:48" s="320" customFormat="1" ht="16.899999999999999" customHeight="1" thickBot="1" x14ac:dyDescent="0.35">
      <c r="A319" s="309"/>
      <c r="B319" s="310" t="s">
        <v>284</v>
      </c>
      <c r="C319" s="311"/>
      <c r="D319" s="311"/>
      <c r="E319" s="311"/>
      <c r="F319" s="312">
        <f>F34-SUM(F39:F43)-F317</f>
        <v>-311.30999999982305</v>
      </c>
      <c r="G319" s="312">
        <f>G34-SUM(G39:G43)-G317</f>
        <v>-9358.5400000000373</v>
      </c>
      <c r="H319" s="312">
        <f>H34-SUM(H39:H43)-H317</f>
        <v>0</v>
      </c>
      <c r="I319" s="312">
        <f>I34-SUM(I39:I43)-I317</f>
        <v>0</v>
      </c>
      <c r="J319" s="312">
        <f>J34-SUM(J39:J43)-J317</f>
        <v>0</v>
      </c>
      <c r="K319" s="313"/>
      <c r="L319" s="312">
        <f>L34-SUM(L39:L43)-L317</f>
        <v>0</v>
      </c>
      <c r="M319" s="314"/>
      <c r="N319" s="313"/>
      <c r="O319" s="312">
        <f>O34-SUM(O39:O43)-O317</f>
        <v>0</v>
      </c>
      <c r="P319" s="314"/>
      <c r="Q319" s="315"/>
      <c r="R319" s="316"/>
      <c r="S319" s="313"/>
      <c r="T319" s="312">
        <f>T34-SUM(T39:T43)-T317</f>
        <v>0</v>
      </c>
      <c r="U319" s="317"/>
      <c r="V319" s="315"/>
      <c r="W319" s="316"/>
      <c r="X319" s="313"/>
      <c r="Y319" s="312">
        <f>Y34-SUM(Y39:Y43)-Y317</f>
        <v>3.9999998989515007E-3</v>
      </c>
      <c r="Z319" s="317"/>
      <c r="AA319" s="318"/>
      <c r="AB319" s="316"/>
      <c r="AC319" s="313"/>
      <c r="AD319" s="312">
        <f>AD34-SUM(AD39:AD43)-AD317</f>
        <v>0</v>
      </c>
      <c r="AE319" s="319"/>
      <c r="AF319" s="318"/>
      <c r="AG319" s="316"/>
      <c r="AH319" s="313"/>
      <c r="AI319" s="312">
        <f>AI34-SUM(AI39:AI43)-AI317</f>
        <v>0</v>
      </c>
      <c r="AJ319" s="317"/>
      <c r="AK319" s="318"/>
      <c r="AL319" s="316"/>
      <c r="AM319" s="313"/>
      <c r="AN319" s="312">
        <f>(AN34-AN45)-AN317</f>
        <v>0</v>
      </c>
      <c r="AO319" s="317"/>
      <c r="AP319" s="318"/>
      <c r="AQ319" s="316"/>
      <c r="AR319" s="313"/>
      <c r="AS319" s="312">
        <f>AS34-SUM(AS39:AS43)-AS317</f>
        <v>0</v>
      </c>
      <c r="AT319" s="317"/>
      <c r="AU319" s="318"/>
      <c r="AV319" s="316"/>
    </row>
    <row r="320" spans="1:48" ht="16.899999999999999" customHeight="1" x14ac:dyDescent="0.3">
      <c r="E320" s="321"/>
      <c r="K320" s="90"/>
    </row>
    <row r="321" spans="1:48" x14ac:dyDescent="0.3">
      <c r="K321" s="90"/>
      <c r="Z321" s="9"/>
    </row>
    <row r="322" spans="1:48" s="13" customFormat="1" ht="15.6" customHeight="1" thickBot="1" x14ac:dyDescent="0.35">
      <c r="B322" s="14" t="s">
        <v>285</v>
      </c>
      <c r="C322" s="15"/>
      <c r="D322" s="15"/>
      <c r="E322" s="15"/>
      <c r="F322" s="16"/>
      <c r="G322" s="16"/>
      <c r="H322" s="16"/>
      <c r="I322" s="16"/>
      <c r="J322" s="16"/>
      <c r="K322" s="17" t="s">
        <v>286</v>
      </c>
      <c r="L322" s="16"/>
      <c r="M322" s="18" t="s">
        <v>286</v>
      </c>
      <c r="N322" s="17"/>
      <c r="O322" s="16"/>
      <c r="P322" s="18" t="s">
        <v>286</v>
      </c>
      <c r="Q322" s="19"/>
      <c r="R322" s="20"/>
      <c r="S322" s="17"/>
      <c r="T322" s="16"/>
      <c r="U322" s="21" t="s">
        <v>286</v>
      </c>
      <c r="V322" s="19"/>
      <c r="W322" s="20"/>
      <c r="X322" s="17"/>
      <c r="Y322" s="16"/>
      <c r="Z322" s="21" t="s">
        <v>286</v>
      </c>
      <c r="AA322" s="19"/>
      <c r="AB322" s="20"/>
      <c r="AC322" s="17"/>
      <c r="AD322" s="16"/>
      <c r="AE322" s="21" t="s">
        <v>286</v>
      </c>
      <c r="AF322" s="19"/>
      <c r="AG322" s="20"/>
      <c r="AH322" s="17"/>
      <c r="AI322" s="16"/>
      <c r="AJ322" s="21" t="s">
        <v>286</v>
      </c>
      <c r="AK322" s="19"/>
      <c r="AL322" s="20"/>
      <c r="AM322" s="17"/>
      <c r="AN322" s="16"/>
      <c r="AO322" s="21" t="s">
        <v>286</v>
      </c>
      <c r="AP322" s="19"/>
      <c r="AQ322" s="20"/>
      <c r="AR322" s="17"/>
      <c r="AS322" s="16"/>
      <c r="AT322" s="21" t="s">
        <v>286</v>
      </c>
      <c r="AU322" s="19"/>
      <c r="AV322" s="20"/>
    </row>
    <row r="323" spans="1:48" x14ac:dyDescent="0.3">
      <c r="A323" s="23" t="str">
        <f>LEFT(B323,FIND(" ",B323,1)-1)&amp;0</f>
        <v>6010</v>
      </c>
      <c r="B323" s="24" t="s">
        <v>287</v>
      </c>
      <c r="E323" s="25" t="str">
        <f xml:space="preserve"> A363</f>
        <v>601 Eau  *</v>
      </c>
      <c r="F323" s="27">
        <f>SUM(F110,F313:F314)</f>
        <v>41802.74</v>
      </c>
      <c r="G323" s="27">
        <f>SUM(G110,G313:G314)</f>
        <v>42334.12</v>
      </c>
      <c r="H323" s="27">
        <f>SUM(H110,H313:H314)</f>
        <v>46435.68</v>
      </c>
      <c r="I323" s="27">
        <f>SUM(I110,I313:I314)</f>
        <v>45034.66</v>
      </c>
      <c r="J323" s="27">
        <f>SUM(J110,J313:J314)</f>
        <v>43951.75</v>
      </c>
      <c r="K323" s="90">
        <f>J323-J4</f>
        <v>0</v>
      </c>
      <c r="L323" s="27">
        <f>SUM(L110,L313:L314)</f>
        <v>45694.84</v>
      </c>
      <c r="M323" s="90">
        <f>L323-L4</f>
        <v>0</v>
      </c>
      <c r="O323" s="27">
        <f>SUM(O110,O313:O314)</f>
        <v>47521.54</v>
      </c>
      <c r="P323" s="90">
        <f>O323-O4</f>
        <v>0</v>
      </c>
      <c r="T323" s="27">
        <f>SUM(T110,T313:T314)</f>
        <v>38860.959999999999</v>
      </c>
      <c r="U323" s="90">
        <f>T323-T4</f>
        <v>0</v>
      </c>
      <c r="Y323" s="27">
        <f>SUM(Y110,Y313:Y314)</f>
        <v>47337.74</v>
      </c>
      <c r="Z323" s="90">
        <f>Y323-Y4</f>
        <v>0</v>
      </c>
      <c r="AD323" s="27">
        <f>SUM(AD110,AD313:AD314)</f>
        <v>45137.79</v>
      </c>
      <c r="AE323" s="6">
        <f>AD323-AD4</f>
        <v>0</v>
      </c>
      <c r="AI323" s="27">
        <f>SUM(AI110,AI313:AI314)</f>
        <v>36496.21</v>
      </c>
      <c r="AJ323" s="90">
        <f t="shared" ref="AJ323:AJ338" si="335">AI323-AI4</f>
        <v>0</v>
      </c>
      <c r="AN323" s="27">
        <f>SUM(AN110,AN313:AN314)</f>
        <v>23929.200000000001</v>
      </c>
      <c r="AO323" s="90">
        <f t="shared" ref="AO323:AO338" si="336">AN323-AN4</f>
        <v>0</v>
      </c>
      <c r="AS323" s="27">
        <f>SUM(AS82,AS313:AS314)</f>
        <v>0</v>
      </c>
      <c r="AT323" s="90">
        <f>AS323-AS4</f>
        <v>0</v>
      </c>
    </row>
    <row r="324" spans="1:48" s="7" customFormat="1" x14ac:dyDescent="0.3">
      <c r="A324" s="23" t="str">
        <f t="shared" ref="A324:A334" si="337">LEFT(B324,FIND(" ",B324,1)-1)&amp;0</f>
        <v>6020</v>
      </c>
      <c r="B324" s="24" t="s">
        <v>288</v>
      </c>
      <c r="C324" s="25"/>
      <c r="D324" s="25"/>
      <c r="E324" s="25" t="str">
        <f xml:space="preserve"> A364</f>
        <v>602 Électricité  *</v>
      </c>
      <c r="F324" s="27">
        <f>SUM(F109,F286,F297)</f>
        <v>19795.690000000002</v>
      </c>
      <c r="G324" s="27">
        <f>SUM(G109,G286,G297)</f>
        <v>22239.329999999998</v>
      </c>
      <c r="H324" s="27">
        <f>SUM(H109,H286,H297)</f>
        <v>23912.670000000002</v>
      </c>
      <c r="I324" s="27">
        <f>SUM(I109,I286,I297)</f>
        <v>27435.97</v>
      </c>
      <c r="J324" s="27">
        <f>SUM(J109,J286,J297)</f>
        <v>23272.350000000002</v>
      </c>
      <c r="K324" s="90">
        <f>J324-J5</f>
        <v>0</v>
      </c>
      <c r="L324" s="27">
        <f>SUM(L109,L286,L297)</f>
        <v>18493.439999999999</v>
      </c>
      <c r="M324" s="90">
        <f>L324-L5</f>
        <v>0</v>
      </c>
      <c r="N324" s="28"/>
      <c r="O324" s="27">
        <f>SUM(O109,O286,O297)</f>
        <v>25043.03</v>
      </c>
      <c r="P324" s="90">
        <f>O324-O5</f>
        <v>0</v>
      </c>
      <c r="Q324" s="91"/>
      <c r="R324" s="92"/>
      <c r="S324" s="28"/>
      <c r="T324" s="27">
        <f>SUM(T109,T286,T297)</f>
        <v>24765.23</v>
      </c>
      <c r="U324" s="90">
        <f>T324-T5</f>
        <v>0</v>
      </c>
      <c r="V324" s="91"/>
      <c r="W324" s="92"/>
      <c r="X324" s="28"/>
      <c r="Y324" s="27">
        <f>SUM(Y109,Y286,Y297)</f>
        <v>25786.54</v>
      </c>
      <c r="Z324" s="90">
        <f>Y324-Y5</f>
        <v>0</v>
      </c>
      <c r="AB324" s="92"/>
      <c r="AC324" s="28"/>
      <c r="AD324" s="27">
        <f>SUM(AD109,AD286,AD297)</f>
        <v>31296.089999999997</v>
      </c>
      <c r="AE324" s="6">
        <f>AD324-AD5</f>
        <v>0</v>
      </c>
      <c r="AG324" s="92"/>
      <c r="AH324" s="28"/>
      <c r="AI324" s="27">
        <f>SUM(AI109,AI286,AI297)</f>
        <v>23633.03</v>
      </c>
      <c r="AJ324" s="90">
        <f t="shared" si="335"/>
        <v>0</v>
      </c>
      <c r="AL324" s="92"/>
      <c r="AM324" s="28"/>
      <c r="AN324" s="27">
        <f>SUM(AN109,AN286,AN297)</f>
        <v>11986.57</v>
      </c>
      <c r="AO324" s="90">
        <f t="shared" si="336"/>
        <v>0</v>
      </c>
      <c r="AQ324" s="92"/>
      <c r="AR324" s="28"/>
      <c r="AS324" s="27">
        <f>SUM(AS83,AS286,AS297)</f>
        <v>0</v>
      </c>
      <c r="AT324" s="90">
        <f>AS324-AS5</f>
        <v>0</v>
      </c>
      <c r="AV324" s="92"/>
    </row>
    <row r="325" spans="1:48" s="7" customFormat="1" x14ac:dyDescent="0.3">
      <c r="A325" s="23" t="str">
        <f t="shared" si="337"/>
        <v>6030</v>
      </c>
      <c r="B325" s="24" t="s">
        <v>289</v>
      </c>
      <c r="C325" s="25"/>
      <c r="D325" s="25"/>
      <c r="E325" s="25" t="str">
        <f xml:space="preserve"> A368</f>
        <v>603 Chauffage, énergie et combustibles   *</v>
      </c>
      <c r="F325" s="27">
        <f>SUM(F298:F299)</f>
        <v>141095.54999999999</v>
      </c>
      <c r="G325" s="27">
        <f>SUM(G298:G299)</f>
        <v>123289.66</v>
      </c>
      <c r="H325" s="27">
        <f>SUM(H298:H299)</f>
        <v>134341.22</v>
      </c>
      <c r="I325" s="27">
        <f>SUM(I298:I299)</f>
        <v>152968.94</v>
      </c>
      <c r="J325" s="27">
        <f>SUM(J298:J299)</f>
        <v>135002.89000000001</v>
      </c>
      <c r="K325" s="90">
        <f>J325-J6</f>
        <v>0</v>
      </c>
      <c r="L325" s="27">
        <f>SUM(L298:L299)</f>
        <v>160620.04999999999</v>
      </c>
      <c r="M325" s="90">
        <f>L325-L6</f>
        <v>0</v>
      </c>
      <c r="N325" s="28"/>
      <c r="O325" s="27">
        <f>SUM(O298:O299)</f>
        <v>165776.71</v>
      </c>
      <c r="P325" s="90">
        <f>O325-O6</f>
        <v>0</v>
      </c>
      <c r="Q325" s="91"/>
      <c r="R325" s="92"/>
      <c r="S325" s="28"/>
      <c r="T325" s="27">
        <f>SUM(T298:T299)</f>
        <v>161745.16</v>
      </c>
      <c r="U325" s="90">
        <f>T325-T6</f>
        <v>0</v>
      </c>
      <c r="V325" s="91"/>
      <c r="W325" s="92"/>
      <c r="X325" s="28"/>
      <c r="Y325" s="27">
        <f>SUM(Y298:Y299)</f>
        <v>161803.51</v>
      </c>
      <c r="Z325" s="90">
        <f>Y325-Y6</f>
        <v>0</v>
      </c>
      <c r="AB325" s="92"/>
      <c r="AC325" s="28"/>
      <c r="AD325" s="27">
        <f>SUM(AD298:AD299)</f>
        <v>163038.54</v>
      </c>
      <c r="AE325" s="6">
        <f>AD325-AD6</f>
        <v>0</v>
      </c>
      <c r="AG325" s="92"/>
      <c r="AH325" s="28"/>
      <c r="AI325" s="27">
        <f>SUM(AI298:AI299)</f>
        <v>152017.54999999999</v>
      </c>
      <c r="AJ325" s="90">
        <f t="shared" si="335"/>
        <v>0</v>
      </c>
      <c r="AL325" s="92"/>
      <c r="AM325" s="28"/>
      <c r="AN325" s="27">
        <f>SUM(AN298:AN299)</f>
        <v>104304.24</v>
      </c>
      <c r="AO325" s="90">
        <f t="shared" si="336"/>
        <v>0</v>
      </c>
      <c r="AQ325" s="92"/>
      <c r="AR325" s="28"/>
      <c r="AS325" s="27">
        <f>SUM(AS298:AS299)</f>
        <v>0</v>
      </c>
      <c r="AT325" s="90">
        <f>AS325-AS6</f>
        <v>0</v>
      </c>
      <c r="AV325" s="92"/>
    </row>
    <row r="326" spans="1:48" s="7" customFormat="1" ht="19.899999999999999" customHeight="1" x14ac:dyDescent="0.3">
      <c r="A326" s="23" t="str">
        <f t="shared" si="337"/>
        <v>6040</v>
      </c>
      <c r="B326" s="24" t="s">
        <v>290</v>
      </c>
      <c r="C326" s="25"/>
      <c r="D326" s="25"/>
      <c r="E326" s="25" t="str">
        <f xml:space="preserve"> A371</f>
        <v>604 Achats produits d'entretien et petits équipements  *</v>
      </c>
      <c r="F326" s="27">
        <v>0</v>
      </c>
      <c r="G326" s="27"/>
      <c r="H326" s="27"/>
      <c r="I326" s="27"/>
      <c r="J326" s="27"/>
      <c r="K326" s="90"/>
      <c r="L326" s="27"/>
      <c r="M326" s="90"/>
      <c r="N326" s="28"/>
      <c r="O326" s="27"/>
      <c r="P326" s="90"/>
      <c r="Q326" s="91"/>
      <c r="R326" s="92"/>
      <c r="S326" s="28"/>
      <c r="T326" s="27"/>
      <c r="U326" s="90"/>
      <c r="V326" s="91"/>
      <c r="W326" s="92"/>
      <c r="X326" s="28"/>
      <c r="Y326" s="27"/>
      <c r="Z326" s="90"/>
      <c r="AB326" s="92"/>
      <c r="AC326" s="28"/>
      <c r="AD326" s="27"/>
      <c r="AE326" s="6"/>
      <c r="AG326" s="92"/>
      <c r="AH326" s="28"/>
      <c r="AI326" s="27">
        <f>SUM(AI100)</f>
        <v>2446.08</v>
      </c>
      <c r="AJ326" s="90">
        <f t="shared" si="335"/>
        <v>2446.08</v>
      </c>
      <c r="AL326" s="92"/>
      <c r="AM326" s="28"/>
      <c r="AN326" s="27">
        <f>SUM(AN100)</f>
        <v>2962.55</v>
      </c>
      <c r="AO326" s="90">
        <f t="shared" si="336"/>
        <v>2962.55</v>
      </c>
      <c r="AQ326" s="92"/>
      <c r="AR326" s="28"/>
      <c r="AS326" s="27"/>
      <c r="AT326" s="90"/>
      <c r="AV326" s="92"/>
    </row>
    <row r="327" spans="1:48" s="7" customFormat="1" x14ac:dyDescent="0.3">
      <c r="A327" s="23" t="str">
        <f t="shared" si="337"/>
        <v>6050</v>
      </c>
      <c r="B327" s="24" t="s">
        <v>291</v>
      </c>
      <c r="C327" s="25"/>
      <c r="D327" s="25"/>
      <c r="E327" s="25" t="str">
        <f xml:space="preserve"> A377</f>
        <v>605 Matériels  *</v>
      </c>
      <c r="F327" s="27">
        <f>SUM(F92,F188,F198,F206,)</f>
        <v>2812.49</v>
      </c>
      <c r="G327" s="27">
        <f>SUM(G92,G188,G198,G206,)</f>
        <v>3889.17</v>
      </c>
      <c r="H327" s="27">
        <f>SUM(H92,H188,H198,H206,)</f>
        <v>481.99</v>
      </c>
      <c r="I327" s="27">
        <f>SUM(I92,I188,I198,I206,)</f>
        <v>2078.5700000000002</v>
      </c>
      <c r="J327" s="27">
        <f>SUM(J92,J188,J198,J206,)</f>
        <v>1559.28</v>
      </c>
      <c r="K327" s="90">
        <f t="shared" ref="K327:K338" si="338">J327-J8</f>
        <v>0</v>
      </c>
      <c r="L327" s="27">
        <f>SUM(L92,L188,L198,L206,)</f>
        <v>4423.84</v>
      </c>
      <c r="M327" s="90">
        <f t="shared" ref="M327:M338" si="339">L327-L8</f>
        <v>0</v>
      </c>
      <c r="N327" s="28"/>
      <c r="O327" s="27">
        <f>SUM(O92,O188,O198,O206,)</f>
        <v>3319.68</v>
      </c>
      <c r="P327" s="90">
        <f t="shared" ref="P327:P338" si="340">O327-O8</f>
        <v>0</v>
      </c>
      <c r="Q327" s="91"/>
      <c r="R327" s="92"/>
      <c r="S327" s="28"/>
      <c r="T327" s="27">
        <f>SUM(T92,T188,T198,T206,)</f>
        <v>2288.9</v>
      </c>
      <c r="U327" s="90">
        <f t="shared" ref="U327:U338" si="341">T327-T8</f>
        <v>0</v>
      </c>
      <c r="V327" s="91"/>
      <c r="W327" s="92"/>
      <c r="X327" s="28"/>
      <c r="Y327" s="27">
        <f>SUM(Y92,Y188,Y198,Y206,)</f>
        <v>3283.97</v>
      </c>
      <c r="Z327" s="90">
        <f t="shared" ref="Z327:Z338" si="342">Y327-Y8</f>
        <v>-4.0000000003601599E-3</v>
      </c>
      <c r="AB327" s="92"/>
      <c r="AC327" s="28"/>
      <c r="AD327" s="27">
        <f>SUM(AD92,AD188,AD198,AD206,)</f>
        <v>1638.36</v>
      </c>
      <c r="AE327" s="6">
        <f t="shared" ref="AE327:AE338" si="343">AD327-AD8</f>
        <v>0</v>
      </c>
      <c r="AG327" s="92"/>
      <c r="AH327" s="28"/>
      <c r="AI327" s="27">
        <f>SUM(AI92,AI188,AI198,AI206,)</f>
        <v>2295.85</v>
      </c>
      <c r="AJ327" s="90">
        <f t="shared" si="335"/>
        <v>0</v>
      </c>
      <c r="AL327" s="92"/>
      <c r="AM327" s="28"/>
      <c r="AN327" s="27">
        <f>SUM(AN92,AN188,AN198,AN206,)</f>
        <v>918.73</v>
      </c>
      <c r="AO327" s="90">
        <f t="shared" si="336"/>
        <v>0</v>
      </c>
      <c r="AQ327" s="92"/>
      <c r="AR327" s="28"/>
      <c r="AS327" s="27">
        <f>SUM(AS92,AS188,AS198,AS206,)</f>
        <v>0</v>
      </c>
      <c r="AT327" s="90">
        <f t="shared" ref="AT327:AT338" si="344">AS327-AS8</f>
        <v>0</v>
      </c>
      <c r="AV327" s="92"/>
    </row>
    <row r="328" spans="1:48" s="7" customFormat="1" x14ac:dyDescent="0.3">
      <c r="A328" s="23" t="str">
        <f t="shared" si="337"/>
        <v>6060</v>
      </c>
      <c r="B328" s="24" t="s">
        <v>292</v>
      </c>
      <c r="C328" s="25"/>
      <c r="D328" s="25"/>
      <c r="E328" s="25" t="str">
        <f xml:space="preserve"> A385</f>
        <v>606 Fournitures  *</v>
      </c>
      <c r="F328" s="27">
        <f>SUM(F87,F100,F101,F182,F207,F300)</f>
        <v>9274.880000000001</v>
      </c>
      <c r="G328" s="27">
        <f>SUM(G87,G100,G101,G182,G207,G300)</f>
        <v>5674.2000000000007</v>
      </c>
      <c r="H328" s="27">
        <f>SUM(H87,H100,H101,H182,H207,H300)</f>
        <v>6369.55</v>
      </c>
      <c r="I328" s="27">
        <f>SUM(I87,I100,I101,I182,I207,I300)</f>
        <v>5470.16</v>
      </c>
      <c r="J328" s="27">
        <f>SUM(J87,J100,J101,J182,J207,J300)</f>
        <v>4018.83</v>
      </c>
      <c r="K328" s="90">
        <f t="shared" si="338"/>
        <v>0</v>
      </c>
      <c r="L328" s="27">
        <f>SUM(L87,L100,L101,L182,L207,L300)</f>
        <v>6991.3</v>
      </c>
      <c r="M328" s="90">
        <f t="shared" si="339"/>
        <v>0</v>
      </c>
      <c r="N328" s="28"/>
      <c r="O328" s="27">
        <f>SUM(O87,O100,O101,O182,O207,O300)</f>
        <v>4459.63</v>
      </c>
      <c r="P328" s="90">
        <f t="shared" si="340"/>
        <v>0</v>
      </c>
      <c r="Q328" s="91"/>
      <c r="R328" s="92"/>
      <c r="S328" s="28"/>
      <c r="T328" s="27">
        <f>SUM(T87,T100,T101,T182,T207,T300)</f>
        <v>4510.25</v>
      </c>
      <c r="U328" s="90">
        <f t="shared" si="341"/>
        <v>0</v>
      </c>
      <c r="V328" s="91"/>
      <c r="W328" s="92"/>
      <c r="X328" s="28"/>
      <c r="Y328" s="27">
        <f>SUM(Y87,Y100,Y101,Y182,Y207,Y300)</f>
        <v>4198.3</v>
      </c>
      <c r="Z328" s="90">
        <f t="shared" si="342"/>
        <v>0</v>
      </c>
      <c r="AB328" s="92"/>
      <c r="AC328" s="28"/>
      <c r="AD328" s="27">
        <f>SUM(AD87,AD100,AD101,AD182,AD207,AD300)</f>
        <v>6494.66</v>
      </c>
      <c r="AE328" s="6">
        <f t="shared" si="343"/>
        <v>0</v>
      </c>
      <c r="AG328" s="92"/>
      <c r="AH328" s="28"/>
      <c r="AI328" s="27">
        <f>SUM(AI87,AI101,AI182,AI207,AI300)</f>
        <v>3638.8</v>
      </c>
      <c r="AJ328" s="90">
        <f t="shared" si="335"/>
        <v>-2446.08</v>
      </c>
      <c r="AL328" s="92"/>
      <c r="AM328" s="28"/>
      <c r="AN328" s="27">
        <f>SUM(AN87,AN101,AN182,AN207,AN300)</f>
        <v>143</v>
      </c>
      <c r="AO328" s="90">
        <f t="shared" si="336"/>
        <v>-2962.55</v>
      </c>
      <c r="AQ328" s="92"/>
      <c r="AR328" s="28"/>
      <c r="AS328" s="27">
        <f>SUM(AS90:AS94,AS300)</f>
        <v>0</v>
      </c>
      <c r="AT328" s="90">
        <f t="shared" si="344"/>
        <v>0</v>
      </c>
      <c r="AV328" s="92"/>
    </row>
    <row r="329" spans="1:48" s="7" customFormat="1" x14ac:dyDescent="0.3">
      <c r="A329" s="23" t="str">
        <f t="shared" si="337"/>
        <v>6110</v>
      </c>
      <c r="B329" s="24" t="s">
        <v>293</v>
      </c>
      <c r="C329" s="25"/>
      <c r="D329" s="25"/>
      <c r="E329" s="25" t="str">
        <f xml:space="preserve"> A395</f>
        <v>611 Nettoyage des locaux   *</v>
      </c>
      <c r="F329" s="27">
        <f>SUM(0)</f>
        <v>0</v>
      </c>
      <c r="G329" s="27">
        <f>SUM(0)</f>
        <v>0</v>
      </c>
      <c r="H329" s="27">
        <f>SUM(0)</f>
        <v>0</v>
      </c>
      <c r="I329" s="27">
        <f>SUM(0)</f>
        <v>0</v>
      </c>
      <c r="J329" s="27">
        <f>SUM(0)</f>
        <v>0</v>
      </c>
      <c r="K329" s="90">
        <f t="shared" si="338"/>
        <v>0</v>
      </c>
      <c r="L329" s="27">
        <f>SUM(0)</f>
        <v>0</v>
      </c>
      <c r="M329" s="90">
        <f t="shared" si="339"/>
        <v>0</v>
      </c>
      <c r="N329" s="28"/>
      <c r="O329" s="27">
        <f>SUM(0)</f>
        <v>0</v>
      </c>
      <c r="P329" s="90">
        <f t="shared" si="340"/>
        <v>0</v>
      </c>
      <c r="Q329" s="91"/>
      <c r="R329" s="92"/>
      <c r="S329" s="28"/>
      <c r="T329" s="27">
        <f>SUM(0)</f>
        <v>0</v>
      </c>
      <c r="U329" s="90">
        <f t="shared" si="341"/>
        <v>0</v>
      </c>
      <c r="V329" s="91"/>
      <c r="W329" s="92"/>
      <c r="X329" s="28"/>
      <c r="Y329" s="27">
        <f>SUM(0)</f>
        <v>0</v>
      </c>
      <c r="Z329" s="90">
        <f t="shared" si="342"/>
        <v>0</v>
      </c>
      <c r="AB329" s="92"/>
      <c r="AC329" s="28"/>
      <c r="AD329" s="27">
        <f>SUM(0)</f>
        <v>0</v>
      </c>
      <c r="AE329" s="6">
        <f t="shared" si="343"/>
        <v>0</v>
      </c>
      <c r="AG329" s="92"/>
      <c r="AH329" s="28"/>
      <c r="AI329" s="27">
        <f>SUM(0)</f>
        <v>0</v>
      </c>
      <c r="AJ329" s="90">
        <f t="shared" si="335"/>
        <v>0</v>
      </c>
      <c r="AL329" s="92"/>
      <c r="AM329" s="28"/>
      <c r="AN329" s="27">
        <f>SUM(0)</f>
        <v>0</v>
      </c>
      <c r="AO329" s="90">
        <f t="shared" si="336"/>
        <v>0</v>
      </c>
      <c r="AQ329" s="92"/>
      <c r="AR329" s="28"/>
      <c r="AS329" s="27">
        <f>SUM(0)</f>
        <v>0</v>
      </c>
      <c r="AT329" s="90">
        <f t="shared" si="344"/>
        <v>0</v>
      </c>
      <c r="AV329" s="92"/>
    </row>
    <row r="330" spans="1:48" s="7" customFormat="1" x14ac:dyDescent="0.3">
      <c r="A330" s="23" t="str">
        <f t="shared" si="337"/>
        <v>6120</v>
      </c>
      <c r="B330" s="24" t="s">
        <v>294</v>
      </c>
      <c r="C330" s="25"/>
      <c r="D330" s="25"/>
      <c r="E330" s="25" t="str">
        <f xml:space="preserve"> A398</f>
        <v>612 Locations immobilières   *</v>
      </c>
      <c r="F330" s="27">
        <f>SUM(F108)</f>
        <v>0</v>
      </c>
      <c r="G330" s="27">
        <f>SUM(G108)</f>
        <v>275</v>
      </c>
      <c r="H330" s="27">
        <f>SUM(H108)</f>
        <v>275</v>
      </c>
      <c r="I330" s="27">
        <f>SUM(I108)</f>
        <v>275</v>
      </c>
      <c r="J330" s="27">
        <f>SUM(J108)</f>
        <v>280</v>
      </c>
      <c r="K330" s="90">
        <f t="shared" si="338"/>
        <v>0</v>
      </c>
      <c r="L330" s="27">
        <f>SUM(L108)</f>
        <v>280</v>
      </c>
      <c r="M330" s="90">
        <f t="shared" si="339"/>
        <v>0</v>
      </c>
      <c r="N330" s="28"/>
      <c r="O330" s="27">
        <f>SUM(O108)</f>
        <v>280</v>
      </c>
      <c r="P330" s="90">
        <f t="shared" si="340"/>
        <v>0</v>
      </c>
      <c r="Q330" s="91"/>
      <c r="R330" s="92"/>
      <c r="S330" s="28"/>
      <c r="T330" s="27">
        <f>SUM(T108)</f>
        <v>280</v>
      </c>
      <c r="U330" s="90">
        <f t="shared" si="341"/>
        <v>0</v>
      </c>
      <c r="V330" s="91"/>
      <c r="W330" s="92"/>
      <c r="X330" s="28"/>
      <c r="Y330" s="27">
        <f>SUM(Y108)</f>
        <v>280</v>
      </c>
      <c r="Z330" s="90">
        <f t="shared" si="342"/>
        <v>0</v>
      </c>
      <c r="AB330" s="92"/>
      <c r="AC330" s="28"/>
      <c r="AD330" s="27">
        <f>SUM(AD108)</f>
        <v>280</v>
      </c>
      <c r="AE330" s="6">
        <f t="shared" si="343"/>
        <v>0</v>
      </c>
      <c r="AG330" s="92"/>
      <c r="AH330" s="28"/>
      <c r="AI330" s="27">
        <f>SUM(AI108)</f>
        <v>280</v>
      </c>
      <c r="AJ330" s="90">
        <f t="shared" si="335"/>
        <v>0</v>
      </c>
      <c r="AL330" s="92"/>
      <c r="AM330" s="28"/>
      <c r="AN330" s="27">
        <f>SUM(AN108)</f>
        <v>300</v>
      </c>
      <c r="AO330" s="90">
        <f t="shared" si="336"/>
        <v>0</v>
      </c>
      <c r="AQ330" s="92"/>
      <c r="AR330" s="28"/>
      <c r="AS330" s="27">
        <f>SUM(AS95)</f>
        <v>0</v>
      </c>
      <c r="AT330" s="90">
        <f t="shared" si="344"/>
        <v>0</v>
      </c>
      <c r="AV330" s="92"/>
    </row>
    <row r="331" spans="1:48" s="7" customFormat="1" x14ac:dyDescent="0.3">
      <c r="A331" s="23" t="str">
        <f t="shared" si="337"/>
        <v>6130</v>
      </c>
      <c r="B331" s="24" t="s">
        <v>295</v>
      </c>
      <c r="C331" s="25"/>
      <c r="D331" s="25"/>
      <c r="E331" s="25" t="str">
        <f xml:space="preserve"> A400</f>
        <v>613 Locations mobilières  *</v>
      </c>
      <c r="F331" s="27">
        <f>SUM(F210)</f>
        <v>85.91</v>
      </c>
      <c r="G331" s="27">
        <f>SUM(G210)</f>
        <v>88.62</v>
      </c>
      <c r="H331" s="27">
        <f>SUM(H210)</f>
        <v>92.09</v>
      </c>
      <c r="I331" s="27">
        <f>SUM(I210)</f>
        <v>94.48</v>
      </c>
      <c r="J331" s="27">
        <f>SUM(J210)</f>
        <v>98.47</v>
      </c>
      <c r="K331" s="90">
        <f t="shared" si="338"/>
        <v>0</v>
      </c>
      <c r="L331" s="27">
        <f>SUM(L210)</f>
        <v>100.86</v>
      </c>
      <c r="M331" s="90">
        <f t="shared" si="339"/>
        <v>0</v>
      </c>
      <c r="N331" s="28"/>
      <c r="O331" s="27">
        <f>SUM(O210)</f>
        <v>103.31</v>
      </c>
      <c r="P331" s="90">
        <f t="shared" si="340"/>
        <v>0</v>
      </c>
      <c r="Q331" s="91"/>
      <c r="R331" s="92"/>
      <c r="S331" s="28"/>
      <c r="T331" s="27">
        <f>SUM(T210)</f>
        <v>105.62</v>
      </c>
      <c r="U331" s="90">
        <f t="shared" si="341"/>
        <v>0</v>
      </c>
      <c r="V331" s="91"/>
      <c r="W331" s="92"/>
      <c r="X331" s="28"/>
      <c r="Y331" s="27">
        <f>SUM(Y210)</f>
        <v>108.22</v>
      </c>
      <c r="Z331" s="90">
        <f t="shared" si="342"/>
        <v>0</v>
      </c>
      <c r="AB331" s="92"/>
      <c r="AC331" s="28"/>
      <c r="AD331" s="27">
        <f>SUM(AD210)</f>
        <v>110.89</v>
      </c>
      <c r="AE331" s="6">
        <f t="shared" si="343"/>
        <v>0</v>
      </c>
      <c r="AG331" s="92"/>
      <c r="AH331" s="28"/>
      <c r="AI331" s="27">
        <f>SUM(AI210)</f>
        <v>113.9</v>
      </c>
      <c r="AJ331" s="90">
        <f t="shared" si="335"/>
        <v>0</v>
      </c>
      <c r="AL331" s="92"/>
      <c r="AM331" s="28"/>
      <c r="AN331" s="27">
        <f>SUM(AN210)</f>
        <v>116.65</v>
      </c>
      <c r="AO331" s="90">
        <f t="shared" si="336"/>
        <v>0</v>
      </c>
      <c r="AQ331" s="92"/>
      <c r="AR331" s="28"/>
      <c r="AS331" s="27">
        <f>SUM(AS96)</f>
        <v>0</v>
      </c>
      <c r="AT331" s="90">
        <f t="shared" si="344"/>
        <v>0</v>
      </c>
      <c r="AV331" s="92"/>
    </row>
    <row r="332" spans="1:48" s="7" customFormat="1" x14ac:dyDescent="0.3">
      <c r="A332" s="23" t="str">
        <f t="shared" si="337"/>
        <v>6140</v>
      </c>
      <c r="B332" s="24" t="s">
        <v>296</v>
      </c>
      <c r="C332" s="25"/>
      <c r="D332" s="25"/>
      <c r="E332" s="25" t="str">
        <f xml:space="preserve"> A402</f>
        <v>614 Contrats de maintenance   *</v>
      </c>
      <c r="F332" s="27">
        <f>SUM(F93:F96,F141:F142,F179,F183,F190:F191,F193:F195,F199,F203,F208,F287:F289,F301:F302,F306)</f>
        <v>25888.7</v>
      </c>
      <c r="G332" s="27">
        <f>SUM(G93:G96,G141:G142,G179,G183,G190:G191,G193:G195,G199,G203,G208,G287:G289,G301:G302,G306)</f>
        <v>27987.119999999999</v>
      </c>
      <c r="H332" s="27">
        <f>SUM(H93:H96,H141:H142,H179,H183,H190:H191,H193:H195,H199,H203,H208,H287:H289,H301:H302,H306)</f>
        <v>23964.55</v>
      </c>
      <c r="I332" s="27">
        <f>SUM(I93:I96,I141:I142,I179,I183,I190:I191,I193:I195,I199,I203,I208,I287:I289,I301:I302,I306)</f>
        <v>23880.65</v>
      </c>
      <c r="J332" s="27">
        <f>SUM(J93:J96,J141:J142,J179,J183,J190:J191,J193:J195,J199,J203,J208,J287:J289,J301:J302,J306)</f>
        <v>30852.010000000002</v>
      </c>
      <c r="K332" s="90">
        <f t="shared" si="338"/>
        <v>0</v>
      </c>
      <c r="L332" s="27">
        <f>SUM(L93:L96,L141:L142,L179,L183,L190:L191,L193:L195,L199,L203,L208,L287:L289,L301:L302,L306)</f>
        <v>34495.199999999997</v>
      </c>
      <c r="M332" s="90">
        <f t="shared" si="339"/>
        <v>2399.9999999999964</v>
      </c>
      <c r="N332" s="28"/>
      <c r="O332" s="27">
        <f>SUM(O93:O96,O141:O142,O179,O183,O190:O191,O193:O195,O199,O203,O208,O287:O289,O301:O302,O306)</f>
        <v>32866.050000000003</v>
      </c>
      <c r="P332" s="90">
        <f t="shared" si="340"/>
        <v>0</v>
      </c>
      <c r="Q332" s="91"/>
      <c r="R332" s="92"/>
      <c r="S332" s="28"/>
      <c r="T332" s="27">
        <f>SUM(T93:T96,T141:T142,T179,T183,T190:T191,T193:T195,T199,T203,T208,T287:T289,T301:T302,T306)</f>
        <v>30971.179999999997</v>
      </c>
      <c r="U332" s="90">
        <f t="shared" si="341"/>
        <v>527.99999999999636</v>
      </c>
      <c r="V332" s="91"/>
      <c r="W332" s="92"/>
      <c r="X332" s="28"/>
      <c r="Y332" s="27">
        <f>SUM(Y93:Y96,Y141:Y142,Y179,Y183,Y190:Y191,Y193:Y195,Y199,Y203,Y208,Y287:Y289,Y301:Y302,Y306)</f>
        <v>34295.32</v>
      </c>
      <c r="Z332" s="90">
        <f t="shared" si="342"/>
        <v>0</v>
      </c>
      <c r="AB332" s="92"/>
      <c r="AC332" s="28"/>
      <c r="AD332" s="27">
        <f>SUM(AD93:AD96,AD141:AD142,AD179,AD183,AD190:AD191,AD193:AD195,AD199,AD203,AD208,AD287:AD289,AD301:AD302,AD306)</f>
        <v>30233.710000000003</v>
      </c>
      <c r="AE332" s="6">
        <f t="shared" si="343"/>
        <v>0</v>
      </c>
      <c r="AG332" s="92"/>
      <c r="AH332" s="28"/>
      <c r="AI332" s="27">
        <f>SUM(AI93:AI96,AI141:AI142,AI179,AI183,AI190:AI191,AI193:AI195,AI199,AI203,AI208,AI287:AI289,AI301:AI302,AI306)</f>
        <v>33308.19</v>
      </c>
      <c r="AJ332" s="90">
        <f t="shared" si="335"/>
        <v>0</v>
      </c>
      <c r="AL332" s="92"/>
      <c r="AM332" s="28"/>
      <c r="AN332" s="27">
        <f>SUM(AN93:AN96,AN141:AN142,AN179,AN183,AN190:AN191,AN193:AN195,AN199,AN203,AN208,AN287:AN289,AN301:AN302,AN306)</f>
        <v>32581.21</v>
      </c>
      <c r="AO332" s="90">
        <f t="shared" si="336"/>
        <v>0</v>
      </c>
      <c r="AQ332" s="92"/>
      <c r="AR332" s="28"/>
      <c r="AS332" s="27">
        <f>SUM(AS93:AS96,AS141:AS142,AS179,AS183,AS190:AS191,AS193:AS195,AS199,AS203,AS208,AS287:AS289,AS301:AS302,AS306)</f>
        <v>0</v>
      </c>
      <c r="AT332" s="90">
        <f t="shared" si="344"/>
        <v>0</v>
      </c>
      <c r="AV332" s="92"/>
    </row>
    <row r="333" spans="1:48" s="7" customFormat="1" x14ac:dyDescent="0.3">
      <c r="A333" s="23" t="str">
        <f t="shared" si="337"/>
        <v>6150</v>
      </c>
      <c r="B333" s="24" t="s">
        <v>297</v>
      </c>
      <c r="C333" s="25"/>
      <c r="D333" s="25"/>
      <c r="E333" s="25" t="str">
        <f xml:space="preserve"> A438</f>
        <v>615 Entretien et petites réparations    *</v>
      </c>
      <c r="F333" s="27">
        <f>SUM(F83:F86,F88:F91,F97,F98,F102:F107,F133,F177:F178,F180:F181,F184:F186:F187,F189,F192,F196:F197,F200:F202,F204:F205,F209,F290,F303:F305)</f>
        <v>27726.81</v>
      </c>
      <c r="G333" s="27">
        <f>SUM(G83:G86,G88:G91,G97,G98,G102:G107,G133,G177:G178,G180:G181,G184:G186:G187,G189,G192,G196:G197,G200:G202,G204:G205,G209,G290,G303:G305)</f>
        <v>34091.160000000003</v>
      </c>
      <c r="H333" s="27">
        <f>SUM(H83:H86,H88:H91,H97,H98,H102:H107,H133,H177:H178,H180:H181,H184:H186:H187,H189,H192,H196:H197,H200:H202,H204:H205,H209,H290,H303:H305)</f>
        <v>30099.489999999998</v>
      </c>
      <c r="I333" s="27">
        <f>SUM(I83:I86,I88:I91,I97,I98,I102:I107,I133,I177:I178,I180:I181,I184:I186:I187,I189,I192,I196:I197,I200:I202,I204:I205,I209,I290,I303:I305)</f>
        <v>51700.170000000006</v>
      </c>
      <c r="J333" s="27">
        <f>SUM(J83:J86,J88:J91,J97,J98,J102:J107,J133,J177:J178,J180:J181,J184:J186:J187,J189,J192,J196:J197,J200:J202,J204:J205,J209,J290,J303:J305)</f>
        <v>29706.74</v>
      </c>
      <c r="K333" s="90">
        <f t="shared" si="338"/>
        <v>0</v>
      </c>
      <c r="L333" s="27">
        <f>SUM(L83:L86,L88:L91,L97,L98,L102:L107,L133,L177:L178,L180:L181,L184:L186:L187,L189,L192,L196:L197,L200:L202,L204:L205,L209,L290,L303:L305)</f>
        <v>29668.609999999997</v>
      </c>
      <c r="M333" s="90">
        <f t="shared" si="339"/>
        <v>0</v>
      </c>
      <c r="N333" s="28"/>
      <c r="O333" s="27">
        <f>SUM(O83:O86,O88:O91,O97,O98,O102:O107,O133,O177:O178,O180:O181,O184:O186:O187,O189,O192,O196:O197,O200:O202,O204:O205,O209,O290,O303:O305)</f>
        <v>36837.89</v>
      </c>
      <c r="P333" s="90">
        <f t="shared" si="340"/>
        <v>0</v>
      </c>
      <c r="Q333" s="91"/>
      <c r="R333" s="92"/>
      <c r="S333" s="28"/>
      <c r="T333" s="27">
        <f>SUM(T83:T86,T88:T91,T97,T98,T102:T107,T133,T177:T178,T180:T181,T184:T186:T187,T189,T192,T196:T197,T200:T202,T204:T205,T209,T290,T303:T305)</f>
        <v>44612.88</v>
      </c>
      <c r="U333" s="90">
        <f t="shared" si="341"/>
        <v>-528</v>
      </c>
      <c r="V333" s="91"/>
      <c r="W333" s="92"/>
      <c r="X333" s="28"/>
      <c r="Y333" s="27">
        <f>SUM(Y83:Y86,Y88:Y91,Y97,Y98,Y102:Y107,Y133,Y177:Y178,Y180:Y181,Y184:Y186:Y187,Y189,Y192,Y196:Y197,Y200:Y202,Y204:Y205,Y209,Y290,Y303:Y305)</f>
        <v>59728.83</v>
      </c>
      <c r="Z333" s="90">
        <f t="shared" si="342"/>
        <v>0</v>
      </c>
      <c r="AB333" s="92"/>
      <c r="AC333" s="28"/>
      <c r="AD333" s="27">
        <f>SUM(AD83:AD86,AD88:AD91,AD97,AD98,AD102:AD107,AD133,AD177:AD178,AD180:AD181,AD184:AD186:AD187,AD189,AD192,AD196:AD197,AD200:AD202,AD204:AD205,AD209,AD223,AD290,AD303:AD305)</f>
        <v>54662.179999999993</v>
      </c>
      <c r="AE333" s="6">
        <f t="shared" si="343"/>
        <v>0</v>
      </c>
      <c r="AG333" s="92"/>
      <c r="AH333" s="28"/>
      <c r="AI333" s="27">
        <f>SUM(AI83:AI86,AI88:AI91,AI97:AI99,AI102:AI107,AI133,AI177:AI178,AI180:AI181,AI184:AI186:AI187,AI189,AI192,AI196:AI197,AI200:AI202,AI204:AI205,AI209,AI223,AI290,AI303:AI305)</f>
        <v>46755.799999999996</v>
      </c>
      <c r="AJ333" s="90">
        <f t="shared" si="335"/>
        <v>0</v>
      </c>
      <c r="AL333" s="92"/>
      <c r="AM333" s="28"/>
      <c r="AN333" s="27">
        <f>SUM(AN83:AN86,AN88:AN91,AN97:AN99,AN102:AN107,AN133,AN177:AN178,AN180:AN181,AN184:AN186:AN187,AN189,AN192,AN196:AN197,AN200:AN202,AN204:AN205,AN209,AN223,AN250,AN290,AN303:AN305)</f>
        <v>44088.010000000009</v>
      </c>
      <c r="AO333" s="90">
        <f t="shared" si="336"/>
        <v>0</v>
      </c>
      <c r="AQ333" s="92"/>
      <c r="AR333" s="28"/>
      <c r="AS333" s="27">
        <f>SUM(AS83:AS86,AS88:AS91,AS97,AS98,AS102:AS107,AS133,AS177:AS178,AS180:AS181,AS184:AS186:AS187,AS189,AS192,AS196:AS197,AS200:AS202,AS204:AS205,AS209,AS290,AS303:AS305)</f>
        <v>0</v>
      </c>
      <c r="AT333" s="90">
        <f t="shared" si="344"/>
        <v>0</v>
      </c>
      <c r="AV333" s="92"/>
    </row>
    <row r="334" spans="1:48" s="7" customFormat="1" x14ac:dyDescent="0.3">
      <c r="A334" s="23" t="str">
        <f t="shared" si="337"/>
        <v>6160</v>
      </c>
      <c r="B334" s="24" t="s">
        <v>298</v>
      </c>
      <c r="C334" s="25"/>
      <c r="D334" s="25"/>
      <c r="E334" s="25" t="str">
        <f xml:space="preserve"> A492</f>
        <v>616 Primes d'assurances   *</v>
      </c>
      <c r="F334" s="27">
        <f>SUM(F169,)</f>
        <v>28263.14</v>
      </c>
      <c r="G334" s="27">
        <f>SUM(G169,)</f>
        <v>29411.34</v>
      </c>
      <c r="H334" s="27">
        <f>SUM(H169,)</f>
        <v>30397.63</v>
      </c>
      <c r="I334" s="27">
        <f>SUM(I169,)</f>
        <v>31201.15</v>
      </c>
      <c r="J334" s="27">
        <f>SUM(J169,)</f>
        <v>31811.51</v>
      </c>
      <c r="K334" s="90">
        <f t="shared" si="338"/>
        <v>0</v>
      </c>
      <c r="L334" s="27">
        <f>SUM(L169,)</f>
        <v>32156.34</v>
      </c>
      <c r="M334" s="90">
        <f t="shared" si="339"/>
        <v>0</v>
      </c>
      <c r="N334" s="28"/>
      <c r="O334" s="27">
        <f>SUM(O169,)</f>
        <v>28906.880000000001</v>
      </c>
      <c r="P334" s="90">
        <f t="shared" si="340"/>
        <v>0</v>
      </c>
      <c r="Q334" s="91"/>
      <c r="R334" s="92"/>
      <c r="S334" s="28"/>
      <c r="T334" s="27">
        <f>SUM(T169,)</f>
        <v>29107.06</v>
      </c>
      <c r="U334" s="90">
        <f t="shared" si="341"/>
        <v>0</v>
      </c>
      <c r="V334" s="91"/>
      <c r="W334" s="92"/>
      <c r="X334" s="28"/>
      <c r="Y334" s="27">
        <f>SUM(Y169,)</f>
        <v>30294.2</v>
      </c>
      <c r="Z334" s="90">
        <f t="shared" si="342"/>
        <v>0</v>
      </c>
      <c r="AB334" s="92"/>
      <c r="AC334" s="28"/>
      <c r="AD334" s="27">
        <f>SUM(AD169,)</f>
        <v>25346.54</v>
      </c>
      <c r="AE334" s="6">
        <f t="shared" si="343"/>
        <v>0</v>
      </c>
      <c r="AG334" s="92"/>
      <c r="AH334" s="28"/>
      <c r="AI334" s="27">
        <f>SUM(AI169,)</f>
        <v>25500.799999999999</v>
      </c>
      <c r="AJ334" s="90">
        <f t="shared" si="335"/>
        <v>0</v>
      </c>
      <c r="AL334" s="92"/>
      <c r="AM334" s="28"/>
      <c r="AN334" s="27">
        <f>SUM(AN169:AN170)</f>
        <v>22667.4</v>
      </c>
      <c r="AO334" s="90">
        <f t="shared" si="336"/>
        <v>0</v>
      </c>
      <c r="AQ334" s="92"/>
      <c r="AR334" s="28"/>
      <c r="AS334" s="27">
        <f>SUM(AS147,)</f>
        <v>0</v>
      </c>
      <c r="AT334" s="90">
        <f t="shared" si="344"/>
        <v>0</v>
      </c>
      <c r="AV334" s="92"/>
    </row>
    <row r="335" spans="1:48" s="7" customFormat="1" ht="20.45" customHeight="1" x14ac:dyDescent="0.3">
      <c r="A335" s="23" t="str">
        <f t="shared" ref="A335:A341" si="345">LEFT(B335,FIND(" ",B335,1))</f>
        <v xml:space="preserve">621 </v>
      </c>
      <c r="B335" s="24" t="s">
        <v>299</v>
      </c>
      <c r="C335" s="25"/>
      <c r="D335" s="25"/>
      <c r="E335" s="25" t="str">
        <f xml:space="preserve"> A502</f>
        <v>621 Rémunérations du syndic sur gestion copropriété  *</v>
      </c>
      <c r="F335" s="27">
        <f>SUM(0)</f>
        <v>0</v>
      </c>
      <c r="G335" s="27">
        <f>SUM(0)</f>
        <v>0</v>
      </c>
      <c r="H335" s="27">
        <f>SUM(0)</f>
        <v>0</v>
      </c>
      <c r="I335" s="27">
        <f>SUM(0)</f>
        <v>0</v>
      </c>
      <c r="J335" s="27">
        <f>SUM(0)</f>
        <v>0</v>
      </c>
      <c r="K335" s="90">
        <f t="shared" si="338"/>
        <v>0</v>
      </c>
      <c r="L335" s="27">
        <f>SUM(0)</f>
        <v>0</v>
      </c>
      <c r="M335" s="90">
        <f t="shared" si="339"/>
        <v>0</v>
      </c>
      <c r="N335" s="28"/>
      <c r="O335" s="27">
        <f>SUM(0)</f>
        <v>0</v>
      </c>
      <c r="P335" s="90">
        <f t="shared" si="340"/>
        <v>0</v>
      </c>
      <c r="Q335" s="91"/>
      <c r="R335" s="92"/>
      <c r="S335" s="28"/>
      <c r="T335" s="27">
        <f>SUM(0)</f>
        <v>0</v>
      </c>
      <c r="U335" s="90">
        <f t="shared" si="341"/>
        <v>0</v>
      </c>
      <c r="V335" s="91"/>
      <c r="W335" s="92"/>
      <c r="X335" s="28"/>
      <c r="Y335" s="27">
        <f>SUM(0)</f>
        <v>0</v>
      </c>
      <c r="Z335" s="90">
        <f t="shared" si="342"/>
        <v>0</v>
      </c>
      <c r="AB335" s="92"/>
      <c r="AC335" s="28"/>
      <c r="AD335" s="27">
        <f>SUM(0)</f>
        <v>0</v>
      </c>
      <c r="AE335" s="6">
        <f t="shared" si="343"/>
        <v>0</v>
      </c>
      <c r="AG335" s="92"/>
      <c r="AH335" s="28"/>
      <c r="AI335" s="27">
        <f>SUM(0)</f>
        <v>0</v>
      </c>
      <c r="AJ335" s="90">
        <f t="shared" si="335"/>
        <v>0</v>
      </c>
      <c r="AL335" s="92"/>
      <c r="AM335" s="28"/>
      <c r="AN335" s="27">
        <f>SUM(0)</f>
        <v>0</v>
      </c>
      <c r="AO335" s="90">
        <f t="shared" si="336"/>
        <v>0</v>
      </c>
      <c r="AQ335" s="92"/>
      <c r="AR335" s="28"/>
      <c r="AS335" s="27">
        <f>SUM(0)</f>
        <v>0</v>
      </c>
      <c r="AT335" s="90">
        <f t="shared" si="344"/>
        <v>0</v>
      </c>
      <c r="AV335" s="92"/>
    </row>
    <row r="336" spans="1:48" s="7" customFormat="1" x14ac:dyDescent="0.3">
      <c r="A336" s="23" t="str">
        <f t="shared" si="345"/>
        <v xml:space="preserve">6211 </v>
      </c>
      <c r="B336" s="24" t="s">
        <v>300</v>
      </c>
      <c r="C336" s="25"/>
      <c r="D336" s="25"/>
      <c r="E336" s="25" t="str">
        <f>A503</f>
        <v>6211 – Honoraires Syndic   *</v>
      </c>
      <c r="F336" s="27">
        <f>SUM(F161,,)</f>
        <v>27662</v>
      </c>
      <c r="G336" s="27">
        <f>SUM(G161,,)</f>
        <v>28400</v>
      </c>
      <c r="H336" s="27">
        <f>SUM(H161,,)</f>
        <v>29000</v>
      </c>
      <c r="I336" s="27">
        <f>SUM(I161,,)</f>
        <v>29850</v>
      </c>
      <c r="J336" s="27">
        <f>SUM(J161,,)</f>
        <v>31500</v>
      </c>
      <c r="K336" s="90">
        <f t="shared" si="338"/>
        <v>0</v>
      </c>
      <c r="L336" s="27">
        <f>SUM(L161,,)</f>
        <v>32000</v>
      </c>
      <c r="M336" s="90">
        <f t="shared" si="339"/>
        <v>0</v>
      </c>
      <c r="N336" s="28"/>
      <c r="O336" s="27">
        <f>SUM(O161,,)</f>
        <v>38340</v>
      </c>
      <c r="P336" s="90">
        <f t="shared" si="340"/>
        <v>0</v>
      </c>
      <c r="Q336" s="91"/>
      <c r="R336" s="92"/>
      <c r="S336" s="28"/>
      <c r="T336" s="27">
        <f>SUM(T161,,)</f>
        <v>38340</v>
      </c>
      <c r="U336" s="90">
        <f t="shared" si="341"/>
        <v>0</v>
      </c>
      <c r="V336" s="91"/>
      <c r="W336" s="92"/>
      <c r="X336" s="28"/>
      <c r="Y336" s="27">
        <f>SUM(Y161,,)</f>
        <v>38700</v>
      </c>
      <c r="Z336" s="90">
        <f t="shared" si="342"/>
        <v>0</v>
      </c>
      <c r="AB336" s="92"/>
      <c r="AC336" s="28"/>
      <c r="AD336" s="27">
        <f>SUM(AD161,,)</f>
        <v>38800</v>
      </c>
      <c r="AE336" s="6">
        <f t="shared" si="343"/>
        <v>0</v>
      </c>
      <c r="AG336" s="92"/>
      <c r="AH336" s="28"/>
      <c r="AI336" s="27">
        <f>SUM(AI161,,)</f>
        <v>38800</v>
      </c>
      <c r="AJ336" s="90">
        <f t="shared" si="335"/>
        <v>0</v>
      </c>
      <c r="AL336" s="92"/>
      <c r="AM336" s="28"/>
      <c r="AN336" s="27">
        <f>SUM(AN161,,)</f>
        <v>39295.480000000003</v>
      </c>
      <c r="AO336" s="90">
        <f t="shared" si="336"/>
        <v>0</v>
      </c>
      <c r="AQ336" s="92"/>
      <c r="AR336" s="28"/>
      <c r="AS336" s="27">
        <f>SUM(AS148,)</f>
        <v>0</v>
      </c>
      <c r="AT336" s="90">
        <f t="shared" si="344"/>
        <v>-1</v>
      </c>
      <c r="AV336" s="92"/>
    </row>
    <row r="337" spans="1:48" s="7" customFormat="1" x14ac:dyDescent="0.3">
      <c r="A337" s="23" t="str">
        <f t="shared" si="345"/>
        <v xml:space="preserve">6212 </v>
      </c>
      <c r="B337" s="24" t="s">
        <v>301</v>
      </c>
      <c r="C337" s="25"/>
      <c r="D337" s="25"/>
      <c r="E337" s="25" t="str">
        <f>A504</f>
        <v>6212 – Débours   *</v>
      </c>
      <c r="F337" s="27">
        <f>SUM(F136,F166,)</f>
        <v>0</v>
      </c>
      <c r="G337" s="27">
        <f>SUM(G136,G166,)</f>
        <v>5112.76</v>
      </c>
      <c r="H337" s="27">
        <f>SUM(H136,H166,)</f>
        <v>5373.39</v>
      </c>
      <c r="I337" s="27">
        <f>SUM(I136,I166,)</f>
        <v>3543.6</v>
      </c>
      <c r="J337" s="27">
        <f>SUM(J136,J166,)</f>
        <v>3277.82</v>
      </c>
      <c r="K337" s="90">
        <f t="shared" si="338"/>
        <v>0</v>
      </c>
      <c r="L337" s="27">
        <f>SUM(L136,L166,)</f>
        <v>4553.47</v>
      </c>
      <c r="M337" s="90">
        <f t="shared" si="339"/>
        <v>0</v>
      </c>
      <c r="N337" s="28"/>
      <c r="O337" s="27">
        <f>SUM(O136,O166,)</f>
        <v>0</v>
      </c>
      <c r="P337" s="90">
        <f t="shared" si="340"/>
        <v>0</v>
      </c>
      <c r="Q337" s="91"/>
      <c r="R337" s="92"/>
      <c r="S337" s="28"/>
      <c r="T337" s="27">
        <f>SUM(T136,T166,)</f>
        <v>600</v>
      </c>
      <c r="U337" s="90">
        <f t="shared" si="341"/>
        <v>0</v>
      </c>
      <c r="V337" s="91"/>
      <c r="W337" s="92"/>
      <c r="X337" s="28"/>
      <c r="Y337" s="27">
        <f>SUM(Y136,Y166,)</f>
        <v>0</v>
      </c>
      <c r="Z337" s="90">
        <f t="shared" si="342"/>
        <v>0</v>
      </c>
      <c r="AB337" s="92"/>
      <c r="AC337" s="28"/>
      <c r="AD337" s="27">
        <f>SUM(AD136,AD166,)</f>
        <v>0</v>
      </c>
      <c r="AE337" s="6">
        <f t="shared" si="343"/>
        <v>0</v>
      </c>
      <c r="AG337" s="92"/>
      <c r="AH337" s="28"/>
      <c r="AI337" s="27">
        <f>SUM(AI136,AI166,)</f>
        <v>0</v>
      </c>
      <c r="AJ337" s="90">
        <f t="shared" si="335"/>
        <v>0</v>
      </c>
      <c r="AL337" s="92"/>
      <c r="AM337" s="28"/>
      <c r="AN337" s="27">
        <f>SUM(AN136,AN166,)</f>
        <v>3492.48</v>
      </c>
      <c r="AO337" s="90">
        <f t="shared" si="336"/>
        <v>0</v>
      </c>
      <c r="AQ337" s="92"/>
      <c r="AR337" s="28"/>
      <c r="AS337" s="27">
        <f>SUM(AS149:AS151)</f>
        <v>0</v>
      </c>
      <c r="AT337" s="90">
        <f t="shared" si="344"/>
        <v>0</v>
      </c>
      <c r="AV337" s="92"/>
    </row>
    <row r="338" spans="1:48" s="7" customFormat="1" x14ac:dyDescent="0.3">
      <c r="A338" s="23" t="str">
        <f t="shared" si="345"/>
        <v xml:space="preserve">6213 </v>
      </c>
      <c r="B338" s="24" t="s">
        <v>302</v>
      </c>
      <c r="C338" s="25"/>
      <c r="D338" s="25"/>
      <c r="E338" s="25" t="str">
        <f>A509</f>
        <v>6213 – Frais postaux   *</v>
      </c>
      <c r="F338" s="27">
        <f>SUM(F134:F135,)</f>
        <v>2160</v>
      </c>
      <c r="G338" s="27">
        <f>SUM(G134:G135,)</f>
        <v>3436.31</v>
      </c>
      <c r="H338" s="27">
        <f>SUM(H134:H135,)</f>
        <v>4284.3</v>
      </c>
      <c r="I338" s="27">
        <f>SUM(I134:I135,)</f>
        <v>2967.04</v>
      </c>
      <c r="J338" s="27">
        <f>SUM(J134:J135,)</f>
        <v>4370.07</v>
      </c>
      <c r="K338" s="90">
        <f t="shared" si="338"/>
        <v>0</v>
      </c>
      <c r="L338" s="27">
        <f>SUM(L134:L135,)</f>
        <v>4811.88</v>
      </c>
      <c r="M338" s="90">
        <f t="shared" si="339"/>
        <v>0</v>
      </c>
      <c r="N338" s="28"/>
      <c r="O338" s="27">
        <f>SUM(O134:O135,)</f>
        <v>2387.2800000000002</v>
      </c>
      <c r="P338" s="90">
        <f t="shared" si="340"/>
        <v>0</v>
      </c>
      <c r="Q338" s="91"/>
      <c r="R338" s="92"/>
      <c r="S338" s="28"/>
      <c r="T338" s="27">
        <f>SUM(T134:T135,)</f>
        <v>2675.21</v>
      </c>
      <c r="U338" s="90">
        <f t="shared" si="341"/>
        <v>0</v>
      </c>
      <c r="V338" s="91"/>
      <c r="W338" s="92"/>
      <c r="X338" s="28"/>
      <c r="Y338" s="27">
        <f>SUM(Y134:Y135,)</f>
        <v>2784.81</v>
      </c>
      <c r="Z338" s="90">
        <f t="shared" si="342"/>
        <v>0</v>
      </c>
      <c r="AB338" s="92"/>
      <c r="AC338" s="28"/>
      <c r="AD338" s="27">
        <f>SUM(AD134:AD135,)</f>
        <v>2646.04</v>
      </c>
      <c r="AE338" s="6">
        <f t="shared" si="343"/>
        <v>0</v>
      </c>
      <c r="AG338" s="92"/>
      <c r="AH338" s="28"/>
      <c r="AI338" s="27">
        <f>SUM(AI134:AI135,)</f>
        <v>1773.19</v>
      </c>
      <c r="AJ338" s="90">
        <f t="shared" si="335"/>
        <v>0</v>
      </c>
      <c r="AL338" s="92"/>
      <c r="AM338" s="28"/>
      <c r="AN338" s="27">
        <f>SUM(AN134:AN135,)</f>
        <v>2202.14</v>
      </c>
      <c r="AO338" s="90">
        <f t="shared" si="336"/>
        <v>0</v>
      </c>
      <c r="AQ338" s="92"/>
      <c r="AR338" s="28"/>
      <c r="AS338" s="27">
        <f>SUM(AS152:AS153)</f>
        <v>0</v>
      </c>
      <c r="AT338" s="90">
        <f t="shared" si="344"/>
        <v>0</v>
      </c>
      <c r="AV338" s="92"/>
    </row>
    <row r="339" spans="1:48" s="7" customFormat="1" x14ac:dyDescent="0.3">
      <c r="A339" s="23" t="str">
        <f t="shared" si="345"/>
        <v xml:space="preserve">6221 </v>
      </c>
      <c r="B339" s="24" t="s">
        <v>303</v>
      </c>
      <c r="C339" s="25"/>
      <c r="D339" s="25"/>
      <c r="E339" s="25" t="str">
        <f>A513</f>
        <v>6221 – Honoraires travaux   *</v>
      </c>
      <c r="F339" s="27"/>
      <c r="G339" s="27"/>
      <c r="H339" s="27"/>
      <c r="I339" s="27"/>
      <c r="J339" s="27"/>
      <c r="K339" s="90"/>
      <c r="L339" s="27"/>
      <c r="M339" s="90"/>
      <c r="N339" s="28"/>
      <c r="O339" s="27"/>
      <c r="P339" s="90"/>
      <c r="Q339" s="91"/>
      <c r="R339" s="92"/>
      <c r="S339" s="28"/>
      <c r="T339" s="27"/>
      <c r="U339" s="90"/>
      <c r="V339" s="91"/>
      <c r="W339" s="92"/>
      <c r="X339" s="28"/>
      <c r="Y339" s="27"/>
      <c r="Z339" s="90"/>
      <c r="AB339" s="92"/>
      <c r="AC339" s="28"/>
      <c r="AD339" s="27"/>
      <c r="AE339" s="6"/>
      <c r="AG339" s="92"/>
      <c r="AH339" s="28"/>
      <c r="AI339" s="27"/>
      <c r="AJ339" s="90"/>
      <c r="AL339" s="92"/>
      <c r="AM339" s="28"/>
      <c r="AN339" s="27"/>
      <c r="AO339" s="90"/>
      <c r="AQ339" s="92"/>
      <c r="AR339" s="28"/>
      <c r="AS339" s="27"/>
      <c r="AT339" s="90"/>
      <c r="AV339" s="92"/>
    </row>
    <row r="340" spans="1:48" s="7" customFormat="1" x14ac:dyDescent="0.3">
      <c r="A340" s="23" t="str">
        <f t="shared" si="345"/>
        <v xml:space="preserve">6222 </v>
      </c>
      <c r="B340" s="24" t="s">
        <v>304</v>
      </c>
      <c r="C340" s="25"/>
      <c r="D340" s="25"/>
      <c r="E340" s="25" t="str">
        <f>A514</f>
        <v>6222 – Prestations particulières  *</v>
      </c>
      <c r="F340" s="27">
        <f>SUM(F162,F165,)</f>
        <v>1285.7</v>
      </c>
      <c r="G340" s="27">
        <f>SUM(G162,G165,)</f>
        <v>956.8</v>
      </c>
      <c r="H340" s="27">
        <f>SUM(H162,H165,)</f>
        <v>1435.2</v>
      </c>
      <c r="I340" s="27">
        <f>SUM(I162,I165,)</f>
        <v>490.36</v>
      </c>
      <c r="J340" s="27">
        <f>SUM(J162,J165,)</f>
        <v>336</v>
      </c>
      <c r="K340" s="90">
        <f>J340-J20</f>
        <v>0</v>
      </c>
      <c r="L340" s="27">
        <f>SUM(L162,L165,)</f>
        <v>1728</v>
      </c>
      <c r="M340" s="90">
        <f>L340-L20</f>
        <v>0</v>
      </c>
      <c r="N340" s="28"/>
      <c r="O340" s="27">
        <f>SUM(O162,O165,)</f>
        <v>-79.840000000000032</v>
      </c>
      <c r="P340" s="90">
        <f>O340-O20</f>
        <v>0</v>
      </c>
      <c r="Q340" s="91"/>
      <c r="R340" s="92"/>
      <c r="S340" s="28"/>
      <c r="T340" s="27">
        <f>SUM(T162,T165,)</f>
        <v>960</v>
      </c>
      <c r="U340" s="90">
        <f>T340-T20</f>
        <v>0</v>
      </c>
      <c r="V340" s="91"/>
      <c r="W340" s="92"/>
      <c r="X340" s="28"/>
      <c r="Y340" s="27">
        <f>SUM(Y162,Y165,)</f>
        <v>360</v>
      </c>
      <c r="Z340" s="90">
        <f>Y340-Y20</f>
        <v>0</v>
      </c>
      <c r="AB340" s="92"/>
      <c r="AC340" s="28"/>
      <c r="AD340" s="27">
        <f>SUM(AD162,AD165,)</f>
        <v>600</v>
      </c>
      <c r="AE340" s="6">
        <f>AD340-AD20</f>
        <v>0</v>
      </c>
      <c r="AG340" s="92"/>
      <c r="AH340" s="28"/>
      <c r="AI340" s="27">
        <f>SUM(AI162,AI165,)</f>
        <v>960</v>
      </c>
      <c r="AJ340" s="90">
        <f>AI340-AI20</f>
        <v>0</v>
      </c>
      <c r="AL340" s="92"/>
      <c r="AM340" s="28"/>
      <c r="AN340" s="27">
        <f>SUM(AN162,AN165,)</f>
        <v>3144</v>
      </c>
      <c r="AO340" s="90">
        <f>AN340-AN20</f>
        <v>0</v>
      </c>
      <c r="AQ340" s="92"/>
      <c r="AR340" s="28"/>
      <c r="AS340" s="27">
        <f>SUM(AS154:AS155)</f>
        <v>0</v>
      </c>
      <c r="AT340" s="90">
        <f>AS340-AS20</f>
        <v>0</v>
      </c>
      <c r="AV340" s="92"/>
    </row>
    <row r="341" spans="1:48" s="7" customFormat="1" x14ac:dyDescent="0.3">
      <c r="A341" s="23" t="str">
        <f t="shared" si="345"/>
        <v xml:space="preserve">6223 </v>
      </c>
      <c r="B341" s="24" t="s">
        <v>305</v>
      </c>
      <c r="C341" s="25"/>
      <c r="D341" s="25"/>
      <c r="E341" s="25" t="str">
        <f>A517</f>
        <v>6223 – Autres honoraires   *</v>
      </c>
      <c r="F341" s="27">
        <f>SUM(F163:F164,)</f>
        <v>0</v>
      </c>
      <c r="G341" s="27">
        <f>SUM(G163:G164,)</f>
        <v>0</v>
      </c>
      <c r="H341" s="27">
        <f>SUM(H163:H164,)</f>
        <v>0</v>
      </c>
      <c r="I341" s="27">
        <f>SUM(I163:I164,)</f>
        <v>0</v>
      </c>
      <c r="J341" s="27">
        <f>SUM(J163:J164,)</f>
        <v>0</v>
      </c>
      <c r="K341" s="90">
        <f>J341-J21</f>
        <v>0</v>
      </c>
      <c r="L341" s="27">
        <f>SUM(L163:L164,)</f>
        <v>0</v>
      </c>
      <c r="M341" s="90">
        <f>L341-L21</f>
        <v>0</v>
      </c>
      <c r="N341" s="28"/>
      <c r="O341" s="27">
        <f>SUM(O163:O164,)</f>
        <v>2611.02</v>
      </c>
      <c r="P341" s="90">
        <f>O341-O21</f>
        <v>0</v>
      </c>
      <c r="Q341" s="91"/>
      <c r="R341" s="92"/>
      <c r="S341" s="28"/>
      <c r="T341" s="27">
        <f>SUM(T163:T164,)</f>
        <v>0</v>
      </c>
      <c r="U341" s="90">
        <f>T341-T21</f>
        <v>0</v>
      </c>
      <c r="V341" s="91"/>
      <c r="W341" s="92"/>
      <c r="X341" s="28"/>
      <c r="Y341" s="27">
        <f>SUM(Y163:Y164,)</f>
        <v>120</v>
      </c>
      <c r="Z341" s="90">
        <f>Y341-Y21</f>
        <v>0</v>
      </c>
      <c r="AB341" s="92"/>
      <c r="AC341" s="28"/>
      <c r="AD341" s="27">
        <f>SUM(AD163:AD164,)</f>
        <v>0</v>
      </c>
      <c r="AE341" s="6">
        <f>AD341-AD21</f>
        <v>0</v>
      </c>
      <c r="AG341" s="92"/>
      <c r="AH341" s="28"/>
      <c r="AI341" s="27">
        <f>SUM(AI163:AI164,)</f>
        <v>0</v>
      </c>
      <c r="AJ341" s="90">
        <f>AI341-AI21</f>
        <v>0</v>
      </c>
      <c r="AL341" s="92"/>
      <c r="AM341" s="28"/>
      <c r="AN341" s="27">
        <f>SUM(AN163:AN164,)</f>
        <v>0</v>
      </c>
      <c r="AO341" s="90">
        <f>AN341-AN21</f>
        <v>0</v>
      </c>
      <c r="AQ341" s="92"/>
      <c r="AR341" s="28"/>
      <c r="AS341" s="27">
        <f>SUM(AS156:AS157)</f>
        <v>0</v>
      </c>
      <c r="AT341" s="90">
        <f>AS341-AS21</f>
        <v>0</v>
      </c>
      <c r="AV341" s="92"/>
    </row>
    <row r="342" spans="1:48" s="7" customFormat="1" x14ac:dyDescent="0.3">
      <c r="A342" s="23" t="str">
        <f t="shared" ref="A342:A351" si="346">LEFT(B342,FIND(" ",B342,1)-1)&amp;0</f>
        <v>6230</v>
      </c>
      <c r="B342" s="24" t="s">
        <v>306</v>
      </c>
      <c r="C342" s="25"/>
      <c r="D342" s="25"/>
      <c r="E342" s="25" t="str">
        <f xml:space="preserve"> A520</f>
        <v>623 Rémunérations de tiers intervenants   *</v>
      </c>
      <c r="F342" s="27">
        <f>SUM(F138:F139,F148:F151,F168,F291,F307)</f>
        <v>9546.869999999999</v>
      </c>
      <c r="G342" s="27">
        <f>SUM(G138:G139,G148:G151,G168,G291,G307)</f>
        <v>8996.2999999999993</v>
      </c>
      <c r="H342" s="27">
        <f>SUM(H138:H139,H148:H151,H168,H291,H307)</f>
        <v>9687.6</v>
      </c>
      <c r="I342" s="27">
        <f>SUM(I138:I139,I148:I151,I168,I291,I307)</f>
        <v>7521.32</v>
      </c>
      <c r="J342" s="27">
        <f>SUM(J138:J139,J148:J151,J168,J291,J307)</f>
        <v>8997.02</v>
      </c>
      <c r="K342" s="90">
        <f>J342-J22</f>
        <v>0</v>
      </c>
      <c r="L342" s="27">
        <f>SUM(L138:L139,L148:L151,L168,L291,L307)</f>
        <v>2780.63</v>
      </c>
      <c r="M342" s="90">
        <f>L342-L22</f>
        <v>-2400</v>
      </c>
      <c r="N342" s="28"/>
      <c r="O342" s="27">
        <f>SUM(O138:O139,O148:O151,O168,O291,O307)</f>
        <v>4552.43</v>
      </c>
      <c r="P342" s="90">
        <f>O342-O22</f>
        <v>0</v>
      </c>
      <c r="Q342" s="91"/>
      <c r="R342" s="92"/>
      <c r="S342" s="28"/>
      <c r="T342" s="27">
        <f>SUM(T138:T139,T148:T151,T168,T291,T307)</f>
        <v>330.42999999999995</v>
      </c>
      <c r="U342" s="90">
        <f>T342-T22</f>
        <v>0</v>
      </c>
      <c r="V342" s="91"/>
      <c r="W342" s="92"/>
      <c r="X342" s="28"/>
      <c r="Y342" s="27">
        <f>SUM(Y138:Y139,Y148:Y151,Y168,Y291,Y307)</f>
        <v>2497.6</v>
      </c>
      <c r="Z342" s="90">
        <f>Y342-Y22</f>
        <v>0</v>
      </c>
      <c r="AB342" s="92"/>
      <c r="AC342" s="28"/>
      <c r="AD342" s="27">
        <f>SUM(AD138:AD139,AD148:AD151,AD168,AD291,AD307)</f>
        <v>3431.24</v>
      </c>
      <c r="AE342" s="6">
        <f>AD342-AD22</f>
        <v>0</v>
      </c>
      <c r="AG342" s="92"/>
      <c r="AH342" s="28"/>
      <c r="AI342" s="27">
        <f>SUM(AI138:AI139,AI148:AI151,AI168,AI291:AI292,AI307)</f>
        <v>3637.75</v>
      </c>
      <c r="AJ342" s="90">
        <f>AI342-AI22</f>
        <v>0</v>
      </c>
      <c r="AL342" s="92"/>
      <c r="AM342" s="28"/>
      <c r="AN342" s="27">
        <f>SUM(AN138:AN139,AN148:AN151,AN168,AN291:AN292,AN307)</f>
        <v>3474.23</v>
      </c>
      <c r="AO342" s="90">
        <f>AN342-AN22</f>
        <v>0</v>
      </c>
      <c r="AQ342" s="92"/>
      <c r="AR342" s="28"/>
      <c r="AS342" s="27">
        <f>SUM(AS138:AS139,AS148:AS151,AS168,AS291,AS307)</f>
        <v>0</v>
      </c>
      <c r="AT342" s="90">
        <f>AS342-AS22</f>
        <v>0</v>
      </c>
      <c r="AV342" s="92"/>
    </row>
    <row r="343" spans="1:48" s="7" customFormat="1" x14ac:dyDescent="0.3">
      <c r="A343" s="23" t="str">
        <f t="shared" si="346"/>
        <v>6240</v>
      </c>
      <c r="B343" s="24" t="s">
        <v>307</v>
      </c>
      <c r="C343" s="25"/>
      <c r="D343" s="25"/>
      <c r="E343" s="25" t="str">
        <f xml:space="preserve"> A530</f>
        <v>624 Frais du conseil syndical   *</v>
      </c>
      <c r="F343" s="27">
        <f>SUM(F167,)</f>
        <v>59.7</v>
      </c>
      <c r="G343" s="27">
        <f>SUM(G167,)</f>
        <v>320</v>
      </c>
      <c r="H343" s="27">
        <f>SUM(H167,)</f>
        <v>320</v>
      </c>
      <c r="I343" s="27">
        <f>SUM(I167,)</f>
        <v>619.94000000000005</v>
      </c>
      <c r="J343" s="27">
        <f>SUM(J167,)</f>
        <v>476.56</v>
      </c>
      <c r="K343" s="90">
        <f>J343-J23</f>
        <v>0</v>
      </c>
      <c r="L343" s="27">
        <f>SUM(L167,)</f>
        <v>437.91</v>
      </c>
      <c r="M343" s="90">
        <f>L343-L23</f>
        <v>0</v>
      </c>
      <c r="N343" s="28"/>
      <c r="O343" s="27">
        <f>SUM(O167,)</f>
        <v>433.69</v>
      </c>
      <c r="P343" s="90">
        <f>O343-O23</f>
        <v>0</v>
      </c>
      <c r="Q343" s="91"/>
      <c r="R343" s="92"/>
      <c r="S343" s="28"/>
      <c r="T343" s="27">
        <f>SUM(T167,)</f>
        <v>197.48</v>
      </c>
      <c r="U343" s="90">
        <f>T343-T23</f>
        <v>0</v>
      </c>
      <c r="V343" s="91"/>
      <c r="W343" s="92"/>
      <c r="X343" s="28"/>
      <c r="Y343" s="27">
        <f>SUM(Y167,)</f>
        <v>161.63999999999999</v>
      </c>
      <c r="Z343" s="90">
        <f>Y343-Y23</f>
        <v>0</v>
      </c>
      <c r="AB343" s="92"/>
      <c r="AC343" s="28"/>
      <c r="AD343" s="27">
        <f>SUM(AD167,)</f>
        <v>25</v>
      </c>
      <c r="AE343" s="6">
        <f>AD343-AD23</f>
        <v>0</v>
      </c>
      <c r="AG343" s="92"/>
      <c r="AH343" s="28"/>
      <c r="AI343" s="27">
        <f>SUM(AI167,)</f>
        <v>0</v>
      </c>
      <c r="AJ343" s="90">
        <f>AI343-AI23</f>
        <v>0</v>
      </c>
      <c r="AL343" s="92"/>
      <c r="AM343" s="28"/>
      <c r="AN343" s="27">
        <f>SUM(AN167,)</f>
        <v>0</v>
      </c>
      <c r="AO343" s="90">
        <f>AN343-AN23</f>
        <v>0</v>
      </c>
      <c r="AQ343" s="92"/>
      <c r="AR343" s="28"/>
      <c r="AS343" s="27">
        <f>SUM(AS164)</f>
        <v>0</v>
      </c>
      <c r="AT343" s="90">
        <f>AS343-AS23</f>
        <v>0</v>
      </c>
      <c r="AV343" s="92"/>
    </row>
    <row r="344" spans="1:48" s="7" customFormat="1" x14ac:dyDescent="0.3">
      <c r="A344" s="23" t="str">
        <f t="shared" si="346"/>
        <v>6300</v>
      </c>
      <c r="B344" s="24" t="s">
        <v>308</v>
      </c>
      <c r="C344" s="25"/>
      <c r="D344" s="25"/>
      <c r="E344" s="25" t="str">
        <f xml:space="preserve"> A531</f>
        <v>63 Impôts - taxes et versements assimilés :</v>
      </c>
      <c r="F344" s="27">
        <f>SUM(F173:F176,)</f>
        <v>4024</v>
      </c>
      <c r="G344" s="27">
        <f>SUM(G173:G176,)</f>
        <v>2384</v>
      </c>
      <c r="H344" s="27">
        <f>SUM(H173:H176,)</f>
        <v>4951</v>
      </c>
      <c r="I344" s="27">
        <f>SUM(I173:I176,)</f>
        <v>4984</v>
      </c>
      <c r="J344" s="27">
        <f>SUM(J173:J176,)</f>
        <v>5003</v>
      </c>
      <c r="K344" s="90">
        <f>J344-SUM(J24:J26)</f>
        <v>0</v>
      </c>
      <c r="L344" s="27">
        <f>SUM(L173:L176,)</f>
        <v>5039</v>
      </c>
      <c r="M344" s="90">
        <f>L344-SUM(L24:L26)</f>
        <v>0</v>
      </c>
      <c r="N344" s="28"/>
      <c r="O344" s="27">
        <f>SUM(O173:O176,)</f>
        <v>5057</v>
      </c>
      <c r="P344" s="90">
        <f>O344-SUM(O24:O26)</f>
        <v>0</v>
      </c>
      <c r="Q344" s="91"/>
      <c r="R344" s="92"/>
      <c r="S344" s="28"/>
      <c r="T344" s="27">
        <f>SUM(T173:T176,)</f>
        <v>5064</v>
      </c>
      <c r="U344" s="90">
        <f>T344-SUM(T24:T26)</f>
        <v>0</v>
      </c>
      <c r="V344" s="91"/>
      <c r="W344" s="92"/>
      <c r="X344" s="28"/>
      <c r="Y344" s="27">
        <f>SUM(Y173:Y176,)</f>
        <v>5083</v>
      </c>
      <c r="Z344" s="90">
        <f>Y344-SUM(Y24:Y26)</f>
        <v>0</v>
      </c>
      <c r="AB344" s="92"/>
      <c r="AC344" s="28"/>
      <c r="AD344" s="27">
        <f>SUM(AD173:AD176,)</f>
        <v>4981.75</v>
      </c>
      <c r="AE344" s="6">
        <f>AD344-SUM(AD24:AD26)</f>
        <v>0</v>
      </c>
      <c r="AG344" s="92"/>
      <c r="AH344" s="28"/>
      <c r="AI344" s="27">
        <f>SUM(AI173:AI176,)</f>
        <v>5002.75</v>
      </c>
      <c r="AJ344" s="90">
        <f>AI344-SUM(AI24:AI26)</f>
        <v>0</v>
      </c>
      <c r="AL344" s="92"/>
      <c r="AM344" s="28"/>
      <c r="AN344" s="27">
        <f>SUM(AN173:AN176,)</f>
        <v>5007.75</v>
      </c>
      <c r="AO344" s="90">
        <f>AN344-SUM(AN24:AN26)</f>
        <v>0</v>
      </c>
      <c r="AQ344" s="92"/>
      <c r="AR344" s="28"/>
      <c r="AS344" s="27">
        <f>SUM(AS165:AS168)</f>
        <v>0</v>
      </c>
      <c r="AT344" s="90">
        <f>AS344-SUM(AS24:AS26)</f>
        <v>0</v>
      </c>
      <c r="AV344" s="92"/>
    </row>
    <row r="345" spans="1:48" s="7" customFormat="1" x14ac:dyDescent="0.3">
      <c r="A345" s="23" t="str">
        <f t="shared" si="346"/>
        <v>6410</v>
      </c>
      <c r="B345" s="24" t="s">
        <v>309</v>
      </c>
      <c r="C345" s="25"/>
      <c r="D345" s="25"/>
      <c r="E345" s="25" t="str">
        <f xml:space="preserve"> A538</f>
        <v>641 Salaires   *</v>
      </c>
      <c r="F345" s="27">
        <f>SUM(F111,F116,F120:F121,F132,F152,F155)</f>
        <v>89503.95</v>
      </c>
      <c r="G345" s="27">
        <f>SUM(G111,G116,G120:G121,G132,G152,G155)</f>
        <v>92323.62</v>
      </c>
      <c r="H345" s="27">
        <f>SUM(H111,H116,H120:H121,H132,H152,H155)</f>
        <v>96191.63</v>
      </c>
      <c r="I345" s="27">
        <f>SUM(I111,I116,I120:I121,I132,I152,I155)</f>
        <v>109336.38</v>
      </c>
      <c r="J345" s="27">
        <f>SUM(J111,J116,J120:J121,J132,J152,J155)</f>
        <v>70560.44</v>
      </c>
      <c r="K345" s="90">
        <f t="shared" ref="K345:K351" si="347">J345-J27</f>
        <v>0</v>
      </c>
      <c r="L345" s="27">
        <f>SUM(L111,L116,L120:L121,L132,L152,L155)</f>
        <v>68486.7</v>
      </c>
      <c r="M345" s="90">
        <f t="shared" ref="M345:M351" si="348">L345-L27</f>
        <v>0</v>
      </c>
      <c r="N345" s="28"/>
      <c r="O345" s="27">
        <f>SUM(O111,O116,O120:O121,O132,O152,O155)</f>
        <v>74732.58</v>
      </c>
      <c r="P345" s="90">
        <f t="shared" ref="P345:P351" si="349">O345-O27</f>
        <v>0</v>
      </c>
      <c r="Q345" s="91"/>
      <c r="R345" s="92"/>
      <c r="S345" s="28"/>
      <c r="T345" s="27">
        <f>SUM(T111,T116,T120:T121,T132,T152,T155)</f>
        <v>71924.39</v>
      </c>
      <c r="U345" s="90">
        <f t="shared" ref="U345:U351" si="350">T345-T27</f>
        <v>0</v>
      </c>
      <c r="V345" s="91"/>
      <c r="W345" s="92"/>
      <c r="X345" s="28"/>
      <c r="Y345" s="27">
        <f>SUM(Y111,Y116,Y120:Y121,Y132,Y152,Y155)</f>
        <v>68417.16</v>
      </c>
      <c r="Z345" s="90">
        <f t="shared" ref="Z345:Z351" si="351">Y345-Y27</f>
        <v>0</v>
      </c>
      <c r="AB345" s="92"/>
      <c r="AC345" s="28"/>
      <c r="AD345" s="27">
        <f>SUM(AD111,AD116,AD120:AD121,AD132,AD152,AD155)</f>
        <v>68520.09</v>
      </c>
      <c r="AE345" s="6">
        <f t="shared" ref="AE345:AE351" si="352">AD345-AD27</f>
        <v>0</v>
      </c>
      <c r="AG345" s="92"/>
      <c r="AH345" s="28"/>
      <c r="AI345" s="27">
        <f>SUM(AI111,AI116,AI120:AI121,AI132,AI152,AI155)</f>
        <v>78045.17</v>
      </c>
      <c r="AJ345" s="90">
        <f t="shared" ref="AJ345:AJ351" si="353">AI345-AI27</f>
        <v>0</v>
      </c>
      <c r="AL345" s="92"/>
      <c r="AM345" s="28"/>
      <c r="AN345" s="27">
        <f>SUM(AN111,AN116,AN120:AN121,AN132,AN152,AN155)</f>
        <v>51762.520000000004</v>
      </c>
      <c r="AO345" s="90">
        <f t="shared" ref="AO345:AO351" si="354">AN345-AN27</f>
        <v>0</v>
      </c>
      <c r="AQ345" s="92"/>
      <c r="AR345" s="28"/>
      <c r="AS345" s="27">
        <f>SUM(AS111,AS116,AS120:AS121,AS132,AS152,AS155)</f>
        <v>0</v>
      </c>
      <c r="AT345" s="90">
        <f t="shared" ref="AT345:AT351" si="355">AS345-AS27</f>
        <v>0</v>
      </c>
      <c r="AV345" s="92"/>
    </row>
    <row r="346" spans="1:48" s="7" customFormat="1" x14ac:dyDescent="0.3">
      <c r="A346" s="23" t="str">
        <f t="shared" si="346"/>
        <v>6420</v>
      </c>
      <c r="B346" s="24" t="s">
        <v>310</v>
      </c>
      <c r="C346" s="25"/>
      <c r="D346" s="25"/>
      <c r="E346" s="25" t="str">
        <f xml:space="preserve"> A544</f>
        <v>642 Charges sociales et organismes sociaux   *</v>
      </c>
      <c r="F346" s="27">
        <f>SUM(F112:F114,F117:F118,F122:F124,F126,F129,F143:F144,F147,F153,F156:F158,)</f>
        <v>35092.519999999997</v>
      </c>
      <c r="G346" s="27">
        <f>SUM(G112:G114,G117:G118,G122:G124,G126,G129,G143:G144,G147,G153,G156:G158,)</f>
        <v>38048.379999999997</v>
      </c>
      <c r="H346" s="27">
        <f>SUM(H112:H114,H117:H118,H122:H124,H126,H129,H143:H144,H147,H153,H156:H158,)</f>
        <v>40310.92</v>
      </c>
      <c r="I346" s="27">
        <f>SUM(I112:I114,I117:I118,I122:I124,I126,I129,I143:I144,I147,I153,I156:I158,)</f>
        <v>-12989.029999999997</v>
      </c>
      <c r="J346" s="27">
        <f>SUM(J112:J114,J117:J118,J122:J124,J126,J129,J143:J144,J147,J153,J156:J158,)</f>
        <v>22012.430000000004</v>
      </c>
      <c r="K346" s="90">
        <f t="shared" si="347"/>
        <v>0</v>
      </c>
      <c r="L346" s="27">
        <f>SUM(L112:L114,L117:L118,L122:L124,L126,L129,L143:L144,L147,L153,L156:L158,)</f>
        <v>21979.13</v>
      </c>
      <c r="M346" s="90">
        <f t="shared" si="348"/>
        <v>0</v>
      </c>
      <c r="N346" s="28"/>
      <c r="O346" s="27">
        <f>SUM(O112:O114,O117:O118,O122:O124,O126,O129,O143:O144,O147,O153,O156:O158,)</f>
        <v>23678.799999999999</v>
      </c>
      <c r="P346" s="90">
        <f t="shared" si="349"/>
        <v>0</v>
      </c>
      <c r="Q346" s="91"/>
      <c r="R346" s="92"/>
      <c r="S346" s="28"/>
      <c r="T346" s="27">
        <f>SUM(T112:T114,T117:T118,T122:T124,T126,T129,T143:T144,T147,T153,T156:T158,)</f>
        <v>24805.899999999998</v>
      </c>
      <c r="U346" s="90">
        <f t="shared" si="350"/>
        <v>0</v>
      </c>
      <c r="V346" s="91"/>
      <c r="W346" s="92"/>
      <c r="X346" s="28"/>
      <c r="Y346" s="27">
        <f>SUM(Y112:Y114,Y117:Y118,Y122:Y124,Y126,Y129,Y143:Y144,Y147,Y153,Y156:Y158,)</f>
        <v>22809.489999999998</v>
      </c>
      <c r="Z346" s="90">
        <f t="shared" si="351"/>
        <v>0</v>
      </c>
      <c r="AB346" s="92"/>
      <c r="AC346" s="28"/>
      <c r="AD346" s="27">
        <f>SUM(AD112:AD114,AD117:AD118,AD122:AD124,AD126,AD129,AD143:AD144,AD147,AD153,AD156:AD158,)</f>
        <v>18901.849999999999</v>
      </c>
      <c r="AE346" s="6">
        <f t="shared" si="352"/>
        <v>0</v>
      </c>
      <c r="AG346" s="92"/>
      <c r="AH346" s="28"/>
      <c r="AI346" s="27">
        <f>SUM(AI112:AI114,AI117:AI118,AI122:AI124,AI126,AI129,AI143:AI144,AI147,AI153,AI156:AI158,)</f>
        <v>21644.829999999998</v>
      </c>
      <c r="AJ346" s="90">
        <f t="shared" si="353"/>
        <v>0</v>
      </c>
      <c r="AL346" s="92"/>
      <c r="AM346" s="28"/>
      <c r="AN346" s="27">
        <f>SUM(AN112:AN114,AN117:AN118,AN122:AN124,AN126,AN129,AN143:AN144,AN147,AN153,AN156:AN158,)</f>
        <v>12065.43</v>
      </c>
      <c r="AO346" s="90">
        <f t="shared" si="354"/>
        <v>0</v>
      </c>
      <c r="AQ346" s="92"/>
      <c r="AR346" s="28"/>
      <c r="AS346" s="27">
        <f>SUM(AS177:AS193)</f>
        <v>0</v>
      </c>
      <c r="AT346" s="90">
        <f t="shared" si="355"/>
        <v>0</v>
      </c>
      <c r="AV346" s="92"/>
    </row>
    <row r="347" spans="1:48" s="7" customFormat="1" x14ac:dyDescent="0.3">
      <c r="A347" s="23" t="str">
        <f t="shared" si="346"/>
        <v>6430</v>
      </c>
      <c r="B347" s="24" t="s">
        <v>311</v>
      </c>
      <c r="C347" s="25"/>
      <c r="D347" s="25"/>
      <c r="E347" s="25" t="str">
        <f xml:space="preserve"> A577</f>
        <v>643 Taxe sur les salaires   *</v>
      </c>
      <c r="F347" s="27">
        <f>SUM(F119,F127,F146,F160,)</f>
        <v>9128</v>
      </c>
      <c r="G347" s="27">
        <f>SUM(G119,G127,G146,G160,)</f>
        <v>10116</v>
      </c>
      <c r="H347" s="27">
        <f>SUM(H119,H127,H146,H160,)</f>
        <v>8915</v>
      </c>
      <c r="I347" s="27">
        <f>SUM(I119,I127,I146,I160,)</f>
        <v>9583</v>
      </c>
      <c r="J347" s="27">
        <f>SUM(J119,J127,J146,J160,)</f>
        <v>5696</v>
      </c>
      <c r="K347" s="90">
        <f t="shared" si="347"/>
        <v>0</v>
      </c>
      <c r="L347" s="27">
        <f>SUM(L119,L127,L146,L160,)</f>
        <v>4891.66</v>
      </c>
      <c r="M347" s="90">
        <f t="shared" si="348"/>
        <v>0</v>
      </c>
      <c r="N347" s="28"/>
      <c r="O347" s="27">
        <f>SUM(O119,O127,O146,O160,)</f>
        <v>6428.04</v>
      </c>
      <c r="P347" s="90">
        <f t="shared" si="349"/>
        <v>0</v>
      </c>
      <c r="Q347" s="91"/>
      <c r="R347" s="92"/>
      <c r="S347" s="28"/>
      <c r="T347" s="27">
        <f>SUM(T119,T127,T146,T160,)</f>
        <v>6080</v>
      </c>
      <c r="U347" s="90">
        <f t="shared" si="350"/>
        <v>0</v>
      </c>
      <c r="V347" s="91"/>
      <c r="W347" s="92"/>
      <c r="X347" s="28"/>
      <c r="Y347" s="27">
        <f>SUM(Y119,Y127,Y146,Y160,)</f>
        <v>5825</v>
      </c>
      <c r="Z347" s="90">
        <f t="shared" si="351"/>
        <v>0</v>
      </c>
      <c r="AB347" s="92"/>
      <c r="AC347" s="28"/>
      <c r="AD347" s="27">
        <f>SUM(AD119,AD127,AD146,AD160,)</f>
        <v>6262</v>
      </c>
      <c r="AE347" s="6">
        <f t="shared" si="352"/>
        <v>0</v>
      </c>
      <c r="AG347" s="92"/>
      <c r="AH347" s="28"/>
      <c r="AI347" s="27">
        <f>SUM(AI119,AI127,AI146,AI160,)</f>
        <v>6504</v>
      </c>
      <c r="AJ347" s="90">
        <f t="shared" si="353"/>
        <v>0</v>
      </c>
      <c r="AL347" s="92"/>
      <c r="AM347" s="28"/>
      <c r="AN347" s="27">
        <f>SUM(AN119,AN127,AN146,AN160,)</f>
        <v>4345</v>
      </c>
      <c r="AO347" s="90">
        <f t="shared" si="354"/>
        <v>0</v>
      </c>
      <c r="AQ347" s="92"/>
      <c r="AR347" s="28"/>
      <c r="AS347" s="27">
        <f>SUM(AS196:AS199)</f>
        <v>0</v>
      </c>
      <c r="AT347" s="90">
        <f t="shared" si="355"/>
        <v>0</v>
      </c>
      <c r="AV347" s="92"/>
    </row>
    <row r="348" spans="1:48" s="7" customFormat="1" x14ac:dyDescent="0.3">
      <c r="A348" s="23" t="str">
        <f t="shared" si="346"/>
        <v>6440</v>
      </c>
      <c r="B348" s="24" t="s">
        <v>312</v>
      </c>
      <c r="C348" s="25"/>
      <c r="D348" s="25"/>
      <c r="E348" s="25" t="str">
        <f xml:space="preserve"> A583</f>
        <v>644 Autres (médecine du travail, mutuelles, etc.)   *</v>
      </c>
      <c r="F348" s="27">
        <f>SUM(F115,F125,F128,F130,F145,F154,F159,)</f>
        <v>755.65</v>
      </c>
      <c r="G348" s="27">
        <f>SUM(G115,G125,G128,G130,G145,G154,G159,)</f>
        <v>253.82999999999998</v>
      </c>
      <c r="H348" s="27">
        <f>SUM(H115,H125,H128,H130,H145,H154,H159,)</f>
        <v>402.40999999999997</v>
      </c>
      <c r="I348" s="27">
        <f>SUM(I115,I125,I128,I130,I145,I154,I159,)</f>
        <v>420.15</v>
      </c>
      <c r="J348" s="27">
        <f>SUM(J115,J125,J128,J130,J145,J154,J159,)</f>
        <v>425.14</v>
      </c>
      <c r="K348" s="90">
        <f t="shared" si="347"/>
        <v>0</v>
      </c>
      <c r="L348" s="27">
        <f>SUM(L115,L125,L128,L130,L145,L154,L159,)</f>
        <v>2821.73</v>
      </c>
      <c r="M348" s="90">
        <f t="shared" si="348"/>
        <v>0</v>
      </c>
      <c r="N348" s="28"/>
      <c r="O348" s="27">
        <f>SUM(O115,O125,O128,O130,O145,O154,O159,)</f>
        <v>2351.59</v>
      </c>
      <c r="P348" s="90">
        <f t="shared" si="349"/>
        <v>0</v>
      </c>
      <c r="Q348" s="91"/>
      <c r="R348" s="92"/>
      <c r="S348" s="28"/>
      <c r="T348" s="27">
        <f>SUM(T115,T125,T128,T130,T145,T154,T159,)</f>
        <v>2535.6299999999997</v>
      </c>
      <c r="U348" s="90">
        <f t="shared" si="350"/>
        <v>0</v>
      </c>
      <c r="V348" s="91"/>
      <c r="W348" s="92"/>
      <c r="X348" s="28"/>
      <c r="Y348" s="27">
        <f>SUM(Y115,Y125,Y128,Y130,Y145,Y154,Y159,)</f>
        <v>2202.37</v>
      </c>
      <c r="Z348" s="90">
        <f t="shared" si="351"/>
        <v>0</v>
      </c>
      <c r="AB348" s="92"/>
      <c r="AC348" s="28"/>
      <c r="AD348" s="27">
        <f>SUM(AD115,AD125,AD128,AD130,AD131,AD145,AD154,AD159,)</f>
        <v>2110.88</v>
      </c>
      <c r="AE348" s="6">
        <f t="shared" si="352"/>
        <v>0</v>
      </c>
      <c r="AG348" s="92"/>
      <c r="AH348" s="28"/>
      <c r="AI348" s="27">
        <f>SUM(AI115,AI125,AI128,AI130,AI131,AI145,AI154,AI159,)</f>
        <v>2693.33</v>
      </c>
      <c r="AJ348" s="90">
        <f t="shared" si="353"/>
        <v>0</v>
      </c>
      <c r="AL348" s="92"/>
      <c r="AM348" s="28"/>
      <c r="AN348" s="27">
        <f>SUM(AN115,AN125,AN128,AN130,AN131,AN145,AN154,AN159,)</f>
        <v>1804.0500000000002</v>
      </c>
      <c r="AO348" s="90">
        <f t="shared" si="354"/>
        <v>0</v>
      </c>
      <c r="AQ348" s="92"/>
      <c r="AR348" s="28"/>
      <c r="AS348" s="27">
        <f>SUM(AS200:AS206)</f>
        <v>0</v>
      </c>
      <c r="AT348" s="90">
        <f t="shared" si="355"/>
        <v>0</v>
      </c>
      <c r="AV348" s="92"/>
    </row>
    <row r="349" spans="1:48" s="7" customFormat="1" x14ac:dyDescent="0.3">
      <c r="A349" s="23" t="str">
        <f t="shared" si="346"/>
        <v>6620</v>
      </c>
      <c r="B349" s="24" t="s">
        <v>313</v>
      </c>
      <c r="C349" s="25"/>
      <c r="D349" s="25"/>
      <c r="E349" s="25" t="str">
        <f xml:space="preserve"> A604</f>
        <v>662 Autres charges financières et agios   *</v>
      </c>
      <c r="F349" s="27">
        <f>SUM(F137,)</f>
        <v>0</v>
      </c>
      <c r="G349" s="27">
        <f>SUM(G137,)</f>
        <v>0</v>
      </c>
      <c r="H349" s="27">
        <f>SUM(H137,)</f>
        <v>0</v>
      </c>
      <c r="I349" s="27">
        <f>SUM(I137,)</f>
        <v>0</v>
      </c>
      <c r="J349" s="27">
        <f>SUM(J137,)</f>
        <v>156.71</v>
      </c>
      <c r="K349" s="90">
        <f t="shared" si="347"/>
        <v>0</v>
      </c>
      <c r="L349" s="27">
        <f>SUM(L137,)</f>
        <v>81.12</v>
      </c>
      <c r="M349" s="90">
        <f t="shared" si="348"/>
        <v>0</v>
      </c>
      <c r="N349" s="28"/>
      <c r="O349" s="27">
        <f>SUM(O137,)</f>
        <v>34.32</v>
      </c>
      <c r="P349" s="90">
        <f t="shared" si="349"/>
        <v>0</v>
      </c>
      <c r="Q349" s="91"/>
      <c r="R349" s="92"/>
      <c r="S349" s="28"/>
      <c r="T349" s="27">
        <f>SUM(T137,)</f>
        <v>0</v>
      </c>
      <c r="U349" s="90">
        <f t="shared" si="350"/>
        <v>0</v>
      </c>
      <c r="V349" s="91"/>
      <c r="W349" s="92"/>
      <c r="X349" s="28"/>
      <c r="Y349" s="27">
        <f>SUM(Y137,)</f>
        <v>117.47</v>
      </c>
      <c r="Z349" s="90">
        <f t="shared" si="351"/>
        <v>0</v>
      </c>
      <c r="AB349" s="92"/>
      <c r="AC349" s="28"/>
      <c r="AD349" s="322">
        <f>SUM(AD137,)</f>
        <v>97.92</v>
      </c>
      <c r="AE349" s="6">
        <f t="shared" si="352"/>
        <v>0</v>
      </c>
      <c r="AG349" s="92"/>
      <c r="AH349" s="28"/>
      <c r="AI349" s="27">
        <f>SUM(AI137,)</f>
        <v>97.92</v>
      </c>
      <c r="AJ349" s="90">
        <f t="shared" si="353"/>
        <v>0</v>
      </c>
      <c r="AL349" s="92"/>
      <c r="AM349" s="28"/>
      <c r="AN349" s="27">
        <f>SUM(AN137,)</f>
        <v>73.44</v>
      </c>
      <c r="AO349" s="90">
        <f t="shared" si="354"/>
        <v>0</v>
      </c>
      <c r="AQ349" s="92"/>
      <c r="AR349" s="28"/>
      <c r="AS349" s="27">
        <f>SUM(AS207,)</f>
        <v>0</v>
      </c>
      <c r="AT349" s="90">
        <f t="shared" si="355"/>
        <v>0</v>
      </c>
      <c r="AV349" s="92"/>
    </row>
    <row r="350" spans="1:48" s="7" customFormat="1" x14ac:dyDescent="0.3">
      <c r="A350" s="23" t="str">
        <f t="shared" si="346"/>
        <v>6730</v>
      </c>
      <c r="B350" s="24" t="s">
        <v>314</v>
      </c>
      <c r="C350" s="25"/>
      <c r="D350" s="25"/>
      <c r="E350" s="25" t="str">
        <f xml:space="preserve"> A610</f>
        <v>673 Etudes techniques, diagnostic, consultation   *</v>
      </c>
      <c r="F350" s="27">
        <f>SUM(F140,F293,)</f>
        <v>418.6</v>
      </c>
      <c r="G350" s="27">
        <f>SUM(G140,G293,)</f>
        <v>2637.5</v>
      </c>
      <c r="H350" s="27">
        <f>SUM(H140,H293,)</f>
        <v>0</v>
      </c>
      <c r="I350" s="27">
        <f>SUM(I140,I293,)</f>
        <v>705.64</v>
      </c>
      <c r="J350" s="27">
        <f>SUM(J140,J293,)</f>
        <v>0</v>
      </c>
      <c r="K350" s="90">
        <f t="shared" si="347"/>
        <v>0</v>
      </c>
      <c r="L350" s="27">
        <f>SUM(L140,L293,)</f>
        <v>894</v>
      </c>
      <c r="M350" s="90">
        <f t="shared" si="348"/>
        <v>0</v>
      </c>
      <c r="N350" s="28"/>
      <c r="O350" s="27">
        <f>SUM(O140,O293,)</f>
        <v>0</v>
      </c>
      <c r="P350" s="90">
        <f t="shared" si="349"/>
        <v>0</v>
      </c>
      <c r="Q350" s="91"/>
      <c r="R350" s="92"/>
      <c r="S350" s="28"/>
      <c r="T350" s="27">
        <f>SUM(T140,T293,)</f>
        <v>0</v>
      </c>
      <c r="U350" s="90">
        <f t="shared" si="350"/>
        <v>0</v>
      </c>
      <c r="V350" s="91"/>
      <c r="W350" s="92"/>
      <c r="X350" s="28"/>
      <c r="Y350" s="27">
        <f>SUM(Y140,Y293,)</f>
        <v>0</v>
      </c>
      <c r="Z350" s="90">
        <f t="shared" si="351"/>
        <v>0</v>
      </c>
      <c r="AB350" s="92"/>
      <c r="AC350" s="28"/>
      <c r="AD350" s="27">
        <f>SUM(AD140,AD293,)</f>
        <v>0</v>
      </c>
      <c r="AE350" s="6">
        <f t="shared" si="352"/>
        <v>0</v>
      </c>
      <c r="AG350" s="92"/>
      <c r="AH350" s="28"/>
      <c r="AI350" s="27">
        <f>SUM(AI140,AI293,)</f>
        <v>0</v>
      </c>
      <c r="AJ350" s="90">
        <f t="shared" si="353"/>
        <v>0</v>
      </c>
      <c r="AL350" s="92"/>
      <c r="AM350" s="28"/>
      <c r="AN350" s="27">
        <f>SUM(AN140,AN293,)</f>
        <v>1434</v>
      </c>
      <c r="AO350" s="90">
        <f t="shared" si="354"/>
        <v>0</v>
      </c>
      <c r="AQ350" s="92"/>
      <c r="AR350" s="28"/>
      <c r="AS350" s="27">
        <f>SUM(AS208,AS293)</f>
        <v>0</v>
      </c>
      <c r="AT350" s="90">
        <f t="shared" si="355"/>
        <v>0</v>
      </c>
      <c r="AV350" s="92"/>
    </row>
    <row r="351" spans="1:48" s="7" customFormat="1" x14ac:dyDescent="0.3">
      <c r="A351" s="23" t="str">
        <f t="shared" si="346"/>
        <v>6780</v>
      </c>
      <c r="B351" s="24" t="s">
        <v>315</v>
      </c>
      <c r="C351" s="54"/>
      <c r="D351" s="25"/>
      <c r="E351" s="25" t="str">
        <f xml:space="preserve"> A615</f>
        <v>678 Charges exceptionnelles   *</v>
      </c>
      <c r="F351" s="27">
        <f>SUM(F82,F171:F172,F217,)</f>
        <v>311.31</v>
      </c>
      <c r="G351" s="27">
        <f>SUM(G82,G171:G172,G217,)</f>
        <v>6721.04</v>
      </c>
      <c r="H351" s="27">
        <f>SUM(H82,H171:H172,H217,)</f>
        <v>6878.62</v>
      </c>
      <c r="I351" s="27">
        <f>SUM(I82,I171:I172,I217,)</f>
        <v>3436.42</v>
      </c>
      <c r="J351" s="27">
        <f>SUM(J82,J171:J172,J217,)</f>
        <v>3104.3599999999997</v>
      </c>
      <c r="K351" s="90">
        <f t="shared" si="347"/>
        <v>0</v>
      </c>
      <c r="L351" s="27">
        <f>SUM(L82,L171:L172,L217,)</f>
        <v>-6.09</v>
      </c>
      <c r="M351" s="90">
        <f t="shared" si="348"/>
        <v>0</v>
      </c>
      <c r="N351" s="28"/>
      <c r="O351" s="27">
        <f>SUM(O82,O171:O172,O217,)</f>
        <v>5226.08</v>
      </c>
      <c r="P351" s="90">
        <f t="shared" si="349"/>
        <v>0</v>
      </c>
      <c r="Q351" s="91"/>
      <c r="R351" s="92"/>
      <c r="S351" s="28"/>
      <c r="T351" s="27">
        <f>SUM(T82,T171:T172,T217,)</f>
        <v>5867.24</v>
      </c>
      <c r="U351" s="90">
        <f t="shared" si="350"/>
        <v>0</v>
      </c>
      <c r="V351" s="91"/>
      <c r="W351" s="92"/>
      <c r="X351" s="28"/>
      <c r="Y351" s="27">
        <f>SUM(Y82,Y171:Y172,Y217,)</f>
        <v>26577.100000000002</v>
      </c>
      <c r="Z351" s="90">
        <f t="shared" si="351"/>
        <v>0</v>
      </c>
      <c r="AB351" s="92"/>
      <c r="AC351" s="28"/>
      <c r="AD351" s="27">
        <f>SUM(AD82,AD171:AD172,AD217,)</f>
        <v>764.69</v>
      </c>
      <c r="AE351" s="6">
        <f t="shared" si="352"/>
        <v>0</v>
      </c>
      <c r="AG351" s="92"/>
      <c r="AH351" s="28"/>
      <c r="AI351" s="27">
        <f>SUM(AI82,AI171:AI172,AI217,)</f>
        <v>-6.41</v>
      </c>
      <c r="AJ351" s="90">
        <f t="shared" si="353"/>
        <v>0</v>
      </c>
      <c r="AL351" s="92"/>
      <c r="AM351" s="28"/>
      <c r="AN351" s="27">
        <f>SUM(AN82,AN171:AN172,AN217,)</f>
        <v>-0.14000000000000001</v>
      </c>
      <c r="AO351" s="90">
        <f t="shared" si="354"/>
        <v>0</v>
      </c>
      <c r="AQ351" s="92"/>
      <c r="AR351" s="28"/>
      <c r="AS351" s="27">
        <f>SUM(AS209:AS212)</f>
        <v>0</v>
      </c>
      <c r="AT351" s="90">
        <f t="shared" si="355"/>
        <v>0</v>
      </c>
      <c r="AV351" s="92"/>
    </row>
    <row r="352" spans="1:48" s="7" customFormat="1" x14ac:dyDescent="0.3">
      <c r="A352" s="23"/>
      <c r="B352" s="24"/>
      <c r="C352" s="25"/>
      <c r="D352" s="25"/>
      <c r="E352" s="321"/>
      <c r="F352" s="27"/>
      <c r="G352" s="27"/>
      <c r="H352" s="27"/>
      <c r="I352" s="27"/>
      <c r="J352" s="27"/>
      <c r="K352" s="90"/>
      <c r="L352" s="27"/>
      <c r="M352" s="90"/>
      <c r="N352" s="28"/>
      <c r="O352" s="27"/>
      <c r="P352" s="90"/>
      <c r="Q352" s="91"/>
      <c r="R352" s="92"/>
      <c r="S352" s="28"/>
      <c r="T352" s="27"/>
      <c r="U352" s="90"/>
      <c r="V352" s="91"/>
      <c r="W352" s="92"/>
      <c r="X352" s="28"/>
      <c r="Y352" s="27"/>
      <c r="Z352" s="90"/>
      <c r="AB352" s="92"/>
      <c r="AC352" s="28"/>
      <c r="AD352" s="27"/>
      <c r="AE352" s="6"/>
      <c r="AG352" s="92"/>
      <c r="AH352" s="28"/>
      <c r="AI352" s="27"/>
      <c r="AJ352" s="90"/>
      <c r="AL352" s="92"/>
      <c r="AM352" s="28"/>
      <c r="AN352" s="27"/>
      <c r="AO352" s="90"/>
      <c r="AQ352" s="92"/>
      <c r="AR352" s="28"/>
      <c r="AS352" s="27"/>
      <c r="AT352" s="90"/>
      <c r="AV352" s="92"/>
    </row>
    <row r="353" spans="1:48" s="7" customFormat="1" x14ac:dyDescent="0.3">
      <c r="A353" s="23" t="str">
        <f>LEFT(B353,FIND(" ",B353,1))</f>
        <v xml:space="preserve">7130 </v>
      </c>
      <c r="B353" s="24" t="s">
        <v>316</v>
      </c>
      <c r="C353" s="25"/>
      <c r="D353" s="25"/>
      <c r="E353" s="25" t="str">
        <f xml:space="preserve"> A623</f>
        <v>713 Indemnités d'assurances   *</v>
      </c>
      <c r="F353" s="27">
        <f>SUM(F211,)</f>
        <v>-265.58</v>
      </c>
      <c r="G353" s="27">
        <f>SUM(G211,)</f>
        <v>-3511.78</v>
      </c>
      <c r="H353" s="27">
        <f>SUM(H211,)</f>
        <v>-7101.32</v>
      </c>
      <c r="I353" s="27">
        <f>SUM(I211,)</f>
        <v>-3419.74</v>
      </c>
      <c r="J353" s="27">
        <f>SUM(J211,)</f>
        <v>-6029.23</v>
      </c>
      <c r="K353" s="90">
        <f>-J353-J39</f>
        <v>0</v>
      </c>
      <c r="L353" s="27">
        <f>SUM(L211,)</f>
        <v>-1284.04</v>
      </c>
      <c r="M353" s="90">
        <f>-L353-L39</f>
        <v>0</v>
      </c>
      <c r="N353" s="28"/>
      <c r="O353" s="27">
        <f>SUM(O211,)</f>
        <v>-5350.55</v>
      </c>
      <c r="P353" s="90">
        <f>-O353-O39</f>
        <v>0</v>
      </c>
      <c r="Q353" s="91"/>
      <c r="R353" s="92"/>
      <c r="S353" s="28"/>
      <c r="T353" s="27">
        <f>SUM(T211,)</f>
        <v>-5871.65</v>
      </c>
      <c r="U353" s="90">
        <f>-T353-T39</f>
        <v>0</v>
      </c>
      <c r="V353" s="91"/>
      <c r="W353" s="92"/>
      <c r="X353" s="28"/>
      <c r="Y353" s="27">
        <f>SUM(Y211,)</f>
        <v>-30443.29</v>
      </c>
      <c r="Z353" s="90">
        <f>-Y353-Y39</f>
        <v>0</v>
      </c>
      <c r="AB353" s="92"/>
      <c r="AC353" s="28"/>
      <c r="AD353" s="27">
        <f>SUM(AD211,)</f>
        <v>-757.94</v>
      </c>
      <c r="AE353" s="6">
        <f>-AD353-AD39</f>
        <v>0</v>
      </c>
      <c r="AG353" s="92"/>
      <c r="AH353" s="28"/>
      <c r="AI353" s="27">
        <f>SUM(AI211,)</f>
        <v>-2112</v>
      </c>
      <c r="AJ353" s="90">
        <f>-AI353-AI39</f>
        <v>0</v>
      </c>
      <c r="AL353" s="92"/>
      <c r="AM353" s="28"/>
      <c r="AN353" s="27">
        <f>SUM(AN211,)</f>
        <v>0</v>
      </c>
      <c r="AO353" s="90">
        <f>-AN353-AN39</f>
        <v>0</v>
      </c>
      <c r="AQ353" s="92"/>
      <c r="AR353" s="28"/>
      <c r="AS353" s="27">
        <f>SUM(AS213,)</f>
        <v>0</v>
      </c>
      <c r="AT353" s="90">
        <f>-AS353-AS39</f>
        <v>0</v>
      </c>
      <c r="AV353" s="92"/>
    </row>
    <row r="354" spans="1:48" s="7" customFormat="1" x14ac:dyDescent="0.3">
      <c r="A354" s="23" t="str">
        <f>LEFT(B354,FIND(" ",B354,1))</f>
        <v xml:space="preserve">7140 </v>
      </c>
      <c r="B354" s="24" t="s">
        <v>317</v>
      </c>
      <c r="C354" s="25"/>
      <c r="D354" s="25"/>
      <c r="E354" s="25" t="str">
        <f xml:space="preserve"> A626</f>
        <v>714 Produits divers (dont intérêts légaux dus par les copropriétaires)  *</v>
      </c>
      <c r="F354" s="27">
        <f>SUM(F212,F214:F215,F309)</f>
        <v>-2398.11</v>
      </c>
      <c r="G354" s="27">
        <f>SUM(G212,G214:G215,G309)</f>
        <v>-1936.97</v>
      </c>
      <c r="H354" s="27">
        <f>SUM(H212,H214:H215,H309)</f>
        <v>-1373.04</v>
      </c>
      <c r="I354" s="27">
        <f>SUM(I212,I214:I215,I309)</f>
        <v>-1444.78</v>
      </c>
      <c r="J354" s="27">
        <f>SUM(J212,J214:J215,J309)</f>
        <v>-1550.84</v>
      </c>
      <c r="K354" s="90">
        <f>-J354-SUM(J40:J40)</f>
        <v>0</v>
      </c>
      <c r="L354" s="27">
        <f>SUM(L212,L214:L215,L309)</f>
        <v>-1664.94</v>
      </c>
      <c r="M354" s="90">
        <f>-L354-SUM(L40:L40)</f>
        <v>0</v>
      </c>
      <c r="N354" s="28"/>
      <c r="O354" s="27">
        <f>SUM(O212,O214:O215,O309)</f>
        <v>-3951.48</v>
      </c>
      <c r="P354" s="90">
        <f>-O354-SUM(O40:O40)</f>
        <v>0</v>
      </c>
      <c r="Q354" s="91"/>
      <c r="R354" s="92"/>
      <c r="S354" s="28"/>
      <c r="T354" s="27">
        <f>SUM(T212,T214:T215,T309)</f>
        <v>-1684.37</v>
      </c>
      <c r="U354" s="90">
        <f>-T354-SUM(T40:T40)</f>
        <v>0</v>
      </c>
      <c r="V354" s="91"/>
      <c r="W354" s="92"/>
      <c r="X354" s="28"/>
      <c r="Y354" s="27">
        <f>SUM(Y212,Y214:Y215,Y309)</f>
        <v>-2444.0500000000002</v>
      </c>
      <c r="Z354" s="90">
        <f>-Y354-SUM(Y40:Y40)</f>
        <v>0</v>
      </c>
      <c r="AB354" s="92"/>
      <c r="AC354" s="28"/>
      <c r="AD354" s="27">
        <f>SUM(AD212,AD214:AD215,AD309)</f>
        <v>-1039.33</v>
      </c>
      <c r="AE354" s="6">
        <f>-AD354-SUM(AD40:AD40)</f>
        <v>0</v>
      </c>
      <c r="AG354" s="92"/>
      <c r="AH354" s="28"/>
      <c r="AI354" s="27">
        <f>SUM(AI212,AI214:AI215,AI309)</f>
        <v>-1662.67</v>
      </c>
      <c r="AJ354" s="90">
        <f>-AI354-SUM(AI40:AI40)</f>
        <v>0</v>
      </c>
      <c r="AL354" s="92"/>
      <c r="AM354" s="28"/>
      <c r="AN354" s="27">
        <f>SUM(AN212,AN214:AN215,AN309)</f>
        <v>-1159.1400000000001</v>
      </c>
      <c r="AO354" s="90">
        <f>-AN354-SUM(AN40:AN40)</f>
        <v>0</v>
      </c>
      <c r="AQ354" s="92"/>
      <c r="AR354" s="28"/>
      <c r="AS354" s="27">
        <f>SUM(AS214:AS216,AS309)</f>
        <v>0</v>
      </c>
      <c r="AT354" s="90">
        <f>-AS354-SUM(AS40:AS40)</f>
        <v>0</v>
      </c>
      <c r="AV354" s="92"/>
    </row>
    <row r="355" spans="1:48" s="7" customFormat="1" x14ac:dyDescent="0.3">
      <c r="A355" s="23" t="str">
        <f>LEFT(B355,FIND(" ",B355,1))</f>
        <v xml:space="preserve">7160 </v>
      </c>
      <c r="B355" s="24" t="s">
        <v>318</v>
      </c>
      <c r="C355" s="25"/>
      <c r="D355" s="25"/>
      <c r="E355" s="25" t="str">
        <f xml:space="preserve"> A634</f>
        <v>716 Produits financiers   *</v>
      </c>
      <c r="F355" s="27">
        <f>SUM(F216)</f>
        <v>0</v>
      </c>
      <c r="G355" s="27">
        <f>SUM(G216)</f>
        <v>0</v>
      </c>
      <c r="H355" s="27">
        <f>SUM(H216)</f>
        <v>0</v>
      </c>
      <c r="I355" s="27">
        <f>SUM(I216)</f>
        <v>0</v>
      </c>
      <c r="J355" s="27">
        <f>SUM(J216)</f>
        <v>0</v>
      </c>
      <c r="K355" s="90"/>
      <c r="L355" s="27">
        <f>SUM(L216)</f>
        <v>0</v>
      </c>
      <c r="M355" s="90"/>
      <c r="N355" s="28"/>
      <c r="O355" s="27">
        <f>SUM(O216)</f>
        <v>0</v>
      </c>
      <c r="P355" s="90" t="e">
        <f>-O355-#REF!</f>
        <v>#REF!</v>
      </c>
      <c r="Q355" s="91"/>
      <c r="R355" s="92"/>
      <c r="S355" s="28"/>
      <c r="T355" s="27">
        <f>SUM(T216)</f>
        <v>0</v>
      </c>
      <c r="U355" s="90"/>
      <c r="V355" s="91"/>
      <c r="W355" s="92"/>
      <c r="X355" s="28"/>
      <c r="Y355" s="27">
        <f>SUM(Y216)</f>
        <v>0</v>
      </c>
      <c r="Z355" s="90"/>
      <c r="AB355" s="92"/>
      <c r="AC355" s="28"/>
      <c r="AD355" s="27">
        <f>SUM(AD216)</f>
        <v>0</v>
      </c>
      <c r="AE355" s="6"/>
      <c r="AG355" s="92"/>
      <c r="AH355" s="28"/>
      <c r="AI355" s="27">
        <f>SUM(AI216)</f>
        <v>0</v>
      </c>
      <c r="AJ355" s="90"/>
      <c r="AL355" s="92"/>
      <c r="AM355" s="28"/>
      <c r="AN355" s="27">
        <f>SUM(AN216)</f>
        <v>0</v>
      </c>
      <c r="AO355" s="90"/>
      <c r="AQ355" s="92"/>
      <c r="AR355" s="28"/>
      <c r="AS355" s="27">
        <f>SUM(AS217:AS217)</f>
        <v>0</v>
      </c>
      <c r="AT355" s="90"/>
      <c r="AV355" s="92"/>
    </row>
    <row r="356" spans="1:48" x14ac:dyDescent="0.3">
      <c r="A356" s="23" t="str">
        <f>LEFT(B356,FIND(" ",B356,1))</f>
        <v xml:space="preserve">7180 </v>
      </c>
      <c r="B356" s="24" t="s">
        <v>319</v>
      </c>
      <c r="D356" s="323"/>
      <c r="E356" s="323" t="str">
        <f xml:space="preserve"> A637</f>
        <v>718 Produits exceptionnels   *</v>
      </c>
      <c r="F356" s="27">
        <f>SUM(F213)</f>
        <v>0</v>
      </c>
      <c r="G356" s="27">
        <f>SUM(G213)</f>
        <v>0</v>
      </c>
      <c r="H356" s="27">
        <f>SUM(H213)</f>
        <v>0</v>
      </c>
      <c r="I356" s="27">
        <f>SUM(I213)</f>
        <v>0</v>
      </c>
      <c r="J356" s="27">
        <f>SUM(J213)</f>
        <v>0</v>
      </c>
      <c r="K356" s="90">
        <f>-J356-J43</f>
        <v>0</v>
      </c>
      <c r="L356" s="27">
        <f>SUM(L213)</f>
        <v>0</v>
      </c>
      <c r="M356" s="90">
        <f>-L356-L43</f>
        <v>0</v>
      </c>
      <c r="O356" s="27">
        <f>SUM(O213)</f>
        <v>-1300</v>
      </c>
      <c r="P356" s="90">
        <f>-O356-O43</f>
        <v>0</v>
      </c>
      <c r="T356" s="27">
        <f>SUM(T213)</f>
        <v>0</v>
      </c>
      <c r="U356" s="90">
        <f>-T356-T43</f>
        <v>0</v>
      </c>
      <c r="Y356" s="27">
        <f>SUM(Y213)</f>
        <v>-500</v>
      </c>
      <c r="Z356" s="90">
        <f>-Y356-Y43</f>
        <v>0</v>
      </c>
      <c r="AD356" s="27">
        <f>SUM(AD213)</f>
        <v>0</v>
      </c>
      <c r="AE356" s="6">
        <f>-AD356-AD43</f>
        <v>0</v>
      </c>
      <c r="AI356" s="27">
        <f>SUM(AI213)</f>
        <v>0</v>
      </c>
      <c r="AJ356" s="90">
        <f>-AI356-AI43</f>
        <v>0</v>
      </c>
      <c r="AN356" s="27">
        <f>SUM(AN213)</f>
        <v>0</v>
      </c>
      <c r="AO356" s="90">
        <f>-AN356-AN43</f>
        <v>0</v>
      </c>
      <c r="AS356" s="27">
        <f>SUM(AS100:AS100)</f>
        <v>0</v>
      </c>
      <c r="AT356" s="90">
        <f>-AS356-AS43</f>
        <v>0</v>
      </c>
    </row>
    <row r="357" spans="1:48" x14ac:dyDescent="0.3">
      <c r="A357" s="324"/>
      <c r="B357" s="325"/>
      <c r="C357" s="326"/>
      <c r="D357" s="326"/>
      <c r="E357" s="326"/>
      <c r="K357" s="90"/>
      <c r="U357" s="90"/>
      <c r="Z357" s="90"/>
      <c r="AE357" s="6"/>
      <c r="AJ357" s="90"/>
      <c r="AO357" s="90"/>
      <c r="AT357" s="90"/>
    </row>
    <row r="358" spans="1:48" s="335" customFormat="1" ht="18" thickBot="1" x14ac:dyDescent="0.35">
      <c r="A358" s="327"/>
      <c r="B358" s="328"/>
      <c r="C358" s="329"/>
      <c r="D358" s="329"/>
      <c r="E358" s="329"/>
      <c r="F358" s="330">
        <f>SUM(F323:F356)</f>
        <v>474030.52000000008</v>
      </c>
      <c r="G358" s="330">
        <f>SUM(G323:G356)</f>
        <v>483537.51</v>
      </c>
      <c r="H358" s="330">
        <f>SUM(H323:H356)</f>
        <v>495645.57999999996</v>
      </c>
      <c r="I358" s="330">
        <f>SUM(I323:I356)</f>
        <v>495744.05000000005</v>
      </c>
      <c r="J358" s="330">
        <f>SUM(J323:J356)</f>
        <v>448889.31000000006</v>
      </c>
      <c r="K358" s="331">
        <f>J358-(J34-SUM(J39:J43))</f>
        <v>0</v>
      </c>
      <c r="L358" s="330">
        <f>SUM(L323:L356)</f>
        <v>480474.6399999999</v>
      </c>
      <c r="M358" s="331">
        <f>L358-(L34-SUM(L39:L43))</f>
        <v>0</v>
      </c>
      <c r="N358" s="332"/>
      <c r="O358" s="330">
        <f>SUM(O323:O356)</f>
        <v>500265.68000000011</v>
      </c>
      <c r="P358" s="331">
        <f>O358-(O34-SUM(O39:O43))</f>
        <v>0</v>
      </c>
      <c r="Q358" s="315"/>
      <c r="R358" s="316"/>
      <c r="S358" s="332"/>
      <c r="T358" s="330">
        <f>SUM(T323:T356)</f>
        <v>489071.5</v>
      </c>
      <c r="U358" s="331">
        <f>T358-(T34-SUM(T39:T43))</f>
        <v>0</v>
      </c>
      <c r="V358" s="315"/>
      <c r="W358" s="316"/>
      <c r="X358" s="333"/>
      <c r="Y358" s="330">
        <f>SUM(Y323:Y356)</f>
        <v>509384.92999999993</v>
      </c>
      <c r="Z358" s="331">
        <f>Y358-(Y34-SUM(Y39:Y43))</f>
        <v>-4.0000000153668225E-3</v>
      </c>
      <c r="AA358" s="318"/>
      <c r="AB358" s="316"/>
      <c r="AC358" s="332"/>
      <c r="AD358" s="330">
        <f>SUM(AD323:AD356)</f>
        <v>503582.94999999995</v>
      </c>
      <c r="AE358" s="334">
        <f>AD358-(AD34-SUM(AD39:AD43))</f>
        <v>0</v>
      </c>
      <c r="AF358" s="318"/>
      <c r="AG358" s="316"/>
      <c r="AH358" s="332"/>
      <c r="AI358" s="330">
        <f>SUM(AI323:AI356)</f>
        <v>481864.07</v>
      </c>
      <c r="AJ358" s="331">
        <f>AI358-(AI34-SUM(AI39:AI43))</f>
        <v>0</v>
      </c>
      <c r="AK358" s="318"/>
      <c r="AL358" s="316"/>
      <c r="AM358" s="332"/>
      <c r="AN358" s="330">
        <f>SUM(AN323:AN356)</f>
        <v>370938.79999999993</v>
      </c>
      <c r="AO358" s="331">
        <f>AN358-(AN34-AN45)</f>
        <v>0</v>
      </c>
      <c r="AP358" s="318"/>
      <c r="AQ358" s="316"/>
      <c r="AR358" s="332"/>
      <c r="AS358" s="330"/>
      <c r="AT358" s="331">
        <f>AS358-(AS34-SUM(AS39:AS43))</f>
        <v>-1</v>
      </c>
      <c r="AU358" s="318"/>
      <c r="AV358" s="316"/>
    </row>
    <row r="359" spans="1:48" s="62" customFormat="1" x14ac:dyDescent="0.3">
      <c r="A359" s="52"/>
      <c r="B359" s="336"/>
      <c r="C359" s="337"/>
      <c r="D359" s="337"/>
      <c r="E359" s="337"/>
      <c r="F359" s="338">
        <f>F358-F317</f>
        <v>0</v>
      </c>
      <c r="G359" s="338">
        <f>G358-G317</f>
        <v>0</v>
      </c>
      <c r="H359" s="338">
        <f>H358-H317</f>
        <v>0</v>
      </c>
      <c r="I359" s="338">
        <f>I358-I317</f>
        <v>0</v>
      </c>
      <c r="J359" s="338">
        <f>J358-J317</f>
        <v>0</v>
      </c>
      <c r="K359" s="339"/>
      <c r="L359" s="338">
        <f>L358-L317</f>
        <v>0</v>
      </c>
      <c r="M359" s="339"/>
      <c r="N359" s="88"/>
      <c r="O359" s="338">
        <f>O358-O317</f>
        <v>0</v>
      </c>
      <c r="P359" s="339"/>
      <c r="Q359" s="123"/>
      <c r="R359" s="124"/>
      <c r="S359" s="88"/>
      <c r="T359" s="338">
        <f>T358-T317</f>
        <v>0</v>
      </c>
      <c r="U359" s="339"/>
      <c r="V359" s="123"/>
      <c r="W359" s="124"/>
      <c r="X359" s="340"/>
      <c r="Y359" s="338">
        <f>Y358-Y317</f>
        <v>0</v>
      </c>
      <c r="Z359" s="339"/>
      <c r="AA359" s="30"/>
      <c r="AB359" s="124"/>
      <c r="AC359" s="88"/>
      <c r="AD359" s="338">
        <f>AD358-AD317</f>
        <v>0</v>
      </c>
      <c r="AE359" s="341"/>
      <c r="AF359" s="30"/>
      <c r="AG359" s="124"/>
      <c r="AH359" s="88"/>
      <c r="AI359" s="338"/>
      <c r="AJ359" s="29"/>
      <c r="AK359" s="30"/>
      <c r="AL359" s="124"/>
      <c r="AM359" s="88"/>
      <c r="AN359" s="338"/>
      <c r="AO359" s="29"/>
      <c r="AP359" s="30"/>
      <c r="AQ359" s="124"/>
      <c r="AR359" s="88"/>
      <c r="AS359" s="338"/>
      <c r="AT359" s="29"/>
      <c r="AU359" s="30"/>
      <c r="AV359" s="124"/>
    </row>
    <row r="360" spans="1:48" s="62" customFormat="1" x14ac:dyDescent="0.3">
      <c r="A360" s="52"/>
      <c r="B360" s="336"/>
      <c r="C360" s="337"/>
      <c r="D360" s="337"/>
      <c r="E360" s="337"/>
      <c r="F360" s="338"/>
      <c r="G360" s="338"/>
      <c r="H360" s="338"/>
      <c r="I360" s="338"/>
      <c r="J360" s="338"/>
      <c r="K360" s="339"/>
      <c r="L360" s="338"/>
      <c r="M360" s="339"/>
      <c r="N360" s="88"/>
      <c r="O360" s="338"/>
      <c r="P360" s="339"/>
      <c r="Q360" s="123"/>
      <c r="R360" s="124"/>
      <c r="S360" s="88"/>
      <c r="T360" s="338"/>
      <c r="U360" s="339"/>
      <c r="V360" s="123"/>
      <c r="W360" s="124"/>
      <c r="X360" s="340"/>
      <c r="Y360" s="338"/>
      <c r="Z360" s="339"/>
      <c r="AA360" s="30"/>
      <c r="AB360" s="124"/>
      <c r="AC360" s="88"/>
      <c r="AD360" s="338"/>
      <c r="AE360" s="341"/>
      <c r="AF360" s="30"/>
      <c r="AG360" s="124"/>
      <c r="AH360" s="88"/>
      <c r="AI360" s="338"/>
      <c r="AJ360" s="29"/>
      <c r="AK360" s="30"/>
      <c r="AL360" s="124"/>
      <c r="AM360" s="88"/>
      <c r="AN360" s="338"/>
      <c r="AO360" s="29"/>
      <c r="AP360" s="30"/>
      <c r="AQ360" s="124"/>
      <c r="AR360" s="88"/>
      <c r="AS360" s="338"/>
      <c r="AT360" s="29"/>
      <c r="AU360" s="30"/>
      <c r="AV360" s="124"/>
    </row>
    <row r="361" spans="1:48" s="62" customFormat="1" x14ac:dyDescent="0.3">
      <c r="A361" s="52"/>
      <c r="B361" s="336"/>
      <c r="C361" s="337"/>
      <c r="D361" s="337"/>
      <c r="E361" s="337"/>
      <c r="F361" s="338"/>
      <c r="G361" s="338"/>
      <c r="H361" s="338"/>
      <c r="I361" s="338"/>
      <c r="J361" s="338"/>
      <c r="K361" s="339"/>
      <c r="L361" s="338"/>
      <c r="M361" s="339"/>
      <c r="N361" s="88"/>
      <c r="O361" s="338"/>
      <c r="P361" s="339"/>
      <c r="Q361" s="123"/>
      <c r="R361" s="124"/>
      <c r="S361" s="88"/>
      <c r="T361" s="338"/>
      <c r="U361" s="339"/>
      <c r="V361" s="123"/>
      <c r="W361" s="124"/>
      <c r="X361" s="340"/>
      <c r="Y361" s="338"/>
      <c r="Z361" s="339"/>
      <c r="AA361" s="30"/>
      <c r="AB361" s="124"/>
      <c r="AC361" s="88"/>
      <c r="AD361" s="338"/>
      <c r="AE361" s="341"/>
      <c r="AF361" s="30"/>
      <c r="AG361" s="124"/>
      <c r="AH361" s="88"/>
      <c r="AI361" s="338"/>
      <c r="AJ361" s="29"/>
      <c r="AK361" s="30"/>
      <c r="AL361" s="124"/>
      <c r="AM361" s="88"/>
      <c r="AN361" s="338"/>
      <c r="AO361" s="29"/>
      <c r="AP361" s="30"/>
      <c r="AQ361" s="124"/>
      <c r="AR361" s="88"/>
      <c r="AS361" s="338"/>
      <c r="AT361" s="29"/>
      <c r="AU361" s="30"/>
      <c r="AV361" s="124"/>
    </row>
    <row r="362" spans="1:48" s="62" customFormat="1" collapsed="1" x14ac:dyDescent="0.3">
      <c r="A362" s="342" t="s">
        <v>320</v>
      </c>
      <c r="B362" s="336"/>
      <c r="C362" s="337"/>
      <c r="D362" s="337"/>
      <c r="E362" s="343"/>
      <c r="F362" s="344">
        <f>SUM(F363:F364,F368,F371,F377,F385,)</f>
        <v>212381.49</v>
      </c>
      <c r="G362" s="344">
        <f>SUM(G363:G364,G368,G371,G377,G385,)</f>
        <v>197295.65999999997</v>
      </c>
      <c r="H362" s="344">
        <f>SUM(H363:H364,H368,H371,H377,H385,)</f>
        <v>211541.11000000002</v>
      </c>
      <c r="I362" s="344">
        <f>SUM(I363:I364,I368,I371,I377,I385,)</f>
        <v>232988.30000000002</v>
      </c>
      <c r="J362" s="344">
        <f>SUM(J363:J364,J368,J371,J377,J385,)</f>
        <v>207805.10000000003</v>
      </c>
      <c r="K362" s="345" t="str">
        <f>ROUND((J362-I362),2)&amp;"  ( "&amp;(ROUND((J362-I362)/(IF(I362=0,0.0001,I362)),3)*100)&amp;"% )"</f>
        <v>-25183,2  ( -10,8% )</v>
      </c>
      <c r="L362" s="344">
        <f>SUM(L363:L364,L368,L371,L377,L385,)</f>
        <v>236223.46999999997</v>
      </c>
      <c r="M362" s="345" t="str">
        <f>ROUND((L362-G362),2)&amp;"   ( "&amp;(ROUND((L362-G362)/(IF(G362=0,0.0001,G362)),3)*100)&amp;"% )"</f>
        <v>38927,81   ( 19,7% )</v>
      </c>
      <c r="N362" s="88"/>
      <c r="O362" s="344">
        <f>SUM(O363:O364,O368,O371,O377,O385,)</f>
        <v>246120.59</v>
      </c>
      <c r="P362" s="345" t="str">
        <f>ROUND((O362-J362),2)&amp;"   ( "&amp;(ROUND((O362-J362)/(IF(J362=0,0.0001,J362)),3)*100)&amp;"% )"</f>
        <v>38315,49   ( 18,4% )</v>
      </c>
      <c r="Q362" s="123"/>
      <c r="R362" s="346">
        <f>O362/O$640</f>
        <v>0.49121509062150254</v>
      </c>
      <c r="S362" s="88"/>
      <c r="T362" s="344">
        <f>SUM(T363:T364,T368,T371,T377,T385,)</f>
        <v>232170.5</v>
      </c>
      <c r="U362" s="345" t="str">
        <f>ROUND((T362-O362),2)&amp;"   ( "&amp;(ROUND((T362-O362)/(IF(O362=0,0.0001,O362)),3)*100)&amp;"% )"</f>
        <v>-13950,09   ( -5,7% )</v>
      </c>
      <c r="V362" s="123"/>
      <c r="W362" s="346">
        <f>T362/T$640</f>
        <v>0.47471688699914028</v>
      </c>
      <c r="X362" s="340"/>
      <c r="Y362" s="344">
        <f>SUM(Y363:Y364,Y368,Y371,Y377,Y385,)</f>
        <v>242410.06</v>
      </c>
      <c r="Z362" s="345" t="str">
        <f>ROUND((Y362-T362),2)&amp;"   ( "&amp;(ROUND((Y362-T362)/(IF(T362=0,0.0001,T362)),3)*100)&amp;"% )"</f>
        <v>10239,56   ( 4,4% )</v>
      </c>
      <c r="AA362" s="30"/>
      <c r="AB362" s="346">
        <f>Y362/Y$640</f>
        <v>0.47588777312277375</v>
      </c>
      <c r="AC362" s="88">
        <f>SUM(AC363:AC364,AC368,AC371,AC377,AC385,)</f>
        <v>241840.00099999999</v>
      </c>
      <c r="AD362" s="344">
        <f>SUM(AD363:AD364,AD368,AD371,AD377,AD385,)</f>
        <v>247605.44</v>
      </c>
      <c r="AE362" s="6" t="str">
        <f>ROUND((AD362-Y362),2)&amp;"   ( "&amp;(ROUND((AD362-Y362)/(IF(Y362=0,0.0001,Y362)),3)*100)&amp;"% )"</f>
        <v>5195,38   ( 2,1% )</v>
      </c>
      <c r="AF362" s="30"/>
      <c r="AG362" s="346">
        <f>AD362/AD$640</f>
        <v>0.49168749656834099</v>
      </c>
      <c r="AH362" s="88">
        <f>SUM(AH363:AH364,AH368,AH371,AH377,AH385,)</f>
        <v>245510</v>
      </c>
      <c r="AI362" s="344">
        <f>SUM(AI363:AI364,AI368,AI371,AI377,AI385,)</f>
        <v>220386.71999999994</v>
      </c>
      <c r="AJ362" s="6" t="str">
        <f t="shared" ref="AJ362:AJ364" si="356">ROUND(AI362-AD362,2) &amp; "   (" &amp; ROUND(100*(AI362-AD362)/AD362,1) &amp;"%)"</f>
        <v>-27218,72   (-11%)</v>
      </c>
      <c r="AK362" s="30"/>
      <c r="AL362" s="346">
        <f>AI362/AI$640</f>
        <v>0.45736284093561891</v>
      </c>
      <c r="AM362" s="88"/>
      <c r="AN362" s="344">
        <f>SUM(AN363:AN364,AN368,AN371,AN377,AN385,)</f>
        <v>144244.28999999998</v>
      </c>
      <c r="AO362" s="35" t="str">
        <f t="shared" ref="AO362:AO364" si="357">ROUND(AN362-AI362,2) &amp; "   (" &amp; ROUND(100*(AN362-AI362)/AI362,1) &amp;"%)"</f>
        <v>-76142,43   (-34,5%)</v>
      </c>
      <c r="AP362" s="30"/>
      <c r="AQ362" s="346">
        <f>AN362/AN$640</f>
        <v>0.38886277197208807</v>
      </c>
      <c r="AR362" s="88"/>
      <c r="AS362" s="338"/>
      <c r="AT362" s="35" t="str">
        <f t="shared" ref="AT362:AT364" si="358">ROUND(AS362-AN362,2) &amp; "   (" &amp; ROUND(100*(AS362-AN362)/AN362,1) &amp;"%)"</f>
        <v>-144244,29   (-100%)</v>
      </c>
      <c r="AU362" s="30"/>
      <c r="AV362" s="346" t="e">
        <f>AS362/AS$640</f>
        <v>#DIV/0!</v>
      </c>
    </row>
    <row r="363" spans="1:48" s="62" customFormat="1" hidden="1" outlineLevel="1" x14ac:dyDescent="0.3">
      <c r="A363" s="199" t="s">
        <v>321</v>
      </c>
      <c r="B363" s="336"/>
      <c r="C363" s="337"/>
      <c r="D363" s="337"/>
      <c r="E363" s="347"/>
      <c r="F363" s="348">
        <f>SUM(F110,F313:F314)</f>
        <v>41802.74</v>
      </c>
      <c r="G363" s="348">
        <f>SUM(G110,G313:G314)</f>
        <v>42334.12</v>
      </c>
      <c r="H363" s="348">
        <f>SUM(H110,H313:H314)</f>
        <v>46435.68</v>
      </c>
      <c r="I363" s="348">
        <f>SUM(I110,I313:I314)</f>
        <v>45034.66</v>
      </c>
      <c r="J363" s="348">
        <f>SUM(J110,J313:J314)</f>
        <v>43951.75</v>
      </c>
      <c r="K363" s="349" t="str">
        <f>ROUND((J363-I363),2)&amp;"  ( "&amp;(ROUND((J363-I363)/(IF(I363=0,0.0001,I363)),3)*100)&amp;"% )"</f>
        <v>-1082,91  ( -2,4% )</v>
      </c>
      <c r="L363" s="348">
        <f>SUM(L110,L313:L314)</f>
        <v>45694.84</v>
      </c>
      <c r="M363" s="349" t="str">
        <f>ROUND((L363-G363),2)&amp;"   ( "&amp;(ROUND((L363-G363)/(IF(G363=0,0.0001,G363)),3)*100)&amp;"% )"</f>
        <v>3360,72   ( 7,9% )</v>
      </c>
      <c r="N363" s="88"/>
      <c r="O363" s="348">
        <f>SUM(O110,O313:O314)</f>
        <v>47521.54</v>
      </c>
      <c r="P363" s="349" t="str">
        <f>ROUND((O363-J363),2)&amp;"   ( "&amp;(ROUND((O363-J363)/(IF(J363=0,0.0001,J363)),3)*100)&amp;"% )"</f>
        <v>3569,79   ( 8,1% )</v>
      </c>
      <c r="Q363" s="123"/>
      <c r="R363" s="350">
        <f>O363/O$640</f>
        <v>9.4844960259413316E-2</v>
      </c>
      <c r="S363" s="88"/>
      <c r="T363" s="348">
        <f>SUM(T110,T313:T314)</f>
        <v>38860.959999999999</v>
      </c>
      <c r="U363" s="349" t="str">
        <f>ROUND((T363-O363),2)&amp;"   ( "&amp;(ROUND((T363-O363)/(IF(O363=0,0.0001,O363)),3)*100)&amp;"% )"</f>
        <v>-8660,58   ( -18,2% )</v>
      </c>
      <c r="V363" s="123"/>
      <c r="W363" s="350">
        <f>T363/T$640</f>
        <v>7.9458647661947185E-2</v>
      </c>
      <c r="X363" s="340"/>
      <c r="Y363" s="348">
        <f>SUM(Y110,Y313:Y314)</f>
        <v>47337.74</v>
      </c>
      <c r="Z363" s="349" t="str">
        <f>ROUND((Y363-T363),2)&amp;"   ( "&amp;(ROUND((Y363-T363)/(IF(T363=0,0.0001,T363)),3)*100)&amp;"% )"</f>
        <v>8476,78   ( 21,8% )</v>
      </c>
      <c r="AA363" s="30"/>
      <c r="AB363" s="350">
        <f>Y363/Y$640</f>
        <v>9.2931174858274665E-2</v>
      </c>
      <c r="AC363" s="88">
        <f>SUM(AC110,AC313:AC314)</f>
        <v>40000</v>
      </c>
      <c r="AD363" s="348">
        <f>SUM(AD110,AD313:AD314)</f>
        <v>45137.79</v>
      </c>
      <c r="AE363" s="6" t="str">
        <f>ROUND((AD363-Y363),2)&amp;"   ( "&amp;(ROUND((AD363-Y363)/(IF(Y363=0,0.0001,Y363)),3)*100)&amp;"% )"</f>
        <v>-2199,95   ( -4,6% )</v>
      </c>
      <c r="AF363" s="30"/>
      <c r="AG363" s="350">
        <f>AD363/AD$640</f>
        <v>8.9633276901054743E-2</v>
      </c>
      <c r="AH363" s="88">
        <f>SUM(AH110,AH313:AH314)</f>
        <v>40600</v>
      </c>
      <c r="AI363" s="348">
        <f>SUM(AI110,AI313:AI314)</f>
        <v>36496.21</v>
      </c>
      <c r="AJ363" s="6" t="str">
        <f t="shared" si="356"/>
        <v>-8641,58   (-19,1%)</v>
      </c>
      <c r="AK363" s="30"/>
      <c r="AL363" s="350">
        <f>AI363/AI$640</f>
        <v>7.5739637528898965E-2</v>
      </c>
      <c r="AM363" s="88"/>
      <c r="AN363" s="348">
        <f>SUM(AN110,AN313:AN314)</f>
        <v>23929.200000000001</v>
      </c>
      <c r="AO363" s="35" t="str">
        <f t="shared" si="357"/>
        <v>-12567,01   (-34,4%)</v>
      </c>
      <c r="AP363" s="30"/>
      <c r="AQ363" s="350">
        <f>AN363/AN$640</f>
        <v>6.4509832888875476E-2</v>
      </c>
      <c r="AR363" s="88"/>
      <c r="AS363" s="338"/>
      <c r="AT363" s="35" t="str">
        <f t="shared" si="358"/>
        <v>-23929,2   (-100%)</v>
      </c>
      <c r="AU363" s="30"/>
      <c r="AV363" s="350" t="e">
        <f>AS363/AS$640</f>
        <v>#DIV/0!</v>
      </c>
    </row>
    <row r="364" spans="1:48" s="62" customFormat="1" hidden="1" outlineLevel="1" collapsed="1" x14ac:dyDescent="0.3">
      <c r="A364" s="199" t="s">
        <v>322</v>
      </c>
      <c r="B364" s="336"/>
      <c r="C364" s="337"/>
      <c r="D364" s="337"/>
      <c r="E364" s="347"/>
      <c r="F364" s="351">
        <f>SUM(F365:F367)</f>
        <v>19795.690000000002</v>
      </c>
      <c r="G364" s="351">
        <f>SUM(G365:G367)</f>
        <v>22239.329999999998</v>
      </c>
      <c r="H364" s="351">
        <f>SUM(H365:H367)</f>
        <v>23912.670000000002</v>
      </c>
      <c r="I364" s="351">
        <f>SUM(I365:I367)</f>
        <v>27435.97</v>
      </c>
      <c r="J364" s="351">
        <f>SUM(J365:J367)</f>
        <v>23272.350000000002</v>
      </c>
      <c r="K364" s="349" t="str">
        <f>ROUND((J364-I364),2)&amp;"  ( "&amp;(ROUND((J364-I364)/(IF(I364=0,0.0001,I364)),3)*100)&amp;"% )"</f>
        <v>-4163,62  ( -15,2% )</v>
      </c>
      <c r="L364" s="351">
        <f>SUM(L365:L367)</f>
        <v>18493.439999999999</v>
      </c>
      <c r="M364" s="349" t="str">
        <f>ROUND((L364-G364),2)&amp;"   ( "&amp;(ROUND((L364-G364)/(IF(G364=0,0.0001,G364)),3)*100)&amp;"% )"</f>
        <v>-3745,89   ( -16,8% )</v>
      </c>
      <c r="N364" s="88"/>
      <c r="O364" s="351">
        <f>SUM(O365:O367)</f>
        <v>25043.03</v>
      </c>
      <c r="P364" s="349" t="str">
        <f>ROUND((O364-J364),2)&amp;"   ( "&amp;(ROUND((O364-J364)/(IF(J364=0,0.0001,J364)),3)*100)&amp;"% )"</f>
        <v>1770,68   ( 7,6% )</v>
      </c>
      <c r="Q364" s="123"/>
      <c r="R364" s="350">
        <f>O364/O$640</f>
        <v>4.9981654321920026E-2</v>
      </c>
      <c r="S364" s="88"/>
      <c r="T364" s="351">
        <f>SUM(T365:T367)</f>
        <v>24765.23</v>
      </c>
      <c r="U364" s="349" t="str">
        <f>ROUND((T364-O364),2)&amp;"   ( "&amp;(ROUND((T364-O364)/(IF(O364=0,0.0001,O364)),3)*100)&amp;"% )"</f>
        <v>-277,8   ( -1,1% )</v>
      </c>
      <c r="V364" s="123"/>
      <c r="W364" s="350">
        <f>T364/T$640</f>
        <v>5.0637238113445587E-2</v>
      </c>
      <c r="X364" s="340"/>
      <c r="Y364" s="351">
        <f>SUM(Y365:Y367)</f>
        <v>25786.54</v>
      </c>
      <c r="Z364" s="349" t="str">
        <f>ROUND((Y364-T364),2)&amp;"   ( "&amp;(ROUND((Y364-T364)/(IF(T364=0,0.0001,T364)),3)*100)&amp;"% )"</f>
        <v>1021,31   ( 4,1% )</v>
      </c>
      <c r="AA364" s="30"/>
      <c r="AB364" s="350">
        <f>Y364/Y$640</f>
        <v>5.0622895341642715E-2</v>
      </c>
      <c r="AC364" s="88">
        <f>SUM(AC365:AC367)</f>
        <v>24800</v>
      </c>
      <c r="AD364" s="351">
        <f>SUM(AD365:AD367)</f>
        <v>31296.089999999997</v>
      </c>
      <c r="AE364" s="6" t="str">
        <f>ROUND((AD364-Y364),2)&amp;"   ( "&amp;(ROUND((AD364-Y364)/(IF(Y364=0,0.0001,Y364)),3)*100)&amp;"% )"</f>
        <v>5509,55   ( 21,4% )</v>
      </c>
      <c r="AF364" s="30"/>
      <c r="AG364" s="350">
        <f>AD364/AD$640</f>
        <v>6.2146841945304142E-2</v>
      </c>
      <c r="AH364" s="88">
        <f>SUM(AH365:AH367)</f>
        <v>25190</v>
      </c>
      <c r="AI364" s="351">
        <f>SUM(AI365:AI367)</f>
        <v>23633.03</v>
      </c>
      <c r="AJ364" s="6" t="str">
        <f t="shared" si="356"/>
        <v>-7663,06   (-24,5%)</v>
      </c>
      <c r="AK364" s="30"/>
      <c r="AL364" s="350">
        <f>AI364/AI$640</f>
        <v>4.9045013877046274E-2</v>
      </c>
      <c r="AM364" s="88"/>
      <c r="AN364" s="351">
        <f>SUM(AN365:AN367)</f>
        <v>11986.57</v>
      </c>
      <c r="AO364" s="35" t="str">
        <f t="shared" si="357"/>
        <v>-11646,46   (-49,3%)</v>
      </c>
      <c r="AP364" s="30"/>
      <c r="AQ364" s="350">
        <f>AN364/AN$640</f>
        <v>3.2314144543520384E-2</v>
      </c>
      <c r="AR364" s="88"/>
      <c r="AS364" s="338"/>
      <c r="AT364" s="35" t="str">
        <f t="shared" si="358"/>
        <v>-11986,57   (-100%)</v>
      </c>
      <c r="AU364" s="30"/>
      <c r="AV364" s="350" t="e">
        <f>AS364/AS$640</f>
        <v>#DIV/0!</v>
      </c>
    </row>
    <row r="365" spans="1:48" s="62" customFormat="1" hidden="1" outlineLevel="2" x14ac:dyDescent="0.3">
      <c r="A365" s="188" t="s">
        <v>323</v>
      </c>
      <c r="B365" s="336"/>
      <c r="C365" s="337"/>
      <c r="D365" s="337"/>
      <c r="E365" s="352" t="str">
        <f xml:space="preserve"> B109</f>
        <v>6020/00264 Consom.EDF           (0260)</v>
      </c>
      <c r="F365" s="353">
        <f>F109</f>
        <v>11491</v>
      </c>
      <c r="G365" s="353">
        <f>G109</f>
        <v>13196.96</v>
      </c>
      <c r="H365" s="353">
        <f>H109</f>
        <v>15030.84</v>
      </c>
      <c r="I365" s="353">
        <f>I109</f>
        <v>15728.38</v>
      </c>
      <c r="J365" s="353">
        <f>J109</f>
        <v>14728.76</v>
      </c>
      <c r="K365" s="354"/>
      <c r="L365" s="353">
        <f>L109</f>
        <v>12153.96</v>
      </c>
      <c r="M365" s="354"/>
      <c r="N365" s="88"/>
      <c r="O365" s="353">
        <f>O109</f>
        <v>14242.19</v>
      </c>
      <c r="P365" s="354"/>
      <c r="Q365" s="123"/>
      <c r="R365" s="355"/>
      <c r="S365" s="88"/>
      <c r="T365" s="353">
        <f>T109</f>
        <v>14379.92</v>
      </c>
      <c r="U365" s="354"/>
      <c r="V365" s="123"/>
      <c r="W365" s="355"/>
      <c r="X365" s="340"/>
      <c r="Y365" s="353">
        <f>Y109</f>
        <v>15338.7</v>
      </c>
      <c r="Z365" s="354"/>
      <c r="AA365" s="30"/>
      <c r="AB365" s="355"/>
      <c r="AC365" s="88">
        <f>AC109</f>
        <v>14500</v>
      </c>
      <c r="AD365" s="353">
        <f>AD109</f>
        <v>19979.66</v>
      </c>
      <c r="AE365" s="90"/>
      <c r="AF365" s="356" t="str">
        <f>ROUND(AD365-AC365,2) &amp; "  (" &amp; ROUND(100*(AD365-AC365)/AC365,1) &amp;"%)"</f>
        <v>5479,66  (37,8%)</v>
      </c>
      <c r="AG365" s="355"/>
      <c r="AH365" s="88">
        <f>AH109</f>
        <v>14720</v>
      </c>
      <c r="AI365" s="353">
        <f>AI109</f>
        <v>14546.82</v>
      </c>
      <c r="AJ365" s="90"/>
      <c r="AK365" s="30"/>
      <c r="AL365" s="355"/>
      <c r="AM365" s="88"/>
      <c r="AN365" s="353">
        <f>AN109</f>
        <v>7150.97</v>
      </c>
      <c r="AO365" s="29"/>
      <c r="AP365" s="30"/>
      <c r="AQ365" s="355"/>
      <c r="AR365" s="88"/>
      <c r="AS365" s="338"/>
      <c r="AT365" s="29"/>
      <c r="AU365" s="30"/>
      <c r="AV365" s="355"/>
    </row>
    <row r="366" spans="1:48" s="62" customFormat="1" hidden="1" outlineLevel="2" x14ac:dyDescent="0.3">
      <c r="A366" s="188" t="s">
        <v>324</v>
      </c>
      <c r="B366" s="336"/>
      <c r="C366" s="337"/>
      <c r="D366" s="337"/>
      <c r="E366" s="26" t="str">
        <f xml:space="preserve"> B286</f>
        <v>6020/40264/600 Electricité</v>
      </c>
      <c r="F366" s="353">
        <f>F286</f>
        <v>2072.0300000000002</v>
      </c>
      <c r="G366" s="353">
        <f>G286</f>
        <v>2291.0899999999997</v>
      </c>
      <c r="H366" s="353">
        <f>H286</f>
        <v>2214.0200000000004</v>
      </c>
      <c r="I366" s="353">
        <f>I286</f>
        <v>2681.74</v>
      </c>
      <c r="J366" s="353">
        <f>J286</f>
        <v>1710.48</v>
      </c>
      <c r="K366" s="354"/>
      <c r="L366" s="353">
        <f>L286</f>
        <v>1789.02</v>
      </c>
      <c r="M366" s="354"/>
      <c r="N366" s="88"/>
      <c r="O366" s="353">
        <f>O286</f>
        <v>2324.35</v>
      </c>
      <c r="P366" s="354"/>
      <c r="Q366" s="123"/>
      <c r="R366" s="355"/>
      <c r="S366" s="88"/>
      <c r="T366" s="353">
        <f>T286</f>
        <v>2171.33</v>
      </c>
      <c r="U366" s="354"/>
      <c r="V366" s="123"/>
      <c r="W366" s="355"/>
      <c r="X366" s="340"/>
      <c r="Y366" s="353">
        <f>Y286</f>
        <v>2054.88</v>
      </c>
      <c r="Z366" s="354"/>
      <c r="AA366" s="30"/>
      <c r="AB366" s="355"/>
      <c r="AC366" s="88">
        <f>AC286</f>
        <v>2300</v>
      </c>
      <c r="AD366" s="353">
        <f>AD286</f>
        <v>2637.58</v>
      </c>
      <c r="AE366" s="90"/>
      <c r="AF366" s="356" t="str">
        <f>ROUND(AD366-AC366,2) &amp; "  (" &amp; ROUND(100*(AD366-AC366)/AC366,1) &amp;"%)"</f>
        <v>337,58  (14,7%)</v>
      </c>
      <c r="AG366" s="355"/>
      <c r="AH366" s="88">
        <f>AH286</f>
        <v>2350</v>
      </c>
      <c r="AI366" s="353">
        <f>AI286</f>
        <v>2363.54</v>
      </c>
      <c r="AJ366" s="90"/>
      <c r="AK366" s="30"/>
      <c r="AL366" s="355"/>
      <c r="AM366" s="88"/>
      <c r="AN366" s="353">
        <f>AN286</f>
        <v>1205.5999999999999</v>
      </c>
      <c r="AO366" s="29"/>
      <c r="AP366" s="30"/>
      <c r="AQ366" s="355"/>
      <c r="AR366" s="88"/>
      <c r="AS366" s="338"/>
      <c r="AT366" s="29"/>
      <c r="AU366" s="30"/>
      <c r="AV366" s="355"/>
    </row>
    <row r="367" spans="1:48" s="62" customFormat="1" hidden="1" outlineLevel="2" x14ac:dyDescent="0.3">
      <c r="A367" s="188" t="s">
        <v>325</v>
      </c>
      <c r="B367" s="336"/>
      <c r="C367" s="337"/>
      <c r="D367" s="337"/>
      <c r="E367" s="26" t="str">
        <f xml:space="preserve"> B297</f>
        <v>6020/65264  Electricité</v>
      </c>
      <c r="F367" s="353">
        <f>F297</f>
        <v>6232.66</v>
      </c>
      <c r="G367" s="353">
        <f>G297</f>
        <v>6751.28</v>
      </c>
      <c r="H367" s="353">
        <f>H297</f>
        <v>6667.81</v>
      </c>
      <c r="I367" s="353">
        <f>I297</f>
        <v>9025.85</v>
      </c>
      <c r="J367" s="353">
        <f>J297</f>
        <v>6833.11</v>
      </c>
      <c r="K367" s="354"/>
      <c r="L367" s="353">
        <f>L297</f>
        <v>4550.46</v>
      </c>
      <c r="M367" s="354"/>
      <c r="N367" s="88"/>
      <c r="O367" s="353">
        <f>O297</f>
        <v>8476.49</v>
      </c>
      <c r="P367" s="354"/>
      <c r="Q367" s="123"/>
      <c r="R367" s="355"/>
      <c r="S367" s="88"/>
      <c r="T367" s="353">
        <f>T297</f>
        <v>8213.98</v>
      </c>
      <c r="U367" s="354"/>
      <c r="V367" s="123"/>
      <c r="W367" s="355"/>
      <c r="X367" s="340"/>
      <c r="Y367" s="353">
        <f>Y297</f>
        <v>8392.9599999999991</v>
      </c>
      <c r="Z367" s="354"/>
      <c r="AA367" s="30"/>
      <c r="AB367" s="355"/>
      <c r="AC367" s="88">
        <f>AC297</f>
        <v>8000</v>
      </c>
      <c r="AD367" s="353">
        <f>AD297</f>
        <v>8678.85</v>
      </c>
      <c r="AE367" s="90"/>
      <c r="AF367" s="356" t="str">
        <f>ROUND(AD367-AC367,2) &amp; "  (" &amp; ROUND(100*(AD367-AC367)/AC367,1) &amp;"%)"</f>
        <v>678,85  (8,5%)</v>
      </c>
      <c r="AG367" s="355"/>
      <c r="AH367" s="88">
        <f>AH297</f>
        <v>8120</v>
      </c>
      <c r="AI367" s="353">
        <f>AI297</f>
        <v>6722.67</v>
      </c>
      <c r="AJ367" s="90"/>
      <c r="AK367" s="30"/>
      <c r="AL367" s="355"/>
      <c r="AM367" s="88"/>
      <c r="AN367" s="353">
        <f>AN297</f>
        <v>3630</v>
      </c>
      <c r="AO367" s="29"/>
      <c r="AP367" s="30"/>
      <c r="AQ367" s="355"/>
      <c r="AR367" s="88"/>
      <c r="AS367" s="338"/>
      <c r="AT367" s="29"/>
      <c r="AU367" s="30"/>
      <c r="AV367" s="355"/>
    </row>
    <row r="368" spans="1:48" s="62" customFormat="1" hidden="1" outlineLevel="1" collapsed="1" x14ac:dyDescent="0.3">
      <c r="A368" s="199" t="s">
        <v>326</v>
      </c>
      <c r="B368" s="336"/>
      <c r="C368" s="337"/>
      <c r="D368" s="337"/>
      <c r="E368" s="347"/>
      <c r="F368" s="351">
        <f>SUM(F369:F370)</f>
        <v>141095.54999999999</v>
      </c>
      <c r="G368" s="351">
        <f>SUM(G369:G370)</f>
        <v>123289.66</v>
      </c>
      <c r="H368" s="351">
        <f>SUM(H369:H370)</f>
        <v>134341.22</v>
      </c>
      <c r="I368" s="351">
        <f>SUM(I369:I370)</f>
        <v>152968.94</v>
      </c>
      <c r="J368" s="351">
        <f>SUM(J369:J370)</f>
        <v>135002.89000000001</v>
      </c>
      <c r="K368" s="349" t="str">
        <f>ROUND((J368-I368),2)&amp;"  ( "&amp;(ROUND((J368-I368)/(IF(I368=0,0.0001,I368)),3)*100)&amp;"% )"</f>
        <v>-17966,05  ( -11,7% )</v>
      </c>
      <c r="L368" s="351">
        <f>SUM(L369:L370)</f>
        <v>160620.04999999999</v>
      </c>
      <c r="M368" s="349" t="str">
        <f>ROUND((L368-G368),2)&amp;"   ( "&amp;(ROUND((L368-G368)/(IF(G368=0,0.0001,G368)),3)*100)&amp;"% )"</f>
        <v>37330,39   ( 30,3% )</v>
      </c>
      <c r="N368" s="88"/>
      <c r="O368" s="351">
        <f>SUM(O369:O370)</f>
        <v>165776.71</v>
      </c>
      <c r="P368" s="349" t="str">
        <f>ROUND((O368-J368),2)&amp;"   ( "&amp;(ROUND((O368-J368)/(IF(J368=0,0.0001,J368)),3)*100)&amp;"% )"</f>
        <v>30773,82   ( 22,8% )</v>
      </c>
      <c r="Q368" s="123"/>
      <c r="R368" s="357">
        <f>O368/O$640</f>
        <v>0.33086228838304244</v>
      </c>
      <c r="S368" s="88"/>
      <c r="T368" s="351">
        <f>SUM(T369:T370)</f>
        <v>161745.16</v>
      </c>
      <c r="U368" s="349" t="str">
        <f>ROUND((T368-O368),2)&amp;"   ( "&amp;(ROUND((T368-O368)/(IF(O368=0,0.0001,O368)),3)*100)&amp;"% )"</f>
        <v>-4031,55   ( -2,4% )</v>
      </c>
      <c r="V368" s="123"/>
      <c r="W368" s="357">
        <f>T368/T$640</f>
        <v>0.3307188417235517</v>
      </c>
      <c r="X368" s="340"/>
      <c r="Y368" s="351">
        <f>SUM(Y369:Y370)</f>
        <v>161803.51</v>
      </c>
      <c r="Z368" s="349" t="str">
        <f>ROUND((Y368-T368),2)&amp;"   ( "&amp;(ROUND((Y368-T368)/(IF(T368=0,0.0001,T368)),3)*100)&amp;"% )"</f>
        <v>58,35   ( 0% )</v>
      </c>
      <c r="AA368" s="30"/>
      <c r="AB368" s="357">
        <f>Y368/Y$640</f>
        <v>0.31764487025558452</v>
      </c>
      <c r="AC368" s="88">
        <f>SUM(AC369:AC370)</f>
        <v>170000</v>
      </c>
      <c r="AD368" s="351">
        <f>SUM(AD369:AD370)</f>
        <v>163038.54</v>
      </c>
      <c r="AE368" s="6" t="str">
        <f>ROUND((AD368-Y368),2)&amp;"   ( "&amp;(ROUND((AD368-Y368)/(IF(Y368=0,0.0001,Y368)),3)*100)&amp;"% )"</f>
        <v>1235,03   ( 0,8% )</v>
      </c>
      <c r="AF368" s="30"/>
      <c r="AG368" s="357">
        <f>AD368/AD$640</f>
        <v>0.32375706921769298</v>
      </c>
      <c r="AH368" s="88">
        <f>SUM(AH369:AH370)</f>
        <v>172550</v>
      </c>
      <c r="AI368" s="351">
        <f>SUM(AI369:AI370)</f>
        <v>152017.54999999999</v>
      </c>
      <c r="AJ368" s="6" t="str">
        <f t="shared" ref="AJ368" si="359">ROUND(AI368-AD368,2) &amp; "   (" &amp; ROUND(100*(AI368-AD368)/AD368,1) &amp;"%)"</f>
        <v>-11020,99   (-6,8%)</v>
      </c>
      <c r="AK368" s="30"/>
      <c r="AL368" s="357">
        <f>AI368/AI$640</f>
        <v>0.31547807662853966</v>
      </c>
      <c r="AM368" s="88"/>
      <c r="AN368" s="351">
        <f>SUM(AN369:AN370)</f>
        <v>104304.24</v>
      </c>
      <c r="AO368" s="35" t="str">
        <f t="shared" ref="AO368" si="360">ROUND(AN368-AI368,2) &amp; "   (" &amp; ROUND(100*(AN368-AI368)/AI368,1) &amp;"%)"</f>
        <v>-47713,31   (-31,4%)</v>
      </c>
      <c r="AP368" s="30"/>
      <c r="AQ368" s="357">
        <f>AN368/AN$640</f>
        <v>0.28118988900594927</v>
      </c>
      <c r="AR368" s="88"/>
      <c r="AS368" s="338"/>
      <c r="AT368" s="35" t="str">
        <f t="shared" ref="AT368" si="361">ROUND(AS368-AN368,2) &amp; "   (" &amp; ROUND(100*(AS368-AN368)/AN368,1) &amp;"%)"</f>
        <v>-104304,24   (-100%)</v>
      </c>
      <c r="AU368" s="30"/>
      <c r="AV368" s="357" t="e">
        <f>AS368/AS$640</f>
        <v>#DIV/0!</v>
      </c>
    </row>
    <row r="369" spans="1:48" s="62" customFormat="1" hidden="1" outlineLevel="2" x14ac:dyDescent="0.3">
      <c r="A369" s="188" t="s">
        <v>327</v>
      </c>
      <c r="B369" s="336"/>
      <c r="C369" s="337"/>
      <c r="D369" s="337"/>
      <c r="E369" s="347" t="str">
        <f>B298</f>
        <v>6030/65263  CombustibleGaz</v>
      </c>
      <c r="F369" s="353">
        <f t="shared" ref="F369:J370" si="362">F298</f>
        <v>141095.54999999999</v>
      </c>
      <c r="G369" s="353">
        <f t="shared" si="362"/>
        <v>123289.66</v>
      </c>
      <c r="H369" s="353">
        <f t="shared" si="362"/>
        <v>134341.22</v>
      </c>
      <c r="I369" s="353">
        <f t="shared" si="362"/>
        <v>152968.94</v>
      </c>
      <c r="J369" s="353">
        <f t="shared" si="362"/>
        <v>135002.89000000001</v>
      </c>
      <c r="K369" s="354"/>
      <c r="L369" s="353">
        <f>L298</f>
        <v>74078</v>
      </c>
      <c r="M369" s="354"/>
      <c r="N369" s="88"/>
      <c r="O369" s="353">
        <f>O298</f>
        <v>0</v>
      </c>
      <c r="P369" s="354"/>
      <c r="Q369" s="123"/>
      <c r="R369" s="357"/>
      <c r="S369" s="88"/>
      <c r="T369" s="353">
        <f>T298</f>
        <v>0</v>
      </c>
      <c r="U369" s="358" t="str">
        <f>(T369-O369)&amp;" / "&amp;(ROUND((T369-O369)/(IF(O369=0,0.0001,O369)),3)*100)&amp;"%"</f>
        <v>0 / 0%</v>
      </c>
      <c r="V369" s="123"/>
      <c r="W369" s="357"/>
      <c r="X369" s="340"/>
      <c r="Y369" s="353">
        <f>Y298</f>
        <v>0</v>
      </c>
      <c r="Z369" s="354"/>
      <c r="AA369" s="30"/>
      <c r="AB369" s="357"/>
      <c r="AC369" s="88">
        <f>AC298</f>
        <v>0</v>
      </c>
      <c r="AD369" s="353">
        <f>AD298</f>
        <v>0</v>
      </c>
      <c r="AE369" s="90"/>
      <c r="AF369" s="30"/>
      <c r="AG369" s="357"/>
      <c r="AH369" s="88">
        <f>AH298</f>
        <v>0</v>
      </c>
      <c r="AI369" s="353">
        <f>AI298</f>
        <v>0</v>
      </c>
      <c r="AJ369" s="90"/>
      <c r="AK369" s="30"/>
      <c r="AL369" s="357"/>
      <c r="AM369" s="88"/>
      <c r="AN369" s="353">
        <f>AN298</f>
        <v>0</v>
      </c>
      <c r="AO369" s="29"/>
      <c r="AP369" s="30"/>
      <c r="AQ369" s="357"/>
      <c r="AR369" s="88"/>
      <c r="AS369" s="338"/>
      <c r="AT369" s="29"/>
      <c r="AU369" s="30"/>
      <c r="AV369" s="357"/>
    </row>
    <row r="370" spans="1:48" s="62" customFormat="1" hidden="1" outlineLevel="2" x14ac:dyDescent="0.3">
      <c r="A370" s="188" t="s">
        <v>328</v>
      </c>
      <c r="B370" s="336"/>
      <c r="C370" s="337"/>
      <c r="D370" s="337"/>
      <c r="E370" s="347" t="str">
        <f>B299</f>
        <v>6030/65282  CPCU</v>
      </c>
      <c r="F370" s="353">
        <f t="shared" si="362"/>
        <v>0</v>
      </c>
      <c r="G370" s="353">
        <f t="shared" si="362"/>
        <v>0</v>
      </c>
      <c r="H370" s="353">
        <f t="shared" si="362"/>
        <v>0</v>
      </c>
      <c r="I370" s="353">
        <f t="shared" si="362"/>
        <v>0</v>
      </c>
      <c r="J370" s="353">
        <f t="shared" si="362"/>
        <v>0</v>
      </c>
      <c r="K370" s="354"/>
      <c r="L370" s="353">
        <f>L299</f>
        <v>86542.05</v>
      </c>
      <c r="M370" s="354"/>
      <c r="N370" s="88"/>
      <c r="O370" s="353">
        <f>O299</f>
        <v>165776.71</v>
      </c>
      <c r="P370" s="354"/>
      <c r="Q370" s="123"/>
      <c r="R370" s="357"/>
      <c r="S370" s="88"/>
      <c r="T370" s="353">
        <f>T299</f>
        <v>161745.16</v>
      </c>
      <c r="U370" s="349" t="str">
        <f>(T370-O370)&amp;" / "&amp;(ROUND((T370-O370)/(IF(O370=0,0.0001,O370)),3)*100)&amp;"%"</f>
        <v>-4031,54999999999 / -2,4%</v>
      </c>
      <c r="V370" s="123"/>
      <c r="W370" s="357"/>
      <c r="X370" s="340"/>
      <c r="Y370" s="353">
        <f>Y299</f>
        <v>161803.51</v>
      </c>
      <c r="Z370" s="354"/>
      <c r="AA370" s="30"/>
      <c r="AB370" s="357"/>
      <c r="AC370" s="88">
        <f>AC299</f>
        <v>170000</v>
      </c>
      <c r="AD370" s="353">
        <f>AD299</f>
        <v>163038.54</v>
      </c>
      <c r="AE370" s="90"/>
      <c r="AF370" s="30"/>
      <c r="AG370" s="357"/>
      <c r="AH370" s="88">
        <f>AH299</f>
        <v>172550</v>
      </c>
      <c r="AI370" s="353">
        <f>AI299</f>
        <v>152017.54999999999</v>
      </c>
      <c r="AJ370" s="90"/>
      <c r="AK370" s="30"/>
      <c r="AL370" s="357"/>
      <c r="AM370" s="88"/>
      <c r="AN370" s="353">
        <f>AN299</f>
        <v>104304.24</v>
      </c>
      <c r="AO370" s="29"/>
      <c r="AP370" s="30"/>
      <c r="AQ370" s="357"/>
      <c r="AR370" s="88"/>
      <c r="AS370" s="338"/>
      <c r="AT370" s="29"/>
      <c r="AU370" s="30"/>
      <c r="AV370" s="357"/>
    </row>
    <row r="371" spans="1:48" s="62" customFormat="1" hidden="1" outlineLevel="1" collapsed="1" x14ac:dyDescent="0.3">
      <c r="A371" s="199" t="s">
        <v>329</v>
      </c>
      <c r="B371" s="336"/>
      <c r="C371" s="337"/>
      <c r="D371" s="337"/>
      <c r="E371" s="347"/>
      <c r="F371" s="351">
        <f>SUM(F372:F376)</f>
        <v>4975.41</v>
      </c>
      <c r="G371" s="351">
        <f>SUM(G372:G376)</f>
        <v>3617.94</v>
      </c>
      <c r="H371" s="351">
        <f>SUM(H372:H376)</f>
        <v>2688.26</v>
      </c>
      <c r="I371" s="351">
        <f>SUM(I372:I376)</f>
        <v>1717.85</v>
      </c>
      <c r="J371" s="351">
        <f>SUM(J372:J376)</f>
        <v>3633.88</v>
      </c>
      <c r="K371" s="349" t="str">
        <f>ROUND((J371-I371),2)&amp;"  ( "&amp;(ROUND((J371-I371)/(IF(I371=0,0.0001,I371)),3)*100)&amp;"% )"</f>
        <v>1916,03  ( 111,5% )</v>
      </c>
      <c r="L371" s="351">
        <f>SUM(L372:L376)</f>
        <v>5035.68</v>
      </c>
      <c r="M371" s="349" t="str">
        <f>ROUND((L371-G371),2)&amp;"   ( "&amp;(ROUND((L371-G371)/(IF(G371=0,0.0001,G371)),3)*100)&amp;"% )"</f>
        <v>1417,74   ( 39,2% )</v>
      </c>
      <c r="N371" s="88"/>
      <c r="O371" s="351">
        <f>SUM(O372:O376)</f>
        <v>4459.63</v>
      </c>
      <c r="P371" s="349" t="str">
        <f>ROUND((O371-J371),2)&amp;"   ( "&amp;(ROUND((O371-J371)/(IF(J371=0,0.0001,J371)),3)*100)&amp;"% )"</f>
        <v>825,75   ( 22,7% )</v>
      </c>
      <c r="Q371" s="123"/>
      <c r="R371" s="357">
        <f>O371/O$640</f>
        <v>8.9006675735190284E-3</v>
      </c>
      <c r="S371" s="88"/>
      <c r="T371" s="351">
        <f>SUM(T372:T376)</f>
        <v>3806.25</v>
      </c>
      <c r="U371" s="349" t="str">
        <f>ROUND((T371-O371),2)&amp;"   ( "&amp;(ROUND((T371-O371)/(IF(O371=0,0.0001,O371)),3)*100)&amp;"% )"</f>
        <v>-653,38   ( -14,7% )</v>
      </c>
      <c r="V371" s="123"/>
      <c r="W371" s="357">
        <f>T371/T$640</f>
        <v>7.7826043840215605E-3</v>
      </c>
      <c r="X371" s="340"/>
      <c r="Y371" s="351">
        <f>SUM(Y372:Y376)</f>
        <v>4198.3</v>
      </c>
      <c r="Z371" s="349" t="str">
        <f>ROUND((Y371-T371),2)&amp;"   ( "&amp;(ROUND((Y371-T371)/(IF(T371=0,0.0001,T371)),3)*100)&amp;"% )"</f>
        <v>392,05   ( 10,3% )</v>
      </c>
      <c r="AA371" s="30"/>
      <c r="AB371" s="357">
        <f>Y371/Y$640</f>
        <v>8.2419006781374558E-3</v>
      </c>
      <c r="AC371" s="88">
        <f>SUM(AC372:AC376)</f>
        <v>4000</v>
      </c>
      <c r="AD371" s="351">
        <f>SUM(AD372:AD376)</f>
        <v>4478.3599999999997</v>
      </c>
      <c r="AE371" s="6" t="str">
        <f>ROUND((AD371-Y371),2)&amp;"   ( "&amp;(ROUND((AD371-Y371)/(IF(Y371=0,0.0001,Y371)),3)*100)&amp;"% )"</f>
        <v>280,06   ( 6,7% )</v>
      </c>
      <c r="AF371" s="30"/>
      <c r="AG371" s="357">
        <f>AD371/AD$640</f>
        <v>8.892993696470463E-3</v>
      </c>
      <c r="AH371" s="88">
        <f>SUM(AH372:AH376)</f>
        <v>4070</v>
      </c>
      <c r="AI371" s="351">
        <f>SUM(AI372:AI376)</f>
        <v>2446.08</v>
      </c>
      <c r="AJ371" s="6" t="str">
        <f t="shared" ref="AJ371" si="363">ROUND(AI371-AD371,2) &amp; "   (" &amp; ROUND(100*(AI371-AD371)/AD371,1) &amp;"%)"</f>
        <v>-2032,28   (-45,4%)</v>
      </c>
      <c r="AK371" s="30"/>
      <c r="AL371" s="357">
        <f>AI371/AI$640</f>
        <v>5.0762863477245767E-3</v>
      </c>
      <c r="AM371" s="88"/>
      <c r="AN371" s="351">
        <f>SUM(AN372:AN376)</f>
        <v>2962.55</v>
      </c>
      <c r="AO371" s="35" t="str">
        <f t="shared" ref="AO371" si="364">ROUND(AN371-AI371,2) &amp; "   (" &amp; ROUND(100*(AN371-AI371)/AI371,1) &amp;"%)"</f>
        <v>516,47   (21,1%)</v>
      </c>
      <c r="AP371" s="30"/>
      <c r="AQ371" s="357">
        <f>AN371/AN$640</f>
        <v>7.9866274436645613E-3</v>
      </c>
      <c r="AR371" s="88"/>
      <c r="AS371" s="338"/>
      <c r="AT371" s="35" t="str">
        <f t="shared" ref="AT371" si="365">ROUND(AS371-AN371,2) &amp; "   (" &amp; ROUND(100*(AS371-AN371)/AN371,1) &amp;"%)"</f>
        <v>-2962,55   (-100%)</v>
      </c>
      <c r="AU371" s="30"/>
      <c r="AV371" s="357" t="e">
        <f>AS371/AS$640</f>
        <v>#DIV/0!</v>
      </c>
    </row>
    <row r="372" spans="1:48" s="62" customFormat="1" hidden="1" outlineLevel="2" x14ac:dyDescent="0.3">
      <c r="A372" s="188" t="s">
        <v>330</v>
      </c>
      <c r="B372" s="336"/>
      <c r="C372" s="337"/>
      <c r="D372" s="337"/>
      <c r="E372" s="347"/>
      <c r="F372" s="353"/>
      <c r="G372" s="353"/>
      <c r="H372" s="353"/>
      <c r="I372" s="353"/>
      <c r="J372" s="353"/>
      <c r="K372" s="354"/>
      <c r="L372" s="353"/>
      <c r="M372" s="354"/>
      <c r="N372" s="88"/>
      <c r="O372" s="353"/>
      <c r="P372" s="354"/>
      <c r="Q372" s="123"/>
      <c r="R372" s="357"/>
      <c r="S372" s="88"/>
      <c r="T372" s="353"/>
      <c r="U372" s="354"/>
      <c r="V372" s="123"/>
      <c r="W372" s="357"/>
      <c r="X372" s="340"/>
      <c r="Y372" s="353"/>
      <c r="Z372" s="354"/>
      <c r="AA372" s="30"/>
      <c r="AB372" s="357"/>
      <c r="AC372" s="88"/>
      <c r="AD372" s="353"/>
      <c r="AE372" s="90"/>
      <c r="AF372" s="30"/>
      <c r="AG372" s="357"/>
      <c r="AH372" s="88"/>
      <c r="AI372" s="353"/>
      <c r="AJ372" s="90"/>
      <c r="AK372" s="30"/>
      <c r="AL372" s="357"/>
      <c r="AM372" s="88"/>
      <c r="AN372" s="353"/>
      <c r="AO372" s="29"/>
      <c r="AP372" s="30"/>
      <c r="AQ372" s="357"/>
      <c r="AR372" s="88"/>
      <c r="AS372" s="338"/>
      <c r="AT372" s="29"/>
      <c r="AU372" s="30"/>
      <c r="AV372" s="357"/>
    </row>
    <row r="373" spans="1:48" s="62" customFormat="1" hidden="1" outlineLevel="2" x14ac:dyDescent="0.3">
      <c r="A373" s="188" t="s">
        <v>331</v>
      </c>
      <c r="B373" s="336"/>
      <c r="C373" s="337"/>
      <c r="D373" s="337"/>
      <c r="E373" s="347" t="str">
        <f>B300</f>
        <v>6060/65177  Produits Entretien</v>
      </c>
      <c r="F373" s="353">
        <f>F300</f>
        <v>0</v>
      </c>
      <c r="G373" s="353">
        <f>G300</f>
        <v>0</v>
      </c>
      <c r="H373" s="353">
        <f>H300</f>
        <v>0</v>
      </c>
      <c r="I373" s="353">
        <f>I300</f>
        <v>0</v>
      </c>
      <c r="J373" s="353">
        <f>J300</f>
        <v>0</v>
      </c>
      <c r="K373" s="354"/>
      <c r="L373" s="353">
        <f>L300</f>
        <v>0</v>
      </c>
      <c r="M373" s="354"/>
      <c r="N373" s="88"/>
      <c r="O373" s="353">
        <f>O300</f>
        <v>976.9</v>
      </c>
      <c r="P373" s="354"/>
      <c r="Q373" s="123"/>
      <c r="R373" s="357"/>
      <c r="S373" s="88"/>
      <c r="T373" s="353">
        <f>T300</f>
        <v>682.8</v>
      </c>
      <c r="U373" s="354"/>
      <c r="V373" s="123"/>
      <c r="W373" s="357"/>
      <c r="X373" s="340"/>
      <c r="Y373" s="353">
        <f>Y300</f>
        <v>0</v>
      </c>
      <c r="Z373" s="354"/>
      <c r="AA373" s="30"/>
      <c r="AB373" s="357"/>
      <c r="AC373" s="88">
        <f>AC300</f>
        <v>1000</v>
      </c>
      <c r="AD373" s="353">
        <f>AD300</f>
        <v>0</v>
      </c>
      <c r="AE373" s="90"/>
      <c r="AF373" s="30"/>
      <c r="AG373" s="357"/>
      <c r="AH373" s="88">
        <f>AH300</f>
        <v>1020</v>
      </c>
      <c r="AI373" s="353">
        <f>AI300</f>
        <v>0</v>
      </c>
      <c r="AJ373" s="90"/>
      <c r="AK373" s="30"/>
      <c r="AL373" s="357"/>
      <c r="AM373" s="88"/>
      <c r="AN373" s="353">
        <f>AN300</f>
        <v>0</v>
      </c>
      <c r="AO373" s="29"/>
      <c r="AP373" s="30"/>
      <c r="AQ373" s="357"/>
      <c r="AR373" s="88"/>
      <c r="AS373" s="338"/>
      <c r="AT373" s="29"/>
      <c r="AU373" s="30"/>
      <c r="AV373" s="357"/>
    </row>
    <row r="374" spans="1:48" s="62" customFormat="1" hidden="1" outlineLevel="2" x14ac:dyDescent="0.3">
      <c r="A374" s="188" t="s">
        <v>332</v>
      </c>
      <c r="B374" s="336"/>
      <c r="C374" s="337"/>
      <c r="D374" s="337"/>
      <c r="E374" s="347" t="str">
        <f>B100</f>
        <v>6060/0177  Fourn.ProdEntretien   (0170)</v>
      </c>
      <c r="F374" s="353">
        <f>F100</f>
        <v>4975.41</v>
      </c>
      <c r="G374" s="353">
        <f>G100</f>
        <v>3617.94</v>
      </c>
      <c r="H374" s="353">
        <f>H100</f>
        <v>2688.26</v>
      </c>
      <c r="I374" s="353">
        <f>I100</f>
        <v>1717.85</v>
      </c>
      <c r="J374" s="353">
        <f>J100</f>
        <v>3633.88</v>
      </c>
      <c r="K374" s="354"/>
      <c r="L374" s="353">
        <f>L100</f>
        <v>5035.68</v>
      </c>
      <c r="M374" s="354"/>
      <c r="N374" s="88"/>
      <c r="O374" s="353">
        <f>O100</f>
        <v>3482.73</v>
      </c>
      <c r="P374" s="354"/>
      <c r="Q374" s="123"/>
      <c r="R374" s="357"/>
      <c r="S374" s="88"/>
      <c r="T374" s="353">
        <f>T100</f>
        <v>3123.45</v>
      </c>
      <c r="U374" s="354"/>
      <c r="V374" s="123"/>
      <c r="W374" s="357"/>
      <c r="X374" s="340"/>
      <c r="Y374" s="353">
        <f>Y100</f>
        <v>4198.3</v>
      </c>
      <c r="Z374" s="354"/>
      <c r="AA374" s="30"/>
      <c r="AB374" s="357"/>
      <c r="AC374" s="88">
        <f>AC100</f>
        <v>3000</v>
      </c>
      <c r="AD374" s="353">
        <f>AD100</f>
        <v>4478.3599999999997</v>
      </c>
      <c r="AE374" s="90"/>
      <c r="AF374" s="30"/>
      <c r="AG374" s="357"/>
      <c r="AH374" s="88">
        <f>AH100</f>
        <v>3050</v>
      </c>
      <c r="AI374" s="353">
        <f>AI100</f>
        <v>2446.08</v>
      </c>
      <c r="AJ374" s="90"/>
      <c r="AK374" s="30"/>
      <c r="AL374" s="357"/>
      <c r="AM374" s="88"/>
      <c r="AN374" s="353">
        <f>AN100</f>
        <v>2962.55</v>
      </c>
      <c r="AO374" s="29"/>
      <c r="AP374" s="30"/>
      <c r="AQ374" s="357"/>
      <c r="AR374" s="88"/>
      <c r="AS374" s="338"/>
      <c r="AT374" s="29"/>
      <c r="AU374" s="30"/>
      <c r="AV374" s="357"/>
    </row>
    <row r="375" spans="1:48" s="62" customFormat="1" hidden="1" outlineLevel="2" x14ac:dyDescent="0.3">
      <c r="A375" s="188" t="s">
        <v>333</v>
      </c>
      <c r="B375" s="336"/>
      <c r="C375" s="337"/>
      <c r="D375" s="337"/>
      <c r="E375" s="347"/>
      <c r="F375" s="353"/>
      <c r="G375" s="353"/>
      <c r="H375" s="353"/>
      <c r="I375" s="353"/>
      <c r="J375" s="353"/>
      <c r="K375" s="354"/>
      <c r="L375" s="353"/>
      <c r="M375" s="354"/>
      <c r="N375" s="88"/>
      <c r="O375" s="353"/>
      <c r="P375" s="354"/>
      <c r="Q375" s="123"/>
      <c r="R375" s="357"/>
      <c r="S375" s="88"/>
      <c r="T375" s="353"/>
      <c r="U375" s="354"/>
      <c r="V375" s="123"/>
      <c r="W375" s="357"/>
      <c r="X375" s="340"/>
      <c r="Y375" s="353"/>
      <c r="Z375" s="354"/>
      <c r="AA375" s="30"/>
      <c r="AB375" s="357"/>
      <c r="AC375" s="88"/>
      <c r="AD375" s="353"/>
      <c r="AE375" s="90"/>
      <c r="AF375" s="30"/>
      <c r="AG375" s="357"/>
      <c r="AH375" s="88"/>
      <c r="AI375" s="353"/>
      <c r="AJ375" s="90"/>
      <c r="AK375" s="30"/>
      <c r="AL375" s="357"/>
      <c r="AM375" s="88"/>
      <c r="AN375" s="353"/>
      <c r="AO375" s="29"/>
      <c r="AP375" s="30"/>
      <c r="AQ375" s="357"/>
      <c r="AR375" s="88"/>
      <c r="AS375" s="338"/>
      <c r="AT375" s="29"/>
      <c r="AU375" s="30"/>
      <c r="AV375" s="357"/>
    </row>
    <row r="376" spans="1:48" s="62" customFormat="1" hidden="1" outlineLevel="2" x14ac:dyDescent="0.3">
      <c r="A376" s="188" t="s">
        <v>334</v>
      </c>
      <c r="B376" s="336"/>
      <c r="C376" s="337"/>
      <c r="D376" s="337"/>
      <c r="E376" s="347"/>
      <c r="F376" s="353"/>
      <c r="G376" s="353"/>
      <c r="H376" s="353"/>
      <c r="I376" s="353"/>
      <c r="J376" s="353"/>
      <c r="K376" s="354"/>
      <c r="L376" s="353"/>
      <c r="M376" s="354"/>
      <c r="N376" s="88"/>
      <c r="O376" s="353"/>
      <c r="P376" s="354"/>
      <c r="Q376" s="123"/>
      <c r="R376" s="357"/>
      <c r="S376" s="88"/>
      <c r="T376" s="353"/>
      <c r="U376" s="354"/>
      <c r="V376" s="123"/>
      <c r="W376" s="357"/>
      <c r="X376" s="340"/>
      <c r="Y376" s="353"/>
      <c r="Z376" s="354"/>
      <c r="AA376" s="30"/>
      <c r="AB376" s="357"/>
      <c r="AC376" s="88"/>
      <c r="AD376" s="353"/>
      <c r="AE376" s="90"/>
      <c r="AF376" s="30"/>
      <c r="AG376" s="357"/>
      <c r="AH376" s="88"/>
      <c r="AI376" s="353"/>
      <c r="AJ376" s="90"/>
      <c r="AK376" s="30"/>
      <c r="AL376" s="357"/>
      <c r="AM376" s="88"/>
      <c r="AN376" s="353"/>
      <c r="AO376" s="29"/>
      <c r="AP376" s="30"/>
      <c r="AQ376" s="357"/>
      <c r="AR376" s="88"/>
      <c r="AS376" s="338"/>
      <c r="AT376" s="29"/>
      <c r="AU376" s="30"/>
      <c r="AV376" s="357"/>
    </row>
    <row r="377" spans="1:48" s="62" customFormat="1" hidden="1" outlineLevel="1" collapsed="1" x14ac:dyDescent="0.3">
      <c r="A377" s="199" t="s">
        <v>335</v>
      </c>
      <c r="B377" s="336"/>
      <c r="C377" s="337"/>
      <c r="D377" s="337"/>
      <c r="E377" s="347"/>
      <c r="F377" s="351">
        <f>SUM(F378:F384)</f>
        <v>0</v>
      </c>
      <c r="G377" s="351">
        <f>SUM(G378:G384)</f>
        <v>324.8</v>
      </c>
      <c r="H377" s="351">
        <f>SUM(H378:H384)</f>
        <v>0</v>
      </c>
      <c r="I377" s="351">
        <f>SUM(I378:I384)</f>
        <v>0</v>
      </c>
      <c r="J377" s="351">
        <f>SUM(J378:J384)</f>
        <v>280.45</v>
      </c>
      <c r="K377" s="349" t="str">
        <f>ROUND((J377-I377),2)&amp;"  ( "&amp;(ROUND((J377-I377)/(IF(I377=0,0.0001,I377)),3)*100)&amp;"% )"</f>
        <v>280,45  ( 280450000% )</v>
      </c>
      <c r="L377" s="351">
        <f>SUM(L378:L384)</f>
        <v>1351.68</v>
      </c>
      <c r="M377" s="349" t="str">
        <f>ROUND((L377-G377),2)&amp;"   ( "&amp;(ROUND((L377-G377)/(IF(G377=0,0.0001,G377)),3)*100)&amp;"% )"</f>
        <v>1026,88   ( 316,2% )</v>
      </c>
      <c r="N377" s="88"/>
      <c r="O377" s="351">
        <f>SUM(O378:O384)</f>
        <v>726</v>
      </c>
      <c r="P377" s="349" t="str">
        <f>ROUND((O377-J377),2)&amp;"   ( "&amp;(ROUND((O377-J377)/(IF(J377=0,0.0001,J377)),3)*100)&amp;"% )"</f>
        <v>445,55   ( 158,9% )</v>
      </c>
      <c r="Q377" s="123"/>
      <c r="R377" s="357">
        <f>O377/O$640</f>
        <v>1.4489732687184393E-3</v>
      </c>
      <c r="S377" s="88"/>
      <c r="T377" s="351">
        <f>SUM(T378:T384)</f>
        <v>259.22000000000003</v>
      </c>
      <c r="U377" s="349" t="str">
        <f>ROUND((T377-O377),2)&amp;"   ( "&amp;(ROUND((T377-O377)/(IF(O377=0,0.0001,O377)),3)*100)&amp;"% )"</f>
        <v>-466,78   ( -64,3% )</v>
      </c>
      <c r="V377" s="123"/>
      <c r="W377" s="357">
        <f>T377/T$640</f>
        <v>5.300247509822185E-4</v>
      </c>
      <c r="X377" s="340"/>
      <c r="Y377" s="351">
        <f>SUM(Y378:Y384)</f>
        <v>199.95</v>
      </c>
      <c r="Z377" s="349" t="str">
        <f>ROUND((Y377-T377),2)&amp;"   ( "&amp;(ROUND((Y377-T377)/(IF(T377=0,0.0001,T377)),3)*100)&amp;"% )"</f>
        <v>-59,27   ( -22,9% )</v>
      </c>
      <c r="AA377" s="30"/>
      <c r="AB377" s="357">
        <f>Y377/Y$640</f>
        <v>3.9253222508958007E-4</v>
      </c>
      <c r="AC377" s="88">
        <f>SUM(AC378:AC384)</f>
        <v>510</v>
      </c>
      <c r="AD377" s="351">
        <f>SUM(AD378:AD384)</f>
        <v>0</v>
      </c>
      <c r="AE377" s="6" t="str">
        <f>ROUND((AD377-Y377),2)&amp;"   ( "&amp;(ROUND((AD377-Y377)/(IF(Y377=0,0.0001,Y377)),3)*100)&amp;"% )"</f>
        <v>-199,95   ( -100% )</v>
      </c>
      <c r="AF377" s="30"/>
      <c r="AG377" s="357">
        <f>AD377/AD$640</f>
        <v>0</v>
      </c>
      <c r="AH377" s="88">
        <f>SUM(AH378:AH384)</f>
        <v>520</v>
      </c>
      <c r="AI377" s="351">
        <f>SUM(AI378:AI384)</f>
        <v>675.49</v>
      </c>
      <c r="AJ377" s="6" t="e">
        <f t="shared" ref="AJ377" si="366">ROUND(AI377-AD377,2) &amp; "   (" &amp; ROUND(100*(AI377-AD377)/AD377,1) &amp;"%)"</f>
        <v>#DIV/0!</v>
      </c>
      <c r="AK377" s="30"/>
      <c r="AL377" s="357">
        <f>AI377/AI$640</f>
        <v>1.4018268678965833E-3</v>
      </c>
      <c r="AM377" s="88"/>
      <c r="AN377" s="351">
        <f>SUM(AN378:AN384)</f>
        <v>250.71</v>
      </c>
      <c r="AO377" s="35" t="str">
        <f t="shared" ref="AO377" si="367">ROUND(AN377-AI377,2) &amp; "   (" &amp; ROUND(100*(AN377-AI377)/AI377,1) &amp;"%)"</f>
        <v>-424,78   (-62,9%)</v>
      </c>
      <c r="AP377" s="30"/>
      <c r="AQ377" s="357">
        <f>AN377/AN$640</f>
        <v>6.7587968689174606E-4</v>
      </c>
      <c r="AR377" s="88"/>
      <c r="AS377" s="338"/>
      <c r="AT377" s="35" t="str">
        <f t="shared" ref="AT377" si="368">ROUND(AS377-AN377,2) &amp; "   (" &amp; ROUND(100*(AS377-AN377)/AN377,1) &amp;"%)"</f>
        <v>-250,71   (-100%)</v>
      </c>
      <c r="AU377" s="30"/>
      <c r="AV377" s="357" t="e">
        <f>AS377/AS$640</f>
        <v>#DIV/0!</v>
      </c>
    </row>
    <row r="378" spans="1:48" s="62" customFormat="1" hidden="1" outlineLevel="2" x14ac:dyDescent="0.3">
      <c r="A378" s="188" t="s">
        <v>336</v>
      </c>
      <c r="B378" s="336"/>
      <c r="C378" s="337"/>
      <c r="D378" s="337"/>
      <c r="E378" s="347"/>
      <c r="F378" s="353"/>
      <c r="G378" s="353"/>
      <c r="H378" s="353"/>
      <c r="I378" s="353"/>
      <c r="J378" s="353"/>
      <c r="K378" s="354"/>
      <c r="L378" s="353"/>
      <c r="M378" s="354"/>
      <c r="N378" s="88"/>
      <c r="O378" s="353"/>
      <c r="P378" s="354"/>
      <c r="Q378" s="123"/>
      <c r="R378" s="357"/>
      <c r="S378" s="88"/>
      <c r="T378" s="353"/>
      <c r="U378" s="354"/>
      <c r="V378" s="123"/>
      <c r="W378" s="357"/>
      <c r="X378" s="340"/>
      <c r="Y378" s="353"/>
      <c r="Z378" s="354"/>
      <c r="AA378" s="30"/>
      <c r="AB378" s="357"/>
      <c r="AC378" s="88"/>
      <c r="AD378" s="353"/>
      <c r="AE378" s="90"/>
      <c r="AF378" s="30"/>
      <c r="AG378" s="357"/>
      <c r="AH378" s="88"/>
      <c r="AI378" s="353"/>
      <c r="AJ378" s="90"/>
      <c r="AK378" s="30"/>
      <c r="AL378" s="357"/>
      <c r="AM378" s="88"/>
      <c r="AN378" s="353"/>
      <c r="AO378" s="29"/>
      <c r="AP378" s="30"/>
      <c r="AQ378" s="357"/>
      <c r="AR378" s="88"/>
      <c r="AS378" s="338"/>
      <c r="AT378" s="29"/>
      <c r="AU378" s="30"/>
      <c r="AV378" s="357"/>
    </row>
    <row r="379" spans="1:48" s="62" customFormat="1" hidden="1" outlineLevel="2" x14ac:dyDescent="0.3">
      <c r="A379" s="188" t="s">
        <v>337</v>
      </c>
      <c r="B379" s="336"/>
      <c r="C379" s="337"/>
      <c r="D379" s="337"/>
      <c r="E379" s="347" t="str">
        <f>B92</f>
        <v>6050/01158  Achat Mat.Hygiène     (0100)</v>
      </c>
      <c r="F379" s="353">
        <f>SUM(F92)</f>
        <v>0</v>
      </c>
      <c r="G379" s="353">
        <f>SUM(G92)</f>
        <v>0</v>
      </c>
      <c r="H379" s="353">
        <f>SUM(H92)</f>
        <v>0</v>
      </c>
      <c r="I379" s="353">
        <f>SUM(I92)</f>
        <v>0</v>
      </c>
      <c r="J379" s="353">
        <f>SUM(J92)</f>
        <v>0</v>
      </c>
      <c r="K379" s="354"/>
      <c r="L379" s="353">
        <f>SUM(L92)</f>
        <v>39.99</v>
      </c>
      <c r="M379" s="354"/>
      <c r="N379" s="88"/>
      <c r="O379" s="353">
        <f>SUM(O92)</f>
        <v>726</v>
      </c>
      <c r="P379" s="354"/>
      <c r="Q379" s="123"/>
      <c r="R379" s="357"/>
      <c r="S379" s="88"/>
      <c r="T379" s="353">
        <f>SUM(T92)</f>
        <v>259.22000000000003</v>
      </c>
      <c r="U379" s="354"/>
      <c r="V379" s="123"/>
      <c r="W379" s="357"/>
      <c r="X379" s="340"/>
      <c r="Y379" s="353">
        <f>SUM(Y92)</f>
        <v>199.95</v>
      </c>
      <c r="Z379" s="354"/>
      <c r="AA379" s="30"/>
      <c r="AB379" s="357"/>
      <c r="AC379" s="88">
        <f>SUM(AC92)</f>
        <v>0</v>
      </c>
      <c r="AD379" s="353">
        <f>SUM(AD92)</f>
        <v>0</v>
      </c>
      <c r="AE379" s="90"/>
      <c r="AF379" s="30"/>
      <c r="AG379" s="357"/>
      <c r="AH379" s="88">
        <f>SUM(AH92)</f>
        <v>0</v>
      </c>
      <c r="AI379" s="353">
        <f>SUM(AI92)</f>
        <v>675.49</v>
      </c>
      <c r="AJ379" s="90"/>
      <c r="AK379" s="30"/>
      <c r="AL379" s="357"/>
      <c r="AM379" s="88"/>
      <c r="AN379" s="353">
        <f>SUM(AN92)</f>
        <v>250.71</v>
      </c>
      <c r="AO379" s="29"/>
      <c r="AP379" s="30"/>
      <c r="AQ379" s="357"/>
      <c r="AR379" s="88"/>
      <c r="AS379" s="338"/>
      <c r="AT379" s="29"/>
      <c r="AU379" s="30"/>
      <c r="AV379" s="357"/>
    </row>
    <row r="380" spans="1:48" s="62" customFormat="1" hidden="1" outlineLevel="2" x14ac:dyDescent="0.3">
      <c r="A380" s="188" t="s">
        <v>338</v>
      </c>
      <c r="B380" s="336"/>
      <c r="C380" s="337"/>
      <c r="D380" s="337"/>
      <c r="E380" s="347"/>
      <c r="F380" s="353"/>
      <c r="G380" s="353"/>
      <c r="H380" s="353"/>
      <c r="I380" s="353"/>
      <c r="J380" s="353"/>
      <c r="K380" s="354"/>
      <c r="L380" s="353"/>
      <c r="M380" s="354"/>
      <c r="N380" s="88"/>
      <c r="O380" s="353"/>
      <c r="P380" s="354"/>
      <c r="Q380" s="123"/>
      <c r="R380" s="357"/>
      <c r="S380" s="88"/>
      <c r="T380" s="353"/>
      <c r="U380" s="354"/>
      <c r="V380" s="123"/>
      <c r="W380" s="357"/>
      <c r="X380" s="340"/>
      <c r="Y380" s="353"/>
      <c r="Z380" s="354"/>
      <c r="AA380" s="30"/>
      <c r="AB380" s="357"/>
      <c r="AC380" s="88"/>
      <c r="AD380" s="353"/>
      <c r="AE380" s="90"/>
      <c r="AF380" s="30"/>
      <c r="AG380" s="357"/>
      <c r="AH380" s="88"/>
      <c r="AI380" s="353"/>
      <c r="AJ380" s="90"/>
      <c r="AK380" s="30"/>
      <c r="AL380" s="357"/>
      <c r="AM380" s="88"/>
      <c r="AN380" s="353"/>
      <c r="AO380" s="29"/>
      <c r="AP380" s="30"/>
      <c r="AQ380" s="357"/>
      <c r="AR380" s="88"/>
      <c r="AS380" s="338"/>
      <c r="AT380" s="29"/>
      <c r="AU380" s="30"/>
      <c r="AV380" s="357"/>
    </row>
    <row r="381" spans="1:48" s="62" customFormat="1" hidden="1" outlineLevel="2" x14ac:dyDescent="0.3">
      <c r="A381" s="188" t="s">
        <v>339</v>
      </c>
      <c r="B381" s="336"/>
      <c r="C381" s="337"/>
      <c r="D381" s="337"/>
      <c r="E381" s="347" t="str">
        <f>B101</f>
        <v>6060/00187  Remplt. Glaces           (0180)</v>
      </c>
      <c r="F381" s="353" t="str">
        <f>F101</f>
        <v xml:space="preserve"> </v>
      </c>
      <c r="G381" s="353">
        <f>G101</f>
        <v>0</v>
      </c>
      <c r="H381" s="353">
        <f>H101</f>
        <v>0</v>
      </c>
      <c r="I381" s="353">
        <f>I101</f>
        <v>0</v>
      </c>
      <c r="J381" s="353">
        <f>J101</f>
        <v>280.45</v>
      </c>
      <c r="K381" s="354">
        <f>H101</f>
        <v>0</v>
      </c>
      <c r="L381" s="353">
        <f>L101</f>
        <v>1041.7</v>
      </c>
      <c r="M381" s="354">
        <f>J101</f>
        <v>280.45</v>
      </c>
      <c r="N381" s="88"/>
      <c r="O381" s="353">
        <f>O101</f>
        <v>0</v>
      </c>
      <c r="P381" s="354">
        <f>M101</f>
        <v>2.7143875913710112</v>
      </c>
      <c r="Q381" s="123"/>
      <c r="R381" s="357"/>
      <c r="S381" s="88"/>
      <c r="T381" s="353">
        <f>T101</f>
        <v>0</v>
      </c>
      <c r="U381" s="354">
        <f>P101</f>
        <v>0</v>
      </c>
      <c r="V381" s="123"/>
      <c r="W381" s="357"/>
      <c r="X381" s="340"/>
      <c r="Y381" s="353">
        <f>Y101</f>
        <v>0</v>
      </c>
      <c r="Z381" s="354" t="str">
        <f>W101</f>
        <v/>
      </c>
      <c r="AA381" s="30"/>
      <c r="AB381" s="357"/>
      <c r="AC381" s="88">
        <f>AC101</f>
        <v>0</v>
      </c>
      <c r="AD381" s="353">
        <f>AD101</f>
        <v>0</v>
      </c>
      <c r="AE381" s="90" t="str">
        <f>AB101</f>
        <v/>
      </c>
      <c r="AF381" s="30"/>
      <c r="AG381" s="357"/>
      <c r="AH381" s="88">
        <f>AH101</f>
        <v>0</v>
      </c>
      <c r="AI381" s="353">
        <f>AI101</f>
        <v>0</v>
      </c>
      <c r="AJ381" s="90"/>
      <c r="AK381" s="30"/>
      <c r="AL381" s="357"/>
      <c r="AM381" s="88"/>
      <c r="AN381" s="353">
        <f>AN101</f>
        <v>0</v>
      </c>
      <c r="AO381" s="29"/>
      <c r="AP381" s="30"/>
      <c r="AQ381" s="357"/>
      <c r="AR381" s="88"/>
      <c r="AS381" s="338"/>
      <c r="AT381" s="29"/>
      <c r="AU381" s="30"/>
      <c r="AV381" s="357"/>
    </row>
    <row r="382" spans="1:48" s="62" customFormat="1" hidden="1" outlineLevel="2" x14ac:dyDescent="0.3">
      <c r="A382" s="188" t="s">
        <v>340</v>
      </c>
      <c r="B382" s="336"/>
      <c r="C382" s="337"/>
      <c r="D382" s="337"/>
      <c r="E382" s="347"/>
      <c r="F382" s="353"/>
      <c r="G382" s="353"/>
      <c r="H382" s="353"/>
      <c r="I382" s="353"/>
      <c r="J382" s="353"/>
      <c r="K382" s="354"/>
      <c r="L382" s="353"/>
      <c r="M382" s="354"/>
      <c r="N382" s="88"/>
      <c r="O382" s="353"/>
      <c r="P382" s="354"/>
      <c r="Q382" s="123"/>
      <c r="R382" s="357"/>
      <c r="S382" s="88"/>
      <c r="T382" s="353"/>
      <c r="U382" s="354"/>
      <c r="V382" s="123"/>
      <c r="W382" s="357"/>
      <c r="X382" s="340"/>
      <c r="Y382" s="353"/>
      <c r="Z382" s="354"/>
      <c r="AA382" s="30"/>
      <c r="AB382" s="357"/>
      <c r="AC382" s="88"/>
      <c r="AD382" s="353"/>
      <c r="AE382" s="90"/>
      <c r="AF382" s="30"/>
      <c r="AG382" s="357"/>
      <c r="AH382" s="88"/>
      <c r="AI382" s="353"/>
      <c r="AJ382" s="90"/>
      <c r="AK382" s="30"/>
      <c r="AL382" s="357"/>
      <c r="AM382" s="88"/>
      <c r="AN382" s="353"/>
      <c r="AO382" s="29"/>
      <c r="AP382" s="30"/>
      <c r="AQ382" s="357"/>
      <c r="AR382" s="88"/>
      <c r="AS382" s="338"/>
      <c r="AT382" s="29"/>
      <c r="AU382" s="30"/>
      <c r="AV382" s="357"/>
    </row>
    <row r="383" spans="1:48" s="62" customFormat="1" hidden="1" outlineLevel="2" x14ac:dyDescent="0.3">
      <c r="A383" s="188" t="s">
        <v>341</v>
      </c>
      <c r="B383" s="336"/>
      <c r="C383" s="337"/>
      <c r="D383" s="337"/>
      <c r="E383" s="347"/>
      <c r="F383" s="353"/>
      <c r="G383" s="353"/>
      <c r="H383" s="353"/>
      <c r="I383" s="353"/>
      <c r="J383" s="353"/>
      <c r="K383" s="354"/>
      <c r="L383" s="353"/>
      <c r="M383" s="354"/>
      <c r="N383" s="88"/>
      <c r="O383" s="353"/>
      <c r="P383" s="354"/>
      <c r="Q383" s="123"/>
      <c r="R383" s="357"/>
      <c r="S383" s="88"/>
      <c r="T383" s="353"/>
      <c r="U383" s="354"/>
      <c r="V383" s="123"/>
      <c r="W383" s="357"/>
      <c r="X383" s="340"/>
      <c r="Y383" s="353"/>
      <c r="Z383" s="354"/>
      <c r="AA383" s="30"/>
      <c r="AB383" s="357"/>
      <c r="AC383" s="88"/>
      <c r="AD383" s="353"/>
      <c r="AE383" s="90"/>
      <c r="AF383" s="30"/>
      <c r="AG383" s="357"/>
      <c r="AH383" s="88"/>
      <c r="AI383" s="353"/>
      <c r="AJ383" s="90"/>
      <c r="AK383" s="30"/>
      <c r="AL383" s="357"/>
      <c r="AM383" s="88"/>
      <c r="AN383" s="353"/>
      <c r="AO383" s="29"/>
      <c r="AP383" s="30"/>
      <c r="AQ383" s="357"/>
      <c r="AR383" s="88"/>
      <c r="AS383" s="338"/>
      <c r="AT383" s="29"/>
      <c r="AU383" s="30"/>
      <c r="AV383" s="357"/>
    </row>
    <row r="384" spans="1:48" s="62" customFormat="1" hidden="1" outlineLevel="2" x14ac:dyDescent="0.3">
      <c r="A384" s="188" t="s">
        <v>342</v>
      </c>
      <c r="B384" s="336"/>
      <c r="C384" s="337"/>
      <c r="D384" s="337"/>
      <c r="E384" s="347" t="str">
        <f>B188</f>
        <v>6050/01667 Achat Matériels           (0980)</v>
      </c>
      <c r="F384" s="353">
        <f>SUM(F188)</f>
        <v>0</v>
      </c>
      <c r="G384" s="353">
        <f>SUM(G188)</f>
        <v>324.8</v>
      </c>
      <c r="H384" s="353">
        <f>SUM(H188)</f>
        <v>0</v>
      </c>
      <c r="I384" s="353">
        <f>SUM(I188)</f>
        <v>0</v>
      </c>
      <c r="J384" s="353">
        <f>SUM(J188)</f>
        <v>0</v>
      </c>
      <c r="K384" s="354">
        <f>H188</f>
        <v>0</v>
      </c>
      <c r="L384" s="353">
        <f>SUM(L188)</f>
        <v>269.99</v>
      </c>
      <c r="M384" s="354">
        <f>J188</f>
        <v>0</v>
      </c>
      <c r="N384" s="88"/>
      <c r="O384" s="353">
        <f>SUM(O188)</f>
        <v>0</v>
      </c>
      <c r="P384" s="354">
        <f>M188</f>
        <v>0</v>
      </c>
      <c r="Q384" s="123"/>
      <c r="R384" s="357"/>
      <c r="S384" s="88"/>
      <c r="T384" s="353">
        <f>SUM(T188)</f>
        <v>0</v>
      </c>
      <c r="U384" s="354">
        <f>P188</f>
        <v>0</v>
      </c>
      <c r="V384" s="123"/>
      <c r="W384" s="357"/>
      <c r="X384" s="340"/>
      <c r="Y384" s="353">
        <f>SUM(Y188)</f>
        <v>0</v>
      </c>
      <c r="Z384" s="354" t="str">
        <f>W188</f>
        <v/>
      </c>
      <c r="AA384" s="30"/>
      <c r="AB384" s="357"/>
      <c r="AC384" s="88">
        <f>SUM(AC188)</f>
        <v>510</v>
      </c>
      <c r="AD384" s="353">
        <f>SUM(AD188)</f>
        <v>0</v>
      </c>
      <c r="AE384" s="90" t="str">
        <f>AB188</f>
        <v/>
      </c>
      <c r="AF384" s="30"/>
      <c r="AG384" s="357"/>
      <c r="AH384" s="88">
        <f>SUM(AH188)</f>
        <v>520</v>
      </c>
      <c r="AI384" s="353">
        <f>SUM(AI188)</f>
        <v>0</v>
      </c>
      <c r="AJ384" s="90"/>
      <c r="AK384" s="30"/>
      <c r="AL384" s="357"/>
      <c r="AM384" s="88"/>
      <c r="AN384" s="353">
        <f>SUM(AN188)</f>
        <v>0</v>
      </c>
      <c r="AO384" s="29"/>
      <c r="AP384" s="30"/>
      <c r="AQ384" s="357"/>
      <c r="AR384" s="88"/>
      <c r="AS384" s="338"/>
      <c r="AT384" s="29"/>
      <c r="AU384" s="30"/>
      <c r="AV384" s="357"/>
    </row>
    <row r="385" spans="1:48" s="62" customFormat="1" hidden="1" outlineLevel="1" collapsed="1" x14ac:dyDescent="0.3">
      <c r="A385" s="199" t="s">
        <v>343</v>
      </c>
      <c r="B385" s="336"/>
      <c r="C385" s="337"/>
      <c r="D385" s="337"/>
      <c r="E385" s="347"/>
      <c r="F385" s="351">
        <f>SUM(F386:F390,F393,)</f>
        <v>4712.1000000000004</v>
      </c>
      <c r="G385" s="351">
        <f>SUM(G386:G390,G393,)</f>
        <v>5489.8099999999995</v>
      </c>
      <c r="H385" s="351">
        <f>SUM(H386:H390,H393,)</f>
        <v>4163.28</v>
      </c>
      <c r="I385" s="351">
        <f>SUM(I386:I390,I393,)</f>
        <v>5830.88</v>
      </c>
      <c r="J385" s="351">
        <f>SUM(J386:J390,J393,)</f>
        <v>1663.78</v>
      </c>
      <c r="K385" s="349" t="str">
        <f>ROUND((J385-I385),2)&amp;"  ( "&amp;(ROUND((J385-I385)/(IF(I385=0,0.0001,I385)),3)*100)&amp;"% )"</f>
        <v>-4167,1  ( -71,5% )</v>
      </c>
      <c r="L385" s="351">
        <f>SUM(L386:L390,L393,)</f>
        <v>5027.78</v>
      </c>
      <c r="M385" s="349" t="str">
        <f>ROUND((L385-G385),2)&amp;"   ( "&amp;(ROUND((L385-G385)/(IF(G385=0,0.0001,G385)),3)*100)&amp;"% )"</f>
        <v>-462,03   ( -8,4% )</v>
      </c>
      <c r="N385" s="88"/>
      <c r="O385" s="351">
        <f>SUM(O386:O390,O393,)</f>
        <v>2593.6799999999998</v>
      </c>
      <c r="P385" s="349" t="str">
        <f>ROUND((O385-J385),2)&amp;"   ( "&amp;(ROUND((O385-J385)/(IF(J385=0,0.0001,J385)),3)*100)&amp;"% )"</f>
        <v>929,9   ( 55,9% )</v>
      </c>
      <c r="Q385" s="123"/>
      <c r="R385" s="357">
        <f>O385/O$640</f>
        <v>5.1765468148893138E-3</v>
      </c>
      <c r="S385" s="88"/>
      <c r="T385" s="351">
        <f>SUM(T386:T390,T393,)</f>
        <v>2733.6800000000003</v>
      </c>
      <c r="U385" s="349" t="str">
        <f>ROUND((T385-O385),2)&amp;"   ( "&amp;(ROUND((T385-O385)/(IF(O385=0,0.0001,O385)),3)*100)&amp;"% )"</f>
        <v>140   ( 5,4% )</v>
      </c>
      <c r="V385" s="123"/>
      <c r="W385" s="357">
        <f>T385/T$640</f>
        <v>5.589530365192003E-3</v>
      </c>
      <c r="X385" s="340"/>
      <c r="Y385" s="351">
        <f>SUM(Y386:Y390,Y393,)</f>
        <v>3084.02</v>
      </c>
      <c r="Z385" s="349" t="str">
        <f>ROUND((Y385-T385),2)&amp;"   ( "&amp;(ROUND((Y385-T385)/(IF(T385=0,0.0001,T385)),3)*100)&amp;"% )"</f>
        <v>350,34   ( 12,8% )</v>
      </c>
      <c r="AA385" s="30"/>
      <c r="AB385" s="357">
        <f>Y385/Y$640</f>
        <v>6.054399764044845E-3</v>
      </c>
      <c r="AC385" s="88">
        <f>SUM(AC386:AC390,AC393,)</f>
        <v>2530.0010000000002</v>
      </c>
      <c r="AD385" s="351">
        <f>SUM(AD386:AD390,AD393,)</f>
        <v>3654.66</v>
      </c>
      <c r="AE385" s="6" t="str">
        <f>ROUND((AD385-Y385),2)&amp;"   ( "&amp;(ROUND((AD385-Y385)/(IF(Y385=0,0.0001,Y385)),3)*100)&amp;"% )"</f>
        <v>570,64   ( 18,5% )</v>
      </c>
      <c r="AF385" s="356" t="str">
        <f>ROUND(AD385-AC385,2) &amp; "  (" &amp; ROUND(100*(AD385-AC385)/AC385,1) &amp;"%)"</f>
        <v>1124,66  (44,5%)</v>
      </c>
      <c r="AG385" s="357">
        <f>AD385/AD$640</f>
        <v>7.2573148078186531E-3</v>
      </c>
      <c r="AH385" s="88">
        <f>SUM(AH386:AH390,AH393,)</f>
        <v>2580</v>
      </c>
      <c r="AI385" s="351">
        <f>SUM(AI386:AI390,AI393,)</f>
        <v>5118.3599999999997</v>
      </c>
      <c r="AJ385" s="6" t="str">
        <f t="shared" ref="AJ385" si="369">ROUND(AI385-AD385,2) &amp; "   (" &amp; ROUND(100*(AI385-AD385)/AD385,1) &amp;"%)"</f>
        <v>1463,7   (40,1%)</v>
      </c>
      <c r="AK385" s="30"/>
      <c r="AL385" s="357">
        <f>AI385/AI$640</f>
        <v>1.0621999685512969E-2</v>
      </c>
      <c r="AM385" s="88"/>
      <c r="AN385" s="351">
        <f>SUM(AN386:AN390,AN393,)</f>
        <v>811.02</v>
      </c>
      <c r="AO385" s="35" t="str">
        <f t="shared" ref="AO385" si="370">ROUND(AN385-AI385,2) &amp; "   (" &amp; ROUND(100*(AN385-AI385)/AI385,1) &amp;"%)"</f>
        <v>-4307,34   (-84,2%)</v>
      </c>
      <c r="AP385" s="30"/>
      <c r="AQ385" s="357">
        <f>AN385/AN$640</f>
        <v>2.1863984031867253E-3</v>
      </c>
      <c r="AR385" s="88"/>
      <c r="AS385" s="338"/>
      <c r="AT385" s="35" t="str">
        <f t="shared" ref="AT385" si="371">ROUND(AS385-AN385,2) &amp; "   (" &amp; ROUND(100*(AS385-AN385)/AN385,1) &amp;"%)"</f>
        <v>-811,02   (-100%)</v>
      </c>
      <c r="AU385" s="30"/>
      <c r="AV385" s="357" t="e">
        <f>AS385/AS$640</f>
        <v>#DIV/0!</v>
      </c>
    </row>
    <row r="386" spans="1:48" s="62" customFormat="1" hidden="1" outlineLevel="2" x14ac:dyDescent="0.3">
      <c r="A386" s="188" t="s">
        <v>344</v>
      </c>
      <c r="B386" s="336"/>
      <c r="C386" s="337"/>
      <c r="D386" s="337"/>
      <c r="E386" s="359"/>
      <c r="F386" s="353"/>
      <c r="G386" s="353"/>
      <c r="H386" s="353"/>
      <c r="I386" s="353"/>
      <c r="J386" s="353"/>
      <c r="K386" s="360"/>
      <c r="L386" s="353"/>
      <c r="M386" s="360"/>
      <c r="N386" s="88"/>
      <c r="O386" s="353"/>
      <c r="P386" s="360"/>
      <c r="Q386" s="123"/>
      <c r="R386" s="357"/>
      <c r="S386" s="88"/>
      <c r="T386" s="353"/>
      <c r="U386" s="360"/>
      <c r="V386" s="123"/>
      <c r="W386" s="357"/>
      <c r="X386" s="340"/>
      <c r="Y386" s="353"/>
      <c r="Z386" s="360"/>
      <c r="AA386" s="30"/>
      <c r="AB386" s="357"/>
      <c r="AC386" s="88"/>
      <c r="AD386" s="353"/>
      <c r="AE386" s="90"/>
      <c r="AF386" s="30"/>
      <c r="AG386" s="357"/>
      <c r="AH386" s="88"/>
      <c r="AI386" s="353"/>
      <c r="AJ386" s="90"/>
      <c r="AK386" s="30"/>
      <c r="AL386" s="357"/>
      <c r="AM386" s="88"/>
      <c r="AN386" s="353"/>
      <c r="AO386" s="29"/>
      <c r="AP386" s="30"/>
      <c r="AQ386" s="357"/>
      <c r="AR386" s="88"/>
      <c r="AS386" s="338"/>
      <c r="AT386" s="29"/>
      <c r="AU386" s="30"/>
      <c r="AV386" s="357"/>
    </row>
    <row r="387" spans="1:48" s="62" customFormat="1" hidden="1" outlineLevel="2" x14ac:dyDescent="0.3">
      <c r="A387" s="188" t="s">
        <v>345</v>
      </c>
      <c r="B387" s="336"/>
      <c r="C387" s="337"/>
      <c r="D387" s="337"/>
      <c r="E387" s="347" t="str">
        <f>B87</f>
        <v>6060/01117  Fournitures.Electricité        (0060)</v>
      </c>
      <c r="F387" s="353" t="str">
        <f>F87</f>
        <v xml:space="preserve"> </v>
      </c>
      <c r="G387" s="353">
        <f>G87</f>
        <v>0</v>
      </c>
      <c r="H387" s="353">
        <f>H87</f>
        <v>0</v>
      </c>
      <c r="I387" s="353">
        <f>I87</f>
        <v>1254.5</v>
      </c>
      <c r="J387" s="353">
        <f>J87</f>
        <v>104.5</v>
      </c>
      <c r="K387" s="354"/>
      <c r="L387" s="353">
        <f>L87</f>
        <v>913.92</v>
      </c>
      <c r="M387" s="354"/>
      <c r="N387" s="88"/>
      <c r="O387" s="353">
        <f>O87</f>
        <v>0</v>
      </c>
      <c r="P387" s="354"/>
      <c r="Q387" s="123"/>
      <c r="R387" s="357"/>
      <c r="S387" s="88"/>
      <c r="T387" s="353">
        <f>T87</f>
        <v>704</v>
      </c>
      <c r="U387" s="354"/>
      <c r="V387" s="123"/>
      <c r="W387" s="357"/>
      <c r="X387" s="340"/>
      <c r="Y387" s="353">
        <f>Y87</f>
        <v>0</v>
      </c>
      <c r="Z387" s="354"/>
      <c r="AA387" s="30"/>
      <c r="AB387" s="357"/>
      <c r="AC387" s="88">
        <f>AC87+0.001</f>
        <v>1E-3</v>
      </c>
      <c r="AD387" s="353">
        <f>AD87</f>
        <v>2016.3</v>
      </c>
      <c r="AE387" s="90" t="str">
        <f>ROUND((AD387-Y387),2)&amp;" / "&amp;(ROUND((AD387-Y387)/(IF(Y387=0,0.0001,Y387)),3)*100)&amp;"%"</f>
        <v>2016,3 / 2016300000%</v>
      </c>
      <c r="AF387" s="356" t="str">
        <f>ROUND(AD387-AC387,2) &amp; "  (" &amp; ROUND(100*(AD387-AC387)/AC387,1) &amp;"%)"</f>
        <v>2016,3  (201629900%)</v>
      </c>
      <c r="AG387" s="357"/>
      <c r="AH387" s="88">
        <f>AH87</f>
        <v>0</v>
      </c>
      <c r="AI387" s="353">
        <f>AI87</f>
        <v>3498</v>
      </c>
      <c r="AJ387" s="90"/>
      <c r="AK387" s="30"/>
      <c r="AL387" s="357"/>
      <c r="AM387" s="88"/>
      <c r="AN387" s="353">
        <f>AN87</f>
        <v>143</v>
      </c>
      <c r="AO387" s="29"/>
      <c r="AP387" s="30"/>
      <c r="AQ387" s="357"/>
      <c r="AR387" s="88"/>
      <c r="AS387" s="338"/>
      <c r="AT387" s="29"/>
      <c r="AU387" s="30"/>
      <c r="AV387" s="357"/>
    </row>
    <row r="388" spans="1:48" s="62" customFormat="1" hidden="1" outlineLevel="2" x14ac:dyDescent="0.3">
      <c r="A388" s="188" t="s">
        <v>346</v>
      </c>
      <c r="B388" s="336"/>
      <c r="C388" s="337"/>
      <c r="D388" s="337"/>
      <c r="E388" s="347"/>
      <c r="F388" s="353"/>
      <c r="G388" s="353"/>
      <c r="H388" s="353"/>
      <c r="I388" s="353"/>
      <c r="J388" s="353"/>
      <c r="K388" s="354"/>
      <c r="L388" s="353"/>
      <c r="M388" s="354"/>
      <c r="N388" s="88"/>
      <c r="O388" s="353"/>
      <c r="P388" s="354"/>
      <c r="Q388" s="123"/>
      <c r="R388" s="357"/>
      <c r="S388" s="88"/>
      <c r="T388" s="353"/>
      <c r="U388" s="354"/>
      <c r="V388" s="123"/>
      <c r="W388" s="357"/>
      <c r="X388" s="340"/>
      <c r="Y388" s="353"/>
      <c r="Z388" s="354"/>
      <c r="AA388" s="30"/>
      <c r="AB388" s="357"/>
      <c r="AC388" s="88"/>
      <c r="AD388" s="353"/>
      <c r="AE388" s="90"/>
      <c r="AF388" s="30"/>
      <c r="AG388" s="357"/>
      <c r="AH388" s="88"/>
      <c r="AI388" s="353"/>
      <c r="AJ388" s="90"/>
      <c r="AK388" s="30"/>
      <c r="AL388" s="357"/>
      <c r="AM388" s="88"/>
      <c r="AN388" s="353"/>
      <c r="AO388" s="29"/>
      <c r="AP388" s="30"/>
      <c r="AQ388" s="357"/>
      <c r="AR388" s="88"/>
      <c r="AS388" s="338"/>
      <c r="AT388" s="29"/>
      <c r="AU388" s="30"/>
      <c r="AV388" s="357"/>
    </row>
    <row r="389" spans="1:48" s="62" customFormat="1" hidden="1" outlineLevel="2" x14ac:dyDescent="0.3">
      <c r="A389" s="188" t="s">
        <v>347</v>
      </c>
      <c r="B389" s="336"/>
      <c r="C389" s="337"/>
      <c r="D389" s="337"/>
      <c r="E389" s="347" t="str">
        <f>B198</f>
        <v>6050/00787 Achat Badges Bip           (1060)</v>
      </c>
      <c r="F389" s="353">
        <f>F198</f>
        <v>1930.5</v>
      </c>
      <c r="G389" s="353">
        <f>G198</f>
        <v>3564.37</v>
      </c>
      <c r="H389" s="353">
        <f>H198</f>
        <v>481.99</v>
      </c>
      <c r="I389" s="353">
        <f>I198</f>
        <v>1356.39</v>
      </c>
      <c r="J389" s="353">
        <f>J198</f>
        <v>1559.28</v>
      </c>
      <c r="K389" s="354"/>
      <c r="L389" s="353">
        <f>L198</f>
        <v>2117.16</v>
      </c>
      <c r="M389" s="354"/>
      <c r="N389" s="88"/>
      <c r="O389" s="353">
        <f>O198</f>
        <v>2593.6799999999998</v>
      </c>
      <c r="P389" s="354"/>
      <c r="Q389" s="123"/>
      <c r="R389" s="357"/>
      <c r="S389" s="88"/>
      <c r="T389" s="353">
        <f>T198</f>
        <v>2029.68</v>
      </c>
      <c r="U389" s="354"/>
      <c r="V389" s="123"/>
      <c r="W389" s="357"/>
      <c r="X389" s="340"/>
      <c r="Y389" s="353">
        <f>Y198</f>
        <v>3084.02</v>
      </c>
      <c r="Z389" s="354"/>
      <c r="AA389" s="30"/>
      <c r="AB389" s="361">
        <f>Y389/Y$640</f>
        <v>6.054399764044845E-3</v>
      </c>
      <c r="AC389" s="88">
        <f>AC198</f>
        <v>1530</v>
      </c>
      <c r="AD389" s="353">
        <f>AD198</f>
        <v>1638.36</v>
      </c>
      <c r="AE389" s="90" t="str">
        <f>ROUND((AD389-Y389),2)&amp;" / "&amp;(ROUND((AD389-Y389)/(IF(Y389=0,0.0001,Y389)),3)*100)&amp;"%"</f>
        <v>-1445,66 / -46,9%</v>
      </c>
      <c r="AF389" s="30"/>
      <c r="AG389" s="361">
        <f>AD389/AD$640</f>
        <v>3.2534064149709599E-3</v>
      </c>
      <c r="AH389" s="88">
        <f>AH198</f>
        <v>1560</v>
      </c>
      <c r="AI389" s="353">
        <f>AI198</f>
        <v>1620.36</v>
      </c>
      <c r="AJ389" s="90"/>
      <c r="AK389" s="30"/>
      <c r="AL389" s="361">
        <f>AI389/AI$640</f>
        <v>3.3626910593271666E-3</v>
      </c>
      <c r="AM389" s="88"/>
      <c r="AN389" s="353">
        <f>AN198</f>
        <v>668.02</v>
      </c>
      <c r="AO389" s="29"/>
      <c r="AP389" s="30"/>
      <c r="AQ389" s="361">
        <f>AN389/AN$640</f>
        <v>1.8008900659623637E-3</v>
      </c>
      <c r="AR389" s="88"/>
      <c r="AS389" s="338"/>
      <c r="AT389" s="29"/>
      <c r="AU389" s="30"/>
      <c r="AV389" s="361" t="e">
        <f>AS389/AS$640</f>
        <v>#DIV/0!</v>
      </c>
    </row>
    <row r="390" spans="1:48" s="62" customFormat="1" hidden="1" outlineLevel="2" collapsed="1" x14ac:dyDescent="0.3">
      <c r="A390" s="188" t="s">
        <v>348</v>
      </c>
      <c r="B390" s="336"/>
      <c r="C390" s="337"/>
      <c r="D390" s="337"/>
      <c r="E390" s="347"/>
      <c r="F390" s="362">
        <f>SUM(F391:F392)</f>
        <v>2781.6</v>
      </c>
      <c r="G390" s="362">
        <f>SUM(G391:G392)</f>
        <v>1925.44</v>
      </c>
      <c r="H390" s="362">
        <f>SUM(H391:H392)</f>
        <v>3681.29</v>
      </c>
      <c r="I390" s="362">
        <f>SUM(I391:I392)</f>
        <v>3219.99</v>
      </c>
      <c r="J390" s="362">
        <f>SUM(J391:J392)</f>
        <v>0</v>
      </c>
      <c r="K390" s="354"/>
      <c r="L390" s="362">
        <f>SUM(L391:L392)</f>
        <v>1996.7</v>
      </c>
      <c r="M390" s="354"/>
      <c r="N390" s="88"/>
      <c r="O390" s="362">
        <f>SUM(O391:O392)</f>
        <v>0</v>
      </c>
      <c r="P390" s="354"/>
      <c r="Q390" s="123"/>
      <c r="R390" s="357"/>
      <c r="S390" s="88"/>
      <c r="T390" s="362">
        <f>SUM(T391:T392)</f>
        <v>0</v>
      </c>
      <c r="U390" s="354"/>
      <c r="V390" s="123"/>
      <c r="W390" s="357"/>
      <c r="X390" s="340"/>
      <c r="Y390" s="362">
        <f>SUM(Y391:Y392)</f>
        <v>0</v>
      </c>
      <c r="Z390" s="354"/>
      <c r="AA390" s="30"/>
      <c r="AB390" s="357"/>
      <c r="AC390" s="88">
        <f>SUM(AC391:AC392)</f>
        <v>1000</v>
      </c>
      <c r="AD390" s="362">
        <f>SUM(AD391:AD392)</f>
        <v>0</v>
      </c>
      <c r="AE390" s="90"/>
      <c r="AF390" s="30"/>
      <c r="AG390" s="357"/>
      <c r="AH390" s="88">
        <f>SUM(AH391:AH392)</f>
        <v>1020</v>
      </c>
      <c r="AI390" s="362">
        <f>SUM(AI391:AI392)</f>
        <v>0</v>
      </c>
      <c r="AJ390" s="90"/>
      <c r="AK390" s="30"/>
      <c r="AL390" s="357"/>
      <c r="AM390" s="88"/>
      <c r="AN390" s="362">
        <f>SUM(AN391:AN392)</f>
        <v>0</v>
      </c>
      <c r="AO390" s="29"/>
      <c r="AP390" s="30"/>
      <c r="AQ390" s="357"/>
      <c r="AR390" s="88"/>
      <c r="AS390" s="338"/>
      <c r="AT390" s="29"/>
      <c r="AU390" s="30"/>
      <c r="AV390" s="357"/>
    </row>
    <row r="391" spans="1:48" s="62" customFormat="1" hidden="1" outlineLevel="3" x14ac:dyDescent="0.3">
      <c r="A391" s="190" t="s">
        <v>349</v>
      </c>
      <c r="B391" s="336"/>
      <c r="C391" s="337"/>
      <c r="D391" s="337"/>
      <c r="E391" s="347" t="str">
        <f>B206</f>
        <v>6050/01847 Achat Plantes           (1140)</v>
      </c>
      <c r="F391" s="363">
        <f t="shared" ref="F391:J392" si="372">F206</f>
        <v>881.99</v>
      </c>
      <c r="G391" s="363">
        <f t="shared" si="372"/>
        <v>0</v>
      </c>
      <c r="H391" s="363">
        <f t="shared" si="372"/>
        <v>0</v>
      </c>
      <c r="I391" s="363">
        <f t="shared" si="372"/>
        <v>722.18</v>
      </c>
      <c r="J391" s="363">
        <f t="shared" si="372"/>
        <v>0</v>
      </c>
      <c r="K391" s="354">
        <f>H206</f>
        <v>0</v>
      </c>
      <c r="L391" s="363">
        <f>L206</f>
        <v>1996.7</v>
      </c>
      <c r="M391" s="354">
        <f>J206</f>
        <v>0</v>
      </c>
      <c r="N391" s="88"/>
      <c r="O391" s="363">
        <f>O206</f>
        <v>0</v>
      </c>
      <c r="P391" s="354">
        <f>M206</f>
        <v>0</v>
      </c>
      <c r="Q391" s="123"/>
      <c r="R391" s="357"/>
      <c r="S391" s="88"/>
      <c r="T391" s="363">
        <f>T206</f>
        <v>0</v>
      </c>
      <c r="U391" s="354">
        <f>P206</f>
        <v>0</v>
      </c>
      <c r="V391" s="123"/>
      <c r="W391" s="357"/>
      <c r="X391" s="340"/>
      <c r="Y391" s="363">
        <f>Y206</f>
        <v>0</v>
      </c>
      <c r="Z391" s="354" t="str">
        <f>W206</f>
        <v/>
      </c>
      <c r="AA391" s="30"/>
      <c r="AB391" s="357"/>
      <c r="AC391" s="88">
        <f>AC206</f>
        <v>1000</v>
      </c>
      <c r="AD391" s="363">
        <f>AD206</f>
        <v>0</v>
      </c>
      <c r="AE391" s="90" t="str">
        <f>AB206</f>
        <v/>
      </c>
      <c r="AF391" s="30"/>
      <c r="AG391" s="357"/>
      <c r="AH391" s="88">
        <f>AH206</f>
        <v>1020</v>
      </c>
      <c r="AI391" s="363">
        <f>AI206</f>
        <v>0</v>
      </c>
      <c r="AJ391" s="90"/>
      <c r="AK391" s="30"/>
      <c r="AL391" s="357"/>
      <c r="AM391" s="88"/>
      <c r="AN391" s="363">
        <f>AN206</f>
        <v>0</v>
      </c>
      <c r="AO391" s="29"/>
      <c r="AP391" s="30"/>
      <c r="AQ391" s="357"/>
      <c r="AR391" s="88"/>
      <c r="AS391" s="338"/>
      <c r="AT391" s="29"/>
      <c r="AU391" s="30"/>
      <c r="AV391" s="357"/>
    </row>
    <row r="392" spans="1:48" s="62" customFormat="1" hidden="1" outlineLevel="3" x14ac:dyDescent="0.3">
      <c r="A392" s="190" t="s">
        <v>350</v>
      </c>
      <c r="B392" s="336"/>
      <c r="C392" s="337"/>
      <c r="D392" s="337"/>
      <c r="E392" s="347" t="str">
        <f>B207</f>
        <v>6060/01848  Decor.Florale           (1150)</v>
      </c>
      <c r="F392" s="363">
        <f t="shared" si="372"/>
        <v>1899.61</v>
      </c>
      <c r="G392" s="363">
        <f t="shared" si="372"/>
        <v>1925.44</v>
      </c>
      <c r="H392" s="363">
        <f t="shared" si="372"/>
        <v>3681.29</v>
      </c>
      <c r="I392" s="363">
        <f t="shared" si="372"/>
        <v>2497.81</v>
      </c>
      <c r="J392" s="363">
        <f t="shared" si="372"/>
        <v>0</v>
      </c>
      <c r="K392" s="354">
        <f>H207</f>
        <v>3681.29</v>
      </c>
      <c r="L392" s="363">
        <f>L207</f>
        <v>0</v>
      </c>
      <c r="M392" s="354">
        <f>J207</f>
        <v>0</v>
      </c>
      <c r="N392" s="88"/>
      <c r="O392" s="363">
        <f>O207</f>
        <v>0</v>
      </c>
      <c r="P392" s="354">
        <f>M207</f>
        <v>0</v>
      </c>
      <c r="Q392" s="123"/>
      <c r="R392" s="357"/>
      <c r="S392" s="88"/>
      <c r="T392" s="363">
        <f>T207</f>
        <v>0</v>
      </c>
      <c r="U392" s="354">
        <f>P207</f>
        <v>0</v>
      </c>
      <c r="V392" s="123"/>
      <c r="W392" s="357"/>
      <c r="X392" s="340"/>
      <c r="Y392" s="363">
        <f>Y207</f>
        <v>0</v>
      </c>
      <c r="Z392" s="354" t="str">
        <f>W207</f>
        <v/>
      </c>
      <c r="AA392" s="30"/>
      <c r="AB392" s="357"/>
      <c r="AC392" s="88">
        <f>AC207</f>
        <v>0</v>
      </c>
      <c r="AD392" s="363">
        <f>AD207</f>
        <v>0</v>
      </c>
      <c r="AE392" s="90" t="str">
        <f>AB207</f>
        <v/>
      </c>
      <c r="AF392" s="30"/>
      <c r="AG392" s="357"/>
      <c r="AH392" s="88">
        <f>AH207</f>
        <v>0</v>
      </c>
      <c r="AI392" s="363">
        <f>AI207</f>
        <v>0</v>
      </c>
      <c r="AJ392" s="90"/>
      <c r="AK392" s="30"/>
      <c r="AL392" s="357"/>
      <c r="AM392" s="88"/>
      <c r="AN392" s="363">
        <f>AN207</f>
        <v>0</v>
      </c>
      <c r="AO392" s="29"/>
      <c r="AP392" s="30"/>
      <c r="AQ392" s="357"/>
      <c r="AR392" s="88"/>
      <c r="AS392" s="338"/>
      <c r="AT392" s="29"/>
      <c r="AU392" s="30"/>
      <c r="AV392" s="357"/>
    </row>
    <row r="393" spans="1:48" s="62" customFormat="1" hidden="1" outlineLevel="2" x14ac:dyDescent="0.3">
      <c r="A393" s="188" t="s">
        <v>351</v>
      </c>
      <c r="B393" s="336"/>
      <c r="C393" s="337"/>
      <c r="D393" s="337"/>
      <c r="E393" s="347"/>
      <c r="F393" s="362">
        <f>SUM(0)</f>
        <v>0</v>
      </c>
      <c r="G393" s="362">
        <f>SUM(0)</f>
        <v>0</v>
      </c>
      <c r="H393" s="362">
        <f>SUM(0)</f>
        <v>0</v>
      </c>
      <c r="I393" s="362">
        <f>SUM(0)</f>
        <v>0</v>
      </c>
      <c r="J393" s="362">
        <f>SUM(0)</f>
        <v>0</v>
      </c>
      <c r="K393" s="354"/>
      <c r="L393" s="362">
        <f>SUM(0)</f>
        <v>0</v>
      </c>
      <c r="M393" s="354"/>
      <c r="N393" s="88"/>
      <c r="O393" s="362">
        <f>SUM(0)</f>
        <v>0</v>
      </c>
      <c r="P393" s="354"/>
      <c r="Q393" s="123"/>
      <c r="R393" s="357"/>
      <c r="S393" s="88"/>
      <c r="T393" s="362">
        <f>SUM(0)</f>
        <v>0</v>
      </c>
      <c r="U393" s="354"/>
      <c r="V393" s="123"/>
      <c r="W393" s="357"/>
      <c r="X393" s="340"/>
      <c r="Y393" s="362">
        <f>SUM(0)</f>
        <v>0</v>
      </c>
      <c r="Z393" s="354"/>
      <c r="AA393" s="30"/>
      <c r="AB393" s="361">
        <f>Y393/Y$640</f>
        <v>0</v>
      </c>
      <c r="AC393" s="88">
        <f>SUM(0)</f>
        <v>0</v>
      </c>
      <c r="AD393" s="362">
        <f>SUM(0)</f>
        <v>0</v>
      </c>
      <c r="AE393" s="90"/>
      <c r="AF393" s="30"/>
      <c r="AG393" s="361">
        <f>AD393/AD$640</f>
        <v>0</v>
      </c>
      <c r="AH393" s="88">
        <f>SUM(0)</f>
        <v>0</v>
      </c>
      <c r="AI393" s="362">
        <f>SUM(0)</f>
        <v>0</v>
      </c>
      <c r="AJ393" s="90"/>
      <c r="AK393" s="30"/>
      <c r="AL393" s="361">
        <f>AI393/AI$640</f>
        <v>0</v>
      </c>
      <c r="AM393" s="88"/>
      <c r="AN393" s="362">
        <f>SUM(0)</f>
        <v>0</v>
      </c>
      <c r="AO393" s="29"/>
      <c r="AP393" s="30"/>
      <c r="AQ393" s="361">
        <f>AN393/AN$640</f>
        <v>0</v>
      </c>
      <c r="AR393" s="88"/>
      <c r="AS393" s="338"/>
      <c r="AT393" s="29"/>
      <c r="AU393" s="30"/>
      <c r="AV393" s="361" t="e">
        <f>AS393/AS$640</f>
        <v>#DIV/0!</v>
      </c>
    </row>
    <row r="394" spans="1:48" s="62" customFormat="1" collapsed="1" x14ac:dyDescent="0.3">
      <c r="A394" s="342" t="s">
        <v>352</v>
      </c>
      <c r="C394" s="337"/>
      <c r="D394" s="337"/>
      <c r="E394" s="343"/>
      <c r="F394" s="344">
        <f>SUM(F395,F398,F400,F402,F438,F492,F495)</f>
        <v>84364.42</v>
      </c>
      <c r="G394" s="344">
        <f>SUM(G395,G398,G400,G402,G438,G492,G495)</f>
        <v>91984.060000000012</v>
      </c>
      <c r="H394" s="344">
        <f>SUM(H395,H398,H400,H402,H438,H492,H495)</f>
        <v>84828.76</v>
      </c>
      <c r="I394" s="344">
        <f>SUM(I395,I398,I400,I402,I438,I492,I495)</f>
        <v>107151.45</v>
      </c>
      <c r="J394" s="344">
        <f>SUM(J395,J398,J400,J402,J438,J492,J495)</f>
        <v>92748.73</v>
      </c>
      <c r="K394" s="345" t="str">
        <f>ROUND((J394-I394),2)&amp;"  ( "&amp;(ROUND((J394-I394)/(IF(I394=0,0.0001,I394)),3)*100)&amp;"% )"</f>
        <v>-14402,72  ( -13,4% )</v>
      </c>
      <c r="L394" s="344">
        <f>SUM(L395,L398,L400,L402,L438,L492,L495)</f>
        <v>96701.01</v>
      </c>
      <c r="M394" s="345" t="str">
        <f>ROUND((L394-G394),2)&amp;"   ( "&amp;(ROUND((L394-G394)/(IF(G394=0,0.0001,G394)),3)*100)&amp;"% )"</f>
        <v>4716,95   ( 5,1% )</v>
      </c>
      <c r="N394" s="88"/>
      <c r="O394" s="344">
        <f>SUM(O395,O398,O400,O402,O438,O492,O495)</f>
        <v>99466.89</v>
      </c>
      <c r="P394" s="345" t="str">
        <f>ROUND((O394-J394),2)&amp;"   ( "&amp;(ROUND((O394-J394)/(IF(J394=0,0.0001,J394)),3)*100)&amp;"% )"</f>
        <v>6718,16   ( 7,2% )</v>
      </c>
      <c r="Q394" s="123"/>
      <c r="R394" s="346">
        <f>O394/O$640</f>
        <v>0.19851909742776508</v>
      </c>
      <c r="S394" s="88"/>
      <c r="T394" s="344">
        <f>SUM(T395,T398,T400,T402,T438,T492,T495)</f>
        <v>103481.73999999999</v>
      </c>
      <c r="U394" s="345" t="str">
        <f>ROUND((T394-O394),2)&amp;"   ( "&amp;(ROUND((T394-O394)/(IF(O394=0,0.0001,O394)),3)*100)&amp;"% )"</f>
        <v>4014,85   ( 4% )</v>
      </c>
      <c r="V394" s="123"/>
      <c r="W394" s="346">
        <f>T394/T$640</f>
        <v>0.21158816246704215</v>
      </c>
      <c r="X394" s="340"/>
      <c r="Y394" s="344">
        <f>SUM(Y395,Y398,Y400,Y402,Y438,Y492,Y495)</f>
        <v>115281.93</v>
      </c>
      <c r="Z394" s="345" t="str">
        <f>ROUND((Y394-T394),2)&amp;"   ( "&amp;(ROUND((Y394-T394)/(IF(T394=0,0.0001,T394)),3)*100)&amp;"% )"</f>
        <v>11800,19   ( 11,4% )</v>
      </c>
      <c r="AA394" s="30"/>
      <c r="AB394" s="346">
        <f>Y394/Y$640</f>
        <v>0.22631594146297182</v>
      </c>
      <c r="AC394" s="88">
        <f>SUM(AC395,AC398,AC400,AC402,AC438,AC492,AC495)</f>
        <v>99680</v>
      </c>
      <c r="AD394" s="344">
        <f>SUM(AD395,AD398,AD400,AD402,AD438,AD492,AD495)</f>
        <v>99430.349999999991</v>
      </c>
      <c r="AE394" s="6" t="str">
        <f>ROUND((AD394-Y394),2)&amp;"   ( "&amp;(ROUND((AD394-Y394)/(IF(Y394=0,0.0001,Y394)),3)*100)&amp;"% )"</f>
        <v>-15851,58   ( -13,8% )</v>
      </c>
      <c r="AF394" s="356" t="str">
        <f>ROUND(AD394-AC394,2) &amp; "  (" &amp; ROUND(100*(AD394-AC394)/AC394,1) &amp;"%)"</f>
        <v>-249,65  (-0,3%)</v>
      </c>
      <c r="AG394" s="346">
        <f>AD394/AD$640</f>
        <v>0.1974458229771282</v>
      </c>
      <c r="AH394" s="88">
        <f>SUM(AH395,AH398,AH400,AH402,AH438,AH492,AH495)</f>
        <v>101370</v>
      </c>
      <c r="AI394" s="344">
        <f>SUM(AI395,AI398,AI400,AI402,AI438,AI492,AI495)</f>
        <v>98853.11</v>
      </c>
      <c r="AJ394" s="6" t="str">
        <f t="shared" ref="AJ394:AJ395" si="373">ROUND(AI394-AD394,2) &amp; "   (" &amp; ROUND(100*(AI394-AD394)/AD394,1) &amp;"%)"</f>
        <v>-577,24   (-0,6%)</v>
      </c>
      <c r="AK394" s="30"/>
      <c r="AL394" s="346">
        <f>AI394/AI$640</f>
        <v>0.20514729392461239</v>
      </c>
      <c r="AM394" s="88"/>
      <c r="AN394" s="344">
        <f>SUM(AN395,AN398,AN400,AN402,AN438,AN492,AN495)</f>
        <v>92370.48</v>
      </c>
      <c r="AO394" s="35" t="str">
        <f t="shared" ref="AO394:AO395" si="374">ROUND(AN394-AI394,2) &amp; "   (" &amp; ROUND(100*(AN394-AI394)/AI394,1) &amp;"%)"</f>
        <v>-6482,63   (-6,6%)</v>
      </c>
      <c r="AP394" s="30"/>
      <c r="AQ394" s="346">
        <f>AN394/AN$640</f>
        <v>0.24901811296095205</v>
      </c>
      <c r="AR394" s="88"/>
      <c r="AS394" s="338"/>
      <c r="AT394" s="35" t="str">
        <f t="shared" ref="AT394:AT395" si="375">ROUND(AS394-AN394,2) &amp; "   (" &amp; ROUND(100*(AS394-AN394)/AN394,1) &amp;"%)"</f>
        <v>-92370,48   (-100%)</v>
      </c>
      <c r="AU394" s="30"/>
      <c r="AV394" s="346" t="e">
        <f>AS394/AS$640</f>
        <v>#DIV/0!</v>
      </c>
    </row>
    <row r="395" spans="1:48" s="62" customFormat="1" hidden="1" outlineLevel="1" collapsed="1" x14ac:dyDescent="0.3">
      <c r="A395" s="199" t="s">
        <v>353</v>
      </c>
      <c r="C395" s="337"/>
      <c r="D395" s="337"/>
      <c r="E395" s="347">
        <f>Y395-Y329</f>
        <v>1944</v>
      </c>
      <c r="F395" s="351">
        <f>SUM(F396:F397)</f>
        <v>0</v>
      </c>
      <c r="G395" s="351">
        <f t="shared" ref="G395:L395" si="376">SUM(G396:G397)</f>
        <v>0</v>
      </c>
      <c r="H395" s="351">
        <f t="shared" si="376"/>
        <v>0</v>
      </c>
      <c r="I395" s="351">
        <f t="shared" si="376"/>
        <v>0</v>
      </c>
      <c r="J395" s="351">
        <f t="shared" si="376"/>
        <v>0</v>
      </c>
      <c r="K395" s="349" t="str">
        <f>ROUND((J395-I395),2)&amp;"  ( "&amp;(ROUND((J395-I395)/(IF(I395=0,0.0001,I395)),3)*100)&amp;"% )"</f>
        <v>0  ( 0% )</v>
      </c>
      <c r="L395" s="351">
        <f t="shared" si="376"/>
        <v>0</v>
      </c>
      <c r="M395" s="349" t="str">
        <f>ROUND((L395-G395),2)&amp;"   ( "&amp;(ROUND((L395-G395)/(IF(G395=0,0.0001,G395)),3)*100)&amp;"% )"</f>
        <v>0   ( 0% )</v>
      </c>
      <c r="N395" s="88"/>
      <c r="O395" s="351">
        <f>SUM(O396:O397)</f>
        <v>0</v>
      </c>
      <c r="P395" s="349" t="str">
        <f>ROUND((O395-J395),2)&amp;"   ( "&amp;(ROUND((O395-J395)/(IF(J395=0,0.0001,J395)),3)*100)&amp;"% )"</f>
        <v>0   ( 0% )</v>
      </c>
      <c r="Q395" s="123"/>
      <c r="R395" s="357">
        <f>O395/O$640</f>
        <v>0</v>
      </c>
      <c r="S395" s="88"/>
      <c r="T395" s="351">
        <f>SUM(T396:T397)</f>
        <v>588</v>
      </c>
      <c r="U395" s="349" t="str">
        <f>ROUND((T395-O395),2)&amp;"   ( "&amp;(ROUND((T395-O395)/(IF(O395=0,0.0001,O395)),3)*100)&amp;"% )"</f>
        <v>588   ( 588000000% )</v>
      </c>
      <c r="V395" s="123"/>
      <c r="W395" s="357">
        <f>T395/T$640</f>
        <v>1.2022781944971237E-3</v>
      </c>
      <c r="X395" s="340"/>
      <c r="Y395" s="351">
        <f>SUM(Y396:Y397)</f>
        <v>1944</v>
      </c>
      <c r="Z395" s="349" t="str">
        <f>ROUND((Y395-T395),2)&amp;"   ( "&amp;(ROUND((Y395-T395)/(IF(T395=0,0.0001,T395)),3)*100)&amp;"% )"</f>
        <v>1356   ( 230,6% )</v>
      </c>
      <c r="AA395" s="30"/>
      <c r="AB395" s="357">
        <f>Y395/Y$640</f>
        <v>3.8163673197006438E-3</v>
      </c>
      <c r="AC395" s="88">
        <f>SUM(AC397)</f>
        <v>0</v>
      </c>
      <c r="AD395" s="351">
        <f>SUM(AD396:AD397)</f>
        <v>0</v>
      </c>
      <c r="AE395" s="6" t="str">
        <f>ROUND((AD395-Y395),2)&amp;"   ( "&amp;(ROUND((AD395-Y395)/(IF(Y395=0,0.0001,Y395)),3)*100)&amp;"% )"</f>
        <v>-1944   ( -100% )</v>
      </c>
      <c r="AF395" s="30"/>
      <c r="AG395" s="357">
        <f>AD395/AD$640</f>
        <v>0</v>
      </c>
      <c r="AH395" s="88">
        <f>SUM(AH397)</f>
        <v>0</v>
      </c>
      <c r="AI395" s="351">
        <f>SUM(AI396:AI397)</f>
        <v>4219.2</v>
      </c>
      <c r="AJ395" s="6" t="e">
        <f t="shared" si="373"/>
        <v>#DIV/0!</v>
      </c>
      <c r="AK395" s="30"/>
      <c r="AL395" s="357">
        <f>AI395/AI$640</f>
        <v>8.7559962708985539E-3</v>
      </c>
      <c r="AM395" s="88"/>
      <c r="AN395" s="351">
        <f>SUM(AN396:AN397)</f>
        <v>936</v>
      </c>
      <c r="AO395" s="35" t="str">
        <f t="shared" si="374"/>
        <v>-3283,2   (-77,8%)</v>
      </c>
      <c r="AP395" s="30"/>
      <c r="AQ395" s="357">
        <f>AN395/AN$640</f>
        <v>2.523327298195821E-3</v>
      </c>
      <c r="AR395" s="88"/>
      <c r="AS395" s="338"/>
      <c r="AT395" s="35" t="str">
        <f t="shared" si="375"/>
        <v>-936   (-100%)</v>
      </c>
      <c r="AU395" s="30"/>
      <c r="AV395" s="357" t="e">
        <f>AS395/AS$640</f>
        <v>#DIV/0!</v>
      </c>
    </row>
    <row r="396" spans="1:48" s="62" customFormat="1" hidden="1" outlineLevel="2" x14ac:dyDescent="0.3">
      <c r="A396" s="188" t="s">
        <v>354</v>
      </c>
      <c r="C396" s="337"/>
      <c r="D396" s="337"/>
      <c r="E396" s="347" t="str">
        <f>B98</f>
        <v>6150/01175   EntretienNettoyage    (0160)</v>
      </c>
      <c r="F396" s="353">
        <f t="shared" ref="F396:J397" si="377">F98</f>
        <v>0</v>
      </c>
      <c r="G396" s="353">
        <f t="shared" si="377"/>
        <v>0</v>
      </c>
      <c r="H396" s="353">
        <f t="shared" si="377"/>
        <v>0</v>
      </c>
      <c r="I396" s="353">
        <f t="shared" si="377"/>
        <v>0</v>
      </c>
      <c r="J396" s="353">
        <f t="shared" si="377"/>
        <v>0</v>
      </c>
      <c r="K396" s="354"/>
      <c r="L396" s="353">
        <f>L98</f>
        <v>0</v>
      </c>
      <c r="M396" s="354"/>
      <c r="N396" s="88"/>
      <c r="O396" s="353">
        <f>O98</f>
        <v>0</v>
      </c>
      <c r="P396" s="354"/>
      <c r="Q396" s="123"/>
      <c r="R396" s="357"/>
      <c r="S396" s="88"/>
      <c r="T396" s="353">
        <f>T98</f>
        <v>588</v>
      </c>
      <c r="U396" s="354"/>
      <c r="V396" s="123"/>
      <c r="W396" s="357"/>
      <c r="X396" s="340"/>
      <c r="Y396" s="353">
        <f>Y98</f>
        <v>1944</v>
      </c>
      <c r="Z396" s="354"/>
      <c r="AA396" s="30"/>
      <c r="AB396" s="357"/>
      <c r="AC396" s="88">
        <f>AC98</f>
        <v>0</v>
      </c>
      <c r="AD396" s="353">
        <f>AD98</f>
        <v>0</v>
      </c>
      <c r="AE396" s="90"/>
      <c r="AF396" s="30"/>
      <c r="AG396" s="357"/>
      <c r="AH396" s="88">
        <f>AH98</f>
        <v>0</v>
      </c>
      <c r="AI396" s="353">
        <f>AI98</f>
        <v>0</v>
      </c>
      <c r="AJ396" s="90"/>
      <c r="AK396" s="30"/>
      <c r="AL396" s="357"/>
      <c r="AM396" s="88"/>
      <c r="AN396" s="353">
        <f>AN98</f>
        <v>0</v>
      </c>
      <c r="AO396" s="29"/>
      <c r="AP396" s="30"/>
      <c r="AQ396" s="357"/>
      <c r="AR396" s="88"/>
      <c r="AS396" s="338"/>
      <c r="AT396" s="29"/>
      <c r="AU396" s="30"/>
      <c r="AV396" s="357"/>
    </row>
    <row r="397" spans="1:48" s="62" customFormat="1" hidden="1" outlineLevel="2" x14ac:dyDescent="0.3">
      <c r="A397" s="188" t="s">
        <v>628</v>
      </c>
      <c r="C397" s="337"/>
      <c r="D397" s="337"/>
      <c r="E397" s="347" t="str">
        <f>B99</f>
        <v>6150/01176   TravauxNettoyage    (0165)</v>
      </c>
      <c r="F397" s="353">
        <f t="shared" si="377"/>
        <v>0</v>
      </c>
      <c r="G397" s="353">
        <f t="shared" si="377"/>
        <v>0</v>
      </c>
      <c r="H397" s="353">
        <f t="shared" si="377"/>
        <v>0</v>
      </c>
      <c r="I397" s="353">
        <f t="shared" si="377"/>
        <v>0</v>
      </c>
      <c r="J397" s="353">
        <f t="shared" si="377"/>
        <v>0</v>
      </c>
      <c r="K397" s="354"/>
      <c r="L397" s="353">
        <f>L99</f>
        <v>0</v>
      </c>
      <c r="M397" s="354"/>
      <c r="N397" s="88"/>
      <c r="O397" s="353">
        <f>O99</f>
        <v>0</v>
      </c>
      <c r="P397" s="354"/>
      <c r="Q397" s="123"/>
      <c r="R397" s="357"/>
      <c r="S397" s="88"/>
      <c r="T397" s="353">
        <f>T99</f>
        <v>0</v>
      </c>
      <c r="U397" s="354"/>
      <c r="V397" s="123"/>
      <c r="W397" s="357"/>
      <c r="X397" s="340"/>
      <c r="Y397" s="353">
        <f>Y99</f>
        <v>0</v>
      </c>
      <c r="Z397" s="354"/>
      <c r="AA397" s="30"/>
      <c r="AB397" s="357"/>
      <c r="AC397" s="88">
        <f>AC99</f>
        <v>0</v>
      </c>
      <c r="AD397" s="353">
        <f>AD99</f>
        <v>0</v>
      </c>
      <c r="AE397" s="90"/>
      <c r="AF397" s="30"/>
      <c r="AG397" s="357"/>
      <c r="AH397" s="88">
        <f>AH99</f>
        <v>0</v>
      </c>
      <c r="AI397" s="353">
        <f>AI99</f>
        <v>4219.2</v>
      </c>
      <c r="AJ397" s="90"/>
      <c r="AK397" s="30"/>
      <c r="AL397" s="357"/>
      <c r="AM397" s="88"/>
      <c r="AN397" s="353">
        <f>AN99</f>
        <v>936</v>
      </c>
      <c r="AO397" s="29"/>
      <c r="AP397" s="30"/>
      <c r="AQ397" s="357"/>
      <c r="AR397" s="88"/>
      <c r="AS397" s="338"/>
      <c r="AT397" s="29"/>
      <c r="AU397" s="30"/>
      <c r="AV397" s="357"/>
    </row>
    <row r="398" spans="1:48" s="62" customFormat="1" hidden="1" outlineLevel="1" collapsed="1" x14ac:dyDescent="0.3">
      <c r="A398" s="199" t="s">
        <v>355</v>
      </c>
      <c r="C398" s="337"/>
      <c r="D398" s="337"/>
      <c r="E398" s="347"/>
      <c r="F398" s="351">
        <f>SUM(F399)</f>
        <v>0</v>
      </c>
      <c r="G398" s="351">
        <f>SUM(G399)</f>
        <v>275</v>
      </c>
      <c r="H398" s="351">
        <f>SUM(H399)</f>
        <v>275</v>
      </c>
      <c r="I398" s="351">
        <f>SUM(I399)</f>
        <v>275</v>
      </c>
      <c r="J398" s="351">
        <f>SUM(J399)</f>
        <v>280</v>
      </c>
      <c r="K398" s="349" t="str">
        <f>ROUND((J398-I398),2)&amp;"  ( "&amp;(ROUND((J398-I398)/(IF(I398=0,0.0001,I398)),3)*100)&amp;"% )"</f>
        <v>5  ( 1,8% )</v>
      </c>
      <c r="L398" s="351">
        <f>SUM(L399)</f>
        <v>280</v>
      </c>
      <c r="M398" s="349" t="str">
        <f>ROUND((L398-G398),2)&amp;"   ( "&amp;(ROUND((L398-G398)/(IF(G398=0,0.0001,G398)),3)*100)&amp;"% )"</f>
        <v>5   ( 1,8% )</v>
      </c>
      <c r="N398" s="88"/>
      <c r="O398" s="351">
        <f>SUM(O399)</f>
        <v>280</v>
      </c>
      <c r="P398" s="349" t="str">
        <f>ROUND((O398-J398),2)&amp;"   ( "&amp;(ROUND((O398-J398)/(IF(J398=0,0.0001,J398)),3)*100)&amp;"% )"</f>
        <v>0   ( 0% )</v>
      </c>
      <c r="Q398" s="123"/>
      <c r="R398" s="357">
        <f>O398/O$640</f>
        <v>5.5883266562143665E-4</v>
      </c>
      <c r="S398" s="88"/>
      <c r="T398" s="351">
        <f>SUM(T399)</f>
        <v>280</v>
      </c>
      <c r="U398" s="349" t="str">
        <f>ROUND((T398-O398),2)&amp;"   ( "&amp;(ROUND((T398-O398)/(IF(O398=0,0.0001,O398)),3)*100)&amp;"% )"</f>
        <v>0   ( 0% )</v>
      </c>
      <c r="V398" s="123"/>
      <c r="W398" s="357">
        <f>T398/T$640</f>
        <v>5.725134259510113E-4</v>
      </c>
      <c r="X398" s="340"/>
      <c r="Y398" s="351">
        <f>SUM(Y399)</f>
        <v>280</v>
      </c>
      <c r="Z398" s="349" t="str">
        <f>ROUND((Y398-T398),2)&amp;"   ( "&amp;(ROUND((Y398-T398)/(IF(T398=0,0.0001,T398)),3)*100)&amp;"% )"</f>
        <v>0   ( 0% )</v>
      </c>
      <c r="AA398" s="30"/>
      <c r="AB398" s="357">
        <f>Y398/Y$640</f>
        <v>5.4968253575935194E-4</v>
      </c>
      <c r="AC398" s="88">
        <f>SUM(AC399)</f>
        <v>300</v>
      </c>
      <c r="AD398" s="351">
        <f>SUM(AD399)</f>
        <v>280</v>
      </c>
      <c r="AE398" s="6" t="str">
        <f>ROUND((AD398-Y398),2)&amp;"   ( "&amp;(ROUND((AD398-Y398)/(IF(Y398=0,0.0001,Y398)),3)*100)&amp;"% )"</f>
        <v>0   ( 0% )</v>
      </c>
      <c r="AF398" s="30"/>
      <c r="AG398" s="357">
        <f>AD398/AD$640</f>
        <v>5.5601564747178201E-4</v>
      </c>
      <c r="AH398" s="88">
        <f>SUM(AH399)</f>
        <v>310</v>
      </c>
      <c r="AI398" s="351">
        <f>SUM(AI399)</f>
        <v>280</v>
      </c>
      <c r="AJ398" s="6" t="str">
        <f t="shared" ref="AJ398" si="378">ROUND(AI398-AD398,2) &amp; "   (" &amp; ROUND(100*(AI398-AD398)/AD398,1) &amp;"%)"</f>
        <v>0   (0%)</v>
      </c>
      <c r="AK398" s="30"/>
      <c r="AL398" s="357">
        <f>AI398/AI$640</f>
        <v>5.8107673394283167E-4</v>
      </c>
      <c r="AM398" s="88"/>
      <c r="AN398" s="351">
        <f>SUM(AN399)</f>
        <v>300</v>
      </c>
      <c r="AO398" s="35" t="str">
        <f t="shared" ref="AO398" si="379">ROUND(AN398-AI398,2) &amp; "   (" &amp; ROUND(100*(AN398-AI398)/AI398,1) &amp;"%)"</f>
        <v>20   (7,1%)</v>
      </c>
      <c r="AP398" s="30"/>
      <c r="AQ398" s="357">
        <f>AN398/AN$640</f>
        <v>8.0875874942173747E-4</v>
      </c>
      <c r="AR398" s="88"/>
      <c r="AS398" s="338"/>
      <c r="AT398" s="35" t="str">
        <f t="shared" ref="AT398" si="380">ROUND(AS398-AN398,2) &amp; "   (" &amp; ROUND(100*(AS398-AN398)/AN398,1) &amp;"%)"</f>
        <v>-300   (-100%)</v>
      </c>
      <c r="AU398" s="30"/>
      <c r="AV398" s="357" t="e">
        <f>AS398/AS$640</f>
        <v>#DIV/0!</v>
      </c>
    </row>
    <row r="399" spans="1:48" s="62" customFormat="1" hidden="1" outlineLevel="2" x14ac:dyDescent="0.3">
      <c r="A399" s="188" t="s">
        <v>356</v>
      </c>
      <c r="C399" s="337"/>
      <c r="D399" s="337"/>
      <c r="E399" s="347" t="str">
        <f>B108</f>
        <v>6120/00241  Locations Salle           (0250)</v>
      </c>
      <c r="F399" s="353" t="str">
        <f>F108</f>
        <v xml:space="preserve"> </v>
      </c>
      <c r="G399" s="353">
        <f>G108</f>
        <v>275</v>
      </c>
      <c r="H399" s="353">
        <f>H108</f>
        <v>275</v>
      </c>
      <c r="I399" s="353">
        <f>I108</f>
        <v>275</v>
      </c>
      <c r="J399" s="353">
        <f>J108</f>
        <v>280</v>
      </c>
      <c r="K399" s="354"/>
      <c r="L399" s="353">
        <f>L108</f>
        <v>280</v>
      </c>
      <c r="M399" s="354"/>
      <c r="N399" s="88"/>
      <c r="O399" s="353">
        <f>O108</f>
        <v>280</v>
      </c>
      <c r="P399" s="354"/>
      <c r="Q399" s="123"/>
      <c r="R399" s="357"/>
      <c r="S399" s="88"/>
      <c r="T399" s="353">
        <f>T108</f>
        <v>280</v>
      </c>
      <c r="U399" s="354"/>
      <c r="V399" s="123"/>
      <c r="W399" s="357"/>
      <c r="X399" s="340"/>
      <c r="Y399" s="353">
        <f>Y108</f>
        <v>280</v>
      </c>
      <c r="Z399" s="354"/>
      <c r="AA399" s="30"/>
      <c r="AB399" s="357"/>
      <c r="AC399" s="88">
        <f>AC108</f>
        <v>300</v>
      </c>
      <c r="AD399" s="353">
        <f>AD108</f>
        <v>280</v>
      </c>
      <c r="AE399" s="90"/>
      <c r="AF399" s="30"/>
      <c r="AG399" s="357"/>
      <c r="AH399" s="88">
        <f>AH108</f>
        <v>310</v>
      </c>
      <c r="AI399" s="353">
        <f>AI108</f>
        <v>280</v>
      </c>
      <c r="AJ399" s="90"/>
      <c r="AK399" s="30"/>
      <c r="AL399" s="357"/>
      <c r="AM399" s="88"/>
      <c r="AN399" s="353">
        <f>AN108</f>
        <v>300</v>
      </c>
      <c r="AO399" s="29"/>
      <c r="AP399" s="30"/>
      <c r="AQ399" s="357"/>
      <c r="AR399" s="88"/>
      <c r="AS399" s="338"/>
      <c r="AT399" s="29"/>
      <c r="AU399" s="30"/>
      <c r="AV399" s="357"/>
    </row>
    <row r="400" spans="1:48" s="62" customFormat="1" hidden="1" outlineLevel="1" collapsed="1" x14ac:dyDescent="0.3">
      <c r="A400" s="199" t="s">
        <v>357</v>
      </c>
      <c r="C400" s="337"/>
      <c r="D400" s="337"/>
      <c r="E400" s="347"/>
      <c r="F400" s="351">
        <f>SUM(F401)</f>
        <v>85.91</v>
      </c>
      <c r="G400" s="351">
        <f>SUM(G401)</f>
        <v>88.62</v>
      </c>
      <c r="H400" s="351">
        <f>SUM(H401)</f>
        <v>92.09</v>
      </c>
      <c r="I400" s="351">
        <f>SUM(I401)</f>
        <v>94.48</v>
      </c>
      <c r="J400" s="351">
        <f>SUM(J401)</f>
        <v>98.47</v>
      </c>
      <c r="K400" s="349" t="str">
        <f>ROUND((J400-I400),2)&amp;"  ( "&amp;(ROUND((J400-I400)/(IF(I400=0,0.0001,I400)),3)*100)&amp;"% )"</f>
        <v>3,99  ( 4,2% )</v>
      </c>
      <c r="L400" s="351">
        <f>SUM(L401)</f>
        <v>100.86</v>
      </c>
      <c r="M400" s="349" t="str">
        <f>ROUND((L400-G400),2)&amp;"   ( "&amp;(ROUND((L400-G400)/(IF(G400=0,0.0001,G400)),3)*100)&amp;"% )"</f>
        <v>12,24   ( 13,8% )</v>
      </c>
      <c r="N400" s="88"/>
      <c r="O400" s="351">
        <f>SUM(O401)</f>
        <v>103.31</v>
      </c>
      <c r="P400" s="349" t="str">
        <f>ROUND((O400-J400),2)&amp;"   ( "&amp;(ROUND((O400-J400)/(IF(J400=0,0.0001,J400)),3)*100)&amp;"% )"</f>
        <v>4,84   ( 4,9% )</v>
      </c>
      <c r="Q400" s="123"/>
      <c r="R400" s="357">
        <f>O400/O$640</f>
        <v>2.0618929530482366E-4</v>
      </c>
      <c r="S400" s="88"/>
      <c r="T400" s="351">
        <f>SUM(T401)</f>
        <v>105.62</v>
      </c>
      <c r="U400" s="349" t="str">
        <f>ROUND((T400-O400),2)&amp;"   ( "&amp;(ROUND((T400-O400)/(IF(O400=0,0.0001,O400)),3)*100)&amp;"% )"</f>
        <v>2,31   ( 2,2% )</v>
      </c>
      <c r="V400" s="123"/>
      <c r="W400" s="357">
        <f>T400/T$640</f>
        <v>2.1596024303194934E-4</v>
      </c>
      <c r="X400" s="340"/>
      <c r="Y400" s="351">
        <f>SUM(Y401)</f>
        <v>108.22</v>
      </c>
      <c r="Z400" s="349" t="str">
        <f>ROUND((Y400-T400),2)&amp;"   ( "&amp;(ROUND((Y400-T400)/(IF(T400=0,0.0001,T400)),3)*100)&amp;"% )"</f>
        <v>2,6   ( 2,5% )</v>
      </c>
      <c r="AA400" s="30"/>
      <c r="AB400" s="357">
        <f>Y400/Y$640</f>
        <v>2.1245230007098953E-4</v>
      </c>
      <c r="AC400" s="88">
        <f>SUM(AC401)</f>
        <v>120</v>
      </c>
      <c r="AD400" s="351">
        <f>SUM(AD401)</f>
        <v>110.89</v>
      </c>
      <c r="AE400" s="6" t="str">
        <f>ROUND((AD400-Y400),2)&amp;"   ( "&amp;(ROUND((AD400-Y400)/(IF(Y400=0,0.0001,Y400)),3)*100)&amp;"% )"</f>
        <v>2,67   ( 2,5% )</v>
      </c>
      <c r="AF400" s="30"/>
      <c r="AG400" s="357">
        <f>AD400/AD$640</f>
        <v>2.2020205410052109E-4</v>
      </c>
      <c r="AH400" s="88">
        <f>SUM(AH401)</f>
        <v>130</v>
      </c>
      <c r="AI400" s="351">
        <f>SUM(AI401)</f>
        <v>113.9</v>
      </c>
      <c r="AJ400" s="6" t="str">
        <f t="shared" ref="AJ400" si="381">ROUND(AI400-AD400,2) &amp; "   (" &amp; ROUND(100*(AI400-AD400)/AD400,1) &amp;"%)"</f>
        <v>3,01   (2,7%)</v>
      </c>
      <c r="AK400" s="30"/>
      <c r="AL400" s="357">
        <f>AI400/AI$640</f>
        <v>2.3637371427174473E-4</v>
      </c>
      <c r="AM400" s="88"/>
      <c r="AN400" s="351">
        <f>SUM(AN401)</f>
        <v>116.65</v>
      </c>
      <c r="AO400" s="35" t="str">
        <f t="shared" ref="AO400" si="382">ROUND(AN400-AI400,2) &amp; "   (" &amp; ROUND(100*(AN400-AI400)/AI400,1) &amp;"%)"</f>
        <v>2,75   (2,4%)</v>
      </c>
      <c r="AP400" s="30"/>
      <c r="AQ400" s="357">
        <f>AN400/AN$640</f>
        <v>3.1447236040015226E-4</v>
      </c>
      <c r="AR400" s="88"/>
      <c r="AS400" s="338"/>
      <c r="AT400" s="35" t="str">
        <f t="shared" ref="AT400" si="383">ROUND(AS400-AN400,2) &amp; "   (" &amp; ROUND(100*(AS400-AN400)/AN400,1) &amp;"%)"</f>
        <v>-116,65   (-100%)</v>
      </c>
      <c r="AU400" s="30"/>
      <c r="AV400" s="357" t="e">
        <f>AS400/AS$640</f>
        <v>#DIV/0!</v>
      </c>
    </row>
    <row r="401" spans="1:48" s="62" customFormat="1" hidden="1" outlineLevel="2" x14ac:dyDescent="0.3">
      <c r="A401" s="188" t="s">
        <v>358</v>
      </c>
      <c r="C401" s="337"/>
      <c r="D401" s="337"/>
      <c r="E401" s="347" t="str">
        <f>B210</f>
        <v>6130/01881 Contrat Loc.Compteurs  (1180)</v>
      </c>
      <c r="F401" s="353">
        <f>F210</f>
        <v>85.91</v>
      </c>
      <c r="G401" s="353">
        <f>G210</f>
        <v>88.62</v>
      </c>
      <c r="H401" s="353">
        <f>H210</f>
        <v>92.09</v>
      </c>
      <c r="I401" s="353">
        <f>I210</f>
        <v>94.48</v>
      </c>
      <c r="J401" s="353">
        <f>J210</f>
        <v>98.47</v>
      </c>
      <c r="K401" s="354"/>
      <c r="L401" s="353">
        <f>L210</f>
        <v>100.86</v>
      </c>
      <c r="M401" s="354"/>
      <c r="N401" s="88"/>
      <c r="O401" s="353">
        <f>O210</f>
        <v>103.31</v>
      </c>
      <c r="P401" s="354"/>
      <c r="Q401" s="123"/>
      <c r="R401" s="357"/>
      <c r="S401" s="88"/>
      <c r="T401" s="353">
        <f>T210</f>
        <v>105.62</v>
      </c>
      <c r="U401" s="354"/>
      <c r="V401" s="123"/>
      <c r="W401" s="357"/>
      <c r="X401" s="340"/>
      <c r="Y401" s="353">
        <f>Y210</f>
        <v>108.22</v>
      </c>
      <c r="Z401" s="354"/>
      <c r="AA401" s="30"/>
      <c r="AB401" s="357"/>
      <c r="AC401" s="88">
        <f>AC210</f>
        <v>120</v>
      </c>
      <c r="AD401" s="353">
        <f>AD210</f>
        <v>110.89</v>
      </c>
      <c r="AE401" s="90"/>
      <c r="AF401" s="30"/>
      <c r="AG401" s="357"/>
      <c r="AH401" s="88">
        <f>AH210</f>
        <v>130</v>
      </c>
      <c r="AI401" s="353">
        <f>AI210</f>
        <v>113.9</v>
      </c>
      <c r="AJ401" s="90"/>
      <c r="AK401" s="30"/>
      <c r="AL401" s="357"/>
      <c r="AM401" s="88"/>
      <c r="AN401" s="353">
        <f>AN210</f>
        <v>116.65</v>
      </c>
      <c r="AO401" s="29"/>
      <c r="AP401" s="30"/>
      <c r="AQ401" s="357"/>
      <c r="AR401" s="88"/>
      <c r="AS401" s="338"/>
      <c r="AT401" s="29"/>
      <c r="AU401" s="30"/>
      <c r="AV401" s="357"/>
    </row>
    <row r="402" spans="1:48" s="62" customFormat="1" hidden="1" outlineLevel="1" collapsed="1" x14ac:dyDescent="0.3">
      <c r="A402" s="199" t="s">
        <v>359</v>
      </c>
      <c r="C402" s="337"/>
      <c r="D402" s="337"/>
      <c r="E402" s="347"/>
      <c r="F402" s="351">
        <f>SUM(F403,F406,F407,F410,F411,F416,F422,F426,F432,)</f>
        <v>33121.47</v>
      </c>
      <c r="G402" s="351">
        <f>SUM(G403,G406,G407,G410,G411,G416,G422,G426,G432,)</f>
        <v>37544.15</v>
      </c>
      <c r="H402" s="351">
        <f>SUM(H403,H406,H407,H410,H411,H416,H422,H426,H432,)</f>
        <v>31676.94</v>
      </c>
      <c r="I402" s="351">
        <f>SUM(I403,I406,I407,I410,I411,I416,I422,I426,I432,)</f>
        <v>22773.42</v>
      </c>
      <c r="J402" s="351">
        <f>SUM(J403,J406,J407,J410,J411,J416,J422,J426,J432,)</f>
        <v>28993.82</v>
      </c>
      <c r="K402" s="349" t="str">
        <f>ROUND((J402-I402),2)&amp;"  ( "&amp;(ROUND((J402-I402)/(IF(I402=0,0.0001,I402)),3)*100)&amp;"% )"</f>
        <v>6220,4  ( 27,3% )</v>
      </c>
      <c r="L402" s="351">
        <f>SUM(L403,L406,L407,L410,L411,L416,L422,L426,L432,)</f>
        <v>32566.439999999995</v>
      </c>
      <c r="M402" s="349" t="str">
        <f>ROUND((L402-G402),2)&amp;"   ( "&amp;(ROUND((L402-G402)/(IF(G402=0,0.0001,G402)),3)*100)&amp;"% )"</f>
        <v>-4977,71   ( -13,3% )</v>
      </c>
      <c r="N402" s="88"/>
      <c r="O402" s="351">
        <f>SUM(O403,O406,O407,O410,O411,O416,O422,O426,O432,)</f>
        <v>31459.439999999999</v>
      </c>
      <c r="P402" s="349" t="str">
        <f>ROUND((O402-J402),2)&amp;"   ( "&amp;(ROUND((O402-J402)/(IF(J402=0,0.0001,J402)),3)*100)&amp;"% )"</f>
        <v>2465,62   ( 8,5% )</v>
      </c>
      <c r="Q402" s="123"/>
      <c r="R402" s="357">
        <f>O402/O$640</f>
        <v>6.2787723979134458E-2</v>
      </c>
      <c r="S402" s="88"/>
      <c r="T402" s="351">
        <f>SUM(T403,T406,T407,T410,T411,T416,T422,T426,T432,)</f>
        <v>30720.799999999996</v>
      </c>
      <c r="U402" s="349" t="str">
        <f>ROUND((T402-O402),2)&amp;"   ( "&amp;(ROUND((T402-O402)/(IF(O402=0,0.0001,O402)),3)*100)&amp;"% )"</f>
        <v>-738,64   ( -2,3% )</v>
      </c>
      <c r="V402" s="123"/>
      <c r="W402" s="357">
        <f>T402/T$640</f>
        <v>6.2814537342699373E-2</v>
      </c>
      <c r="X402" s="340"/>
      <c r="Y402" s="351">
        <f>SUM(Y403,Y406,Y407,Y410,Y411,Y416,Y422,Y426,Y432,)</f>
        <v>35224.36</v>
      </c>
      <c r="Z402" s="349" t="str">
        <f>ROUND((Y402-T402),2)&amp;"   ( "&amp;(ROUND((Y402-T402)/(IF(T402=0,0.0001,T402)),3)*100)&amp;"% )"</f>
        <v>4503,56   ( 14,7% )</v>
      </c>
      <c r="AA402" s="30"/>
      <c r="AB402" s="357">
        <f>Y402/Y$640</f>
        <v>6.9150769733215309E-2</v>
      </c>
      <c r="AC402" s="88">
        <f>SUM(AC403,AC406,AC407,AC410,AC411,AC416,AC422,AC426,AC432,)</f>
        <v>35010</v>
      </c>
      <c r="AD402" s="351">
        <f>SUM(AD403,AD406,AD407,AD410,AD411,AD416,AD422,AD426,AD432,)</f>
        <v>28177.32</v>
      </c>
      <c r="AE402" s="6" t="str">
        <f>ROUND((AD402-Y402),2)&amp;"   ( "&amp;(ROUND((AD402-Y402)/(IF(Y402=0,0.0001,Y402)),3)*100)&amp;"% )"</f>
        <v>-7047,04   ( -20% )</v>
      </c>
      <c r="AF402" s="356" t="str">
        <f>ROUND(AD402-AC402,2) &amp; "  (" &amp; ROUND(100*(AD402-AC402)/AC402,1) &amp;"%)"</f>
        <v>-6832,68  (-19,5%)</v>
      </c>
      <c r="AG402" s="357">
        <f>AD402/AD$640</f>
        <v>5.5953681513641398E-2</v>
      </c>
      <c r="AH402" s="88">
        <f>SUM(AH403,AH406,AH407,AH410,AH411,AH416,AH422,AH426,AH432,)</f>
        <v>24160</v>
      </c>
      <c r="AI402" s="351">
        <f>SUM(AI403,AI406,AI407,AI410,AI411,AI416,AI422,AI426,AI432,)</f>
        <v>30582.3</v>
      </c>
      <c r="AJ402" s="6" t="str">
        <f t="shared" ref="AJ402" si="384">ROUND(AI402-AD402,2) &amp; "   (" &amp; ROUND(100*(AI402-AD402)/AD402,1) &amp;"%)"</f>
        <v>2404,98   (8,5%)</v>
      </c>
      <c r="AK402" s="30"/>
      <c r="AL402" s="357">
        <f>AI402/AI$640</f>
        <v>6.3466653573070922E-2</v>
      </c>
      <c r="AM402" s="88"/>
      <c r="AN402" s="351">
        <f>SUM(AN403,AN406,AN407,AN410,AN411,AN416,AN422,AN426,AN432,)</f>
        <v>31724.699999999997</v>
      </c>
      <c r="AO402" s="35" t="str">
        <f t="shared" ref="AO402" si="385">ROUND(AN402-AI402,2) &amp; "   (" &amp; ROUND(100*(AN402-AI402)/AI402,1) &amp;"%)"</f>
        <v>1142,4   (3,7%)</v>
      </c>
      <c r="AP402" s="30"/>
      <c r="AQ402" s="357">
        <f>AN402/AN$640</f>
        <v>8.5525428992599309E-2</v>
      </c>
      <c r="AR402" s="88"/>
      <c r="AS402" s="338"/>
      <c r="AT402" s="35" t="str">
        <f t="shared" ref="AT402" si="386">ROUND(AS402-AN402,2) &amp; "   (" &amp; ROUND(100*(AS402-AN402)/AN402,1) &amp;"%)"</f>
        <v>-31724,7   (-100%)</v>
      </c>
      <c r="AU402" s="30"/>
      <c r="AV402" s="357" t="e">
        <f>AS402/AS$640</f>
        <v>#DIV/0!</v>
      </c>
    </row>
    <row r="403" spans="1:48" s="62" customFormat="1" hidden="1" outlineLevel="2" collapsed="1" x14ac:dyDescent="0.3">
      <c r="A403" s="188" t="s">
        <v>360</v>
      </c>
      <c r="C403" s="337"/>
      <c r="D403" s="337"/>
      <c r="E403" s="359"/>
      <c r="F403" s="364">
        <f>SUM(F404:F405)</f>
        <v>0</v>
      </c>
      <c r="G403" s="364">
        <f>SUM(G404:G405)</f>
        <v>0</v>
      </c>
      <c r="H403" s="364">
        <f>SUM(H404:H405)</f>
        <v>0</v>
      </c>
      <c r="I403" s="364">
        <f>SUM(I404:I405)</f>
        <v>244.21</v>
      </c>
      <c r="J403" s="364">
        <f>SUM(J404:J405)</f>
        <v>0</v>
      </c>
      <c r="K403" s="360"/>
      <c r="L403" s="364">
        <f>SUM(L404:L405)</f>
        <v>2614</v>
      </c>
      <c r="M403" s="360"/>
      <c r="N403" s="88"/>
      <c r="O403" s="364">
        <f>SUM(O404:O405)</f>
        <v>0</v>
      </c>
      <c r="P403" s="360"/>
      <c r="Q403" s="123"/>
      <c r="R403" s="357"/>
      <c r="S403" s="88"/>
      <c r="T403" s="364">
        <f>SUM(T404:T405)</f>
        <v>633.29999999999995</v>
      </c>
      <c r="U403" s="360"/>
      <c r="V403" s="123"/>
      <c r="W403" s="357"/>
      <c r="X403" s="340"/>
      <c r="Y403" s="364">
        <f>SUM(Y404:Y405)</f>
        <v>0</v>
      </c>
      <c r="Z403" s="360"/>
      <c r="AA403" s="30"/>
      <c r="AB403" s="357"/>
      <c r="AC403" s="88">
        <f>SUM(AC404:AC405)</f>
        <v>1530</v>
      </c>
      <c r="AD403" s="364">
        <f>SUM(AD404:AD405)</f>
        <v>0</v>
      </c>
      <c r="AE403" s="90" t="str">
        <f>ROUND((AD403-Y403),2)&amp;" / "&amp;(ROUND((AD403-Y403)/(IF(Y403=0,0.0001,Y403)),3)*100)&amp;"%"</f>
        <v>0 / 0%</v>
      </c>
      <c r="AF403" s="30"/>
      <c r="AG403" s="357"/>
      <c r="AH403" s="88">
        <f>SUM(AH404:AH405)</f>
        <v>1560</v>
      </c>
      <c r="AI403" s="364">
        <f>SUM(AI404:AI405)</f>
        <v>0</v>
      </c>
      <c r="AJ403" s="90"/>
      <c r="AK403" s="30"/>
      <c r="AL403" s="357"/>
      <c r="AM403" s="88"/>
      <c r="AN403" s="364">
        <f>SUM(AN404:AN405)</f>
        <v>729.32</v>
      </c>
      <c r="AO403" s="29"/>
      <c r="AP403" s="30"/>
      <c r="AQ403" s="357"/>
      <c r="AR403" s="88"/>
      <c r="AS403" s="338"/>
      <c r="AT403" s="29"/>
      <c r="AU403" s="30"/>
      <c r="AV403" s="357"/>
    </row>
    <row r="404" spans="1:48" s="62" customFormat="1" hidden="1" outlineLevel="3" x14ac:dyDescent="0.3">
      <c r="A404" s="190" t="s">
        <v>361</v>
      </c>
      <c r="C404" s="337"/>
      <c r="D404" s="337"/>
      <c r="E404" s="347" t="str">
        <f>B83</f>
        <v>6150/01105  Pt Entr.Plomberie         (0010)</v>
      </c>
      <c r="F404" s="250">
        <f>F83</f>
        <v>0</v>
      </c>
      <c r="G404" s="250">
        <f>G83</f>
        <v>0</v>
      </c>
      <c r="H404" s="250">
        <f>H83</f>
        <v>0</v>
      </c>
      <c r="I404" s="250">
        <f>I83</f>
        <v>244.21</v>
      </c>
      <c r="J404" s="250">
        <f>J83</f>
        <v>0</v>
      </c>
      <c r="K404" s="354"/>
      <c r="L404" s="250">
        <f>L83</f>
        <v>249</v>
      </c>
      <c r="M404" s="354"/>
      <c r="N404" s="88"/>
      <c r="O404" s="250">
        <f>O83</f>
        <v>0</v>
      </c>
      <c r="P404" s="354"/>
      <c r="Q404" s="123"/>
      <c r="R404" s="357"/>
      <c r="S404" s="88"/>
      <c r="T404" s="250">
        <f>T83</f>
        <v>633.29999999999995</v>
      </c>
      <c r="U404" s="354"/>
      <c r="V404" s="123"/>
      <c r="W404" s="357"/>
      <c r="X404" s="340"/>
      <c r="Y404" s="250">
        <f>Y83</f>
        <v>0</v>
      </c>
      <c r="Z404" s="354"/>
      <c r="AA404" s="30"/>
      <c r="AB404" s="357"/>
      <c r="AC404" s="88">
        <f>AC83</f>
        <v>1530</v>
      </c>
      <c r="AD404" s="250">
        <f>AD83</f>
        <v>0</v>
      </c>
      <c r="AE404" s="90"/>
      <c r="AF404" s="30"/>
      <c r="AG404" s="357"/>
      <c r="AH404" s="88">
        <f>AH83</f>
        <v>1560</v>
      </c>
      <c r="AI404" s="250">
        <f>AI83</f>
        <v>0</v>
      </c>
      <c r="AJ404" s="90"/>
      <c r="AK404" s="30"/>
      <c r="AL404" s="357"/>
      <c r="AM404" s="88"/>
      <c r="AN404" s="250">
        <f>AN83</f>
        <v>729.32</v>
      </c>
      <c r="AO404" s="29"/>
      <c r="AP404" s="30"/>
      <c r="AQ404" s="357"/>
      <c r="AR404" s="88"/>
      <c r="AS404" s="338"/>
      <c r="AT404" s="29"/>
      <c r="AU404" s="30"/>
      <c r="AV404" s="357"/>
    </row>
    <row r="405" spans="1:48" s="62" customFormat="1" hidden="1" outlineLevel="3" x14ac:dyDescent="0.3">
      <c r="A405" s="190" t="s">
        <v>362</v>
      </c>
      <c r="C405" s="337"/>
      <c r="D405" s="337"/>
      <c r="E405" s="347" t="str">
        <f>B105</f>
        <v>6150/01206  Entretien Curage           (0220)</v>
      </c>
      <c r="F405" s="250">
        <f>F105</f>
        <v>0</v>
      </c>
      <c r="G405" s="250">
        <f>G105</f>
        <v>0</v>
      </c>
      <c r="H405" s="250">
        <f>H105</f>
        <v>0</v>
      </c>
      <c r="I405" s="250">
        <f>I105</f>
        <v>0</v>
      </c>
      <c r="J405" s="250">
        <f>J105</f>
        <v>0</v>
      </c>
      <c r="K405" s="354">
        <f>H105</f>
        <v>0</v>
      </c>
      <c r="L405" s="250">
        <f>L105</f>
        <v>2365</v>
      </c>
      <c r="M405" s="354">
        <f>J105</f>
        <v>0</v>
      </c>
      <c r="N405" s="88"/>
      <c r="O405" s="250">
        <f>O105</f>
        <v>0</v>
      </c>
      <c r="P405" s="354">
        <f>M105</f>
        <v>0</v>
      </c>
      <c r="Q405" s="123"/>
      <c r="R405" s="357"/>
      <c r="S405" s="88"/>
      <c r="T405" s="250">
        <f>T105</f>
        <v>0</v>
      </c>
      <c r="U405" s="354">
        <f>P105</f>
        <v>0</v>
      </c>
      <c r="V405" s="123"/>
      <c r="W405" s="357"/>
      <c r="X405" s="340"/>
      <c r="Y405" s="250">
        <f>Y105</f>
        <v>0</v>
      </c>
      <c r="Z405" s="354" t="str">
        <f>W105</f>
        <v/>
      </c>
      <c r="AA405" s="30"/>
      <c r="AB405" s="357"/>
      <c r="AC405" s="88">
        <f>AC105</f>
        <v>0</v>
      </c>
      <c r="AD405" s="250">
        <f>AD105</f>
        <v>0</v>
      </c>
      <c r="AE405" s="90" t="str">
        <f>AB105</f>
        <v/>
      </c>
      <c r="AF405" s="30"/>
      <c r="AG405" s="357"/>
      <c r="AH405" s="88">
        <f>AH105</f>
        <v>0</v>
      </c>
      <c r="AI405" s="250">
        <f>AI105</f>
        <v>0</v>
      </c>
      <c r="AJ405" s="90"/>
      <c r="AK405" s="30"/>
      <c r="AL405" s="357"/>
      <c r="AM405" s="88"/>
      <c r="AN405" s="250">
        <f>AN105</f>
        <v>0</v>
      </c>
      <c r="AO405" s="29"/>
      <c r="AP405" s="30"/>
      <c r="AQ405" s="357"/>
      <c r="AR405" s="88"/>
      <c r="AS405" s="338"/>
      <c r="AT405" s="29"/>
      <c r="AU405" s="30"/>
      <c r="AV405" s="357"/>
    </row>
    <row r="406" spans="1:48" s="62" customFormat="1" hidden="1" outlineLevel="2" x14ac:dyDescent="0.3">
      <c r="A406" s="188" t="s">
        <v>363</v>
      </c>
      <c r="C406" s="337"/>
      <c r="D406" s="337"/>
      <c r="E406" s="347" t="str">
        <f>B85</f>
        <v>6150/01115  Pt Entr.Electricité      (0030)</v>
      </c>
      <c r="F406" s="353">
        <f>F85</f>
        <v>0</v>
      </c>
      <c r="G406" s="353">
        <f>G85</f>
        <v>1800.88</v>
      </c>
      <c r="H406" s="353">
        <f>H85</f>
        <v>370.22</v>
      </c>
      <c r="I406" s="353">
        <f>I85</f>
        <v>0</v>
      </c>
      <c r="J406" s="353">
        <f>J85</f>
        <v>0</v>
      </c>
      <c r="K406" s="354"/>
      <c r="L406" s="353">
        <f>L85</f>
        <v>0</v>
      </c>
      <c r="M406" s="354"/>
      <c r="N406" s="88"/>
      <c r="O406" s="353">
        <f>O85</f>
        <v>0</v>
      </c>
      <c r="P406" s="354"/>
      <c r="Q406" s="123"/>
      <c r="R406" s="357"/>
      <c r="S406" s="88"/>
      <c r="T406" s="353">
        <f>T85</f>
        <v>709.5</v>
      </c>
      <c r="U406" s="354"/>
      <c r="V406" s="123"/>
      <c r="W406" s="357"/>
      <c r="X406" s="340"/>
      <c r="Y406" s="353">
        <f>Y85</f>
        <v>244.2</v>
      </c>
      <c r="Z406" s="354"/>
      <c r="AA406" s="30"/>
      <c r="AB406" s="365"/>
      <c r="AC406" s="88">
        <f>AC85</f>
        <v>1740</v>
      </c>
      <c r="AD406" s="353">
        <f>AD85</f>
        <v>0</v>
      </c>
      <c r="AE406" s="90" t="str">
        <f>ROUND((AD406-Y406),2)&amp;" / "&amp;(ROUND((AD406-Y406)/(IF(Y406=0,0.0001,Y406)),3)*100)&amp;"%"</f>
        <v>-244,2 / -100%</v>
      </c>
      <c r="AF406" s="30"/>
      <c r="AG406" s="365"/>
      <c r="AH406" s="88">
        <f>AH85</f>
        <v>1770</v>
      </c>
      <c r="AI406" s="353">
        <f>AI85</f>
        <v>0</v>
      </c>
      <c r="AJ406" s="90"/>
      <c r="AK406" s="30"/>
      <c r="AL406" s="365"/>
      <c r="AM406" s="88"/>
      <c r="AN406" s="353">
        <f>AN85</f>
        <v>0</v>
      </c>
      <c r="AO406" s="29"/>
      <c r="AP406" s="30"/>
      <c r="AQ406" s="365"/>
      <c r="AR406" s="88"/>
      <c r="AS406" s="338"/>
      <c r="AT406" s="29"/>
      <c r="AU406" s="30"/>
      <c r="AV406" s="365"/>
    </row>
    <row r="407" spans="1:48" s="62" customFormat="1" hidden="1" outlineLevel="2" collapsed="1" x14ac:dyDescent="0.3">
      <c r="A407" s="188" t="s">
        <v>364</v>
      </c>
      <c r="C407" s="337"/>
      <c r="D407" s="337"/>
      <c r="E407" s="347"/>
      <c r="F407" s="362">
        <f>SUM(F408:F409)</f>
        <v>8263.06</v>
      </c>
      <c r="G407" s="362">
        <f>SUM(G408:G409)</f>
        <v>8639.93</v>
      </c>
      <c r="H407" s="362">
        <f>SUM(H408:H409)</f>
        <v>8898.42</v>
      </c>
      <c r="I407" s="362">
        <f>SUM(I408:I409)</f>
        <v>9170.09</v>
      </c>
      <c r="J407" s="362">
        <f>SUM(J408:J409)</f>
        <v>7398.58</v>
      </c>
      <c r="K407" s="354"/>
      <c r="L407" s="362">
        <f>SUM(L408:L409)</f>
        <v>5395.48</v>
      </c>
      <c r="M407" s="354"/>
      <c r="N407" s="88"/>
      <c r="O407" s="362">
        <f>SUM(O408:O409)</f>
        <v>5777.46</v>
      </c>
      <c r="P407" s="354"/>
      <c r="Q407" s="123"/>
      <c r="R407" s="357"/>
      <c r="S407" s="88"/>
      <c r="T407" s="362">
        <f>SUM(T408:T409)</f>
        <v>5600.14</v>
      </c>
      <c r="U407" s="354"/>
      <c r="V407" s="123"/>
      <c r="W407" s="357"/>
      <c r="X407" s="340"/>
      <c r="Y407" s="362">
        <f>SUM(Y408:Y409)</f>
        <v>8196.75</v>
      </c>
      <c r="Z407" s="354"/>
      <c r="AA407" s="30"/>
      <c r="AB407" s="361">
        <f t="shared" ref="AB407:AB421" si="387">Y407/Y$640</f>
        <v>1.6091465446376671E-2</v>
      </c>
      <c r="AC407" s="88">
        <f>SUM(AC408:AC409)</f>
        <v>5700</v>
      </c>
      <c r="AD407" s="362">
        <f>SUM(AD408:AD409)</f>
        <v>5830.38</v>
      </c>
      <c r="AE407" s="90" t="str">
        <f>ROUND((AD407-Y407),2)&amp;" / "&amp;(ROUND((AD407-Y407)/(IF(Y407=0,0.0001,Y407)),3)*100)&amp;"%"</f>
        <v>-2366,37 / -28,9%</v>
      </c>
      <c r="AF407" s="356" t="str">
        <f>ROUND(AD407-AC407,2) &amp; "  (" &amp; ROUND(100*(AD407-AC407)/AC407,1) &amp;"%)"</f>
        <v>130,38  (2,3%)</v>
      </c>
      <c r="AG407" s="361">
        <f t="shared" ref="AG407:AG421" si="388">AD407/AD$640</f>
        <v>1.1577794681094744E-2</v>
      </c>
      <c r="AH407" s="88">
        <f>SUM(AH408:AH409)</f>
        <v>5790</v>
      </c>
      <c r="AI407" s="362">
        <f>SUM(AI408:AI409)</f>
        <v>5933.08</v>
      </c>
      <c r="AJ407" s="90"/>
      <c r="AK407" s="30"/>
      <c r="AL407" s="361">
        <f t="shared" ref="AL407:AL421" si="389">AI407/AI$640</f>
        <v>1.2312766959362627E-2</v>
      </c>
      <c r="AM407" s="88"/>
      <c r="AN407" s="362">
        <f>SUM(AN408:AN409)</f>
        <v>6015.62</v>
      </c>
      <c r="AO407" s="29"/>
      <c r="AP407" s="30"/>
      <c r="AQ407" s="361">
        <f t="shared" ref="AQ407:AQ421" si="390">AN407/AN$640</f>
        <v>1.6217284360654644E-2</v>
      </c>
      <c r="AR407" s="88"/>
      <c r="AS407" s="338"/>
      <c r="AT407" s="29"/>
      <c r="AU407" s="30"/>
      <c r="AV407" s="361" t="e">
        <f t="shared" ref="AV407:AV421" si="391">AS407/AS$640</f>
        <v>#DIV/0!</v>
      </c>
    </row>
    <row r="408" spans="1:48" s="62" customFormat="1" hidden="1" outlineLevel="3" x14ac:dyDescent="0.3">
      <c r="A408" s="190" t="s">
        <v>365</v>
      </c>
      <c r="C408" s="337"/>
      <c r="D408" s="337"/>
      <c r="E408" s="347" t="str">
        <f>B306</f>
        <v>6140/65828  Cont.Chauff. P2</v>
      </c>
      <c r="F408" s="250">
        <f>F306</f>
        <v>0</v>
      </c>
      <c r="G408" s="250">
        <f>G306</f>
        <v>0</v>
      </c>
      <c r="H408" s="250">
        <f>H306</f>
        <v>0</v>
      </c>
      <c r="I408" s="250">
        <f>I306</f>
        <v>9170.09</v>
      </c>
      <c r="J408" s="250">
        <f>J306</f>
        <v>7398.58</v>
      </c>
      <c r="K408" s="354"/>
      <c r="L408" s="250">
        <f>L306</f>
        <v>5395.48</v>
      </c>
      <c r="M408" s="354"/>
      <c r="N408" s="88"/>
      <c r="O408" s="250">
        <f>O306</f>
        <v>5502.46</v>
      </c>
      <c r="P408" s="354"/>
      <c r="Q408" s="123"/>
      <c r="R408" s="357"/>
      <c r="S408" s="88"/>
      <c r="T408" s="250">
        <f>T306</f>
        <v>5600.14</v>
      </c>
      <c r="U408" s="354"/>
      <c r="V408" s="123"/>
      <c r="W408" s="357"/>
      <c r="X408" s="340"/>
      <c r="Y408" s="250">
        <f>Y306</f>
        <v>5704.8</v>
      </c>
      <c r="Z408" s="354"/>
      <c r="AA408" s="30"/>
      <c r="AB408" s="361">
        <f t="shared" si="387"/>
        <v>1.1199389035714111E-2</v>
      </c>
      <c r="AC408" s="88">
        <f>AC306</f>
        <v>5700</v>
      </c>
      <c r="AD408" s="250">
        <f>AD306</f>
        <v>5830.38</v>
      </c>
      <c r="AE408" s="90"/>
      <c r="AF408" s="30"/>
      <c r="AG408" s="361">
        <f t="shared" si="388"/>
        <v>1.1577794681094744E-2</v>
      </c>
      <c r="AH408" s="88">
        <f>AH306</f>
        <v>5790</v>
      </c>
      <c r="AI408" s="250">
        <f>AI306</f>
        <v>5933.08</v>
      </c>
      <c r="AJ408" s="90"/>
      <c r="AK408" s="30"/>
      <c r="AL408" s="361">
        <f t="shared" si="389"/>
        <v>1.2312766959362627E-2</v>
      </c>
      <c r="AM408" s="88"/>
      <c r="AN408" s="250">
        <f>AN306</f>
        <v>6015.62</v>
      </c>
      <c r="AO408" s="29"/>
      <c r="AP408" s="30"/>
      <c r="AQ408" s="361">
        <f t="shared" si="390"/>
        <v>1.6217284360654644E-2</v>
      </c>
      <c r="AR408" s="88"/>
      <c r="AS408" s="338"/>
      <c r="AT408" s="29"/>
      <c r="AU408" s="30"/>
      <c r="AV408" s="361" t="e">
        <f t="shared" si="391"/>
        <v>#DIV/0!</v>
      </c>
    </row>
    <row r="409" spans="1:48" s="62" customFormat="1" hidden="1" outlineLevel="3" x14ac:dyDescent="0.3">
      <c r="A409" s="190" t="s">
        <v>366</v>
      </c>
      <c r="C409" s="337"/>
      <c r="D409" s="337"/>
      <c r="E409" s="347" t="str">
        <f>B303</f>
        <v>6150/65821  Cont.Entretien</v>
      </c>
      <c r="F409" s="250">
        <f>F303</f>
        <v>8263.06</v>
      </c>
      <c r="G409" s="250">
        <f>G303</f>
        <v>8639.93</v>
      </c>
      <c r="H409" s="250">
        <f>H303</f>
        <v>8898.42</v>
      </c>
      <c r="I409" s="250">
        <f>I303</f>
        <v>0</v>
      </c>
      <c r="J409" s="250">
        <f>J303</f>
        <v>0</v>
      </c>
      <c r="K409" s="354"/>
      <c r="L409" s="250">
        <f>L303</f>
        <v>0</v>
      </c>
      <c r="M409" s="354"/>
      <c r="N409" s="88"/>
      <c r="O409" s="250">
        <f>O303</f>
        <v>275</v>
      </c>
      <c r="P409" s="354"/>
      <c r="Q409" s="123"/>
      <c r="R409" s="357"/>
      <c r="S409" s="88"/>
      <c r="T409" s="250">
        <f>T303</f>
        <v>0</v>
      </c>
      <c r="U409" s="354"/>
      <c r="V409" s="123"/>
      <c r="W409" s="357"/>
      <c r="X409" s="340"/>
      <c r="Y409" s="250">
        <f>Y303</f>
        <v>2491.9499999999998</v>
      </c>
      <c r="Z409" s="354"/>
      <c r="AA409" s="30"/>
      <c r="AB409" s="361">
        <f t="shared" si="387"/>
        <v>4.8920764106625608E-3</v>
      </c>
      <c r="AC409" s="88">
        <f>AC303</f>
        <v>0</v>
      </c>
      <c r="AD409" s="250">
        <f>AD303</f>
        <v>0</v>
      </c>
      <c r="AE409" s="90"/>
      <c r="AF409" s="30"/>
      <c r="AG409" s="361">
        <f t="shared" si="388"/>
        <v>0</v>
      </c>
      <c r="AH409" s="88">
        <f>AH303</f>
        <v>0</v>
      </c>
      <c r="AI409" s="250">
        <f>AI303</f>
        <v>0</v>
      </c>
      <c r="AJ409" s="90"/>
      <c r="AK409" s="30"/>
      <c r="AL409" s="361">
        <f t="shared" si="389"/>
        <v>0</v>
      </c>
      <c r="AM409" s="88"/>
      <c r="AN409" s="250">
        <f>AN303</f>
        <v>0</v>
      </c>
      <c r="AO409" s="29"/>
      <c r="AP409" s="30"/>
      <c r="AQ409" s="361">
        <f t="shared" si="390"/>
        <v>0</v>
      </c>
      <c r="AR409" s="88"/>
      <c r="AS409" s="338"/>
      <c r="AT409" s="29"/>
      <c r="AU409" s="30"/>
      <c r="AV409" s="361" t="e">
        <f t="shared" si="391"/>
        <v>#DIV/0!</v>
      </c>
    </row>
    <row r="410" spans="1:48" s="62" customFormat="1" hidden="1" outlineLevel="2" x14ac:dyDescent="0.3">
      <c r="A410" s="188" t="s">
        <v>367</v>
      </c>
      <c r="C410" s="337"/>
      <c r="D410" s="337"/>
      <c r="E410" s="347" t="str">
        <f>B288</f>
        <v>6140/40802/600  Cont.Entretien Asc.</v>
      </c>
      <c r="F410" s="353">
        <f>F288</f>
        <v>15545.160000000002</v>
      </c>
      <c r="G410" s="353">
        <f>G288</f>
        <v>15778.439999999999</v>
      </c>
      <c r="H410" s="353">
        <f>H288</f>
        <v>13179.519999999999</v>
      </c>
      <c r="I410" s="353">
        <f>I288</f>
        <v>4107.2</v>
      </c>
      <c r="J410" s="353">
        <f>J288</f>
        <v>10302.060000000001</v>
      </c>
      <c r="K410" s="354"/>
      <c r="L410" s="353">
        <f>L288</f>
        <v>10494.68</v>
      </c>
      <c r="M410" s="354"/>
      <c r="N410" s="88"/>
      <c r="O410" s="353">
        <f>O288</f>
        <v>10625.2</v>
      </c>
      <c r="P410" s="354"/>
      <c r="Q410" s="123"/>
      <c r="R410" s="357"/>
      <c r="S410" s="88"/>
      <c r="T410" s="353">
        <f>T288</f>
        <v>10731.48</v>
      </c>
      <c r="U410" s="354"/>
      <c r="V410" s="123"/>
      <c r="W410" s="357"/>
      <c r="X410" s="340"/>
      <c r="Y410" s="353">
        <f>Y288</f>
        <v>10885</v>
      </c>
      <c r="Z410" s="354"/>
      <c r="AA410" s="30"/>
      <c r="AB410" s="361">
        <f t="shared" si="387"/>
        <v>2.1368908577644809E-2</v>
      </c>
      <c r="AC410" s="88">
        <f>AC288</f>
        <v>11300</v>
      </c>
      <c r="AD410" s="353">
        <f>AD288</f>
        <v>10885.000000000002</v>
      </c>
      <c r="AE410" s="90" t="str">
        <f>ROUND((AD410-Y410),2)&amp;" / "&amp;(ROUND((AD410-Y410)/(IF(Y410=0,0.0001,Y410)),3)*100)&amp;"%"</f>
        <v>0 / 0%</v>
      </c>
      <c r="AF410" s="30"/>
      <c r="AG410" s="361">
        <f t="shared" si="388"/>
        <v>2.1615108295465528E-2</v>
      </c>
      <c r="AH410" s="88">
        <f>AH288</f>
        <v>0</v>
      </c>
      <c r="AI410" s="353">
        <f>AI288</f>
        <v>11048.2</v>
      </c>
      <c r="AJ410" s="90"/>
      <c r="AK410" s="30"/>
      <c r="AL410" s="361">
        <f t="shared" si="389"/>
        <v>2.2928042756954259E-2</v>
      </c>
      <c r="AM410" s="88"/>
      <c r="AN410" s="353">
        <f>AN288</f>
        <v>11237.119999999999</v>
      </c>
      <c r="AO410" s="29"/>
      <c r="AP410" s="30"/>
      <c r="AQ410" s="361">
        <f t="shared" si="390"/>
        <v>3.0293730394339982E-2</v>
      </c>
      <c r="AR410" s="88"/>
      <c r="AS410" s="338"/>
      <c r="AT410" s="29"/>
      <c r="AU410" s="30"/>
      <c r="AV410" s="361" t="e">
        <f t="shared" si="391"/>
        <v>#DIV/0!</v>
      </c>
    </row>
    <row r="411" spans="1:48" s="62" customFormat="1" hidden="1" outlineLevel="2" collapsed="1" x14ac:dyDescent="0.3">
      <c r="A411" s="188" t="s">
        <v>368</v>
      </c>
      <c r="C411" s="337"/>
      <c r="D411" s="337"/>
      <c r="E411" s="347"/>
      <c r="F411" s="362">
        <f>SUM(F412:F415)</f>
        <v>5804.58</v>
      </c>
      <c r="G411" s="362">
        <f>SUM(G412:G415)</f>
        <v>5947.7800000000007</v>
      </c>
      <c r="H411" s="362">
        <f>SUM(H412:H415)</f>
        <v>6185.7199999999993</v>
      </c>
      <c r="I411" s="362">
        <f>SUM(I412:I415)</f>
        <v>6361.07</v>
      </c>
      <c r="J411" s="362">
        <f>SUM(J412:J415)</f>
        <v>5621.55</v>
      </c>
      <c r="K411" s="354"/>
      <c r="L411" s="362">
        <f>SUM(L412:L415)</f>
        <v>7945.58</v>
      </c>
      <c r="M411" s="354"/>
      <c r="N411" s="88"/>
      <c r="O411" s="362">
        <f>SUM(O412:O415)</f>
        <v>7124.6600000000008</v>
      </c>
      <c r="P411" s="354"/>
      <c r="Q411" s="123"/>
      <c r="R411" s="357"/>
      <c r="S411" s="88"/>
      <c r="T411" s="362">
        <f>SUM(T412:T415)</f>
        <v>6179.3600000000006</v>
      </c>
      <c r="U411" s="354"/>
      <c r="V411" s="123"/>
      <c r="W411" s="357"/>
      <c r="X411" s="340"/>
      <c r="Y411" s="362">
        <f>SUM(Y412:Y415)</f>
        <v>7052.62</v>
      </c>
      <c r="Z411" s="354"/>
      <c r="AA411" s="30"/>
      <c r="AB411" s="361">
        <f t="shared" si="387"/>
        <v>1.3845364447668288E-2</v>
      </c>
      <c r="AC411" s="88">
        <f>SUM(AC412:AC415)</f>
        <v>6140</v>
      </c>
      <c r="AD411" s="362">
        <f>SUM(AD412:AD415)</f>
        <v>1464.62</v>
      </c>
      <c r="AE411" s="90" t="str">
        <f>ROUND((AD411-Y411),2)&amp;" / "&amp;(ROUND((AD411-Y411)/(IF(Y411=0,0.0001,Y411)),3)*100)&amp;"%"</f>
        <v>-5588 / -79,2%</v>
      </c>
      <c r="AF411" s="30"/>
      <c r="AG411" s="361">
        <f t="shared" si="388"/>
        <v>2.9083987057147188E-3</v>
      </c>
      <c r="AH411" s="88">
        <f>SUM(AH412:AH415)</f>
        <v>6260</v>
      </c>
      <c r="AI411" s="362">
        <f>SUM(AI412:AI415)</f>
        <v>4972.1000000000004</v>
      </c>
      <c r="AJ411" s="90"/>
      <c r="AK411" s="30"/>
      <c r="AL411" s="361">
        <f t="shared" si="389"/>
        <v>1.0318470102989833E-2</v>
      </c>
      <c r="AM411" s="88"/>
      <c r="AN411" s="362">
        <f>SUM(AN412:AN415)</f>
        <v>4608.8</v>
      </c>
      <c r="AO411" s="29"/>
      <c r="AP411" s="30"/>
      <c r="AQ411" s="361">
        <f t="shared" si="390"/>
        <v>1.2424691081116346E-2</v>
      </c>
      <c r="AR411" s="88"/>
      <c r="AS411" s="338"/>
      <c r="AT411" s="29"/>
      <c r="AU411" s="30"/>
      <c r="AV411" s="361" t="e">
        <f t="shared" si="391"/>
        <v>#DIV/0!</v>
      </c>
    </row>
    <row r="412" spans="1:48" s="62" customFormat="1" hidden="1" outlineLevel="3" x14ac:dyDescent="0.3">
      <c r="A412" s="190" t="s">
        <v>369</v>
      </c>
      <c r="C412" s="337"/>
      <c r="D412" s="337"/>
      <c r="E412" s="347" t="str">
        <f>B208</f>
        <v>6140/00861 ContratEntrtVideOrdure (1160)</v>
      </c>
      <c r="F412" s="250">
        <f>F208</f>
        <v>2674.76</v>
      </c>
      <c r="G412" s="250">
        <f>G208</f>
        <v>2740.86</v>
      </c>
      <c r="H412" s="250">
        <f>H208</f>
        <v>2862.36</v>
      </c>
      <c r="I412" s="250">
        <f>I208</f>
        <v>2950.04</v>
      </c>
      <c r="J412" s="250">
        <f>J208</f>
        <v>3122.88</v>
      </c>
      <c r="K412" s="354"/>
      <c r="L412" s="250">
        <f>L208</f>
        <v>3213.02</v>
      </c>
      <c r="M412" s="354"/>
      <c r="N412" s="88"/>
      <c r="O412" s="250">
        <f>O208</f>
        <v>3340.26</v>
      </c>
      <c r="P412" s="354"/>
      <c r="Q412" s="123"/>
      <c r="R412" s="357"/>
      <c r="S412" s="88"/>
      <c r="T412" s="250">
        <f>T208</f>
        <v>3425.1</v>
      </c>
      <c r="U412" s="354"/>
      <c r="V412" s="123"/>
      <c r="W412" s="357"/>
      <c r="X412" s="340"/>
      <c r="Y412" s="250">
        <f>Y208</f>
        <v>5060</v>
      </c>
      <c r="Z412" s="354"/>
      <c r="AA412" s="30"/>
      <c r="AB412" s="361">
        <f t="shared" si="387"/>
        <v>9.9335486819368615E-3</v>
      </c>
      <c r="AC412" s="88">
        <f>AC208</f>
        <v>2700</v>
      </c>
      <c r="AD412" s="250">
        <f>AD208</f>
        <v>0</v>
      </c>
      <c r="AE412" s="90"/>
      <c r="AF412" s="30"/>
      <c r="AG412" s="361">
        <f t="shared" si="388"/>
        <v>0</v>
      </c>
      <c r="AH412" s="88">
        <f>AH208</f>
        <v>2750</v>
      </c>
      <c r="AI412" s="250">
        <f>AI208</f>
        <v>3465</v>
      </c>
      <c r="AJ412" s="90"/>
      <c r="AK412" s="30"/>
      <c r="AL412" s="361">
        <f t="shared" si="389"/>
        <v>7.1908245825425413E-3</v>
      </c>
      <c r="AM412" s="88"/>
      <c r="AN412" s="250">
        <f>AN208</f>
        <v>3058</v>
      </c>
      <c r="AO412" s="29"/>
      <c r="AP412" s="30"/>
      <c r="AQ412" s="361">
        <f t="shared" si="390"/>
        <v>8.2439475191055777E-3</v>
      </c>
      <c r="AR412" s="88"/>
      <c r="AS412" s="338"/>
      <c r="AT412" s="29"/>
      <c r="AU412" s="30"/>
      <c r="AV412" s="361" t="e">
        <f t="shared" si="391"/>
        <v>#DIV/0!</v>
      </c>
    </row>
    <row r="413" spans="1:48" s="62" customFormat="1" hidden="1" outlineLevel="3" x14ac:dyDescent="0.3">
      <c r="A413" s="190" t="s">
        <v>370</v>
      </c>
      <c r="C413" s="337"/>
      <c r="D413" s="337"/>
      <c r="E413" s="347" t="str">
        <f>B93</f>
        <v>6140/00161  Ctrat Dératisation           (0110)</v>
      </c>
      <c r="F413" s="250">
        <f t="shared" ref="F413:J414" si="392">F93</f>
        <v>453.61</v>
      </c>
      <c r="G413" s="250">
        <f t="shared" si="392"/>
        <v>465.51</v>
      </c>
      <c r="H413" s="250">
        <f t="shared" si="392"/>
        <v>484.8</v>
      </c>
      <c r="I413" s="250">
        <f t="shared" si="392"/>
        <v>499.34</v>
      </c>
      <c r="J413" s="250">
        <f t="shared" si="392"/>
        <v>530.23</v>
      </c>
      <c r="K413" s="354"/>
      <c r="L413" s="250">
        <f>L93</f>
        <v>547.24</v>
      </c>
      <c r="M413" s="354"/>
      <c r="N413" s="88"/>
      <c r="O413" s="250">
        <f>O93</f>
        <v>574.88</v>
      </c>
      <c r="P413" s="354"/>
      <c r="Q413" s="123"/>
      <c r="R413" s="357"/>
      <c r="S413" s="88"/>
      <c r="T413" s="250">
        <f>T93</f>
        <v>587.80999999999995</v>
      </c>
      <c r="U413" s="354"/>
      <c r="V413" s="123"/>
      <c r="W413" s="357"/>
      <c r="X413" s="340"/>
      <c r="Y413" s="250">
        <f>Y93</f>
        <v>528</v>
      </c>
      <c r="Z413" s="354"/>
      <c r="AA413" s="30"/>
      <c r="AB413" s="361">
        <f t="shared" si="387"/>
        <v>1.0365442102890636E-3</v>
      </c>
      <c r="AC413" s="88">
        <f>AC93</f>
        <v>500</v>
      </c>
      <c r="AD413" s="250">
        <f>AD93</f>
        <v>0</v>
      </c>
      <c r="AE413" s="90"/>
      <c r="AF413" s="30"/>
      <c r="AG413" s="361">
        <f t="shared" si="388"/>
        <v>0</v>
      </c>
      <c r="AH413" s="88">
        <f>AH93</f>
        <v>510</v>
      </c>
      <c r="AI413" s="250">
        <f>AI93</f>
        <v>0</v>
      </c>
      <c r="AJ413" s="90"/>
      <c r="AK413" s="30"/>
      <c r="AL413" s="361">
        <f t="shared" si="389"/>
        <v>0</v>
      </c>
      <c r="AM413" s="88"/>
      <c r="AN413" s="250">
        <f>AN93</f>
        <v>0</v>
      </c>
      <c r="AO413" s="29"/>
      <c r="AP413" s="30"/>
      <c r="AQ413" s="361">
        <f t="shared" si="390"/>
        <v>0</v>
      </c>
      <c r="AR413" s="88"/>
      <c r="AS413" s="338"/>
      <c r="AT413" s="29"/>
      <c r="AU413" s="30"/>
      <c r="AV413" s="361" t="e">
        <f t="shared" si="391"/>
        <v>#DIV/0!</v>
      </c>
    </row>
    <row r="414" spans="1:48" s="62" customFormat="1" hidden="1" outlineLevel="3" x14ac:dyDescent="0.3">
      <c r="A414" s="190" t="s">
        <v>371</v>
      </c>
      <c r="C414" s="337"/>
      <c r="D414" s="337"/>
      <c r="E414" s="347" t="str">
        <f>B94</f>
        <v>6140/00162  Ctrat Désinsect.           (0120)</v>
      </c>
      <c r="F414" s="250">
        <f t="shared" si="392"/>
        <v>1521.69</v>
      </c>
      <c r="G414" s="250">
        <f t="shared" si="392"/>
        <v>1556.9</v>
      </c>
      <c r="H414" s="250">
        <f t="shared" si="392"/>
        <v>1618.5</v>
      </c>
      <c r="I414" s="250">
        <f t="shared" si="392"/>
        <v>1655.03</v>
      </c>
      <c r="J414" s="250">
        <f t="shared" si="392"/>
        <v>669.74</v>
      </c>
      <c r="K414" s="354"/>
      <c r="L414" s="250">
        <f>L94</f>
        <v>2847.66</v>
      </c>
      <c r="M414" s="354"/>
      <c r="N414" s="88"/>
      <c r="O414" s="250">
        <f>O94</f>
        <v>1818.34</v>
      </c>
      <c r="P414" s="354"/>
      <c r="Q414" s="123"/>
      <c r="R414" s="357"/>
      <c r="S414" s="88"/>
      <c r="T414" s="250">
        <f>T94</f>
        <v>740.47</v>
      </c>
      <c r="U414" s="354"/>
      <c r="V414" s="123"/>
      <c r="W414" s="357"/>
      <c r="X414" s="340"/>
      <c r="Y414" s="250">
        <f>Y94</f>
        <v>0</v>
      </c>
      <c r="Z414" s="354"/>
      <c r="AA414" s="30"/>
      <c r="AB414" s="361">
        <f t="shared" si="387"/>
        <v>0</v>
      </c>
      <c r="AC414" s="88">
        <f>AC94</f>
        <v>1500</v>
      </c>
      <c r="AD414" s="250">
        <f>AD94</f>
        <v>0</v>
      </c>
      <c r="AE414" s="90"/>
      <c r="AF414" s="30"/>
      <c r="AG414" s="361">
        <f t="shared" si="388"/>
        <v>0</v>
      </c>
      <c r="AH414" s="88">
        <f>AH94</f>
        <v>1530</v>
      </c>
      <c r="AI414" s="250">
        <f>AI94</f>
        <v>0</v>
      </c>
      <c r="AJ414" s="90"/>
      <c r="AK414" s="30"/>
      <c r="AL414" s="361">
        <f t="shared" si="389"/>
        <v>0</v>
      </c>
      <c r="AM414" s="88"/>
      <c r="AN414" s="250">
        <f>AN94</f>
        <v>0</v>
      </c>
      <c r="AO414" s="29"/>
      <c r="AP414" s="30"/>
      <c r="AQ414" s="361">
        <f t="shared" si="390"/>
        <v>0</v>
      </c>
      <c r="AR414" s="88"/>
      <c r="AS414" s="338"/>
      <c r="AT414" s="29"/>
      <c r="AU414" s="30"/>
      <c r="AV414" s="361" t="e">
        <f t="shared" si="391"/>
        <v>#DIV/0!</v>
      </c>
    </row>
    <row r="415" spans="1:48" s="62" customFormat="1" hidden="1" outlineLevel="3" x14ac:dyDescent="0.3">
      <c r="A415" s="190" t="s">
        <v>372</v>
      </c>
      <c r="C415" s="337"/>
      <c r="D415" s="337"/>
      <c r="E415" s="347" t="str">
        <f>B142</f>
        <v>6140/01372 Etat Parasitaire           (0570)</v>
      </c>
      <c r="F415" s="250">
        <f>F142</f>
        <v>1154.52</v>
      </c>
      <c r="G415" s="250">
        <f>G142</f>
        <v>1184.51</v>
      </c>
      <c r="H415" s="250">
        <f>H142</f>
        <v>1220.06</v>
      </c>
      <c r="I415" s="250">
        <f>I142</f>
        <v>1256.6600000000001</v>
      </c>
      <c r="J415" s="250">
        <f>J142</f>
        <v>1298.7</v>
      </c>
      <c r="K415" s="354"/>
      <c r="L415" s="250">
        <f>L142</f>
        <v>1337.66</v>
      </c>
      <c r="M415" s="354"/>
      <c r="N415" s="88"/>
      <c r="O415" s="250">
        <f>O142</f>
        <v>1391.18</v>
      </c>
      <c r="P415" s="354"/>
      <c r="Q415" s="123"/>
      <c r="R415" s="357"/>
      <c r="S415" s="88"/>
      <c r="T415" s="250">
        <f>T142</f>
        <v>1425.98</v>
      </c>
      <c r="U415" s="354"/>
      <c r="V415" s="123"/>
      <c r="W415" s="357"/>
      <c r="X415" s="340"/>
      <c r="Y415" s="250">
        <f>Y142</f>
        <v>1464.62</v>
      </c>
      <c r="Z415" s="354"/>
      <c r="AA415" s="30"/>
      <c r="AB415" s="361">
        <f t="shared" si="387"/>
        <v>2.8752715554423644E-3</v>
      </c>
      <c r="AC415" s="88">
        <f>AC142</f>
        <v>1440</v>
      </c>
      <c r="AD415" s="250">
        <f>AD142</f>
        <v>1464.62</v>
      </c>
      <c r="AE415" s="90"/>
      <c r="AF415" s="30"/>
      <c r="AG415" s="361">
        <f t="shared" si="388"/>
        <v>2.9083987057147188E-3</v>
      </c>
      <c r="AH415" s="88">
        <f>AH142</f>
        <v>1470</v>
      </c>
      <c r="AI415" s="250">
        <f>AI142</f>
        <v>1507.1</v>
      </c>
      <c r="AJ415" s="90"/>
      <c r="AK415" s="30"/>
      <c r="AL415" s="361">
        <f t="shared" si="389"/>
        <v>3.1276455204472912E-3</v>
      </c>
      <c r="AM415" s="88"/>
      <c r="AN415" s="250">
        <f>AN142</f>
        <v>1550.8</v>
      </c>
      <c r="AO415" s="29"/>
      <c r="AP415" s="30"/>
      <c r="AQ415" s="361">
        <f t="shared" si="390"/>
        <v>4.1807435620107684E-3</v>
      </c>
      <c r="AR415" s="88"/>
      <c r="AS415" s="338"/>
      <c r="AT415" s="29"/>
      <c r="AU415" s="30"/>
      <c r="AV415" s="361" t="e">
        <f t="shared" si="391"/>
        <v>#DIV/0!</v>
      </c>
    </row>
    <row r="416" spans="1:48" s="62" customFormat="1" hidden="1" outlineLevel="2" collapsed="1" x14ac:dyDescent="0.3">
      <c r="A416" s="188" t="s">
        <v>373</v>
      </c>
      <c r="C416" s="337"/>
      <c r="D416" s="337"/>
      <c r="E416" s="347"/>
      <c r="F416" s="362">
        <f>SUM(F417:F421)</f>
        <v>879.76</v>
      </c>
      <c r="G416" s="362">
        <f>SUM(G417:G421)</f>
        <v>1071.6599999999999</v>
      </c>
      <c r="H416" s="362">
        <f>SUM(H417:H421)</f>
        <v>799.31</v>
      </c>
      <c r="I416" s="362">
        <f>SUM(I417:I421)</f>
        <v>837.24</v>
      </c>
      <c r="J416" s="362">
        <f>SUM(J417:J421)</f>
        <v>716.98</v>
      </c>
      <c r="K416" s="354"/>
      <c r="L416" s="362">
        <f>SUM(L417:L421)</f>
        <v>726.23</v>
      </c>
      <c r="M416" s="354"/>
      <c r="N416" s="88"/>
      <c r="O416" s="362">
        <f>SUM(O417:O421)</f>
        <v>1234.8</v>
      </c>
      <c r="P416" s="354"/>
      <c r="Q416" s="123"/>
      <c r="R416" s="357"/>
      <c r="S416" s="88"/>
      <c r="T416" s="362">
        <f>SUM(T417:T421)</f>
        <v>1683.12</v>
      </c>
      <c r="U416" s="354"/>
      <c r="V416" s="123"/>
      <c r="W416" s="357"/>
      <c r="X416" s="340"/>
      <c r="Y416" s="362">
        <f>SUM(Y417:Y421)</f>
        <v>1156.6600000000001</v>
      </c>
      <c r="Z416" s="354"/>
      <c r="AA416" s="30"/>
      <c r="AB416" s="361">
        <f t="shared" si="387"/>
        <v>2.2706992921836147E-3</v>
      </c>
      <c r="AC416" s="88">
        <f>SUM(AC417:AC421)</f>
        <v>1490</v>
      </c>
      <c r="AD416" s="362">
        <f>SUM(AD417:AD421)</f>
        <v>1380.51</v>
      </c>
      <c r="AE416" s="90" t="str">
        <f>ROUND((AD416-Y416),2)&amp;" / "&amp;(ROUND((AD416-Y416)/(IF(Y416=0,0.0001,Y416)),3)*100)&amp;"%"</f>
        <v>223,85 / 19,4%</v>
      </c>
      <c r="AF416" s="30"/>
      <c r="AG416" s="361">
        <f t="shared" si="388"/>
        <v>2.7413755767545351E-3</v>
      </c>
      <c r="AH416" s="88">
        <f>SUM(AH417:AH421)</f>
        <v>1530</v>
      </c>
      <c r="AI416" s="362">
        <f>SUM(AI417:AI421)</f>
        <v>929.6400000000001</v>
      </c>
      <c r="AJ416" s="90"/>
      <c r="AK416" s="30"/>
      <c r="AL416" s="361">
        <f t="shared" si="389"/>
        <v>1.9292577676521931E-3</v>
      </c>
      <c r="AM416" s="88"/>
      <c r="AN416" s="362">
        <f>SUM(AN417:AN421)</f>
        <v>800.6</v>
      </c>
      <c r="AO416" s="29"/>
      <c r="AP416" s="30"/>
      <c r="AQ416" s="361">
        <f t="shared" si="390"/>
        <v>2.1583075159568102E-3</v>
      </c>
      <c r="AR416" s="88"/>
      <c r="AS416" s="338"/>
      <c r="AT416" s="29"/>
      <c r="AU416" s="30"/>
      <c r="AV416" s="361" t="e">
        <f t="shared" si="391"/>
        <v>#DIV/0!</v>
      </c>
    </row>
    <row r="417" spans="1:48" s="62" customFormat="1" hidden="1" outlineLevel="3" x14ac:dyDescent="0.3">
      <c r="A417" s="190" t="s">
        <v>374</v>
      </c>
      <c r="C417" s="337"/>
      <c r="D417" s="337"/>
      <c r="E417" s="347" t="str">
        <f>B181</f>
        <v>6150/01605 Entr.Interphone        (0925)</v>
      </c>
      <c r="F417" s="250">
        <f>F181</f>
        <v>140.53</v>
      </c>
      <c r="G417" s="250">
        <f>G181</f>
        <v>110.78</v>
      </c>
      <c r="H417" s="250">
        <f>H181</f>
        <v>132.68</v>
      </c>
      <c r="I417" s="250">
        <f>I181</f>
        <v>0</v>
      </c>
      <c r="J417" s="250">
        <f>J181</f>
        <v>0</v>
      </c>
      <c r="K417" s="354">
        <f>H181</f>
        <v>132.68</v>
      </c>
      <c r="L417" s="250">
        <f>L181</f>
        <v>0</v>
      </c>
      <c r="M417" s="354">
        <f>J181</f>
        <v>0</v>
      </c>
      <c r="N417" s="88"/>
      <c r="O417" s="250">
        <f>O181</f>
        <v>0</v>
      </c>
      <c r="P417" s="354">
        <f>M181</f>
        <v>0</v>
      </c>
      <c r="Q417" s="123"/>
      <c r="R417" s="357"/>
      <c r="S417" s="88"/>
      <c r="T417" s="250">
        <f>T181</f>
        <v>0</v>
      </c>
      <c r="U417" s="354">
        <f>P181</f>
        <v>0</v>
      </c>
      <c r="V417" s="123"/>
      <c r="W417" s="357"/>
      <c r="X417" s="340"/>
      <c r="Y417" s="250">
        <f>Y181</f>
        <v>0</v>
      </c>
      <c r="Z417" s="354" t="str">
        <f>W181</f>
        <v/>
      </c>
      <c r="AA417" s="30"/>
      <c r="AB417" s="361">
        <f t="shared" si="387"/>
        <v>0</v>
      </c>
      <c r="AC417" s="88">
        <f>AC181</f>
        <v>160</v>
      </c>
      <c r="AD417" s="250">
        <f>AD181</f>
        <v>0</v>
      </c>
      <c r="AE417" s="90" t="str">
        <f>AB181</f>
        <v/>
      </c>
      <c r="AF417" s="30"/>
      <c r="AG417" s="361">
        <f t="shared" si="388"/>
        <v>0</v>
      </c>
      <c r="AH417" s="88">
        <f>AH181</f>
        <v>170</v>
      </c>
      <c r="AI417" s="250">
        <f>AI181</f>
        <v>0</v>
      </c>
      <c r="AJ417" s="90"/>
      <c r="AK417" s="30"/>
      <c r="AL417" s="361">
        <f t="shared" si="389"/>
        <v>0</v>
      </c>
      <c r="AM417" s="88"/>
      <c r="AN417" s="250">
        <f>AN181</f>
        <v>0</v>
      </c>
      <c r="AO417" s="29"/>
      <c r="AP417" s="30"/>
      <c r="AQ417" s="361">
        <f t="shared" si="390"/>
        <v>0</v>
      </c>
      <c r="AR417" s="88"/>
      <c r="AS417" s="338"/>
      <c r="AT417" s="29"/>
      <c r="AU417" s="30"/>
      <c r="AV417" s="361" t="e">
        <f t="shared" si="391"/>
        <v>#DIV/0!</v>
      </c>
    </row>
    <row r="418" spans="1:48" s="62" customFormat="1" hidden="1" outlineLevel="3" x14ac:dyDescent="0.3">
      <c r="A418" s="190" t="s">
        <v>375</v>
      </c>
      <c r="C418" s="337"/>
      <c r="D418" s="337"/>
      <c r="E418" s="347" t="str">
        <f>B199</f>
        <v>6140/01791 ContratEntr.PortesAuto  (1070)</v>
      </c>
      <c r="F418" s="250">
        <f>F199</f>
        <v>630.47</v>
      </c>
      <c r="G418" s="250">
        <f>G199</f>
        <v>635.52</v>
      </c>
      <c r="H418" s="250">
        <f>H199</f>
        <v>666.63</v>
      </c>
      <c r="I418" s="250">
        <f>I199</f>
        <v>688.94</v>
      </c>
      <c r="J418" s="250">
        <f>J199</f>
        <v>716.98</v>
      </c>
      <c r="K418" s="354"/>
      <c r="L418" s="250">
        <f>L199</f>
        <v>726.23</v>
      </c>
      <c r="M418" s="354"/>
      <c r="N418" s="88"/>
      <c r="O418" s="250">
        <f>O199</f>
        <v>736</v>
      </c>
      <c r="P418" s="354"/>
      <c r="Q418" s="123"/>
      <c r="R418" s="357"/>
      <c r="S418" s="88"/>
      <c r="T418" s="250">
        <f>T199</f>
        <v>747.91</v>
      </c>
      <c r="U418" s="354"/>
      <c r="V418" s="123"/>
      <c r="W418" s="357"/>
      <c r="X418" s="340"/>
      <c r="Y418" s="250">
        <f>Y199</f>
        <v>755.47</v>
      </c>
      <c r="Z418" s="354"/>
      <c r="AA418" s="30"/>
      <c r="AB418" s="361">
        <f t="shared" si="387"/>
        <v>1.4831023760361346E-3</v>
      </c>
      <c r="AC418" s="88">
        <f>AC199</f>
        <v>1020</v>
      </c>
      <c r="AD418" s="250">
        <f>AD199</f>
        <v>771.11</v>
      </c>
      <c r="AE418" s="90"/>
      <c r="AF418" s="30"/>
      <c r="AG418" s="361">
        <f t="shared" si="388"/>
        <v>1.5312472354355924E-3</v>
      </c>
      <c r="AH418" s="88">
        <f>AH199</f>
        <v>1040</v>
      </c>
      <c r="AI418" s="250">
        <f>AI199</f>
        <v>788.84</v>
      </c>
      <c r="AJ418" s="90"/>
      <c r="AK418" s="30"/>
      <c r="AL418" s="361">
        <f t="shared" si="389"/>
        <v>1.6370591814409404E-3</v>
      </c>
      <c r="AM418" s="88"/>
      <c r="AN418" s="250">
        <f>AN199</f>
        <v>800.6</v>
      </c>
      <c r="AO418" s="29"/>
      <c r="AP418" s="30"/>
      <c r="AQ418" s="361">
        <f t="shared" si="390"/>
        <v>2.1583075159568102E-3</v>
      </c>
      <c r="AR418" s="88"/>
      <c r="AS418" s="338"/>
      <c r="AT418" s="29"/>
      <c r="AU418" s="30"/>
      <c r="AV418" s="361" t="e">
        <f t="shared" si="391"/>
        <v>#DIV/0!</v>
      </c>
    </row>
    <row r="419" spans="1:48" s="62" customFormat="1" hidden="1" outlineLevel="3" x14ac:dyDescent="0.3">
      <c r="A419" s="190" t="s">
        <v>376</v>
      </c>
      <c r="C419" s="337"/>
      <c r="D419" s="337"/>
      <c r="E419" s="347"/>
      <c r="F419" s="250"/>
      <c r="G419" s="250"/>
      <c r="H419" s="250"/>
      <c r="I419" s="250"/>
      <c r="J419" s="250"/>
      <c r="K419" s="354"/>
      <c r="L419" s="250"/>
      <c r="M419" s="354"/>
      <c r="N419" s="88"/>
      <c r="O419" s="250"/>
      <c r="P419" s="354"/>
      <c r="Q419" s="123"/>
      <c r="R419" s="357"/>
      <c r="S419" s="88"/>
      <c r="T419" s="250"/>
      <c r="U419" s="354"/>
      <c r="V419" s="123"/>
      <c r="W419" s="357"/>
      <c r="X419" s="340"/>
      <c r="Y419" s="250"/>
      <c r="Z419" s="354"/>
      <c r="AA419" s="30"/>
      <c r="AB419" s="361">
        <f t="shared" si="387"/>
        <v>0</v>
      </c>
      <c r="AC419" s="88"/>
      <c r="AD419" s="250"/>
      <c r="AE419" s="90"/>
      <c r="AF419" s="30"/>
      <c r="AG419" s="361">
        <f t="shared" si="388"/>
        <v>0</v>
      </c>
      <c r="AH419" s="88"/>
      <c r="AI419" s="250"/>
      <c r="AJ419" s="90"/>
      <c r="AK419" s="30"/>
      <c r="AL419" s="361">
        <f t="shared" si="389"/>
        <v>0</v>
      </c>
      <c r="AM419" s="88"/>
      <c r="AN419" s="250"/>
      <c r="AO419" s="29"/>
      <c r="AP419" s="30"/>
      <c r="AQ419" s="361">
        <f t="shared" si="390"/>
        <v>0</v>
      </c>
      <c r="AR419" s="88"/>
      <c r="AS419" s="338"/>
      <c r="AT419" s="29"/>
      <c r="AU419" s="30"/>
      <c r="AV419" s="361" t="e">
        <f t="shared" si="391"/>
        <v>#DIV/0!</v>
      </c>
    </row>
    <row r="420" spans="1:48" s="62" customFormat="1" hidden="1" outlineLevel="3" x14ac:dyDescent="0.3">
      <c r="A420" s="190" t="s">
        <v>377</v>
      </c>
      <c r="C420" s="337"/>
      <c r="D420" s="337"/>
      <c r="E420" s="347" t="str">
        <f>B103</f>
        <v>6150/01195  Ent. Serrurerie           (0200)</v>
      </c>
      <c r="F420" s="250">
        <f>F103</f>
        <v>0</v>
      </c>
      <c r="G420" s="250">
        <f>G103</f>
        <v>0</v>
      </c>
      <c r="H420" s="250">
        <f>H103</f>
        <v>0</v>
      </c>
      <c r="I420" s="250">
        <f>I103</f>
        <v>0</v>
      </c>
      <c r="J420" s="250">
        <f>J103</f>
        <v>0</v>
      </c>
      <c r="K420" s="354"/>
      <c r="L420" s="250">
        <f>L103</f>
        <v>0</v>
      </c>
      <c r="M420" s="354"/>
      <c r="N420" s="88"/>
      <c r="O420" s="250">
        <f>O103</f>
        <v>209</v>
      </c>
      <c r="P420" s="354"/>
      <c r="Q420" s="123"/>
      <c r="R420" s="357"/>
      <c r="S420" s="88"/>
      <c r="T420" s="250">
        <f>T103</f>
        <v>519.41</v>
      </c>
      <c r="U420" s="354"/>
      <c r="V420" s="123"/>
      <c r="W420" s="357"/>
      <c r="X420" s="340"/>
      <c r="Y420" s="250">
        <f>Y103</f>
        <v>214.19</v>
      </c>
      <c r="Z420" s="354"/>
      <c r="AA420" s="30"/>
      <c r="AB420" s="361">
        <f t="shared" si="387"/>
        <v>4.2048750833677002E-4</v>
      </c>
      <c r="AC420" s="88">
        <f>AC103</f>
        <v>0</v>
      </c>
      <c r="AD420" s="250">
        <f>AD103</f>
        <v>609.4</v>
      </c>
      <c r="AE420" s="90"/>
      <c r="AF420" s="30"/>
      <c r="AG420" s="361">
        <f t="shared" si="388"/>
        <v>1.2101283413189427E-3</v>
      </c>
      <c r="AH420" s="88">
        <f>AH103</f>
        <v>0</v>
      </c>
      <c r="AI420" s="250">
        <f>AI103</f>
        <v>140.80000000000001</v>
      </c>
      <c r="AJ420" s="90"/>
      <c r="AK420" s="30"/>
      <c r="AL420" s="361">
        <f t="shared" si="389"/>
        <v>2.9219858621125252E-4</v>
      </c>
      <c r="AM420" s="88"/>
      <c r="AN420" s="250">
        <f>AN103</f>
        <v>0</v>
      </c>
      <c r="AO420" s="29"/>
      <c r="AP420" s="30"/>
      <c r="AQ420" s="361">
        <f t="shared" si="390"/>
        <v>0</v>
      </c>
      <c r="AR420" s="88"/>
      <c r="AS420" s="338"/>
      <c r="AT420" s="29"/>
      <c r="AU420" s="30"/>
      <c r="AV420" s="361" t="e">
        <f t="shared" si="391"/>
        <v>#DIV/0!</v>
      </c>
    </row>
    <row r="421" spans="1:48" s="62" customFormat="1" hidden="1" outlineLevel="3" x14ac:dyDescent="0.3">
      <c r="A421" s="190" t="s">
        <v>378</v>
      </c>
      <c r="C421" s="337"/>
      <c r="D421" s="337"/>
      <c r="E421" s="347" t="str">
        <f>B196</f>
        <v>6150/01782 Ent.ContrôleAccès           (1040)</v>
      </c>
      <c r="F421" s="250">
        <f>F196</f>
        <v>108.76</v>
      </c>
      <c r="G421" s="250">
        <f>G196</f>
        <v>325.36</v>
      </c>
      <c r="H421" s="250">
        <f>H196</f>
        <v>0</v>
      </c>
      <c r="I421" s="250">
        <f>I196</f>
        <v>148.30000000000001</v>
      </c>
      <c r="J421" s="250">
        <f>J196</f>
        <v>0</v>
      </c>
      <c r="K421" s="354"/>
      <c r="L421" s="250">
        <f>L196</f>
        <v>0</v>
      </c>
      <c r="M421" s="354"/>
      <c r="N421" s="88"/>
      <c r="O421" s="250">
        <f>O196</f>
        <v>289.8</v>
      </c>
      <c r="P421" s="354"/>
      <c r="Q421" s="123"/>
      <c r="R421" s="357"/>
      <c r="S421" s="88"/>
      <c r="T421" s="250">
        <f>T196</f>
        <v>415.8</v>
      </c>
      <c r="U421" s="354"/>
      <c r="V421" s="123"/>
      <c r="W421" s="357"/>
      <c r="X421" s="340"/>
      <c r="Y421" s="250">
        <f>Y196</f>
        <v>187</v>
      </c>
      <c r="Z421" s="354"/>
      <c r="AA421" s="30"/>
      <c r="AB421" s="361">
        <f t="shared" si="387"/>
        <v>3.6710940781071007E-4</v>
      </c>
      <c r="AC421" s="88">
        <f>AC196</f>
        <v>310</v>
      </c>
      <c r="AD421" s="250">
        <f>AD196</f>
        <v>0</v>
      </c>
      <c r="AE421" s="90"/>
      <c r="AF421" s="30"/>
      <c r="AG421" s="361">
        <f t="shared" si="388"/>
        <v>0</v>
      </c>
      <c r="AH421" s="88">
        <f>AH196</f>
        <v>320</v>
      </c>
      <c r="AI421" s="250">
        <f>AI196</f>
        <v>0</v>
      </c>
      <c r="AJ421" s="90"/>
      <c r="AK421" s="30"/>
      <c r="AL421" s="361">
        <f t="shared" si="389"/>
        <v>0</v>
      </c>
      <c r="AM421" s="88"/>
      <c r="AN421" s="250">
        <f>AN196</f>
        <v>0</v>
      </c>
      <c r="AO421" s="29"/>
      <c r="AP421" s="30"/>
      <c r="AQ421" s="361">
        <f t="shared" si="390"/>
        <v>0</v>
      </c>
      <c r="AR421" s="88"/>
      <c r="AS421" s="338"/>
      <c r="AT421" s="29"/>
      <c r="AU421" s="30"/>
      <c r="AV421" s="361" t="e">
        <f t="shared" si="391"/>
        <v>#DIV/0!</v>
      </c>
    </row>
    <row r="422" spans="1:48" s="62" customFormat="1" hidden="1" outlineLevel="2" collapsed="1" x14ac:dyDescent="0.3">
      <c r="A422" s="188" t="s">
        <v>379</v>
      </c>
      <c r="C422" s="337"/>
      <c r="D422" s="337"/>
      <c r="E422" s="347"/>
      <c r="F422" s="362">
        <f>SUM(F423:F423)</f>
        <v>1730.69</v>
      </c>
      <c r="G422" s="362">
        <f t="shared" ref="G422:L422" si="393">SUM(G423:G423)</f>
        <v>3385.28</v>
      </c>
      <c r="H422" s="362">
        <f t="shared" si="393"/>
        <v>2243.75</v>
      </c>
      <c r="I422" s="362">
        <f t="shared" si="393"/>
        <v>2412.19</v>
      </c>
      <c r="J422" s="362">
        <f t="shared" si="393"/>
        <v>2338.61</v>
      </c>
      <c r="K422" s="354"/>
      <c r="L422" s="362">
        <f t="shared" si="393"/>
        <v>2749.08</v>
      </c>
      <c r="M422" s="354"/>
      <c r="N422" s="88"/>
      <c r="O422" s="362">
        <f>SUM(O423:O423)</f>
        <v>2802.18</v>
      </c>
      <c r="P422" s="354"/>
      <c r="Q422" s="123"/>
      <c r="R422" s="357"/>
      <c r="S422" s="88"/>
      <c r="T422" s="362">
        <f>SUM(T423:T423)</f>
        <v>1926.6599999999999</v>
      </c>
      <c r="U422" s="354"/>
      <c r="V422" s="123"/>
      <c r="W422" s="357"/>
      <c r="X422" s="340"/>
      <c r="Y422" s="362">
        <f>SUM(Y423:Y423)</f>
        <v>3117.52</v>
      </c>
      <c r="Z422" s="354"/>
      <c r="AA422" s="30"/>
      <c r="AB422" s="361"/>
      <c r="AC422" s="88">
        <f>SUM(AC423:AC423)</f>
        <v>2900</v>
      </c>
      <c r="AD422" s="362">
        <f>SUM(AD423:AD423)</f>
        <v>5271.1</v>
      </c>
      <c r="AE422" s="90" t="str">
        <f>ROUND((AD422-Y422),2)&amp;" / "&amp;(ROUND((AD422-Y422)/(IF(Y422=0,0.0001,Y422)),3)*100)&amp;"%"</f>
        <v>2153,58 / 69,1%</v>
      </c>
      <c r="AF422" s="356" t="str">
        <f>ROUND(AD422-AC422,2) &amp; "  (" &amp; ROUND(100*(AD422-AC422)/AC422,1) &amp;"%)"</f>
        <v>2371,1  (81,8%)</v>
      </c>
      <c r="AG422" s="361"/>
      <c r="AH422" s="88">
        <f>SUM(AH423:AH423)</f>
        <v>2960</v>
      </c>
      <c r="AI422" s="362">
        <f>SUM(AI423:AI423)</f>
        <v>3201.41</v>
      </c>
      <c r="AJ422" s="90"/>
      <c r="AK422" s="30"/>
      <c r="AL422" s="361"/>
      <c r="AM422" s="88"/>
      <c r="AN422" s="362">
        <f>SUM(AN423:AN423)</f>
        <v>3236.54</v>
      </c>
      <c r="AO422" s="29"/>
      <c r="AP422" s="30"/>
      <c r="AQ422" s="361"/>
      <c r="AR422" s="88"/>
      <c r="AS422" s="338"/>
      <c r="AT422" s="29"/>
      <c r="AU422" s="30"/>
      <c r="AV422" s="361"/>
    </row>
    <row r="423" spans="1:48" s="62" customFormat="1" hidden="1" outlineLevel="3" collapsed="1" x14ac:dyDescent="0.3">
      <c r="A423" s="190" t="s">
        <v>380</v>
      </c>
      <c r="C423" s="337"/>
      <c r="D423" s="337"/>
      <c r="E423" s="347"/>
      <c r="F423" s="366">
        <f>SUM(F424:F425)</f>
        <v>1730.69</v>
      </c>
      <c r="G423" s="366">
        <f>SUM(G424:G425)</f>
        <v>3385.28</v>
      </c>
      <c r="H423" s="366">
        <f>SUM(H424:H425)</f>
        <v>2243.75</v>
      </c>
      <c r="I423" s="366">
        <f>SUM(I424:I425)</f>
        <v>2412.19</v>
      </c>
      <c r="J423" s="366">
        <f>SUM(J424:J425)</f>
        <v>2338.61</v>
      </c>
      <c r="K423" s="354"/>
      <c r="L423" s="366">
        <f>SUM(L424:L425)</f>
        <v>2749.08</v>
      </c>
      <c r="M423" s="354"/>
      <c r="N423" s="88"/>
      <c r="O423" s="366">
        <f>SUM(O424:O425)</f>
        <v>2802.18</v>
      </c>
      <c r="P423" s="354"/>
      <c r="Q423" s="123"/>
      <c r="R423" s="357"/>
      <c r="S423" s="88"/>
      <c r="T423" s="366">
        <f>SUM(T424:T425)</f>
        <v>1926.6599999999999</v>
      </c>
      <c r="U423" s="354"/>
      <c r="V423" s="123"/>
      <c r="W423" s="357"/>
      <c r="X423" s="340"/>
      <c r="Y423" s="366">
        <f>SUM(Y424:Y425)</f>
        <v>3117.52</v>
      </c>
      <c r="Z423" s="354"/>
      <c r="AA423" s="30"/>
      <c r="AB423" s="361"/>
      <c r="AC423" s="88">
        <f>SUM(AC424:AC425)</f>
        <v>2900</v>
      </c>
      <c r="AD423" s="366">
        <f>SUM(AD424:AD425)</f>
        <v>5271.1</v>
      </c>
      <c r="AE423" s="90"/>
      <c r="AF423" s="356" t="str">
        <f>ROUND(AD423-AC423,2) &amp; "  (" &amp; ROUND(100*(AD423-AC423)/AC423,1) &amp;"%)"</f>
        <v>2371,1  (81,8%)</v>
      </c>
      <c r="AG423" s="361"/>
      <c r="AH423" s="88">
        <f>SUM(AH424:AH425)</f>
        <v>2960</v>
      </c>
      <c r="AI423" s="366">
        <f>SUM(AI424:AI425)</f>
        <v>3201.41</v>
      </c>
      <c r="AJ423" s="90"/>
      <c r="AK423" s="30"/>
      <c r="AL423" s="361"/>
      <c r="AM423" s="88"/>
      <c r="AN423" s="366">
        <f>SUM(AN424:AN425)</f>
        <v>3236.54</v>
      </c>
      <c r="AO423" s="29"/>
      <c r="AP423" s="30"/>
      <c r="AQ423" s="361"/>
      <c r="AR423" s="88"/>
      <c r="AS423" s="338"/>
      <c r="AT423" s="29"/>
      <c r="AU423" s="30"/>
      <c r="AV423" s="361"/>
    </row>
    <row r="424" spans="1:48" s="62" customFormat="1" hidden="1" outlineLevel="4" x14ac:dyDescent="0.3">
      <c r="A424" s="196" t="s">
        <v>381</v>
      </c>
      <c r="C424" s="337"/>
      <c r="D424" s="337"/>
      <c r="E424" s="347" t="str">
        <f>B190</f>
        <v>6140/00701 Cont.Mat.Incendie         (0990)</v>
      </c>
      <c r="F424" s="367">
        <f t="shared" ref="F424:J425" si="394">F190</f>
        <v>1730.69</v>
      </c>
      <c r="G424" s="367">
        <f t="shared" si="394"/>
        <v>913.44</v>
      </c>
      <c r="H424" s="367">
        <f t="shared" si="394"/>
        <v>958.1</v>
      </c>
      <c r="I424" s="367">
        <f t="shared" si="394"/>
        <v>1094.46</v>
      </c>
      <c r="J424" s="367">
        <f t="shared" si="394"/>
        <v>1016.47</v>
      </c>
      <c r="K424" s="354"/>
      <c r="L424" s="367">
        <f>L190</f>
        <v>1393.9</v>
      </c>
      <c r="M424" s="354"/>
      <c r="N424" s="88"/>
      <c r="O424" s="367">
        <f>O190</f>
        <v>1413.08</v>
      </c>
      <c r="P424" s="354"/>
      <c r="Q424" s="123"/>
      <c r="R424" s="357"/>
      <c r="S424" s="88"/>
      <c r="T424" s="367">
        <f>T190</f>
        <v>502.79</v>
      </c>
      <c r="U424" s="354"/>
      <c r="V424" s="123"/>
      <c r="W424" s="357"/>
      <c r="X424" s="340"/>
      <c r="Y424" s="367">
        <f>Y190</f>
        <v>1693.65</v>
      </c>
      <c r="Z424" s="354"/>
      <c r="AA424" s="30"/>
      <c r="AB424" s="361">
        <f t="shared" ref="AB424:AB432" si="395">Y424/Y$640</f>
        <v>3.3248922381743803E-3</v>
      </c>
      <c r="AC424" s="88">
        <f>AC190</f>
        <v>1450</v>
      </c>
      <c r="AD424" s="367">
        <f>AD190</f>
        <v>3847.23</v>
      </c>
      <c r="AE424" s="90"/>
      <c r="AF424" s="30"/>
      <c r="AG424" s="361">
        <f t="shared" ref="AG424:AG432" si="396">AD424/AD$640</f>
        <v>7.6397145693673715E-3</v>
      </c>
      <c r="AH424" s="88">
        <f>AH190</f>
        <v>1480</v>
      </c>
      <c r="AI424" s="367">
        <f>AI190</f>
        <v>1774.9</v>
      </c>
      <c r="AJ424" s="90"/>
      <c r="AK424" s="30"/>
      <c r="AL424" s="361">
        <f t="shared" ref="AL424:AL432" si="397">AI424/AI$640</f>
        <v>3.683403910982614E-3</v>
      </c>
      <c r="AM424" s="88"/>
      <c r="AN424" s="367">
        <f>AN190</f>
        <v>1810.03</v>
      </c>
      <c r="AO424" s="29"/>
      <c r="AP424" s="30"/>
      <c r="AQ424" s="361">
        <f t="shared" ref="AQ424:AQ432" si="398">AN424/AN$640</f>
        <v>4.8795919973860921E-3</v>
      </c>
      <c r="AR424" s="88"/>
      <c r="AS424" s="338"/>
      <c r="AT424" s="29"/>
      <c r="AU424" s="30"/>
      <c r="AV424" s="361" t="e">
        <f t="shared" ref="AV424:AV432" si="399">AS424/AS$640</f>
        <v>#DIV/0!</v>
      </c>
    </row>
    <row r="425" spans="1:48" s="62" customFormat="1" hidden="1" outlineLevel="4" x14ac:dyDescent="0.3">
      <c r="A425" s="196" t="s">
        <v>382</v>
      </c>
      <c r="C425" s="337"/>
      <c r="D425" s="337"/>
      <c r="E425" s="347" t="str">
        <f>B191</f>
        <v>6140/00702 Cont.Entretien Extinct.   (1000)</v>
      </c>
      <c r="F425" s="367" t="str">
        <f t="shared" si="394"/>
        <v xml:space="preserve"> </v>
      </c>
      <c r="G425" s="367">
        <f t="shared" si="394"/>
        <v>2471.84</v>
      </c>
      <c r="H425" s="367">
        <f t="shared" si="394"/>
        <v>1285.6500000000001</v>
      </c>
      <c r="I425" s="367">
        <f t="shared" si="394"/>
        <v>1317.73</v>
      </c>
      <c r="J425" s="367">
        <f t="shared" si="394"/>
        <v>1322.14</v>
      </c>
      <c r="K425" s="354"/>
      <c r="L425" s="367">
        <f>L191</f>
        <v>1355.18</v>
      </c>
      <c r="M425" s="354"/>
      <c r="N425" s="88"/>
      <c r="O425" s="250">
        <f>O191</f>
        <v>1389.1</v>
      </c>
      <c r="P425" s="354"/>
      <c r="Q425" s="123"/>
      <c r="R425" s="357"/>
      <c r="S425" s="88"/>
      <c r="T425" s="367">
        <f>T191</f>
        <v>1423.87</v>
      </c>
      <c r="U425" s="354"/>
      <c r="V425" s="123"/>
      <c r="W425" s="357"/>
      <c r="X425" s="340"/>
      <c r="Y425" s="367">
        <f>Y191</f>
        <v>1423.87</v>
      </c>
      <c r="Z425" s="354"/>
      <c r="AA425" s="30"/>
      <c r="AB425" s="361">
        <f t="shared" si="395"/>
        <v>2.7952731149702443E-3</v>
      </c>
      <c r="AC425" s="88">
        <f>AC191</f>
        <v>1450</v>
      </c>
      <c r="AD425" s="367">
        <f>AD191</f>
        <v>1423.87</v>
      </c>
      <c r="AE425" s="90"/>
      <c r="AF425" s="30"/>
      <c r="AG425" s="361">
        <f t="shared" si="396"/>
        <v>2.8274785713058794E-3</v>
      </c>
      <c r="AH425" s="88">
        <f>AH191</f>
        <v>1480</v>
      </c>
      <c r="AI425" s="367">
        <f>AI191</f>
        <v>1426.51</v>
      </c>
      <c r="AJ425" s="90"/>
      <c r="AK425" s="30"/>
      <c r="AL425" s="361">
        <f t="shared" si="397"/>
        <v>2.9603991847742457E-3</v>
      </c>
      <c r="AM425" s="88"/>
      <c r="AN425" s="367">
        <f>AN191</f>
        <v>1426.51</v>
      </c>
      <c r="AO425" s="29"/>
      <c r="AP425" s="30"/>
      <c r="AQ425" s="361">
        <f t="shared" si="398"/>
        <v>3.8456748121253426E-3</v>
      </c>
      <c r="AR425" s="88"/>
      <c r="AS425" s="338"/>
      <c r="AT425" s="29"/>
      <c r="AU425" s="30"/>
      <c r="AV425" s="361" t="e">
        <f t="shared" si="399"/>
        <v>#DIV/0!</v>
      </c>
    </row>
    <row r="426" spans="1:48" s="62" customFormat="1" hidden="1" outlineLevel="2" collapsed="1" x14ac:dyDescent="0.3">
      <c r="A426" s="188" t="s">
        <v>383</v>
      </c>
      <c r="C426" s="337"/>
      <c r="D426" s="337"/>
      <c r="E426" s="347"/>
      <c r="F426" s="362">
        <f>SUM(F427:F431)</f>
        <v>0</v>
      </c>
      <c r="G426" s="362">
        <f>SUM(G427:G431)</f>
        <v>0</v>
      </c>
      <c r="H426" s="362">
        <f>SUM(H427:H431)</f>
        <v>0</v>
      </c>
      <c r="I426" s="362">
        <f>SUM(I427:I431)</f>
        <v>0</v>
      </c>
      <c r="J426" s="362">
        <f>SUM(J427:J431)</f>
        <v>0</v>
      </c>
      <c r="K426" s="354"/>
      <c r="L426" s="362">
        <f>SUM(L427:L431)</f>
        <v>0</v>
      </c>
      <c r="M426" s="354"/>
      <c r="N426" s="88"/>
      <c r="O426" s="362">
        <f>SUM(O427:O431)</f>
        <v>0</v>
      </c>
      <c r="P426" s="354"/>
      <c r="Q426" s="123"/>
      <c r="R426" s="357"/>
      <c r="S426" s="88"/>
      <c r="T426" s="362">
        <f>SUM(T427:T431)</f>
        <v>0</v>
      </c>
      <c r="U426" s="354"/>
      <c r="V426" s="123"/>
      <c r="W426" s="357"/>
      <c r="X426" s="340"/>
      <c r="Y426" s="362">
        <f>SUM(Y427:Y431)</f>
        <v>1045</v>
      </c>
      <c r="Z426" s="354"/>
      <c r="AA426" s="30"/>
      <c r="AB426" s="361">
        <f t="shared" si="395"/>
        <v>2.0514937495304387E-3</v>
      </c>
      <c r="AC426" s="88">
        <f>SUM(AC427:AC431)</f>
        <v>0</v>
      </c>
      <c r="AD426" s="362">
        <f>SUM(AD427:AD431)</f>
        <v>0</v>
      </c>
      <c r="AE426" s="90" t="str">
        <f>ROUND((AD426-Y426),2)&amp;" / "&amp;(ROUND((AD426-Y426)/(IF(Y426=0,0.0001,Y426)),3)*100)&amp;"%"</f>
        <v>-1045 / -100%</v>
      </c>
      <c r="AF426" s="30"/>
      <c r="AG426" s="361">
        <f t="shared" si="396"/>
        <v>0</v>
      </c>
      <c r="AH426" s="88">
        <f>SUM(AH427:AH431)</f>
        <v>0</v>
      </c>
      <c r="AI426" s="362">
        <f>SUM(AI427:AI431)</f>
        <v>1065.9000000000001</v>
      </c>
      <c r="AJ426" s="90"/>
      <c r="AK426" s="30"/>
      <c r="AL426" s="361">
        <f t="shared" si="397"/>
        <v>2.2120346096773723E-3</v>
      </c>
      <c r="AM426" s="88"/>
      <c r="AN426" s="362">
        <f>SUM(AN427:AN431)</f>
        <v>1087.22</v>
      </c>
      <c r="AO426" s="29"/>
      <c r="AP426" s="30"/>
      <c r="AQ426" s="361">
        <f t="shared" si="398"/>
        <v>2.9309956251543385E-3</v>
      </c>
      <c r="AR426" s="88"/>
      <c r="AS426" s="338"/>
      <c r="AT426" s="29"/>
      <c r="AU426" s="30"/>
      <c r="AV426" s="361" t="e">
        <f t="shared" si="399"/>
        <v>#DIV/0!</v>
      </c>
    </row>
    <row r="427" spans="1:48" s="62" customFormat="1" hidden="1" outlineLevel="3" x14ac:dyDescent="0.3">
      <c r="A427" s="190" t="s">
        <v>384</v>
      </c>
      <c r="C427" s="337"/>
      <c r="D427" s="337"/>
      <c r="E427" s="347"/>
      <c r="F427" s="250"/>
      <c r="G427" s="250"/>
      <c r="H427" s="250"/>
      <c r="I427" s="250"/>
      <c r="J427" s="250"/>
      <c r="K427" s="354"/>
      <c r="L427" s="250"/>
      <c r="M427" s="354"/>
      <c r="N427" s="88"/>
      <c r="O427" s="250"/>
      <c r="P427" s="354"/>
      <c r="Q427" s="123"/>
      <c r="R427" s="357"/>
      <c r="S427" s="88"/>
      <c r="T427" s="250"/>
      <c r="U427" s="354"/>
      <c r="V427" s="123"/>
      <c r="W427" s="357"/>
      <c r="X427" s="340"/>
      <c r="Y427" s="250"/>
      <c r="Z427" s="354"/>
      <c r="AA427" s="30"/>
      <c r="AB427" s="361">
        <f t="shared" si="395"/>
        <v>0</v>
      </c>
      <c r="AC427" s="88"/>
      <c r="AD427" s="250"/>
      <c r="AE427" s="90"/>
      <c r="AF427" s="30"/>
      <c r="AG427" s="361">
        <f t="shared" si="396"/>
        <v>0</v>
      </c>
      <c r="AH427" s="88"/>
      <c r="AI427" s="250"/>
      <c r="AJ427" s="90"/>
      <c r="AK427" s="30"/>
      <c r="AL427" s="361">
        <f t="shared" si="397"/>
        <v>0</v>
      </c>
      <c r="AM427" s="88"/>
      <c r="AN427" s="250"/>
      <c r="AO427" s="29"/>
      <c r="AP427" s="30"/>
      <c r="AQ427" s="361">
        <f t="shared" si="398"/>
        <v>0</v>
      </c>
      <c r="AR427" s="88"/>
      <c r="AS427" s="338"/>
      <c r="AT427" s="29"/>
      <c r="AU427" s="30"/>
      <c r="AV427" s="361" t="e">
        <f t="shared" si="399"/>
        <v>#DIV/0!</v>
      </c>
    </row>
    <row r="428" spans="1:48" s="62" customFormat="1" hidden="1" outlineLevel="3" x14ac:dyDescent="0.3">
      <c r="A428" s="190" t="s">
        <v>385</v>
      </c>
      <c r="C428" s="337"/>
      <c r="D428" s="337"/>
      <c r="E428" s="347"/>
      <c r="F428" s="250"/>
      <c r="G428" s="250"/>
      <c r="H428" s="250"/>
      <c r="I428" s="250"/>
      <c r="J428" s="250"/>
      <c r="K428" s="354"/>
      <c r="L428" s="250"/>
      <c r="M428" s="354"/>
      <c r="N428" s="88"/>
      <c r="O428" s="250"/>
      <c r="P428" s="354"/>
      <c r="Q428" s="123"/>
      <c r="R428" s="357"/>
      <c r="S428" s="88"/>
      <c r="T428" s="250"/>
      <c r="U428" s="354"/>
      <c r="V428" s="123"/>
      <c r="W428" s="357"/>
      <c r="X428" s="340"/>
      <c r="Y428" s="250"/>
      <c r="Z428" s="354"/>
      <c r="AA428" s="30"/>
      <c r="AB428" s="361">
        <f t="shared" si="395"/>
        <v>0</v>
      </c>
      <c r="AC428" s="88"/>
      <c r="AD428" s="250"/>
      <c r="AE428" s="90"/>
      <c r="AF428" s="30"/>
      <c r="AG428" s="361">
        <f t="shared" si="396"/>
        <v>0</v>
      </c>
      <c r="AH428" s="88"/>
      <c r="AI428" s="250"/>
      <c r="AJ428" s="90"/>
      <c r="AK428" s="30"/>
      <c r="AL428" s="361">
        <f t="shared" si="397"/>
        <v>0</v>
      </c>
      <c r="AM428" s="88"/>
      <c r="AN428" s="250"/>
      <c r="AO428" s="29"/>
      <c r="AP428" s="30"/>
      <c r="AQ428" s="361">
        <f t="shared" si="398"/>
        <v>0</v>
      </c>
      <c r="AR428" s="88"/>
      <c r="AS428" s="338"/>
      <c r="AT428" s="29"/>
      <c r="AU428" s="30"/>
      <c r="AV428" s="361" t="e">
        <f t="shared" si="399"/>
        <v>#DIV/0!</v>
      </c>
    </row>
    <row r="429" spans="1:48" s="62" customFormat="1" hidden="1" outlineLevel="3" x14ac:dyDescent="0.3">
      <c r="A429" s="190" t="s">
        <v>386</v>
      </c>
      <c r="C429" s="337"/>
      <c r="D429" s="337"/>
      <c r="E429" s="347"/>
      <c r="F429" s="250"/>
      <c r="G429" s="250"/>
      <c r="H429" s="250"/>
      <c r="I429" s="250"/>
      <c r="J429" s="250"/>
      <c r="K429" s="354"/>
      <c r="L429" s="250"/>
      <c r="M429" s="354"/>
      <c r="N429" s="88"/>
      <c r="O429" s="250"/>
      <c r="P429" s="354"/>
      <c r="Q429" s="123"/>
      <c r="R429" s="357"/>
      <c r="S429" s="88"/>
      <c r="T429" s="250"/>
      <c r="U429" s="354"/>
      <c r="V429" s="123"/>
      <c r="W429" s="357"/>
      <c r="X429" s="340"/>
      <c r="Y429" s="250"/>
      <c r="Z429" s="354"/>
      <c r="AA429" s="30"/>
      <c r="AB429" s="361">
        <f t="shared" si="395"/>
        <v>0</v>
      </c>
      <c r="AC429" s="88"/>
      <c r="AD429" s="250"/>
      <c r="AE429" s="90"/>
      <c r="AF429" s="30"/>
      <c r="AG429" s="361">
        <f t="shared" si="396"/>
        <v>0</v>
      </c>
      <c r="AH429" s="88"/>
      <c r="AI429" s="250"/>
      <c r="AJ429" s="90"/>
      <c r="AK429" s="30"/>
      <c r="AL429" s="361">
        <f t="shared" si="397"/>
        <v>0</v>
      </c>
      <c r="AM429" s="88"/>
      <c r="AN429" s="250"/>
      <c r="AO429" s="29"/>
      <c r="AP429" s="30"/>
      <c r="AQ429" s="361">
        <f t="shared" si="398"/>
        <v>0</v>
      </c>
      <c r="AR429" s="88"/>
      <c r="AS429" s="338"/>
      <c r="AT429" s="29"/>
      <c r="AU429" s="30"/>
      <c r="AV429" s="361" t="e">
        <f t="shared" si="399"/>
        <v>#DIV/0!</v>
      </c>
    </row>
    <row r="430" spans="1:48" s="62" customFormat="1" hidden="1" outlineLevel="3" x14ac:dyDescent="0.3">
      <c r="A430" s="190" t="s">
        <v>387</v>
      </c>
      <c r="C430" s="337"/>
      <c r="D430" s="337"/>
      <c r="E430" s="347"/>
      <c r="F430" s="250"/>
      <c r="G430" s="250"/>
      <c r="H430" s="250"/>
      <c r="I430" s="250"/>
      <c r="J430" s="250"/>
      <c r="K430" s="354"/>
      <c r="L430" s="250"/>
      <c r="M430" s="354"/>
      <c r="N430" s="88"/>
      <c r="O430" s="250"/>
      <c r="P430" s="354"/>
      <c r="Q430" s="123"/>
      <c r="R430" s="357"/>
      <c r="S430" s="88"/>
      <c r="T430" s="250"/>
      <c r="U430" s="354"/>
      <c r="V430" s="123"/>
      <c r="W430" s="357"/>
      <c r="X430" s="340"/>
      <c r="Y430" s="250"/>
      <c r="Z430" s="354"/>
      <c r="AA430" s="30"/>
      <c r="AB430" s="361">
        <f t="shared" si="395"/>
        <v>0</v>
      </c>
      <c r="AC430" s="88"/>
      <c r="AD430" s="250"/>
      <c r="AE430" s="90"/>
      <c r="AF430" s="30"/>
      <c r="AG430" s="361">
        <f t="shared" si="396"/>
        <v>0</v>
      </c>
      <c r="AH430" s="88"/>
      <c r="AI430" s="250"/>
      <c r="AJ430" s="90"/>
      <c r="AK430" s="30"/>
      <c r="AL430" s="361">
        <f t="shared" si="397"/>
        <v>0</v>
      </c>
      <c r="AM430" s="88"/>
      <c r="AN430" s="250"/>
      <c r="AO430" s="29"/>
      <c r="AP430" s="30"/>
      <c r="AQ430" s="361">
        <f t="shared" si="398"/>
        <v>0</v>
      </c>
      <c r="AR430" s="88"/>
      <c r="AS430" s="338"/>
      <c r="AT430" s="29"/>
      <c r="AU430" s="30"/>
      <c r="AV430" s="361" t="e">
        <f t="shared" si="399"/>
        <v>#DIV/0!</v>
      </c>
    </row>
    <row r="431" spans="1:48" s="62" customFormat="1" hidden="1" outlineLevel="3" x14ac:dyDescent="0.3">
      <c r="A431" s="190" t="s">
        <v>388</v>
      </c>
      <c r="C431" s="337"/>
      <c r="D431" s="337"/>
      <c r="E431" s="347" t="str">
        <f>B179</f>
        <v>6140/01561 Contrat Toiture           (0910)</v>
      </c>
      <c r="F431" s="250">
        <f>F179</f>
        <v>0</v>
      </c>
      <c r="G431" s="250">
        <f>G179</f>
        <v>0</v>
      </c>
      <c r="H431" s="250">
        <f>H179</f>
        <v>0</v>
      </c>
      <c r="I431" s="250">
        <f>I179</f>
        <v>0</v>
      </c>
      <c r="J431" s="250">
        <f>J179</f>
        <v>0</v>
      </c>
      <c r="K431" s="354">
        <f>H179</f>
        <v>0</v>
      </c>
      <c r="L431" s="250">
        <f>L179</f>
        <v>0</v>
      </c>
      <c r="M431" s="354">
        <f>J179</f>
        <v>0</v>
      </c>
      <c r="N431" s="88"/>
      <c r="O431" s="250">
        <f>O179</f>
        <v>0</v>
      </c>
      <c r="P431" s="354">
        <f>M179</f>
        <v>0</v>
      </c>
      <c r="Q431" s="123"/>
      <c r="R431" s="357"/>
      <c r="S431" s="88"/>
      <c r="T431" s="250">
        <f>T179</f>
        <v>0</v>
      </c>
      <c r="U431" s="354">
        <f>P179</f>
        <v>0</v>
      </c>
      <c r="V431" s="123"/>
      <c r="W431" s="357"/>
      <c r="X431" s="340"/>
      <c r="Y431" s="250">
        <f>Y179</f>
        <v>1045</v>
      </c>
      <c r="Z431" s="354" t="str">
        <f>W179</f>
        <v/>
      </c>
      <c r="AA431" s="30"/>
      <c r="AB431" s="361">
        <f t="shared" si="395"/>
        <v>2.0514937495304387E-3</v>
      </c>
      <c r="AC431" s="88">
        <f>AC179</f>
        <v>0</v>
      </c>
      <c r="AD431" s="250">
        <f>AD179</f>
        <v>0</v>
      </c>
      <c r="AE431" s="90">
        <f>AB179</f>
        <v>3.3614709359341913E-3</v>
      </c>
      <c r="AF431" s="30"/>
      <c r="AG431" s="361">
        <f t="shared" si="396"/>
        <v>0</v>
      </c>
      <c r="AH431" s="88">
        <f>AH179</f>
        <v>0</v>
      </c>
      <c r="AI431" s="250">
        <f>AI179</f>
        <v>1065.9000000000001</v>
      </c>
      <c r="AJ431" s="90"/>
      <c r="AK431" s="30"/>
      <c r="AL431" s="361">
        <f t="shared" si="397"/>
        <v>2.2120346096773723E-3</v>
      </c>
      <c r="AM431" s="88"/>
      <c r="AN431" s="250">
        <f>AN179</f>
        <v>1087.22</v>
      </c>
      <c r="AO431" s="29"/>
      <c r="AP431" s="30"/>
      <c r="AQ431" s="361">
        <f t="shared" si="398"/>
        <v>2.9309956251543385E-3</v>
      </c>
      <c r="AR431" s="88"/>
      <c r="AS431" s="338"/>
      <c r="AT431" s="29"/>
      <c r="AU431" s="30"/>
      <c r="AV431" s="361" t="e">
        <f t="shared" si="399"/>
        <v>#DIV/0!</v>
      </c>
    </row>
    <row r="432" spans="1:48" s="62" customFormat="1" hidden="1" outlineLevel="2" collapsed="1" x14ac:dyDescent="0.3">
      <c r="A432" s="188" t="s">
        <v>389</v>
      </c>
      <c r="C432" s="337"/>
      <c r="D432" s="337"/>
      <c r="E432" s="347"/>
      <c r="F432" s="362">
        <f>SUM(F433,F436:F437)</f>
        <v>898.22</v>
      </c>
      <c r="G432" s="362">
        <f t="shared" ref="G432:L432" si="400">SUM(G433,G436:G437)</f>
        <v>920.18000000000006</v>
      </c>
      <c r="H432" s="362">
        <f t="shared" si="400"/>
        <v>0</v>
      </c>
      <c r="I432" s="362">
        <f t="shared" si="400"/>
        <v>-358.58</v>
      </c>
      <c r="J432" s="362">
        <f t="shared" si="400"/>
        <v>2616.04</v>
      </c>
      <c r="K432" s="354"/>
      <c r="L432" s="362">
        <f t="shared" si="400"/>
        <v>2641.39</v>
      </c>
      <c r="M432" s="354"/>
      <c r="N432" s="88"/>
      <c r="O432" s="362">
        <f>SUM(O433,O436:O437)</f>
        <v>3895.14</v>
      </c>
      <c r="P432" s="354"/>
      <c r="Q432" s="123"/>
      <c r="R432" s="357"/>
      <c r="S432" s="88"/>
      <c r="T432" s="362">
        <f>SUM(T433,T436:T437)</f>
        <v>3257.24</v>
      </c>
      <c r="U432" s="354"/>
      <c r="V432" s="123"/>
      <c r="W432" s="357"/>
      <c r="X432" s="340"/>
      <c r="Y432" s="362">
        <f>SUM(Y433,Y436:Y437)</f>
        <v>3526.6099999999997</v>
      </c>
      <c r="Z432" s="354"/>
      <c r="AA432" s="30"/>
      <c r="AB432" s="361">
        <f t="shared" si="395"/>
        <v>6.9232711694081715E-3</v>
      </c>
      <c r="AC432" s="88">
        <f>SUM(AC433,AC436:AC437)</f>
        <v>4210</v>
      </c>
      <c r="AD432" s="362">
        <f>SUM(AD433,AD436:AD437)</f>
        <v>3345.71</v>
      </c>
      <c r="AE432" s="90" t="str">
        <f>ROUND((AD432-Y432),2)&amp;" / "&amp;(ROUND((AD432-Y432)/(IF(Y432=0,0.0001,Y432)),3)*100)&amp;"%"</f>
        <v>-180,9 / -5,1%</v>
      </c>
      <c r="AF432" s="30"/>
      <c r="AG432" s="361">
        <f t="shared" si="396"/>
        <v>6.643811113938628E-3</v>
      </c>
      <c r="AH432" s="88">
        <f>SUM(AH433,AH436:AH437)</f>
        <v>4290</v>
      </c>
      <c r="AI432" s="362">
        <f>SUM(AI433,AI436:AI437)</f>
        <v>3431.9700000000003</v>
      </c>
      <c r="AJ432" s="90"/>
      <c r="AK432" s="30"/>
      <c r="AL432" s="361">
        <f t="shared" si="397"/>
        <v>7.1222782806777858E-3</v>
      </c>
      <c r="AM432" s="88"/>
      <c r="AN432" s="362">
        <f>SUM(AN433,AN436:AN437)</f>
        <v>4009.48</v>
      </c>
      <c r="AO432" s="29"/>
      <c r="AP432" s="30"/>
      <c r="AQ432" s="361">
        <f t="shared" si="398"/>
        <v>1.080900676877156E-2</v>
      </c>
      <c r="AR432" s="88"/>
      <c r="AS432" s="338"/>
      <c r="AT432" s="29"/>
      <c r="AU432" s="30"/>
      <c r="AV432" s="361" t="e">
        <f t="shared" si="399"/>
        <v>#DIV/0!</v>
      </c>
    </row>
    <row r="433" spans="1:48" s="62" customFormat="1" hidden="1" outlineLevel="3" collapsed="1" x14ac:dyDescent="0.3">
      <c r="A433" s="190" t="s">
        <v>390</v>
      </c>
      <c r="C433" s="337"/>
      <c r="D433" s="337"/>
      <c r="E433" s="347"/>
      <c r="F433" s="366">
        <f>SUM(F434:F435)</f>
        <v>130.82</v>
      </c>
      <c r="G433" s="366">
        <f>SUM(G434:G435)</f>
        <v>130.82</v>
      </c>
      <c r="H433" s="366">
        <f>SUM(H434:H435)</f>
        <v>0</v>
      </c>
      <c r="I433" s="366">
        <f>SUM(I434:I435)</f>
        <v>0</v>
      </c>
      <c r="J433" s="366">
        <f>SUM(J434:J435)</f>
        <v>521.4</v>
      </c>
      <c r="K433" s="354"/>
      <c r="L433" s="366">
        <f>SUM(L434:L435)</f>
        <v>521.4</v>
      </c>
      <c r="M433" s="354"/>
      <c r="N433" s="88"/>
      <c r="O433" s="366">
        <f>SUM(O434:O435)</f>
        <v>1753.96</v>
      </c>
      <c r="P433" s="354"/>
      <c r="Q433" s="123"/>
      <c r="R433" s="357"/>
      <c r="S433" s="88"/>
      <c r="T433" s="366">
        <f>SUM(T434:T435)</f>
        <v>1094.6400000000001</v>
      </c>
      <c r="U433" s="354"/>
      <c r="V433" s="123"/>
      <c r="W433" s="357"/>
      <c r="X433" s="340"/>
      <c r="Y433" s="366">
        <f>SUM(Y434:Y435)</f>
        <v>1342.36</v>
      </c>
      <c r="Z433" s="354"/>
      <c r="AA433" s="30"/>
      <c r="AB433" s="357"/>
      <c r="AC433" s="88">
        <f>SUM(AC434:AC435)</f>
        <v>2010</v>
      </c>
      <c r="AD433" s="366">
        <f>SUM(AD434:AD435)</f>
        <v>1139.6199999999999</v>
      </c>
      <c r="AE433" s="90"/>
      <c r="AF433" s="30"/>
      <c r="AG433" s="357"/>
      <c r="AH433" s="88">
        <f>SUM(AH434:AH435)</f>
        <v>2050</v>
      </c>
      <c r="AI433" s="366">
        <f>SUM(AI434:AI435)</f>
        <v>1159.7</v>
      </c>
      <c r="AJ433" s="90"/>
      <c r="AK433" s="30"/>
      <c r="AL433" s="357"/>
      <c r="AM433" s="88"/>
      <c r="AN433" s="366">
        <f>SUM(AN434:AN435)</f>
        <v>1691.79</v>
      </c>
      <c r="AO433" s="29"/>
      <c r="AP433" s="30"/>
      <c r="AQ433" s="357"/>
      <c r="AR433" s="88"/>
      <c r="AS433" s="338"/>
      <c r="AT433" s="29"/>
      <c r="AU433" s="30"/>
      <c r="AV433" s="357"/>
    </row>
    <row r="434" spans="1:48" s="62" customFormat="1" hidden="1" outlineLevel="4" x14ac:dyDescent="0.3">
      <c r="A434" s="196" t="s">
        <v>391</v>
      </c>
      <c r="C434" s="337"/>
      <c r="D434" s="337"/>
      <c r="E434" s="347" t="str">
        <f>B301</f>
        <v>6140/65621  Cont.EntretienTel</v>
      </c>
      <c r="F434" s="367">
        <f>F301</f>
        <v>0</v>
      </c>
      <c r="G434" s="367">
        <f>G301</f>
        <v>0</v>
      </c>
      <c r="H434" s="367">
        <f>H301</f>
        <v>0</v>
      </c>
      <c r="I434" s="367">
        <f>I301</f>
        <v>0</v>
      </c>
      <c r="J434" s="367">
        <f>J301</f>
        <v>521.4</v>
      </c>
      <c r="K434" s="354"/>
      <c r="L434" s="367">
        <f>L301</f>
        <v>521.4</v>
      </c>
      <c r="M434" s="354"/>
      <c r="N434" s="88"/>
      <c r="O434" s="367">
        <f>O301</f>
        <v>1608.76</v>
      </c>
      <c r="P434" s="354"/>
      <c r="Q434" s="123"/>
      <c r="R434" s="357"/>
      <c r="S434" s="88"/>
      <c r="T434" s="367">
        <f>T301</f>
        <v>1094.6400000000001</v>
      </c>
      <c r="U434" s="354"/>
      <c r="V434" s="123"/>
      <c r="W434" s="357"/>
      <c r="X434" s="340"/>
      <c r="Y434" s="367">
        <f>Y301</f>
        <v>1115.08</v>
      </c>
      <c r="Z434" s="354"/>
      <c r="AA434" s="30"/>
      <c r="AB434" s="357"/>
      <c r="AC434" s="88">
        <f>AC301</f>
        <v>1500</v>
      </c>
      <c r="AD434" s="367">
        <f>AD301</f>
        <v>1139.6199999999999</v>
      </c>
      <c r="AE434" s="90"/>
      <c r="AF434" s="30"/>
      <c r="AG434" s="357"/>
      <c r="AH434" s="88">
        <f>AH301</f>
        <v>1530</v>
      </c>
      <c r="AI434" s="367">
        <f>AI301</f>
        <v>1159.7</v>
      </c>
      <c r="AJ434" s="90"/>
      <c r="AK434" s="30"/>
      <c r="AL434" s="357"/>
      <c r="AM434" s="88"/>
      <c r="AN434" s="367">
        <f>AN301</f>
        <v>1175.82</v>
      </c>
      <c r="AO434" s="29"/>
      <c r="AP434" s="30"/>
      <c r="AQ434" s="357"/>
      <c r="AR434" s="88"/>
      <c r="AS434" s="338"/>
      <c r="AT434" s="29"/>
      <c r="AU434" s="30"/>
      <c r="AV434" s="357"/>
    </row>
    <row r="435" spans="1:48" s="62" customFormat="1" hidden="1" outlineLevel="4" x14ac:dyDescent="0.3">
      <c r="A435" s="196" t="s">
        <v>392</v>
      </c>
      <c r="C435" s="337"/>
      <c r="D435" s="337"/>
      <c r="E435" s="347" t="str">
        <f>B177</f>
        <v>6150/01525  Entr.AntenneParabole    (0890)</v>
      </c>
      <c r="F435" s="367">
        <f>F177</f>
        <v>130.82</v>
      </c>
      <c r="G435" s="367">
        <f>G177</f>
        <v>130.82</v>
      </c>
      <c r="H435" s="367">
        <f>H177</f>
        <v>0</v>
      </c>
      <c r="I435" s="367">
        <f>I177</f>
        <v>0</v>
      </c>
      <c r="J435" s="367">
        <f>J177</f>
        <v>0</v>
      </c>
      <c r="K435" s="354">
        <f>H177</f>
        <v>0</v>
      </c>
      <c r="L435" s="367">
        <f>L177</f>
        <v>0</v>
      </c>
      <c r="M435" s="354">
        <f>J177</f>
        <v>0</v>
      </c>
      <c r="N435" s="88"/>
      <c r="O435" s="367">
        <f>O177</f>
        <v>145.19999999999999</v>
      </c>
      <c r="P435" s="354">
        <f>M177</f>
        <v>0</v>
      </c>
      <c r="Q435" s="123"/>
      <c r="R435" s="357"/>
      <c r="S435" s="88"/>
      <c r="T435" s="367">
        <f>T177</f>
        <v>0</v>
      </c>
      <c r="U435" s="354">
        <f>P177</f>
        <v>0</v>
      </c>
      <c r="V435" s="123"/>
      <c r="W435" s="357"/>
      <c r="X435" s="340"/>
      <c r="Y435" s="367">
        <f>Y177</f>
        <v>227.28</v>
      </c>
      <c r="Z435" s="354" t="str">
        <f>W177</f>
        <v/>
      </c>
      <c r="AA435" s="30"/>
      <c r="AB435" s="357"/>
      <c r="AC435" s="88">
        <f>AC177</f>
        <v>510</v>
      </c>
      <c r="AD435" s="367">
        <f>AD177</f>
        <v>0</v>
      </c>
      <c r="AE435" s="90">
        <f>AB177</f>
        <v>7.3109580317619425E-4</v>
      </c>
      <c r="AF435" s="30"/>
      <c r="AG435" s="357"/>
      <c r="AH435" s="88">
        <f>AH177</f>
        <v>520</v>
      </c>
      <c r="AI435" s="367">
        <f>AI177</f>
        <v>0</v>
      </c>
      <c r="AJ435" s="90"/>
      <c r="AK435" s="30"/>
      <c r="AL435" s="357"/>
      <c r="AM435" s="88"/>
      <c r="AN435" s="367">
        <f>AN177</f>
        <v>515.97</v>
      </c>
      <c r="AO435" s="29"/>
      <c r="AP435" s="30"/>
      <c r="AQ435" s="357"/>
      <c r="AR435" s="88"/>
      <c r="AS435" s="338"/>
      <c r="AT435" s="29"/>
      <c r="AU435" s="30"/>
      <c r="AV435" s="357"/>
    </row>
    <row r="436" spans="1:48" s="62" customFormat="1" hidden="1" outlineLevel="3" x14ac:dyDescent="0.3">
      <c r="A436" s="190" t="s">
        <v>393</v>
      </c>
      <c r="C436" s="337"/>
      <c r="D436" s="337"/>
      <c r="E436" s="347" t="str">
        <f>B183</f>
        <v>6140/01621  ContratEntretienTeleSurv  (0930)</v>
      </c>
      <c r="F436" s="250">
        <f>F183</f>
        <v>767.4</v>
      </c>
      <c r="G436" s="250">
        <f>G183</f>
        <v>789.36</v>
      </c>
      <c r="H436" s="250">
        <f>H183</f>
        <v>0</v>
      </c>
      <c r="I436" s="250">
        <f>I183</f>
        <v>-358.58</v>
      </c>
      <c r="J436" s="250">
        <f>J183</f>
        <v>0</v>
      </c>
      <c r="K436" s="354"/>
      <c r="L436" s="250">
        <f>L183</f>
        <v>0</v>
      </c>
      <c r="M436" s="354"/>
      <c r="N436" s="88"/>
      <c r="O436" s="250">
        <f>O183</f>
        <v>0</v>
      </c>
      <c r="P436" s="354"/>
      <c r="Q436" s="123"/>
      <c r="R436" s="357"/>
      <c r="S436" s="88"/>
      <c r="T436" s="250">
        <f>T183</f>
        <v>0</v>
      </c>
      <c r="U436" s="354"/>
      <c r="V436" s="123"/>
      <c r="W436" s="357"/>
      <c r="X436" s="340"/>
      <c r="Y436" s="250">
        <f>Y183</f>
        <v>0</v>
      </c>
      <c r="Z436" s="354"/>
      <c r="AA436" s="30"/>
      <c r="AB436" s="361">
        <f>Y436/Y$640</f>
        <v>0</v>
      </c>
      <c r="AC436" s="88">
        <f>AC183</f>
        <v>0</v>
      </c>
      <c r="AD436" s="250">
        <f>AD183</f>
        <v>0</v>
      </c>
      <c r="AE436" s="90"/>
      <c r="AF436" s="30"/>
      <c r="AG436" s="361">
        <f>AD436/AD$640</f>
        <v>0</v>
      </c>
      <c r="AH436" s="88">
        <f>AH183</f>
        <v>0</v>
      </c>
      <c r="AI436" s="250">
        <f>AI183</f>
        <v>0</v>
      </c>
      <c r="AJ436" s="90"/>
      <c r="AK436" s="30"/>
      <c r="AL436" s="361">
        <f>AI436/AI$640</f>
        <v>0</v>
      </c>
      <c r="AM436" s="88"/>
      <c r="AN436" s="250">
        <f>AN183</f>
        <v>0</v>
      </c>
      <c r="AO436" s="29"/>
      <c r="AP436" s="30"/>
      <c r="AQ436" s="361">
        <f>AN436/AN$640</f>
        <v>0</v>
      </c>
      <c r="AR436" s="88"/>
      <c r="AS436" s="338"/>
      <c r="AT436" s="29"/>
      <c r="AU436" s="30"/>
      <c r="AV436" s="361" t="e">
        <f>AS436/AS$640</f>
        <v>#DIV/0!</v>
      </c>
    </row>
    <row r="437" spans="1:48" s="62" customFormat="1" hidden="1" outlineLevel="3" x14ac:dyDescent="0.3">
      <c r="A437" s="190" t="s">
        <v>394</v>
      </c>
      <c r="C437" s="337"/>
      <c r="D437" s="337"/>
      <c r="E437" s="347" t="str">
        <f>B203</f>
        <v>6140/00841 ContratEntrt Jardins        (1110)</v>
      </c>
      <c r="F437" s="250">
        <f>F203</f>
        <v>0</v>
      </c>
      <c r="G437" s="250">
        <f>G203</f>
        <v>0</v>
      </c>
      <c r="H437" s="250">
        <f>H203</f>
        <v>0</v>
      </c>
      <c r="I437" s="250">
        <f>I203</f>
        <v>0</v>
      </c>
      <c r="J437" s="250">
        <f>J203</f>
        <v>2094.64</v>
      </c>
      <c r="K437" s="354"/>
      <c r="L437" s="250">
        <f>L203</f>
        <v>2119.9899999999998</v>
      </c>
      <c r="M437" s="354"/>
      <c r="N437" s="88"/>
      <c r="O437" s="250">
        <f>O203</f>
        <v>2141.1799999999998</v>
      </c>
      <c r="P437" s="354"/>
      <c r="Q437" s="123"/>
      <c r="R437" s="357"/>
      <c r="S437" s="88"/>
      <c r="T437" s="250">
        <f>T203</f>
        <v>2162.6</v>
      </c>
      <c r="U437" s="354"/>
      <c r="V437" s="123"/>
      <c r="W437" s="357"/>
      <c r="X437" s="340"/>
      <c r="Y437" s="250">
        <f>Y203</f>
        <v>2184.25</v>
      </c>
      <c r="Z437" s="354"/>
      <c r="AA437" s="30"/>
      <c r="AB437" s="357"/>
      <c r="AC437" s="88">
        <f>AC203</f>
        <v>2200</v>
      </c>
      <c r="AD437" s="250">
        <f>AD203</f>
        <v>2206.09</v>
      </c>
      <c r="AE437" s="90"/>
      <c r="AF437" s="30"/>
      <c r="AG437" s="357"/>
      <c r="AH437" s="88">
        <f>AH203</f>
        <v>2240</v>
      </c>
      <c r="AI437" s="250">
        <f>AI203</f>
        <v>2272.27</v>
      </c>
      <c r="AJ437" s="90"/>
      <c r="AK437" s="30"/>
      <c r="AL437" s="357"/>
      <c r="AM437" s="88"/>
      <c r="AN437" s="250">
        <f>AN203</f>
        <v>2317.69</v>
      </c>
      <c r="AO437" s="29"/>
      <c r="AP437" s="30"/>
      <c r="AQ437" s="357"/>
      <c r="AR437" s="88"/>
      <c r="AS437" s="338"/>
      <c r="AT437" s="29"/>
      <c r="AU437" s="30"/>
      <c r="AV437" s="357"/>
    </row>
    <row r="438" spans="1:48" s="62" customFormat="1" hidden="1" outlineLevel="1" collapsed="1" x14ac:dyDescent="0.3">
      <c r="A438" s="199" t="s">
        <v>395</v>
      </c>
      <c r="C438" s="337"/>
      <c r="D438" s="337"/>
      <c r="E438" s="347"/>
      <c r="F438" s="351">
        <f>SUM(F439,F442,F443,F448,F453,F459,F469,F473,F479)</f>
        <v>21483.500000000004</v>
      </c>
      <c r="G438" s="351">
        <f>SUM(G439,G442,G443,G448,G453,G459,G469,G473,G479)</f>
        <v>23214.210000000003</v>
      </c>
      <c r="H438" s="351">
        <f>SUM(H439,H442,H443,H448,H453,H459,H469,H473,H479)</f>
        <v>20698.170000000002</v>
      </c>
      <c r="I438" s="351">
        <f>SUM(I439,I442,I443,I448,I453,I459,I469,I473,I479)</f>
        <v>51307.659999999996</v>
      </c>
      <c r="J438" s="351">
        <f>SUM(J439,J442,J443,J448,J453,J459,J469,J473,J479)</f>
        <v>29706.74</v>
      </c>
      <c r="K438" s="349" t="str">
        <f>ROUND((J438-I438),2)&amp;"  ( "&amp;(ROUND((J438-I438)/(IF(I438=0,0.0001,I438)),3)*100)&amp;"% )"</f>
        <v>-21600,92  ( -42,1% )</v>
      </c>
      <c r="L438" s="351">
        <f>SUM(L439,L442,L443,L448,L453,L459,L469,L473,L479)</f>
        <v>29454.61</v>
      </c>
      <c r="M438" s="349" t="str">
        <f>ROUND((L438-G438),2)&amp;"   ( "&amp;(ROUND((L438-G438)/(IF(G438=0,0.0001,G438)),3)*100)&amp;"% )"</f>
        <v>6240,4   ( 26,9% )</v>
      </c>
      <c r="N438" s="88"/>
      <c r="O438" s="351">
        <f>SUM(O439,O442,O443,O448,O453,O459,O469,O473,O479)</f>
        <v>36697.65</v>
      </c>
      <c r="P438" s="349" t="str">
        <f>ROUND((O438-J438),2)&amp;"   ( "&amp;(ROUND((O438-J438)/(IF(J438=0,0.0001,J438)),3)*100)&amp;"% )"</f>
        <v>6990,91   ( 23,5% )</v>
      </c>
      <c r="Q438" s="123"/>
      <c r="R438" s="357">
        <f>O438/O$640</f>
        <v>7.324230561265184E-2</v>
      </c>
      <c r="S438" s="88"/>
      <c r="T438" s="351">
        <f>SUM(T439,T442,T443,T448,T453,T459,T469,T473,T479)</f>
        <v>40679.870000000003</v>
      </c>
      <c r="U438" s="349" t="str">
        <f>ROUND((T438-O438),2)&amp;"   ( "&amp;(ROUND((T438-O438)/(IF(O438=0,0.0001,O438)),3)*100)&amp;"% )"</f>
        <v>3982,22   ( 10,9% )</v>
      </c>
      <c r="V438" s="123"/>
      <c r="W438" s="357">
        <f>T438/T$640</f>
        <v>8.3177756217649168E-2</v>
      </c>
      <c r="X438" s="340"/>
      <c r="Y438" s="351">
        <f>SUM(Y439,Y442,Y443,Y448,Y453,Y459,Y469,Y473,Y479)</f>
        <v>45301.57</v>
      </c>
      <c r="Z438" s="349" t="str">
        <f>ROUND((Y438-T438),2)&amp;"   ( "&amp;(ROUND((Y438-T438)/(IF(T438=0,0.0001,T438)),3)*100)&amp;"% )"</f>
        <v>4621,7   ( 11,4% )</v>
      </c>
      <c r="AA438" s="30"/>
      <c r="AB438" s="357">
        <f>Y438/Y$640</f>
        <v>8.8933863826713519E-2</v>
      </c>
      <c r="AC438" s="88">
        <f>SUM(AC439,AC442,AC443,AC448,AC453,AC459,AC469,AC473,AC479)</f>
        <v>31840</v>
      </c>
      <c r="AD438" s="351">
        <f>SUM(AD439,AD442,AD443,AD448,AD453,AD459,AD469,AD473,AD479)</f>
        <v>43377.810000000005</v>
      </c>
      <c r="AE438" s="6" t="str">
        <f>ROUND((AD438-Y438),2)&amp;"   ( "&amp;(ROUND((AD438-Y438)/(IF(Y438=0,0.0001,Y438)),3)*100)&amp;"% )"</f>
        <v>-1923,76   ( -4,2% )</v>
      </c>
      <c r="AF438" s="30"/>
      <c r="AG438" s="357">
        <f>AD438/AD$640</f>
        <v>8.6138361118064083E-2</v>
      </c>
      <c r="AH438" s="88">
        <f>SUM(AH439,AH442,AH443,AH448,AH453,AH459,AH469,AH473,AH479)</f>
        <v>32380</v>
      </c>
      <c r="AI438" s="351">
        <f>SUM(AI439,AI442,AI443,AI448,AI453,AI459,AI469,AI473,AI479)</f>
        <v>35932.22</v>
      </c>
      <c r="AJ438" s="6" t="str">
        <f t="shared" ref="AJ438" si="401">ROUND(AI438-AD438,2) &amp; "   (" &amp; ROUND(100*(AI438-AD438)/AD438,1) &amp;"%)"</f>
        <v>-7445,59   (-17,2%)</v>
      </c>
      <c r="AK438" s="30"/>
      <c r="AL438" s="357">
        <f>AI438/AI$640</f>
        <v>7.4569203717554627E-2</v>
      </c>
      <c r="AM438" s="88"/>
      <c r="AN438" s="351">
        <f>SUM(AN439,AN442,AN443,AN448,AN453,AN459,AN469,AN473,AN479)</f>
        <v>34639.78</v>
      </c>
      <c r="AO438" s="35" t="str">
        <f t="shared" ref="AO438" si="402">ROUND(AN438-AI438,2) &amp; "   (" &amp; ROUND(100*(AN438-AI438)/AI438,1) &amp;"%)"</f>
        <v>-1292,44   (-3,6%)</v>
      </c>
      <c r="AP438" s="30"/>
      <c r="AQ438" s="357">
        <f>AN438/AN$640</f>
        <v>9.3384083843480375E-2</v>
      </c>
      <c r="AR438" s="88"/>
      <c r="AS438" s="338"/>
      <c r="AT438" s="35" t="str">
        <f t="shared" ref="AT438" si="403">ROUND(AS438-AN438,2) &amp; "   (" &amp; ROUND(100*(AS438-AN438)/AN438,1) &amp;"%)"</f>
        <v>-34639,78   (-100%)</v>
      </c>
      <c r="AU438" s="30"/>
      <c r="AV438" s="357" t="e">
        <f>AS438/AS$640</f>
        <v>#DIV/0!</v>
      </c>
    </row>
    <row r="439" spans="1:48" s="62" customFormat="1" hidden="1" outlineLevel="2" collapsed="1" x14ac:dyDescent="0.3">
      <c r="A439" s="188" t="s">
        <v>396</v>
      </c>
      <c r="C439" s="337"/>
      <c r="D439" s="337"/>
      <c r="E439" s="359"/>
      <c r="F439" s="362">
        <f>SUM(F440:F441)</f>
        <v>5358.01</v>
      </c>
      <c r="G439" s="362">
        <f>SUM(G440:G441)</f>
        <v>5164.66</v>
      </c>
      <c r="H439" s="362">
        <f>SUM(H440:H441)</f>
        <v>9523.86</v>
      </c>
      <c r="I439" s="362">
        <f>SUM(I440:I441)</f>
        <v>17469.75</v>
      </c>
      <c r="J439" s="362">
        <f>SUM(J440:J441)</f>
        <v>19171.29</v>
      </c>
      <c r="K439" s="360"/>
      <c r="L439" s="362">
        <f>SUM(L440:L441)</f>
        <v>11340.7</v>
      </c>
      <c r="M439" s="360"/>
      <c r="N439" s="88"/>
      <c r="O439" s="362">
        <f>SUM(O440:O441)</f>
        <v>21151.84</v>
      </c>
      <c r="P439" s="360"/>
      <c r="Q439" s="123"/>
      <c r="R439" s="357">
        <f>O439/O$640</f>
        <v>4.2215496892850465E-2</v>
      </c>
      <c r="S439" s="88"/>
      <c r="T439" s="362">
        <f>SUM(T440:T441)</f>
        <v>21794.22</v>
      </c>
      <c r="U439" s="360"/>
      <c r="V439" s="123"/>
      <c r="W439" s="357">
        <f>T439/T$640</f>
        <v>4.4562441279035893E-2</v>
      </c>
      <c r="X439" s="340"/>
      <c r="Y439" s="362">
        <f>SUM(Y440:Y441)</f>
        <v>23409.74</v>
      </c>
      <c r="Z439" s="360"/>
      <c r="AA439" s="30"/>
      <c r="AB439" s="357">
        <f>Y439/Y$640</f>
        <v>4.5956875873811191E-2</v>
      </c>
      <c r="AC439" s="88">
        <f>SUM(AC440:AC441)</f>
        <v>15000</v>
      </c>
      <c r="AD439" s="362">
        <f>SUM(AD440:AD441)</f>
        <v>13295.87</v>
      </c>
      <c r="AE439" s="90" t="str">
        <f>ROUND((AD439-Y439),2)&amp;" / "&amp;(ROUND((AD439-Y439)/(IF(Y439=0,0.0001,Y439)),3)*100)&amp;"%"</f>
        <v>-10113,87 / -43,2%</v>
      </c>
      <c r="AF439" s="30"/>
      <c r="AG439" s="357">
        <f>AD439/AD$640</f>
        <v>2.6402542024109438E-2</v>
      </c>
      <c r="AH439" s="88">
        <f>SUM(AH440:AH441)</f>
        <v>15230</v>
      </c>
      <c r="AI439" s="362">
        <f>SUM(AI440:AI441)</f>
        <v>20902.060000000001</v>
      </c>
      <c r="AJ439" s="90"/>
      <c r="AK439" s="30"/>
      <c r="AL439" s="357">
        <f>AI439/AI$640</f>
        <v>4.3377502705275371E-2</v>
      </c>
      <c r="AM439" s="88"/>
      <c r="AN439" s="362">
        <f>SUM(AN440:AN441)</f>
        <v>20634.27</v>
      </c>
      <c r="AO439" s="29"/>
      <c r="AP439" s="30"/>
      <c r="AQ439" s="357">
        <f>AN439/AN$640</f>
        <v>5.5627154668101586E-2</v>
      </c>
      <c r="AR439" s="88"/>
      <c r="AS439" s="338"/>
      <c r="AT439" s="29"/>
      <c r="AU439" s="30"/>
      <c r="AV439" s="357" t="e">
        <f>AS439/AS$640</f>
        <v>#DIV/0!</v>
      </c>
    </row>
    <row r="440" spans="1:48" s="62" customFormat="1" hidden="1" outlineLevel="3" x14ac:dyDescent="0.3">
      <c r="A440" s="190" t="s">
        <v>397</v>
      </c>
      <c r="C440" s="337"/>
      <c r="D440" s="337"/>
      <c r="E440" s="347" t="str">
        <f>B84</f>
        <v>6150/01106  TravxPlomberie          (0020)</v>
      </c>
      <c r="F440" s="250">
        <f>F84</f>
        <v>5358.01</v>
      </c>
      <c r="G440" s="250">
        <f>G84</f>
        <v>5164.66</v>
      </c>
      <c r="H440" s="250">
        <f>H84</f>
        <v>9523.86</v>
      </c>
      <c r="I440" s="250">
        <f>I84</f>
        <v>17469.75</v>
      </c>
      <c r="J440" s="250">
        <f>J84</f>
        <v>19171.29</v>
      </c>
      <c r="K440" s="354"/>
      <c r="L440" s="250">
        <f>L84</f>
        <v>10814.2</v>
      </c>
      <c r="M440" s="354"/>
      <c r="N440" s="88"/>
      <c r="O440" s="250">
        <f>O84</f>
        <v>19942.39</v>
      </c>
      <c r="P440" s="354"/>
      <c r="Q440" s="123"/>
      <c r="R440" s="357">
        <f>O440/O$640</f>
        <v>3.9801639152008149E-2</v>
      </c>
      <c r="S440" s="88"/>
      <c r="T440" s="250">
        <f>T84</f>
        <v>20110.32</v>
      </c>
      <c r="U440" s="354"/>
      <c r="V440" s="123"/>
      <c r="W440" s="357">
        <f>T440/T$640</f>
        <v>4.1119386429182649E-2</v>
      </c>
      <c r="X440" s="340"/>
      <c r="Y440" s="250">
        <f>Y84</f>
        <v>22338.34</v>
      </c>
      <c r="Z440" s="354"/>
      <c r="AA440" s="30"/>
      <c r="AB440" s="357">
        <f>Y440/Y$640</f>
        <v>4.3853554913766295E-2</v>
      </c>
      <c r="AC440" s="88">
        <f>AC84</f>
        <v>15000</v>
      </c>
      <c r="AD440" s="250">
        <f>AD84</f>
        <v>13295.87</v>
      </c>
      <c r="AE440" s="90"/>
      <c r="AF440" s="30"/>
      <c r="AG440" s="357">
        <f>AD440/AD$640</f>
        <v>2.6402542024109438E-2</v>
      </c>
      <c r="AH440" s="88">
        <f>AH84</f>
        <v>15230</v>
      </c>
      <c r="AI440" s="250">
        <f>AI84</f>
        <v>20902.060000000001</v>
      </c>
      <c r="AJ440" s="90"/>
      <c r="AK440" s="30"/>
      <c r="AL440" s="357">
        <f>AI440/AI$640</f>
        <v>4.3377502705275371E-2</v>
      </c>
      <c r="AM440" s="88"/>
      <c r="AN440" s="250">
        <f>AN84</f>
        <v>20634.27</v>
      </c>
      <c r="AO440" s="29"/>
      <c r="AP440" s="30"/>
      <c r="AQ440" s="357">
        <f>AN440/AN$640</f>
        <v>5.5627154668101586E-2</v>
      </c>
      <c r="AR440" s="88"/>
      <c r="AS440" s="338"/>
      <c r="AT440" s="29"/>
      <c r="AU440" s="30"/>
      <c r="AV440" s="357" t="e">
        <f>AS440/AS$640</f>
        <v>#DIV/0!</v>
      </c>
    </row>
    <row r="441" spans="1:48" s="62" customFormat="1" hidden="1" outlineLevel="3" x14ac:dyDescent="0.3">
      <c r="A441" s="190" t="s">
        <v>398</v>
      </c>
      <c r="B441" s="336"/>
      <c r="C441" s="337"/>
      <c r="D441" s="337"/>
      <c r="E441" s="347" t="str">
        <f>B106</f>
        <v>6150/01206  Trav.Curage           (0230)</v>
      </c>
      <c r="F441" s="250">
        <f>F106</f>
        <v>0</v>
      </c>
      <c r="G441" s="250">
        <f>G106</f>
        <v>0</v>
      </c>
      <c r="H441" s="250">
        <f>H106</f>
        <v>0</v>
      </c>
      <c r="I441" s="250">
        <f>I106</f>
        <v>0</v>
      </c>
      <c r="J441" s="250">
        <f>J106</f>
        <v>0</v>
      </c>
      <c r="K441" s="354"/>
      <c r="L441" s="250">
        <f>L106</f>
        <v>526.5</v>
      </c>
      <c r="M441" s="354"/>
      <c r="N441" s="88"/>
      <c r="O441" s="250">
        <f>O106</f>
        <v>1209.45</v>
      </c>
      <c r="P441" s="354"/>
      <c r="Q441" s="123"/>
      <c r="R441" s="357"/>
      <c r="S441" s="88"/>
      <c r="T441" s="250">
        <f>T106</f>
        <v>1683.9</v>
      </c>
      <c r="U441" s="354"/>
      <c r="V441" s="123"/>
      <c r="W441" s="357"/>
      <c r="X441" s="340"/>
      <c r="Y441" s="250">
        <f>Y106</f>
        <v>1071.4000000000001</v>
      </c>
      <c r="Z441" s="354"/>
      <c r="AA441" s="30"/>
      <c r="AB441" s="357"/>
      <c r="AC441" s="88">
        <f>AC106</f>
        <v>0</v>
      </c>
      <c r="AD441" s="250">
        <f>AD106</f>
        <v>0</v>
      </c>
      <c r="AE441" s="90"/>
      <c r="AF441" s="30"/>
      <c r="AG441" s="357"/>
      <c r="AH441" s="88">
        <f>AH106</f>
        <v>0</v>
      </c>
      <c r="AI441" s="250">
        <f>AI106</f>
        <v>0</v>
      </c>
      <c r="AJ441" s="90"/>
      <c r="AK441" s="30"/>
      <c r="AL441" s="357"/>
      <c r="AM441" s="88"/>
      <c r="AN441" s="250">
        <f>AN106</f>
        <v>0</v>
      </c>
      <c r="AO441" s="29"/>
      <c r="AP441" s="30"/>
      <c r="AQ441" s="357"/>
      <c r="AR441" s="88"/>
      <c r="AS441" s="338"/>
      <c r="AT441" s="29"/>
      <c r="AU441" s="30"/>
      <c r="AV441" s="357"/>
    </row>
    <row r="442" spans="1:48" s="62" customFormat="1" hidden="1" outlineLevel="2" x14ac:dyDescent="0.3">
      <c r="A442" s="188" t="s">
        <v>399</v>
      </c>
      <c r="B442" s="336"/>
      <c r="C442" s="337"/>
      <c r="D442" s="337"/>
      <c r="E442" s="347" t="str">
        <f>B86</f>
        <v>6150/01116  Travx.Electricité           (0040)</v>
      </c>
      <c r="F442" s="368">
        <f>SUM(F86,F223)</f>
        <v>789.57</v>
      </c>
      <c r="G442" s="368">
        <f>SUM(G86,G223)</f>
        <v>1681.67</v>
      </c>
      <c r="H442" s="368">
        <f>SUM(H86,H223)</f>
        <v>0</v>
      </c>
      <c r="I442" s="368">
        <f>SUM(I86,I223)</f>
        <v>1685.25</v>
      </c>
      <c r="J442" s="368">
        <f>SUM(J86,J223)</f>
        <v>0</v>
      </c>
      <c r="K442" s="354"/>
      <c r="L442" s="368">
        <f>SUM(L86,L223)</f>
        <v>0</v>
      </c>
      <c r="M442" s="354"/>
      <c r="N442" s="88"/>
      <c r="O442" s="368">
        <f>SUM(O86,O223)</f>
        <v>1615.9</v>
      </c>
      <c r="P442" s="354"/>
      <c r="Q442" s="123"/>
      <c r="R442" s="357"/>
      <c r="S442" s="88"/>
      <c r="T442" s="368">
        <f>SUM(T86,T223)</f>
        <v>209</v>
      </c>
      <c r="U442" s="354"/>
      <c r="V442" s="123"/>
      <c r="W442" s="357"/>
      <c r="X442" s="340"/>
      <c r="Y442" s="368">
        <f>SUM(Y86,Y223)</f>
        <v>1101.0999999999999</v>
      </c>
      <c r="Z442" s="354"/>
      <c r="AA442" s="30"/>
      <c r="AB442" s="357"/>
      <c r="AC442" s="88">
        <f>SUM(AC86,AC223)</f>
        <v>1020</v>
      </c>
      <c r="AD442" s="368">
        <f>SUM(AD86,AD223)</f>
        <v>264</v>
      </c>
      <c r="AE442" s="90" t="str">
        <f>ROUND((AD442-Y442),2)&amp;" / "&amp;(ROUND((AD442-Y442)/(IF(Y442=0,0.0001,Y442)),3)*100)&amp;"%"</f>
        <v>-837,1 / -76%</v>
      </c>
      <c r="AF442" s="30"/>
      <c r="AG442" s="357"/>
      <c r="AH442" s="88">
        <f>SUM(AH86,AH223)</f>
        <v>1040</v>
      </c>
      <c r="AI442" s="368">
        <f>SUM(AI86,AI223)</f>
        <v>902</v>
      </c>
      <c r="AJ442" s="90"/>
      <c r="AK442" s="30"/>
      <c r="AL442" s="357"/>
      <c r="AM442" s="88"/>
      <c r="AN442" s="368">
        <f>SUM(AN86,AN223)</f>
        <v>682</v>
      </c>
      <c r="AO442" s="29"/>
      <c r="AP442" s="30"/>
      <c r="AQ442" s="357"/>
      <c r="AR442" s="88"/>
      <c r="AS442" s="338"/>
      <c r="AT442" s="29"/>
      <c r="AU442" s="30"/>
      <c r="AV442" s="357"/>
    </row>
    <row r="443" spans="1:48" s="62" customFormat="1" hidden="1" outlineLevel="2" collapsed="1" x14ac:dyDescent="0.3">
      <c r="A443" s="188" t="s">
        <v>400</v>
      </c>
      <c r="B443" s="336"/>
      <c r="C443" s="337"/>
      <c r="D443" s="337"/>
      <c r="E443" s="347"/>
      <c r="F443" s="362">
        <f>SUM(F444:F447)</f>
        <v>531.02</v>
      </c>
      <c r="G443" s="362">
        <f>SUM(G444:G447)</f>
        <v>6991.57</v>
      </c>
      <c r="H443" s="362">
        <f>SUM(H444:H447)</f>
        <v>0</v>
      </c>
      <c r="I443" s="362">
        <f>SUM(I444:I447)</f>
        <v>1718.48</v>
      </c>
      <c r="J443" s="362">
        <f>SUM(J444:J447)</f>
        <v>1119.8</v>
      </c>
      <c r="K443" s="354"/>
      <c r="L443" s="362">
        <f>SUM(L444:L447)</f>
        <v>6354.28</v>
      </c>
      <c r="M443" s="354"/>
      <c r="N443" s="88"/>
      <c r="O443" s="362">
        <f>SUM(O444:O447)</f>
        <v>3206.5</v>
      </c>
      <c r="P443" s="354"/>
      <c r="Q443" s="123"/>
      <c r="R443" s="357"/>
      <c r="S443" s="88"/>
      <c r="T443" s="362">
        <f>SUM(T444:T447)</f>
        <v>385</v>
      </c>
      <c r="U443" s="354"/>
      <c r="V443" s="123"/>
      <c r="W443" s="357"/>
      <c r="X443" s="340"/>
      <c r="Y443" s="362">
        <f>SUM(Y444:Y447)</f>
        <v>1073.5999999999999</v>
      </c>
      <c r="Z443" s="354"/>
      <c r="AA443" s="30"/>
      <c r="AB443" s="357"/>
      <c r="AC443" s="88">
        <f>SUM(AC444:AC447)</f>
        <v>1500</v>
      </c>
      <c r="AD443" s="362">
        <f>SUM(AD444:AD447)</f>
        <v>6420.42</v>
      </c>
      <c r="AE443" s="90" t="str">
        <f>ROUND((AD443-Y443),2)&amp;" / "&amp;(ROUND((AD443-Y443)/(IF(Y443=0,0.0001,Y443)),3)*100)&amp;"%"</f>
        <v>5346,82 / 498%</v>
      </c>
      <c r="AF443" s="356" t="str">
        <f>ROUND(AD443-AC443,2) &amp; "  (" &amp; ROUND(100*(AD443-AC443)/AC443,1) &amp;"%)"</f>
        <v>4920,42  (328%)</v>
      </c>
      <c r="AG443" s="357"/>
      <c r="AH443" s="88">
        <f>SUM(AH444:AH447)</f>
        <v>1530</v>
      </c>
      <c r="AI443" s="362">
        <f>SUM(AI444:AI447)</f>
        <v>868.85</v>
      </c>
      <c r="AJ443" s="90"/>
      <c r="AK443" s="30"/>
      <c r="AL443" s="357"/>
      <c r="AM443" s="88"/>
      <c r="AN443" s="362">
        <f>SUM(AN444:AN447)</f>
        <v>2619.65</v>
      </c>
      <c r="AO443" s="29"/>
      <c r="AP443" s="30"/>
      <c r="AQ443" s="357"/>
      <c r="AR443" s="88"/>
      <c r="AS443" s="338"/>
      <c r="AT443" s="29"/>
      <c r="AU443" s="30"/>
      <c r="AV443" s="357"/>
    </row>
    <row r="444" spans="1:48" s="62" customFormat="1" hidden="1" outlineLevel="3" x14ac:dyDescent="0.3">
      <c r="A444" s="190" t="s">
        <v>401</v>
      </c>
      <c r="B444" s="336"/>
      <c r="C444" s="337"/>
      <c r="D444" s="337"/>
      <c r="E444" s="347"/>
      <c r="F444" s="368"/>
      <c r="G444" s="368"/>
      <c r="H444" s="368"/>
      <c r="I444" s="368"/>
      <c r="J444" s="368"/>
      <c r="K444" s="354"/>
      <c r="L444" s="368"/>
      <c r="M444" s="354"/>
      <c r="N444" s="88"/>
      <c r="O444" s="368"/>
      <c r="P444" s="354"/>
      <c r="Q444" s="123"/>
      <c r="R444" s="357"/>
      <c r="S444" s="88"/>
      <c r="T444" s="368"/>
      <c r="U444" s="354"/>
      <c r="V444" s="123"/>
      <c r="W444" s="357"/>
      <c r="X444" s="340"/>
      <c r="Y444" s="368"/>
      <c r="Z444" s="354"/>
      <c r="AA444" s="30"/>
      <c r="AB444" s="357"/>
      <c r="AC444" s="88"/>
      <c r="AD444" s="368"/>
      <c r="AE444" s="90"/>
      <c r="AF444" s="30"/>
      <c r="AG444" s="357"/>
      <c r="AH444" s="88"/>
      <c r="AI444" s="368"/>
      <c r="AJ444" s="90"/>
      <c r="AK444" s="30"/>
      <c r="AL444" s="357"/>
      <c r="AM444" s="88"/>
      <c r="AN444" s="368"/>
      <c r="AO444" s="29"/>
      <c r="AP444" s="30"/>
      <c r="AQ444" s="357"/>
      <c r="AR444" s="88"/>
      <c r="AS444" s="338"/>
      <c r="AT444" s="29"/>
      <c r="AU444" s="30"/>
      <c r="AV444" s="357"/>
    </row>
    <row r="445" spans="1:48" s="62" customFormat="1" hidden="1" outlineLevel="3" x14ac:dyDescent="0.3">
      <c r="A445" s="190" t="s">
        <v>402</v>
      </c>
      <c r="B445" s="336"/>
      <c r="C445" s="337"/>
      <c r="D445" s="337"/>
      <c r="E445" s="347" t="str">
        <f>B202</f>
        <v>6150/01826 Travx Chauffage           (1100)</v>
      </c>
      <c r="F445" s="368">
        <f>F202</f>
        <v>0</v>
      </c>
      <c r="G445" s="368">
        <f>G202</f>
        <v>0</v>
      </c>
      <c r="H445" s="368">
        <f>H202</f>
        <v>0</v>
      </c>
      <c r="I445" s="368">
        <f>I202</f>
        <v>0</v>
      </c>
      <c r="J445" s="250">
        <f>J202</f>
        <v>0</v>
      </c>
      <c r="K445" s="354"/>
      <c r="L445" s="250">
        <f>L202</f>
        <v>184.8</v>
      </c>
      <c r="M445" s="354"/>
      <c r="N445" s="88"/>
      <c r="O445" s="250">
        <f>O202</f>
        <v>0</v>
      </c>
      <c r="P445" s="354"/>
      <c r="Q445" s="123"/>
      <c r="R445" s="357"/>
      <c r="S445" s="88"/>
      <c r="T445" s="250">
        <f>T202</f>
        <v>0</v>
      </c>
      <c r="U445" s="354"/>
      <c r="V445" s="123"/>
      <c r="W445" s="357"/>
      <c r="X445" s="340"/>
      <c r="Y445" s="250">
        <f>Y202</f>
        <v>446.6</v>
      </c>
      <c r="Z445" s="354"/>
      <c r="AA445" s="30"/>
      <c r="AB445" s="357"/>
      <c r="AC445" s="88">
        <f>AC202</f>
        <v>0</v>
      </c>
      <c r="AD445" s="250">
        <f>AD202</f>
        <v>0</v>
      </c>
      <c r="AE445" s="90"/>
      <c r="AF445" s="30"/>
      <c r="AG445" s="357"/>
      <c r="AH445" s="88">
        <f>AH202</f>
        <v>0</v>
      </c>
      <c r="AI445" s="250">
        <f>AI202</f>
        <v>0</v>
      </c>
      <c r="AJ445" s="90"/>
      <c r="AK445" s="30"/>
      <c r="AL445" s="357"/>
      <c r="AM445" s="88"/>
      <c r="AN445" s="250">
        <f>AN202</f>
        <v>0</v>
      </c>
      <c r="AO445" s="29"/>
      <c r="AP445" s="30"/>
      <c r="AQ445" s="357"/>
      <c r="AR445" s="88"/>
      <c r="AS445" s="338"/>
      <c r="AT445" s="29"/>
      <c r="AU445" s="30"/>
      <c r="AV445" s="357"/>
    </row>
    <row r="446" spans="1:48" s="62" customFormat="1" hidden="1" outlineLevel="3" x14ac:dyDescent="0.3">
      <c r="A446" s="190" t="s">
        <v>403</v>
      </c>
      <c r="B446" s="336"/>
      <c r="C446" s="337"/>
      <c r="D446" s="337"/>
      <c r="E446" s="347" t="str">
        <f>B304</f>
        <v>6150/65825  EntretienChauff.</v>
      </c>
      <c r="F446" s="250">
        <f t="shared" ref="F446:J447" si="404">F304</f>
        <v>531.02</v>
      </c>
      <c r="G446" s="250">
        <f t="shared" si="404"/>
        <v>1062.04</v>
      </c>
      <c r="H446" s="250">
        <f t="shared" si="404"/>
        <v>0</v>
      </c>
      <c r="I446" s="250">
        <f t="shared" si="404"/>
        <v>0</v>
      </c>
      <c r="J446" s="250">
        <f t="shared" si="404"/>
        <v>0</v>
      </c>
      <c r="K446" s="354"/>
      <c r="L446" s="250">
        <f>L304</f>
        <v>582</v>
      </c>
      <c r="M446" s="354"/>
      <c r="N446" s="88"/>
      <c r="O446" s="250">
        <f>O304</f>
        <v>0</v>
      </c>
      <c r="P446" s="354"/>
      <c r="Q446" s="123"/>
      <c r="R446" s="357"/>
      <c r="S446" s="88"/>
      <c r="T446" s="250">
        <f>T304</f>
        <v>0</v>
      </c>
      <c r="U446" s="354"/>
      <c r="V446" s="123"/>
      <c r="W446" s="357"/>
      <c r="X446" s="340"/>
      <c r="Y446" s="250">
        <f>Y304</f>
        <v>0</v>
      </c>
      <c r="Z446" s="354"/>
      <c r="AA446" s="30"/>
      <c r="AB446" s="357"/>
      <c r="AC446" s="88">
        <f>AC304</f>
        <v>0</v>
      </c>
      <c r="AD446" s="250">
        <f>AD304</f>
        <v>720</v>
      </c>
      <c r="AE446" s="90"/>
      <c r="AF446" s="30"/>
      <c r="AG446" s="357"/>
      <c r="AH446" s="88">
        <f>AH304</f>
        <v>0</v>
      </c>
      <c r="AI446" s="250">
        <f>AI304</f>
        <v>867.85</v>
      </c>
      <c r="AJ446" s="90"/>
      <c r="AK446" s="30"/>
      <c r="AL446" s="357"/>
      <c r="AM446" s="88"/>
      <c r="AN446" s="250">
        <f>AN304</f>
        <v>0</v>
      </c>
      <c r="AO446" s="29"/>
      <c r="AP446" s="30"/>
      <c r="AQ446" s="357"/>
      <c r="AR446" s="88"/>
      <c r="AS446" s="338"/>
      <c r="AT446" s="29"/>
      <c r="AU446" s="30"/>
      <c r="AV446" s="357"/>
    </row>
    <row r="447" spans="1:48" s="62" customFormat="1" hidden="1" outlineLevel="3" x14ac:dyDescent="0.3">
      <c r="A447" s="190" t="s">
        <v>404</v>
      </c>
      <c r="B447" s="336"/>
      <c r="C447" s="337"/>
      <c r="D447" s="337"/>
      <c r="E447" s="347" t="str">
        <f>B305</f>
        <v>6150/65826 Travaux Chauffage</v>
      </c>
      <c r="F447" s="250">
        <f t="shared" si="404"/>
        <v>0</v>
      </c>
      <c r="G447" s="250">
        <f t="shared" si="404"/>
        <v>5929.53</v>
      </c>
      <c r="H447" s="250">
        <f t="shared" si="404"/>
        <v>0</v>
      </c>
      <c r="I447" s="250">
        <f t="shared" si="404"/>
        <v>1718.48</v>
      </c>
      <c r="J447" s="250">
        <f t="shared" si="404"/>
        <v>1119.8</v>
      </c>
      <c r="K447" s="354"/>
      <c r="L447" s="250">
        <f>L305</f>
        <v>5587.48</v>
      </c>
      <c r="M447" s="354"/>
      <c r="N447" s="88"/>
      <c r="O447" s="250">
        <f>O305</f>
        <v>3206.5</v>
      </c>
      <c r="P447" s="354"/>
      <c r="Q447" s="123"/>
      <c r="R447" s="357"/>
      <c r="S447" s="88"/>
      <c r="T447" s="250">
        <f>T305</f>
        <v>385</v>
      </c>
      <c r="U447" s="354"/>
      <c r="V447" s="123"/>
      <c r="W447" s="357"/>
      <c r="X447" s="340"/>
      <c r="Y447" s="250">
        <f>Y305</f>
        <v>627</v>
      </c>
      <c r="Z447" s="354"/>
      <c r="AA447" s="30"/>
      <c r="AB447" s="357"/>
      <c r="AC447" s="88">
        <f>AC305</f>
        <v>1500</v>
      </c>
      <c r="AD447" s="250">
        <f>AD305</f>
        <v>5700.42</v>
      </c>
      <c r="AE447" s="90"/>
      <c r="AF447" s="30"/>
      <c r="AG447" s="357"/>
      <c r="AH447" s="88">
        <f>AH305</f>
        <v>1530</v>
      </c>
      <c r="AI447" s="250">
        <f>AI305</f>
        <v>1</v>
      </c>
      <c r="AJ447" s="90"/>
      <c r="AK447" s="30"/>
      <c r="AL447" s="357"/>
      <c r="AM447" s="88"/>
      <c r="AN447" s="250">
        <f>AN305</f>
        <v>2619.65</v>
      </c>
      <c r="AO447" s="29"/>
      <c r="AP447" s="30"/>
      <c r="AQ447" s="357"/>
      <c r="AR447" s="88"/>
      <c r="AS447" s="338"/>
      <c r="AT447" s="29"/>
      <c r="AU447" s="30"/>
      <c r="AV447" s="357"/>
    </row>
    <row r="448" spans="1:48" s="62" customFormat="1" hidden="1" outlineLevel="2" collapsed="1" x14ac:dyDescent="0.3">
      <c r="A448" s="188" t="s">
        <v>405</v>
      </c>
      <c r="B448" s="336"/>
      <c r="C448" s="337"/>
      <c r="D448" s="337"/>
      <c r="E448" s="347"/>
      <c r="F448" s="362">
        <f>SUM(F449:F452)</f>
        <v>0</v>
      </c>
      <c r="G448" s="362">
        <f>SUM(G449:G452)</f>
        <v>693.94</v>
      </c>
      <c r="H448" s="362">
        <f>SUM(H449:H452)</f>
        <v>0</v>
      </c>
      <c r="I448" s="362">
        <f>SUM(I449:I452)</f>
        <v>12069.6</v>
      </c>
      <c r="J448" s="362">
        <f>SUM(J449:J452)</f>
        <v>3861.5300000000007</v>
      </c>
      <c r="K448" s="354"/>
      <c r="L448" s="362">
        <f>SUM(L449:L452)</f>
        <v>2674.07</v>
      </c>
      <c r="M448" s="354"/>
      <c r="N448" s="88"/>
      <c r="O448" s="362">
        <f>SUM(O449:O452)</f>
        <v>1273.17</v>
      </c>
      <c r="P448" s="354"/>
      <c r="Q448" s="123"/>
      <c r="R448" s="357"/>
      <c r="S448" s="88"/>
      <c r="T448" s="362">
        <f>SUM(T449:T452)</f>
        <v>3687.97</v>
      </c>
      <c r="U448" s="354"/>
      <c r="V448" s="123"/>
      <c r="W448" s="357"/>
      <c r="X448" s="340"/>
      <c r="Y448" s="362">
        <f>SUM(Y449:Y452)</f>
        <v>3757.8</v>
      </c>
      <c r="Z448" s="354"/>
      <c r="AA448" s="30"/>
      <c r="AB448" s="357"/>
      <c r="AC448" s="88">
        <f>SUM(AC449:AC452)</f>
        <v>2200</v>
      </c>
      <c r="AD448" s="362">
        <f>SUM(AD449:AD452)</f>
        <v>4706.41</v>
      </c>
      <c r="AE448" s="90" t="str">
        <f>ROUND((AD448-Y448),2)&amp;" / "&amp;(ROUND((AD448-Y448)/(IF(Y448=0,0.0001,Y448)),3)*100)&amp;"%"</f>
        <v>948,61 / 25,2%</v>
      </c>
      <c r="AF448" s="30"/>
      <c r="AG448" s="357"/>
      <c r="AH448" s="88">
        <f>SUM(AH449:AH452)</f>
        <v>2250</v>
      </c>
      <c r="AI448" s="362">
        <f>SUM(AI449:AI452)</f>
        <v>2718.88</v>
      </c>
      <c r="AJ448" s="90"/>
      <c r="AK448" s="30"/>
      <c r="AL448" s="357"/>
      <c r="AM448" s="88"/>
      <c r="AN448" s="362">
        <f>SUM(AN449:AN452)</f>
        <v>115.85</v>
      </c>
      <c r="AO448" s="29"/>
      <c r="AP448" s="30"/>
      <c r="AQ448" s="357"/>
      <c r="AR448" s="88"/>
      <c r="AS448" s="338"/>
      <c r="AT448" s="29"/>
      <c r="AU448" s="30"/>
      <c r="AV448" s="357"/>
    </row>
    <row r="449" spans="1:48" s="62" customFormat="1" hidden="1" outlineLevel="3" collapsed="1" x14ac:dyDescent="0.3">
      <c r="A449" s="190" t="s">
        <v>406</v>
      </c>
      <c r="B449" s="336"/>
      <c r="C449" s="337"/>
      <c r="D449" s="337"/>
      <c r="E449" s="347" t="str">
        <f>B289</f>
        <v>6140/40802/600  Entretien Asc.</v>
      </c>
      <c r="F449" s="250">
        <f>F289</f>
        <v>0</v>
      </c>
      <c r="G449" s="250">
        <f>G289</f>
        <v>0</v>
      </c>
      <c r="H449" s="250">
        <f>H289</f>
        <v>0</v>
      </c>
      <c r="I449" s="250">
        <f>I289</f>
        <v>0</v>
      </c>
      <c r="J449" s="250">
        <f>J289</f>
        <v>0</v>
      </c>
      <c r="K449" s="354"/>
      <c r="L449" s="250">
        <f>L289</f>
        <v>2400</v>
      </c>
      <c r="M449" s="354"/>
      <c r="N449" s="88"/>
      <c r="O449" s="250">
        <f>O289</f>
        <v>0</v>
      </c>
      <c r="P449" s="354"/>
      <c r="Q449" s="123"/>
      <c r="R449" s="357"/>
      <c r="S449" s="88"/>
      <c r="T449" s="250">
        <f>T289</f>
        <v>0</v>
      </c>
      <c r="U449" s="354"/>
      <c r="V449" s="123"/>
      <c r="W449" s="357"/>
      <c r="X449" s="340"/>
      <c r="Y449" s="250">
        <f>Y289</f>
        <v>0</v>
      </c>
      <c r="Z449" s="354"/>
      <c r="AA449" s="30"/>
      <c r="AB449" s="357"/>
      <c r="AC449" s="88">
        <f>AC289</f>
        <v>0</v>
      </c>
      <c r="AD449" s="250">
        <f>AD289</f>
        <v>0</v>
      </c>
      <c r="AE449" s="90"/>
      <c r="AF449" s="30"/>
      <c r="AG449" s="357"/>
      <c r="AH449" s="88">
        <f>AH289</f>
        <v>2250</v>
      </c>
      <c r="AI449" s="250">
        <f>AI289</f>
        <v>0</v>
      </c>
      <c r="AJ449" s="90"/>
      <c r="AK449" s="30"/>
      <c r="AL449" s="357"/>
      <c r="AM449" s="88"/>
      <c r="AN449" s="250">
        <f>AN289</f>
        <v>115.85</v>
      </c>
      <c r="AO449" s="29"/>
      <c r="AP449" s="30"/>
      <c r="AQ449" s="357"/>
      <c r="AR449" s="88"/>
      <c r="AS449" s="338"/>
      <c r="AT449" s="29"/>
      <c r="AU449" s="30"/>
      <c r="AV449" s="357"/>
    </row>
    <row r="450" spans="1:48" s="62" customFormat="1" ht="16.149999999999999" hidden="1" customHeight="1" outlineLevel="4" x14ac:dyDescent="0.3">
      <c r="A450" s="196" t="s">
        <v>629</v>
      </c>
      <c r="B450" s="336"/>
      <c r="C450" s="337"/>
      <c r="D450" s="337"/>
      <c r="E450" s="347"/>
      <c r="F450" s="367"/>
      <c r="G450" s="367"/>
      <c r="H450" s="367"/>
      <c r="I450" s="367"/>
      <c r="J450" s="367"/>
      <c r="K450" s="354"/>
      <c r="L450" s="367"/>
      <c r="M450" s="354"/>
      <c r="N450" s="88"/>
      <c r="O450" s="367"/>
      <c r="P450" s="354"/>
      <c r="Q450" s="123"/>
      <c r="R450" s="357"/>
      <c r="S450" s="88"/>
      <c r="T450" s="367"/>
      <c r="U450" s="354"/>
      <c r="V450" s="123"/>
      <c r="W450" s="357"/>
      <c r="X450" s="340"/>
      <c r="Y450" s="367"/>
      <c r="Z450" s="354"/>
      <c r="AA450" s="30"/>
      <c r="AB450" s="357"/>
      <c r="AC450" s="88"/>
      <c r="AD450" s="367"/>
      <c r="AE450" s="90"/>
      <c r="AF450" s="30"/>
      <c r="AG450" s="357"/>
      <c r="AH450" s="88"/>
      <c r="AI450" s="367"/>
      <c r="AJ450" s="90"/>
      <c r="AK450" s="30"/>
      <c r="AL450" s="357"/>
      <c r="AM450" s="88"/>
      <c r="AN450" s="367"/>
      <c r="AO450" s="29"/>
      <c r="AP450" s="30"/>
      <c r="AQ450" s="357"/>
      <c r="AR450" s="88"/>
      <c r="AS450" s="338"/>
      <c r="AT450" s="29"/>
      <c r="AU450" s="30"/>
      <c r="AV450" s="357"/>
    </row>
    <row r="451" spans="1:48" s="62" customFormat="1" ht="16.149999999999999" hidden="1" customHeight="1" outlineLevel="4" x14ac:dyDescent="0.3">
      <c r="A451" s="196" t="s">
        <v>630</v>
      </c>
      <c r="B451" s="336"/>
      <c r="C451" s="337"/>
      <c r="D451" s="337"/>
      <c r="E451" s="347"/>
      <c r="F451" s="367"/>
      <c r="G451" s="367"/>
      <c r="H451" s="367"/>
      <c r="I451" s="367"/>
      <c r="J451" s="367"/>
      <c r="K451" s="354"/>
      <c r="L451" s="367"/>
      <c r="M451" s="354"/>
      <c r="N451" s="88"/>
      <c r="O451" s="367"/>
      <c r="P451" s="354"/>
      <c r="Q451" s="123"/>
      <c r="R451" s="357"/>
      <c r="S451" s="88"/>
      <c r="T451" s="367"/>
      <c r="U451" s="354"/>
      <c r="V451" s="123"/>
      <c r="W451" s="357"/>
      <c r="X451" s="340"/>
      <c r="Y451" s="367"/>
      <c r="Z451" s="354"/>
      <c r="AA451" s="30"/>
      <c r="AB451" s="357"/>
      <c r="AC451" s="88"/>
      <c r="AD451" s="367"/>
      <c r="AE451" s="90"/>
      <c r="AF451" s="30"/>
      <c r="AG451" s="357"/>
      <c r="AH451" s="88"/>
      <c r="AI451" s="367">
        <f>SUM(AI292)</f>
        <v>2100</v>
      </c>
      <c r="AJ451" s="90"/>
      <c r="AK451" s="30"/>
      <c r="AL451" s="357"/>
      <c r="AM451" s="88"/>
      <c r="AN451" s="367">
        <f>SUM(AN292)</f>
        <v>0</v>
      </c>
      <c r="AO451" s="29"/>
      <c r="AP451" s="30"/>
      <c r="AQ451" s="357"/>
      <c r="AR451" s="88"/>
      <c r="AS451" s="338"/>
      <c r="AT451" s="29"/>
      <c r="AU451" s="30"/>
      <c r="AV451" s="357"/>
    </row>
    <row r="452" spans="1:48" s="62" customFormat="1" hidden="1" outlineLevel="3" x14ac:dyDescent="0.3">
      <c r="A452" s="190" t="s">
        <v>407</v>
      </c>
      <c r="B452" s="336"/>
      <c r="C452" s="337"/>
      <c r="D452" s="337"/>
      <c r="E452" s="347" t="str">
        <f>B290</f>
        <v>6150/40806/600 Travaux Asc.</v>
      </c>
      <c r="F452" s="250">
        <f>F290</f>
        <v>0</v>
      </c>
      <c r="G452" s="250">
        <f>G290</f>
        <v>693.94</v>
      </c>
      <c r="H452" s="250">
        <f>H290</f>
        <v>0</v>
      </c>
      <c r="I452" s="250">
        <f>I290</f>
        <v>12069.6</v>
      </c>
      <c r="J452" s="250">
        <f>J290</f>
        <v>3861.5300000000007</v>
      </c>
      <c r="K452" s="354"/>
      <c r="L452" s="250">
        <f>L290</f>
        <v>274.07</v>
      </c>
      <c r="M452" s="354"/>
      <c r="N452" s="88"/>
      <c r="O452" s="250">
        <f>O290</f>
        <v>1273.17</v>
      </c>
      <c r="P452" s="354"/>
      <c r="Q452" s="123"/>
      <c r="R452" s="357"/>
      <c r="S452" s="88"/>
      <c r="T452" s="250">
        <f>T290</f>
        <v>3687.97</v>
      </c>
      <c r="U452" s="354"/>
      <c r="V452" s="123"/>
      <c r="W452" s="357"/>
      <c r="X452" s="340"/>
      <c r="Y452" s="250">
        <f>Y290</f>
        <v>3757.8</v>
      </c>
      <c r="Z452" s="354"/>
      <c r="AA452" s="30"/>
      <c r="AB452" s="357"/>
      <c r="AC452" s="88">
        <f>AC290</f>
        <v>2200</v>
      </c>
      <c r="AD452" s="250">
        <f>AD290</f>
        <v>4706.41</v>
      </c>
      <c r="AE452" s="90"/>
      <c r="AF452" s="30"/>
      <c r="AG452" s="357"/>
      <c r="AH452" s="88">
        <f>AH290</f>
        <v>0</v>
      </c>
      <c r="AI452" s="250">
        <f>AI290</f>
        <v>618.88</v>
      </c>
      <c r="AJ452" s="90"/>
      <c r="AK452" s="30"/>
      <c r="AL452" s="357"/>
      <c r="AM452" s="88"/>
      <c r="AN452" s="250">
        <f>AN290</f>
        <v>0</v>
      </c>
      <c r="AO452" s="29"/>
      <c r="AP452" s="30"/>
      <c r="AQ452" s="357"/>
      <c r="AR452" s="88"/>
      <c r="AS452" s="338"/>
      <c r="AT452" s="29"/>
      <c r="AU452" s="30"/>
      <c r="AV452" s="357"/>
    </row>
    <row r="453" spans="1:48" s="62" customFormat="1" hidden="1" outlineLevel="2" collapsed="1" x14ac:dyDescent="0.3">
      <c r="A453" s="188" t="s">
        <v>408</v>
      </c>
      <c r="B453" s="336"/>
      <c r="C453" s="337"/>
      <c r="D453" s="337"/>
      <c r="E453" s="347"/>
      <c r="F453" s="362">
        <f>SUM(F454:F456)</f>
        <v>0</v>
      </c>
      <c r="G453" s="362">
        <f>SUM(G454:G456)</f>
        <v>0</v>
      </c>
      <c r="H453" s="362">
        <f>SUM(H454:H456)</f>
        <v>0</v>
      </c>
      <c r="I453" s="362">
        <f>SUM(I454:I456)</f>
        <v>0</v>
      </c>
      <c r="J453" s="362">
        <f>SUM(J454:J456)</f>
        <v>233.2</v>
      </c>
      <c r="K453" s="354"/>
      <c r="L453" s="362">
        <f>SUM(L454:L456)</f>
        <v>168.3</v>
      </c>
      <c r="M453" s="354"/>
      <c r="N453" s="88"/>
      <c r="O453" s="362">
        <f>SUM(O454:O456)</f>
        <v>183.5</v>
      </c>
      <c r="P453" s="354"/>
      <c r="Q453" s="123"/>
      <c r="R453" s="357"/>
      <c r="S453" s="88"/>
      <c r="T453" s="362">
        <f>SUM(T454:T456)</f>
        <v>1540</v>
      </c>
      <c r="U453" s="354"/>
      <c r="V453" s="123"/>
      <c r="W453" s="357"/>
      <c r="X453" s="340"/>
      <c r="Y453" s="362">
        <f>SUM(Y454:Y456)</f>
        <v>858</v>
      </c>
      <c r="Z453" s="354"/>
      <c r="AA453" s="30"/>
      <c r="AB453" s="357"/>
      <c r="AC453" s="88">
        <f>SUM(AC454:AC456)</f>
        <v>0</v>
      </c>
      <c r="AD453" s="362">
        <f>SUM(AD454:AD456)</f>
        <v>2070.75</v>
      </c>
      <c r="AE453" s="90" t="str">
        <f>ROUND((AD453-Y453),2)&amp;" / "&amp;(ROUND((AD453-Y453)/(IF(Y453=0,0.0001,Y453)),3)*100)&amp;"%"</f>
        <v>1212,75 / 141,3%</v>
      </c>
      <c r="AF453" s="30"/>
      <c r="AG453" s="357"/>
      <c r="AH453" s="88">
        <f>SUM(AH454:AH456)</f>
        <v>0</v>
      </c>
      <c r="AI453" s="362">
        <f>SUM(AI454:AI456)</f>
        <v>1992.1</v>
      </c>
      <c r="AJ453" s="90"/>
      <c r="AK453" s="30"/>
      <c r="AL453" s="357"/>
      <c r="AM453" s="88"/>
      <c r="AN453" s="362">
        <f>SUM(AN454:AN456)</f>
        <v>1056</v>
      </c>
      <c r="AO453" s="29"/>
      <c r="AP453" s="30"/>
      <c r="AQ453" s="357"/>
      <c r="AR453" s="88"/>
      <c r="AS453" s="338"/>
      <c r="AT453" s="29"/>
      <c r="AU453" s="30"/>
      <c r="AV453" s="357"/>
    </row>
    <row r="454" spans="1:48" s="62" customFormat="1" hidden="1" outlineLevel="3" x14ac:dyDescent="0.3">
      <c r="A454" s="190" t="s">
        <v>409</v>
      </c>
      <c r="B454" s="336"/>
      <c r="C454" s="337"/>
      <c r="D454" s="337"/>
      <c r="E454" s="347" t="str">
        <f>B209</f>
        <v>6150/01866 Travaux VideOrdure           (1170)</v>
      </c>
      <c r="F454" s="250">
        <f>F209</f>
        <v>0</v>
      </c>
      <c r="G454" s="250">
        <f>G209</f>
        <v>0</v>
      </c>
      <c r="H454" s="250">
        <f>H209</f>
        <v>0</v>
      </c>
      <c r="I454" s="250">
        <f>I209</f>
        <v>0</v>
      </c>
      <c r="J454" s="250">
        <f>J209</f>
        <v>0</v>
      </c>
      <c r="K454" s="354"/>
      <c r="L454" s="250">
        <f>L209</f>
        <v>168.3</v>
      </c>
      <c r="M454" s="354"/>
      <c r="N454" s="88"/>
      <c r="O454" s="250">
        <f>O209</f>
        <v>183.5</v>
      </c>
      <c r="P454" s="354"/>
      <c r="Q454" s="123"/>
      <c r="R454" s="357"/>
      <c r="S454" s="88"/>
      <c r="T454" s="250">
        <f>T209</f>
        <v>1012</v>
      </c>
      <c r="U454" s="354"/>
      <c r="V454" s="123"/>
      <c r="W454" s="357"/>
      <c r="X454" s="340"/>
      <c r="Y454" s="250">
        <f>Y209</f>
        <v>0</v>
      </c>
      <c r="Z454" s="354"/>
      <c r="AA454" s="30"/>
      <c r="AB454" s="357"/>
      <c r="AC454" s="88">
        <f>AC209</f>
        <v>0</v>
      </c>
      <c r="AD454" s="250">
        <f>AD209</f>
        <v>1350.25</v>
      </c>
      <c r="AE454" s="90"/>
      <c r="AF454" s="30"/>
      <c r="AG454" s="357"/>
      <c r="AH454" s="88">
        <f>AH209</f>
        <v>0</v>
      </c>
      <c r="AI454" s="250">
        <f>AI209</f>
        <v>1783.1</v>
      </c>
      <c r="AJ454" s="90"/>
      <c r="AK454" s="30"/>
      <c r="AL454" s="357"/>
      <c r="AM454" s="88"/>
      <c r="AN454" s="250">
        <f>AN209</f>
        <v>1056</v>
      </c>
      <c r="AO454" s="29"/>
      <c r="AP454" s="30"/>
      <c r="AQ454" s="357"/>
      <c r="AR454" s="88"/>
      <c r="AS454" s="338"/>
      <c r="AT454" s="29"/>
      <c r="AU454" s="30"/>
      <c r="AV454" s="357"/>
    </row>
    <row r="455" spans="1:48" s="62" customFormat="1" hidden="1" outlineLevel="3" x14ac:dyDescent="0.3">
      <c r="A455" s="190" t="s">
        <v>410</v>
      </c>
      <c r="B455" s="336"/>
      <c r="C455" s="337"/>
      <c r="D455" s="337"/>
      <c r="E455" s="347" t="str">
        <f>B95</f>
        <v>6140/01165  Interv.Dératisation           (0130)</v>
      </c>
      <c r="F455" s="250">
        <f>F95</f>
        <v>0</v>
      </c>
      <c r="G455" s="250">
        <f>G95</f>
        <v>0</v>
      </c>
      <c r="H455" s="250">
        <f>H95</f>
        <v>0</v>
      </c>
      <c r="I455" s="250">
        <f>I95</f>
        <v>0</v>
      </c>
      <c r="J455" s="250">
        <f>J95</f>
        <v>0</v>
      </c>
      <c r="K455" s="354"/>
      <c r="L455" s="250">
        <f>L95</f>
        <v>0</v>
      </c>
      <c r="M455" s="354"/>
      <c r="N455" s="88"/>
      <c r="O455" s="250">
        <f>O95</f>
        <v>0</v>
      </c>
      <c r="P455" s="354"/>
      <c r="Q455" s="123"/>
      <c r="R455" s="357"/>
      <c r="S455" s="88"/>
      <c r="T455" s="250">
        <f>T95</f>
        <v>528</v>
      </c>
      <c r="U455" s="354"/>
      <c r="V455" s="123"/>
      <c r="W455" s="357"/>
      <c r="X455" s="340"/>
      <c r="Y455" s="250">
        <f>Y95</f>
        <v>0</v>
      </c>
      <c r="Z455" s="354"/>
      <c r="AA455" s="30"/>
      <c r="AB455" s="357"/>
      <c r="AC455" s="88">
        <f>AC95</f>
        <v>0</v>
      </c>
      <c r="AD455" s="250">
        <f>AD95</f>
        <v>528</v>
      </c>
      <c r="AE455" s="90"/>
      <c r="AF455" s="30"/>
      <c r="AG455" s="357"/>
      <c r="AH455" s="88">
        <f>AH95</f>
        <v>0</v>
      </c>
      <c r="AI455" s="250">
        <f>AI95</f>
        <v>0</v>
      </c>
      <c r="AJ455" s="90"/>
      <c r="AK455" s="30"/>
      <c r="AL455" s="357"/>
      <c r="AM455" s="88"/>
      <c r="AN455" s="250">
        <f>AN95</f>
        <v>0</v>
      </c>
      <c r="AO455" s="29"/>
      <c r="AP455" s="30"/>
      <c r="AQ455" s="357"/>
      <c r="AR455" s="88"/>
      <c r="AS455" s="338"/>
      <c r="AT455" s="29"/>
      <c r="AU455" s="30"/>
      <c r="AV455" s="357"/>
    </row>
    <row r="456" spans="1:48" s="62" customFormat="1" hidden="1" outlineLevel="3" collapsed="1" x14ac:dyDescent="0.3">
      <c r="A456" s="190" t="s">
        <v>411</v>
      </c>
      <c r="B456" s="336"/>
      <c r="C456" s="337"/>
      <c r="D456" s="337"/>
      <c r="E456" s="347" t="str">
        <f>B96</f>
        <v>6140/01163  Travx.Désinsect.               (0140)</v>
      </c>
      <c r="F456" s="366">
        <f>SUM(F457:F458)</f>
        <v>0</v>
      </c>
      <c r="G456" s="366">
        <f>SUM(G457:G458)</f>
        <v>0</v>
      </c>
      <c r="H456" s="366">
        <f>SUM(H457:H458)</f>
        <v>0</v>
      </c>
      <c r="I456" s="366">
        <f>SUM(I457:I458)</f>
        <v>0</v>
      </c>
      <c r="J456" s="366">
        <f>SUM(J457:J458)</f>
        <v>233.2</v>
      </c>
      <c r="K456" s="354">
        <f>H96</f>
        <v>0</v>
      </c>
      <c r="L456" s="366">
        <f>SUM(L457:L458)</f>
        <v>0</v>
      </c>
      <c r="M456" s="354">
        <f>J96</f>
        <v>0</v>
      </c>
      <c r="N456" s="88"/>
      <c r="O456" s="366">
        <f>SUM(O457:O458)</f>
        <v>0</v>
      </c>
      <c r="P456" s="354">
        <f>M96</f>
        <v>0</v>
      </c>
      <c r="Q456" s="123"/>
      <c r="R456" s="357"/>
      <c r="S456" s="88"/>
      <c r="T456" s="366">
        <f>SUM(T457:T458)</f>
        <v>0</v>
      </c>
      <c r="U456" s="354">
        <f>P96</f>
        <v>0</v>
      </c>
      <c r="V456" s="123"/>
      <c r="W456" s="357"/>
      <c r="X456" s="340"/>
      <c r="Y456" s="366">
        <f>SUM(Y457:Y458)</f>
        <v>858</v>
      </c>
      <c r="Z456" s="354" t="str">
        <f>W96</f>
        <v/>
      </c>
      <c r="AA456" s="30"/>
      <c r="AB456" s="357"/>
      <c r="AC456" s="88">
        <f>SUM(AC457:AC458)</f>
        <v>0</v>
      </c>
      <c r="AD456" s="366">
        <f>SUM(AD457:AD458)</f>
        <v>192.5</v>
      </c>
      <c r="AE456" s="90" t="str">
        <f>AB96</f>
        <v/>
      </c>
      <c r="AF456" s="30"/>
      <c r="AG456" s="357"/>
      <c r="AH456" s="88">
        <f>SUM(AH457:AH458)</f>
        <v>0</v>
      </c>
      <c r="AI456" s="366">
        <f>SUM(AI457:AI458)</f>
        <v>209</v>
      </c>
      <c r="AJ456" s="90"/>
      <c r="AK456" s="30"/>
      <c r="AL456" s="357"/>
      <c r="AM456" s="88"/>
      <c r="AN456" s="366">
        <f>SUM(AN457:AN458)</f>
        <v>0</v>
      </c>
      <c r="AO456" s="29"/>
      <c r="AP456" s="30"/>
      <c r="AQ456" s="357"/>
      <c r="AR456" s="88"/>
      <c r="AS456" s="338"/>
      <c r="AT456" s="29"/>
      <c r="AU456" s="30"/>
      <c r="AV456" s="357"/>
    </row>
    <row r="457" spans="1:48" s="62" customFormat="1" hidden="1" outlineLevel="4" x14ac:dyDescent="0.3">
      <c r="A457" s="196" t="s">
        <v>412</v>
      </c>
      <c r="B457" s="336"/>
      <c r="C457" s="337"/>
      <c r="D457" s="337"/>
      <c r="E457" s="347" t="str">
        <f>B96</f>
        <v>6140/01163  Travx.Désinsect.               (0140)</v>
      </c>
      <c r="F457" s="367">
        <f t="shared" ref="F457:J458" si="405">F96</f>
        <v>0</v>
      </c>
      <c r="G457" s="367">
        <f t="shared" si="405"/>
        <v>0</v>
      </c>
      <c r="H457" s="367">
        <f t="shared" si="405"/>
        <v>0</v>
      </c>
      <c r="I457" s="367">
        <f t="shared" si="405"/>
        <v>0</v>
      </c>
      <c r="J457" s="367">
        <f t="shared" si="405"/>
        <v>0</v>
      </c>
      <c r="K457" s="354">
        <f>H96</f>
        <v>0</v>
      </c>
      <c r="L457" s="367">
        <f>L96</f>
        <v>0</v>
      </c>
      <c r="M457" s="354">
        <f>J96</f>
        <v>0</v>
      </c>
      <c r="N457" s="88"/>
      <c r="O457" s="367">
        <f>O96</f>
        <v>0</v>
      </c>
      <c r="P457" s="354">
        <f>M96</f>
        <v>0</v>
      </c>
      <c r="Q457" s="123"/>
      <c r="R457" s="357"/>
      <c r="S457" s="88"/>
      <c r="T457" s="367">
        <f>T96</f>
        <v>0</v>
      </c>
      <c r="U457" s="354">
        <f>P96</f>
        <v>0</v>
      </c>
      <c r="V457" s="123"/>
      <c r="W457" s="357"/>
      <c r="X457" s="340"/>
      <c r="Y457" s="367">
        <f>Y96</f>
        <v>0</v>
      </c>
      <c r="Z457" s="354" t="str">
        <f>W96</f>
        <v/>
      </c>
      <c r="AA457" s="30"/>
      <c r="AB457" s="357"/>
      <c r="AC457" s="88">
        <f>AC96</f>
        <v>0</v>
      </c>
      <c r="AD457" s="367">
        <f>AD96</f>
        <v>0</v>
      </c>
      <c r="AE457" s="90" t="str">
        <f>AB96</f>
        <v/>
      </c>
      <c r="AF457" s="30"/>
      <c r="AG457" s="357"/>
      <c r="AH457" s="88">
        <f>AH96</f>
        <v>0</v>
      </c>
      <c r="AI457" s="367">
        <f>AI96</f>
        <v>0</v>
      </c>
      <c r="AJ457" s="90"/>
      <c r="AK457" s="30"/>
      <c r="AL457" s="357"/>
      <c r="AM457" s="88"/>
      <c r="AN457" s="367">
        <f>AN96</f>
        <v>0</v>
      </c>
      <c r="AO457" s="29"/>
      <c r="AP457" s="30"/>
      <c r="AQ457" s="357"/>
      <c r="AR457" s="88"/>
      <c r="AS457" s="338"/>
      <c r="AT457" s="29"/>
      <c r="AU457" s="30"/>
      <c r="AV457" s="357"/>
    </row>
    <row r="458" spans="1:48" s="62" customFormat="1" hidden="1" outlineLevel="4" x14ac:dyDescent="0.3">
      <c r="A458" s="196" t="s">
        <v>413</v>
      </c>
      <c r="B458" s="336"/>
      <c r="C458" s="337"/>
      <c r="D458" s="337"/>
      <c r="E458" s="347" t="str">
        <f>B97</f>
        <v>6150/01166  Interv.Désinsect.           (0150)</v>
      </c>
      <c r="F458" s="367">
        <f t="shared" si="405"/>
        <v>0</v>
      </c>
      <c r="G458" s="367">
        <f t="shared" si="405"/>
        <v>0</v>
      </c>
      <c r="H458" s="367">
        <f t="shared" si="405"/>
        <v>0</v>
      </c>
      <c r="I458" s="367">
        <f t="shared" si="405"/>
        <v>0</v>
      </c>
      <c r="J458" s="367">
        <f t="shared" si="405"/>
        <v>233.2</v>
      </c>
      <c r="K458" s="354">
        <f>H97</f>
        <v>0</v>
      </c>
      <c r="L458" s="367">
        <f>L97</f>
        <v>0</v>
      </c>
      <c r="M458" s="354">
        <f>J97</f>
        <v>233.2</v>
      </c>
      <c r="N458" s="88"/>
      <c r="O458" s="367">
        <f>O97</f>
        <v>0</v>
      </c>
      <c r="P458" s="354">
        <f>M97</f>
        <v>0</v>
      </c>
      <c r="Q458" s="123"/>
      <c r="R458" s="357"/>
      <c r="S458" s="88"/>
      <c r="T458" s="367">
        <f>T97</f>
        <v>0</v>
      </c>
      <c r="U458" s="354">
        <f>P97</f>
        <v>0</v>
      </c>
      <c r="V458" s="123"/>
      <c r="W458" s="357"/>
      <c r="X458" s="340"/>
      <c r="Y458" s="367">
        <f>Y97</f>
        <v>858</v>
      </c>
      <c r="Z458" s="354" t="str">
        <f>W97</f>
        <v/>
      </c>
      <c r="AA458" s="30"/>
      <c r="AB458" s="357"/>
      <c r="AC458" s="88">
        <f>AC97</f>
        <v>0</v>
      </c>
      <c r="AD458" s="367">
        <f>AD97</f>
        <v>192.5</v>
      </c>
      <c r="AE458" s="90">
        <f>AB97</f>
        <v>2.7599445579249149E-3</v>
      </c>
      <c r="AF458" s="30"/>
      <c r="AG458" s="357"/>
      <c r="AH458" s="88">
        <f>AH97</f>
        <v>0</v>
      </c>
      <c r="AI458" s="367">
        <f>AI97</f>
        <v>209</v>
      </c>
      <c r="AJ458" s="90"/>
      <c r="AK458" s="30"/>
      <c r="AL458" s="357"/>
      <c r="AM458" s="88"/>
      <c r="AN458" s="367">
        <f>AN97</f>
        <v>0</v>
      </c>
      <c r="AO458" s="29"/>
      <c r="AP458" s="30"/>
      <c r="AQ458" s="357"/>
      <c r="AR458" s="88"/>
      <c r="AS458" s="338"/>
      <c r="AT458" s="29"/>
      <c r="AU458" s="30"/>
      <c r="AV458" s="357"/>
    </row>
    <row r="459" spans="1:48" s="62" customFormat="1" hidden="1" outlineLevel="2" collapsed="1" x14ac:dyDescent="0.3">
      <c r="A459" s="188" t="s">
        <v>414</v>
      </c>
      <c r="B459" s="336"/>
      <c r="C459" s="337"/>
      <c r="D459" s="337"/>
      <c r="E459" s="347"/>
      <c r="F459" s="362">
        <f>SUM(F460:F461,F466:F468)</f>
        <v>6014.22</v>
      </c>
      <c r="G459" s="362">
        <f>SUM(G460:G461,G466:G468)</f>
        <v>2056.2000000000003</v>
      </c>
      <c r="H459" s="362">
        <f>SUM(H460:H461,H466:H468)</f>
        <v>1362.1100000000001</v>
      </c>
      <c r="I459" s="362">
        <f>SUM(I460:I461,I466:I468)</f>
        <v>602.77</v>
      </c>
      <c r="J459" s="362">
        <f>SUM(J460:J461,J466:J468)</f>
        <v>3283.66</v>
      </c>
      <c r="K459" s="354"/>
      <c r="L459" s="362">
        <f>SUM(L460:L461,L466:L468)</f>
        <v>4014.3599999999997</v>
      </c>
      <c r="M459" s="354"/>
      <c r="N459" s="88"/>
      <c r="O459" s="362">
        <f>SUM(O460:O461,O466:O468)</f>
        <v>3321.74</v>
      </c>
      <c r="P459" s="354"/>
      <c r="Q459" s="123"/>
      <c r="R459" s="357"/>
      <c r="S459" s="88"/>
      <c r="T459" s="362">
        <f>SUM(T460:T461,T466:T468)</f>
        <v>2462.5399999999995</v>
      </c>
      <c r="U459" s="354"/>
      <c r="V459" s="123"/>
      <c r="W459" s="357"/>
      <c r="X459" s="340"/>
      <c r="Y459" s="362">
        <f>SUM(Y460:Y461,Y466:Y468)</f>
        <v>4127.6500000000005</v>
      </c>
      <c r="Z459" s="354"/>
      <c r="AA459" s="30"/>
      <c r="AB459" s="357"/>
      <c r="AC459" s="88">
        <f>SUM(AC460:AC461,AC466:AC468)</f>
        <v>3200</v>
      </c>
      <c r="AD459" s="362">
        <f>SUM(AD460:AD461,AD466:AD468)</f>
        <v>4430.92</v>
      </c>
      <c r="AE459" s="90" t="str">
        <f>ROUND((AD459-Y459),2)&amp;" / "&amp;(ROUND((AD459-Y459)/(IF(Y459=0,0.0001,Y459)),3)*100)&amp;"%"</f>
        <v>303,27 / 7,3%</v>
      </c>
      <c r="AF459" s="30"/>
      <c r="AG459" s="357"/>
      <c r="AH459" s="88">
        <f>SUM(AH460:AH461,AH466:AH468)</f>
        <v>3260</v>
      </c>
      <c r="AI459" s="362">
        <f>SUM(AI460:AI461,AI466:AI468)</f>
        <v>2810.33</v>
      </c>
      <c r="AJ459" s="90"/>
      <c r="AK459" s="30"/>
      <c r="AL459" s="357"/>
      <c r="AM459" s="88"/>
      <c r="AN459" s="362">
        <f>SUM(AN460:AN461,AN466:AN468)</f>
        <v>3088.58</v>
      </c>
      <c r="AO459" s="29"/>
      <c r="AP459" s="30"/>
      <c r="AQ459" s="357"/>
      <c r="AR459" s="88"/>
      <c r="AS459" s="338"/>
      <c r="AT459" s="29"/>
      <c r="AU459" s="30"/>
      <c r="AV459" s="357"/>
    </row>
    <row r="460" spans="1:48" s="62" customFormat="1" hidden="1" outlineLevel="3" x14ac:dyDescent="0.3">
      <c r="A460" s="190" t="s">
        <v>415</v>
      </c>
      <c r="B460" s="336"/>
      <c r="C460" s="337"/>
      <c r="D460" s="337"/>
      <c r="E460" s="347" t="str">
        <f>B182</f>
        <v>6060/01606   Trav.Interphone           (0926)</v>
      </c>
      <c r="F460" s="250">
        <f>F182</f>
        <v>2399.86</v>
      </c>
      <c r="G460" s="250">
        <f>G182</f>
        <v>130.82</v>
      </c>
      <c r="H460" s="250">
        <f>H182</f>
        <v>0</v>
      </c>
      <c r="I460" s="250">
        <f>I182</f>
        <v>0</v>
      </c>
      <c r="J460" s="250">
        <f>J182</f>
        <v>0</v>
      </c>
      <c r="K460" s="354">
        <f>H182</f>
        <v>0</v>
      </c>
      <c r="L460" s="250">
        <f>L182</f>
        <v>0</v>
      </c>
      <c r="M460" s="354">
        <f>J182</f>
        <v>0</v>
      </c>
      <c r="N460" s="88"/>
      <c r="O460" s="250">
        <f>O182</f>
        <v>0</v>
      </c>
      <c r="P460" s="354">
        <f>M182</f>
        <v>0</v>
      </c>
      <c r="Q460" s="123"/>
      <c r="R460" s="357"/>
      <c r="S460" s="88"/>
      <c r="T460" s="250">
        <f>T182</f>
        <v>0</v>
      </c>
      <c r="U460" s="354">
        <f>P182</f>
        <v>0</v>
      </c>
      <c r="V460" s="123"/>
      <c r="W460" s="357"/>
      <c r="X460" s="340"/>
      <c r="Y460" s="250">
        <f>Y182</f>
        <v>0</v>
      </c>
      <c r="Z460" s="354" t="str">
        <f>W182</f>
        <v/>
      </c>
      <c r="AA460" s="30"/>
      <c r="AB460" s="357"/>
      <c r="AC460" s="88">
        <f>AC182</f>
        <v>460</v>
      </c>
      <c r="AD460" s="250">
        <f>AD182</f>
        <v>0</v>
      </c>
      <c r="AE460" s="90" t="str">
        <f>AB182</f>
        <v/>
      </c>
      <c r="AF460" s="30"/>
      <c r="AG460" s="357"/>
      <c r="AH460" s="88">
        <f>AH182</f>
        <v>470</v>
      </c>
      <c r="AI460" s="250">
        <f>AI182</f>
        <v>140.80000000000001</v>
      </c>
      <c r="AJ460" s="90"/>
      <c r="AK460" s="30"/>
      <c r="AL460" s="357"/>
      <c r="AM460" s="88"/>
      <c r="AN460" s="250">
        <f>AN182</f>
        <v>0</v>
      </c>
      <c r="AO460" s="29"/>
      <c r="AP460" s="30"/>
      <c r="AQ460" s="357"/>
      <c r="AR460" s="88"/>
      <c r="AS460" s="338"/>
      <c r="AT460" s="29"/>
      <c r="AU460" s="30"/>
      <c r="AV460" s="357"/>
    </row>
    <row r="461" spans="1:48" s="62" customFormat="1" hidden="1" outlineLevel="3" collapsed="1" x14ac:dyDescent="0.3">
      <c r="A461" s="190" t="s">
        <v>625</v>
      </c>
      <c r="B461" s="336"/>
      <c r="C461" s="337"/>
      <c r="D461" s="337"/>
      <c r="E461" s="347"/>
      <c r="F461" s="366">
        <f>SUM(F462:F465)</f>
        <v>2956.11</v>
      </c>
      <c r="G461" s="366">
        <f>SUM(G462:G465)</f>
        <v>1267.0600000000002</v>
      </c>
      <c r="H461" s="366">
        <f>SUM(H462:H465)</f>
        <v>0</v>
      </c>
      <c r="I461" s="366">
        <f>SUM(I462:I465)</f>
        <v>0</v>
      </c>
      <c r="J461" s="366">
        <f>SUM(J462:J465)</f>
        <v>1441.44</v>
      </c>
      <c r="K461" s="354"/>
      <c r="L461" s="366">
        <f>SUM(L462:L465)</f>
        <v>2609.8599999999997</v>
      </c>
      <c r="M461" s="354"/>
      <c r="N461" s="88"/>
      <c r="O461" s="366">
        <f>SUM(O462:O465)</f>
        <v>1200.06</v>
      </c>
      <c r="P461" s="354"/>
      <c r="Q461" s="123"/>
      <c r="R461" s="357"/>
      <c r="S461" s="88"/>
      <c r="T461" s="366">
        <f>SUM(T462:T465)</f>
        <v>1372.8</v>
      </c>
      <c r="U461" s="354"/>
      <c r="V461" s="123"/>
      <c r="W461" s="357"/>
      <c r="X461" s="340"/>
      <c r="Y461" s="366">
        <f>SUM(Y462:Y465)</f>
        <v>2713.15</v>
      </c>
      <c r="Z461" s="354"/>
      <c r="AA461" s="30"/>
      <c r="AB461" s="357"/>
      <c r="AC461" s="88">
        <f>SUM(AC462:AC465)</f>
        <v>510</v>
      </c>
      <c r="AD461" s="366">
        <f>SUM(AD462:AD465)</f>
        <v>0</v>
      </c>
      <c r="AE461" s="90"/>
      <c r="AF461" s="30"/>
      <c r="AG461" s="357"/>
      <c r="AH461" s="88">
        <f>SUM(AH462:AH465)</f>
        <v>520</v>
      </c>
      <c r="AI461" s="366">
        <f>SUM(AI462:AI465)</f>
        <v>451</v>
      </c>
      <c r="AJ461" s="90"/>
      <c r="AK461" s="30"/>
      <c r="AL461" s="357"/>
      <c r="AM461" s="88"/>
      <c r="AN461" s="366">
        <f>SUM(AN462:AN465)</f>
        <v>3088.58</v>
      </c>
      <c r="AO461" s="29"/>
      <c r="AP461" s="30"/>
      <c r="AQ461" s="357"/>
      <c r="AR461" s="88"/>
      <c r="AS461" s="338"/>
      <c r="AT461" s="29"/>
      <c r="AU461" s="30"/>
      <c r="AV461" s="357"/>
    </row>
    <row r="462" spans="1:48" s="62" customFormat="1" hidden="1" outlineLevel="4" x14ac:dyDescent="0.3">
      <c r="A462" s="196" t="s">
        <v>416</v>
      </c>
      <c r="B462" s="336"/>
      <c r="C462" s="337"/>
      <c r="D462" s="337"/>
      <c r="E462" s="347" t="str">
        <f>B200</f>
        <v>6150/01792 Entretien PortesAuto     (1080)</v>
      </c>
      <c r="F462" s="367">
        <f t="shared" ref="F462:J463" si="406">F200</f>
        <v>0</v>
      </c>
      <c r="G462" s="367">
        <f t="shared" si="406"/>
        <v>180.41</v>
      </c>
      <c r="H462" s="367">
        <f t="shared" si="406"/>
        <v>0</v>
      </c>
      <c r="I462" s="367">
        <f t="shared" si="406"/>
        <v>0</v>
      </c>
      <c r="J462" s="367">
        <f t="shared" si="406"/>
        <v>0</v>
      </c>
      <c r="K462" s="354"/>
      <c r="L462" s="367">
        <f>L200</f>
        <v>447.7</v>
      </c>
      <c r="M462" s="354"/>
      <c r="N462" s="88"/>
      <c r="O462" s="367">
        <f>O200</f>
        <v>0</v>
      </c>
      <c r="P462" s="354"/>
      <c r="Q462" s="123"/>
      <c r="R462" s="357"/>
      <c r="S462" s="88"/>
      <c r="T462" s="367">
        <f>T200</f>
        <v>173.8</v>
      </c>
      <c r="U462" s="354"/>
      <c r="V462" s="123"/>
      <c r="W462" s="357"/>
      <c r="X462" s="340"/>
      <c r="Y462" s="367">
        <f>Y200</f>
        <v>264</v>
      </c>
      <c r="Z462" s="354"/>
      <c r="AA462" s="30"/>
      <c r="AB462" s="357"/>
      <c r="AC462" s="88">
        <f>AC200</f>
        <v>0</v>
      </c>
      <c r="AD462" s="367">
        <f>AD200</f>
        <v>0</v>
      </c>
      <c r="AE462" s="90"/>
      <c r="AF462" s="30"/>
      <c r="AG462" s="357"/>
      <c r="AH462" s="88">
        <f>AH200</f>
        <v>0</v>
      </c>
      <c r="AI462" s="367">
        <f>AI200</f>
        <v>0</v>
      </c>
      <c r="AJ462" s="90"/>
      <c r="AK462" s="30"/>
      <c r="AL462" s="357"/>
      <c r="AM462" s="88"/>
      <c r="AN462" s="367">
        <f>AN200</f>
        <v>1865.6</v>
      </c>
      <c r="AO462" s="29"/>
      <c r="AP462" s="30"/>
      <c r="AQ462" s="357"/>
      <c r="AR462" s="88"/>
      <c r="AS462" s="338"/>
      <c r="AT462" s="29"/>
      <c r="AU462" s="30"/>
      <c r="AV462" s="357"/>
    </row>
    <row r="463" spans="1:48" s="62" customFormat="1" hidden="1" outlineLevel="4" x14ac:dyDescent="0.3">
      <c r="A463" s="196" t="s">
        <v>417</v>
      </c>
      <c r="B463" s="336"/>
      <c r="C463" s="337"/>
      <c r="D463" s="337"/>
      <c r="E463" s="347" t="str">
        <f>B201</f>
        <v>6150/01793 Travx PortesAuto           (1090)</v>
      </c>
      <c r="F463" s="367">
        <f t="shared" si="406"/>
        <v>2956.11</v>
      </c>
      <c r="G463" s="367">
        <f t="shared" si="406"/>
        <v>1086.6500000000001</v>
      </c>
      <c r="H463" s="367">
        <f t="shared" si="406"/>
        <v>0</v>
      </c>
      <c r="I463" s="367">
        <f t="shared" si="406"/>
        <v>0</v>
      </c>
      <c r="J463" s="367">
        <f t="shared" si="406"/>
        <v>1441.44</v>
      </c>
      <c r="K463" s="354"/>
      <c r="L463" s="367">
        <f>L201</f>
        <v>2162.16</v>
      </c>
      <c r="M463" s="354"/>
      <c r="N463" s="88"/>
      <c r="O463" s="367">
        <f>O201</f>
        <v>421.3</v>
      </c>
      <c r="P463" s="354"/>
      <c r="Q463" s="123"/>
      <c r="R463" s="357"/>
      <c r="S463" s="88"/>
      <c r="T463" s="367">
        <f>T201</f>
        <v>1199</v>
      </c>
      <c r="U463" s="354"/>
      <c r="V463" s="123"/>
      <c r="W463" s="357"/>
      <c r="X463" s="340"/>
      <c r="Y463" s="367">
        <f>Y201</f>
        <v>2449.15</v>
      </c>
      <c r="Z463" s="354"/>
      <c r="AA463" s="30"/>
      <c r="AB463" s="357"/>
      <c r="AC463" s="88">
        <f>AC201</f>
        <v>510</v>
      </c>
      <c r="AD463" s="367">
        <f>AD201</f>
        <v>0</v>
      </c>
      <c r="AE463" s="90"/>
      <c r="AF463" s="30"/>
      <c r="AG463" s="357"/>
      <c r="AH463" s="88">
        <f>AH201</f>
        <v>520</v>
      </c>
      <c r="AI463" s="367">
        <f>AI201</f>
        <v>0</v>
      </c>
      <c r="AJ463" s="90"/>
      <c r="AK463" s="30"/>
      <c r="AL463" s="357"/>
      <c r="AM463" s="88"/>
      <c r="AN463" s="367">
        <f>AN201</f>
        <v>1222.98</v>
      </c>
      <c r="AO463" s="29"/>
      <c r="AP463" s="30"/>
      <c r="AQ463" s="357"/>
      <c r="AR463" s="88"/>
      <c r="AS463" s="338"/>
      <c r="AT463" s="29"/>
      <c r="AU463" s="30"/>
      <c r="AV463" s="357"/>
    </row>
    <row r="464" spans="1:48" s="62" customFormat="1" hidden="1" outlineLevel="4" x14ac:dyDescent="0.3">
      <c r="A464" s="196" t="s">
        <v>627</v>
      </c>
      <c r="B464" s="336"/>
      <c r="C464" s="337"/>
      <c r="D464" s="337"/>
      <c r="E464" s="347" t="str">
        <f>B89</f>
        <v>6150/01135   Entr.Menuiserie           (0080)</v>
      </c>
      <c r="F464" s="367">
        <f t="shared" ref="F464:AI464" si="407">F89</f>
        <v>0</v>
      </c>
      <c r="G464" s="367">
        <f t="shared" si="407"/>
        <v>0</v>
      </c>
      <c r="H464" s="367">
        <f t="shared" si="407"/>
        <v>0</v>
      </c>
      <c r="I464" s="367">
        <f t="shared" si="407"/>
        <v>0</v>
      </c>
      <c r="J464" s="367">
        <f t="shared" si="407"/>
        <v>0</v>
      </c>
      <c r="K464" s="354">
        <f t="shared" si="407"/>
        <v>0</v>
      </c>
      <c r="L464" s="367">
        <f t="shared" si="407"/>
        <v>0</v>
      </c>
      <c r="M464" s="354">
        <f t="shared" si="407"/>
        <v>0</v>
      </c>
      <c r="N464" s="88">
        <f t="shared" si="407"/>
        <v>0</v>
      </c>
      <c r="O464" s="367">
        <f t="shared" si="407"/>
        <v>0</v>
      </c>
      <c r="P464" s="354">
        <f t="shared" si="407"/>
        <v>0</v>
      </c>
      <c r="Q464" s="123">
        <f t="shared" si="407"/>
        <v>0</v>
      </c>
      <c r="R464" s="357">
        <f t="shared" si="407"/>
        <v>0</v>
      </c>
      <c r="S464" s="88">
        <f t="shared" si="407"/>
        <v>0</v>
      </c>
      <c r="T464" s="367">
        <f t="shared" si="407"/>
        <v>0</v>
      </c>
      <c r="U464" s="354">
        <f t="shared" si="407"/>
        <v>0</v>
      </c>
      <c r="V464" s="123">
        <f t="shared" si="407"/>
        <v>0</v>
      </c>
      <c r="W464" s="357">
        <f t="shared" si="407"/>
        <v>0</v>
      </c>
      <c r="X464" s="340">
        <f t="shared" si="407"/>
        <v>0</v>
      </c>
      <c r="Y464" s="367">
        <f t="shared" si="407"/>
        <v>0</v>
      </c>
      <c r="Z464" s="354">
        <f t="shared" si="407"/>
        <v>0</v>
      </c>
      <c r="AA464" s="30">
        <f t="shared" si="407"/>
        <v>0</v>
      </c>
      <c r="AB464" s="357">
        <f t="shared" si="407"/>
        <v>0</v>
      </c>
      <c r="AC464" s="88">
        <f t="shared" si="407"/>
        <v>0</v>
      </c>
      <c r="AD464" s="367">
        <f t="shared" si="407"/>
        <v>0</v>
      </c>
      <c r="AE464" s="90">
        <f t="shared" si="407"/>
        <v>0</v>
      </c>
      <c r="AF464" s="30">
        <f t="shared" si="407"/>
        <v>0</v>
      </c>
      <c r="AG464" s="357">
        <f t="shared" si="407"/>
        <v>0</v>
      </c>
      <c r="AH464" s="88">
        <f t="shared" si="407"/>
        <v>0</v>
      </c>
      <c r="AI464" s="367">
        <f t="shared" si="407"/>
        <v>451</v>
      </c>
      <c r="AJ464" s="90"/>
      <c r="AK464" s="30"/>
      <c r="AL464" s="357"/>
      <c r="AM464" s="88"/>
      <c r="AN464" s="367">
        <f>AN89</f>
        <v>0</v>
      </c>
      <c r="AO464" s="29"/>
      <c r="AP464" s="30"/>
      <c r="AQ464" s="357"/>
      <c r="AR464" s="88"/>
      <c r="AS464" s="338"/>
      <c r="AT464" s="29"/>
      <c r="AU464" s="30"/>
      <c r="AV464" s="357"/>
    </row>
    <row r="465" spans="1:48" s="62" customFormat="1" hidden="1" outlineLevel="4" x14ac:dyDescent="0.3">
      <c r="A465" s="196" t="s">
        <v>626</v>
      </c>
      <c r="B465" s="336"/>
      <c r="C465" s="337"/>
      <c r="D465" s="337"/>
      <c r="E465" s="347" t="str">
        <f>B90</f>
        <v>6150/01136  Travx.Menuiserie           (0080)</v>
      </c>
      <c r="F465" s="367">
        <f t="shared" ref="F465:AI465" si="408">F90</f>
        <v>0</v>
      </c>
      <c r="G465" s="367">
        <f t="shared" si="408"/>
        <v>0</v>
      </c>
      <c r="H465" s="367">
        <f t="shared" si="408"/>
        <v>0</v>
      </c>
      <c r="I465" s="367">
        <f t="shared" si="408"/>
        <v>0</v>
      </c>
      <c r="J465" s="367">
        <f t="shared" si="408"/>
        <v>0</v>
      </c>
      <c r="K465" s="354">
        <f t="shared" si="408"/>
        <v>0</v>
      </c>
      <c r="L465" s="367">
        <f t="shared" si="408"/>
        <v>0</v>
      </c>
      <c r="M465" s="354">
        <f t="shared" si="408"/>
        <v>0</v>
      </c>
      <c r="N465" s="88">
        <f t="shared" si="408"/>
        <v>0</v>
      </c>
      <c r="O465" s="367">
        <f t="shared" si="408"/>
        <v>778.76</v>
      </c>
      <c r="P465" s="354">
        <f t="shared" si="408"/>
        <v>0</v>
      </c>
      <c r="Q465" s="123">
        <f t="shared" si="408"/>
        <v>778.76</v>
      </c>
      <c r="R465" s="357">
        <f t="shared" si="408"/>
        <v>2.6082284523575635E-3</v>
      </c>
      <c r="S465" s="88">
        <f t="shared" si="408"/>
        <v>0</v>
      </c>
      <c r="T465" s="367">
        <f t="shared" si="408"/>
        <v>0</v>
      </c>
      <c r="U465" s="354">
        <f t="shared" si="408"/>
        <v>0</v>
      </c>
      <c r="V465" s="123">
        <f t="shared" si="408"/>
        <v>0</v>
      </c>
      <c r="W465" s="357" t="str">
        <f t="shared" si="408"/>
        <v/>
      </c>
      <c r="X465" s="340">
        <f t="shared" si="408"/>
        <v>0</v>
      </c>
      <c r="Y465" s="367">
        <f t="shared" si="408"/>
        <v>0</v>
      </c>
      <c r="Z465" s="354">
        <f t="shared" si="408"/>
        <v>0</v>
      </c>
      <c r="AA465" s="30">
        <f t="shared" si="408"/>
        <v>0</v>
      </c>
      <c r="AB465" s="357" t="str">
        <f t="shared" si="408"/>
        <v/>
      </c>
      <c r="AC465" s="88">
        <f t="shared" si="408"/>
        <v>0</v>
      </c>
      <c r="AD465" s="367">
        <f t="shared" si="408"/>
        <v>0</v>
      </c>
      <c r="AE465" s="90">
        <f t="shared" si="408"/>
        <v>0</v>
      </c>
      <c r="AF465" s="30">
        <f t="shared" si="408"/>
        <v>0</v>
      </c>
      <c r="AG465" s="357" t="str">
        <f t="shared" si="408"/>
        <v/>
      </c>
      <c r="AH465" s="88">
        <f t="shared" si="408"/>
        <v>0</v>
      </c>
      <c r="AI465" s="367">
        <f t="shared" si="408"/>
        <v>0</v>
      </c>
      <c r="AJ465" s="90"/>
      <c r="AK465" s="30"/>
      <c r="AL465" s="357"/>
      <c r="AM465" s="88"/>
      <c r="AN465" s="367">
        <f>AN90</f>
        <v>0</v>
      </c>
      <c r="AO465" s="29"/>
      <c r="AP465" s="30"/>
      <c r="AQ465" s="357"/>
      <c r="AR465" s="88"/>
      <c r="AS465" s="338"/>
      <c r="AT465" s="29"/>
      <c r="AU465" s="30"/>
      <c r="AV465" s="357"/>
    </row>
    <row r="466" spans="1:48" s="62" customFormat="1" hidden="1" outlineLevel="3" x14ac:dyDescent="0.3">
      <c r="A466" s="190" t="s">
        <v>418</v>
      </c>
      <c r="B466" s="336"/>
      <c r="C466" s="337"/>
      <c r="D466" s="337"/>
      <c r="E466" s="347" t="str">
        <f>B107</f>
        <v>6150/01226  Travx Signalétique           (0240)</v>
      </c>
      <c r="F466" s="250">
        <f>F107</f>
        <v>0</v>
      </c>
      <c r="G466" s="250">
        <f>G107</f>
        <v>0</v>
      </c>
      <c r="H466" s="250">
        <f>H107</f>
        <v>0</v>
      </c>
      <c r="I466" s="250">
        <f>I107</f>
        <v>0</v>
      </c>
      <c r="J466" s="250">
        <f>J107</f>
        <v>0</v>
      </c>
      <c r="K466" s="354"/>
      <c r="L466" s="250">
        <f>L107</f>
        <v>0</v>
      </c>
      <c r="M466" s="354"/>
      <c r="N466" s="88"/>
      <c r="O466" s="250">
        <f>O107</f>
        <v>0</v>
      </c>
      <c r="P466" s="354"/>
      <c r="Q466" s="123"/>
      <c r="R466" s="357"/>
      <c r="S466" s="88"/>
      <c r="T466" s="250">
        <f>T107</f>
        <v>444.11</v>
      </c>
      <c r="U466" s="354"/>
      <c r="V466" s="123"/>
      <c r="W466" s="357"/>
      <c r="X466" s="340"/>
      <c r="Y466" s="250">
        <f>Y107</f>
        <v>0</v>
      </c>
      <c r="Z466" s="354"/>
      <c r="AA466" s="30"/>
      <c r="AB466" s="357"/>
      <c r="AC466" s="88">
        <f>AC107</f>
        <v>0</v>
      </c>
      <c r="AD466" s="250">
        <f>AD107</f>
        <v>0</v>
      </c>
      <c r="AE466" s="90"/>
      <c r="AF466" s="30"/>
      <c r="AG466" s="357"/>
      <c r="AH466" s="88">
        <f>AH107</f>
        <v>0</v>
      </c>
      <c r="AI466" s="250">
        <f>AI107</f>
        <v>0</v>
      </c>
      <c r="AJ466" s="90"/>
      <c r="AK466" s="30"/>
      <c r="AL466" s="357"/>
      <c r="AM466" s="88"/>
      <c r="AN466" s="250">
        <f>AN107</f>
        <v>0</v>
      </c>
      <c r="AO466" s="29"/>
      <c r="AP466" s="30"/>
      <c r="AQ466" s="357"/>
      <c r="AR466" s="88"/>
      <c r="AS466" s="338"/>
      <c r="AT466" s="29"/>
      <c r="AU466" s="30"/>
      <c r="AV466" s="357"/>
    </row>
    <row r="467" spans="1:48" s="62" customFormat="1" hidden="1" outlineLevel="3" x14ac:dyDescent="0.3">
      <c r="A467" s="190" t="s">
        <v>419</v>
      </c>
      <c r="B467" s="369"/>
      <c r="C467" s="337"/>
      <c r="D467" s="337"/>
      <c r="E467" s="347" t="str">
        <f>B104</f>
        <v>6150/01196  Trav.Serrurerie           (0210)</v>
      </c>
      <c r="F467" s="250">
        <f>F104</f>
        <v>658.25</v>
      </c>
      <c r="G467" s="250">
        <f>G104</f>
        <v>658.32</v>
      </c>
      <c r="H467" s="250">
        <f>H104</f>
        <v>292.11</v>
      </c>
      <c r="I467" s="250">
        <f>I104</f>
        <v>185.36</v>
      </c>
      <c r="J467" s="250">
        <f>J104</f>
        <v>835.22</v>
      </c>
      <c r="K467" s="354"/>
      <c r="L467" s="250">
        <f>L104</f>
        <v>587.29999999999995</v>
      </c>
      <c r="M467" s="354"/>
      <c r="N467" s="88"/>
      <c r="O467" s="250">
        <f>O104</f>
        <v>765.6</v>
      </c>
      <c r="P467" s="354"/>
      <c r="Q467" s="123"/>
      <c r="R467" s="357"/>
      <c r="S467" s="88"/>
      <c r="T467" s="250">
        <f>T104</f>
        <v>507.03</v>
      </c>
      <c r="U467" s="354"/>
      <c r="V467" s="123"/>
      <c r="W467" s="357"/>
      <c r="X467" s="340"/>
      <c r="Y467" s="250">
        <f>Y104</f>
        <v>1009.7</v>
      </c>
      <c r="Z467" s="354"/>
      <c r="AA467" s="30"/>
      <c r="AB467" s="357"/>
      <c r="AC467" s="88">
        <f>AC104</f>
        <v>1000</v>
      </c>
      <c r="AD467" s="250">
        <f>AD104</f>
        <v>4430.92</v>
      </c>
      <c r="AE467" s="90"/>
      <c r="AF467" s="356" t="str">
        <f>ROUND(AD467-AC467,2) &amp; "  (" &amp; ROUND(100*(AD467-AC467)/AC467,1) &amp;"%)"</f>
        <v>3430,92  (343,1%)</v>
      </c>
      <c r="AG467" s="357"/>
      <c r="AH467" s="88">
        <f>AH104</f>
        <v>1020</v>
      </c>
      <c r="AI467" s="250">
        <f>AI104</f>
        <v>2218.5300000000002</v>
      </c>
      <c r="AJ467" s="90"/>
      <c r="AK467" s="30"/>
      <c r="AL467" s="357"/>
      <c r="AM467" s="88"/>
      <c r="AN467" s="250">
        <f>AN104</f>
        <v>0</v>
      </c>
      <c r="AO467" s="29"/>
      <c r="AP467" s="30"/>
      <c r="AQ467" s="357"/>
      <c r="AR467" s="88"/>
      <c r="AS467" s="338"/>
      <c r="AT467" s="29"/>
      <c r="AU467" s="30"/>
      <c r="AV467" s="357"/>
    </row>
    <row r="468" spans="1:48" s="62" customFormat="1" hidden="1" outlineLevel="3" x14ac:dyDescent="0.3">
      <c r="A468" s="190" t="s">
        <v>420</v>
      </c>
      <c r="B468" s="369"/>
      <c r="C468" s="337"/>
      <c r="D468" s="337"/>
      <c r="E468" s="347" t="str">
        <f>B197</f>
        <v>6150/01783 Trav.ContrôleAccès         (1050)</v>
      </c>
      <c r="F468" s="250">
        <f>F197</f>
        <v>0</v>
      </c>
      <c r="G468" s="250">
        <f>G197</f>
        <v>0</v>
      </c>
      <c r="H468" s="250">
        <f>H197</f>
        <v>1070</v>
      </c>
      <c r="I468" s="250">
        <f>I197</f>
        <v>417.41</v>
      </c>
      <c r="J468" s="250">
        <f>J197</f>
        <v>1007</v>
      </c>
      <c r="K468" s="354"/>
      <c r="L468" s="250">
        <f>L197</f>
        <v>817.2</v>
      </c>
      <c r="M468" s="354"/>
      <c r="N468" s="88"/>
      <c r="O468" s="250">
        <f>O197</f>
        <v>1356.08</v>
      </c>
      <c r="P468" s="354"/>
      <c r="Q468" s="123"/>
      <c r="R468" s="357"/>
      <c r="S468" s="88"/>
      <c r="T468" s="250">
        <f>T197</f>
        <v>138.6</v>
      </c>
      <c r="U468" s="354"/>
      <c r="V468" s="123"/>
      <c r="W468" s="357"/>
      <c r="X468" s="340"/>
      <c r="Y468" s="250">
        <f>Y197</f>
        <v>404.8</v>
      </c>
      <c r="Z468" s="354"/>
      <c r="AA468" s="30"/>
      <c r="AB468" s="357"/>
      <c r="AC468" s="88">
        <f>AC197</f>
        <v>1230</v>
      </c>
      <c r="AD468" s="250">
        <f>AD197</f>
        <v>0</v>
      </c>
      <c r="AE468" s="90"/>
      <c r="AF468" s="30"/>
      <c r="AG468" s="357"/>
      <c r="AH468" s="88">
        <f>AH197</f>
        <v>1250</v>
      </c>
      <c r="AI468" s="250">
        <f>AI197</f>
        <v>0</v>
      </c>
      <c r="AJ468" s="90"/>
      <c r="AK468" s="30"/>
      <c r="AL468" s="357"/>
      <c r="AM468" s="88"/>
      <c r="AN468" s="250">
        <f>AN197</f>
        <v>0</v>
      </c>
      <c r="AO468" s="29"/>
      <c r="AP468" s="30"/>
      <c r="AQ468" s="357"/>
      <c r="AR468" s="88"/>
      <c r="AS468" s="338"/>
      <c r="AT468" s="29"/>
      <c r="AU468" s="30"/>
      <c r="AV468" s="357"/>
    </row>
    <row r="469" spans="1:48" s="62" customFormat="1" hidden="1" outlineLevel="2" collapsed="1" x14ac:dyDescent="0.3">
      <c r="A469" s="188" t="s">
        <v>421</v>
      </c>
      <c r="B469" s="336"/>
      <c r="C469" s="337"/>
      <c r="D469" s="337"/>
      <c r="E469" s="347"/>
      <c r="F469" s="362">
        <f>SUM(F470)</f>
        <v>0</v>
      </c>
      <c r="G469" s="362">
        <f t="shared" ref="G469:L469" si="409">SUM(G470)</f>
        <v>645.07000000000005</v>
      </c>
      <c r="H469" s="362">
        <f t="shared" si="409"/>
        <v>340.26</v>
      </c>
      <c r="I469" s="362">
        <f t="shared" si="409"/>
        <v>348.73</v>
      </c>
      <c r="J469" s="362">
        <f t="shared" si="409"/>
        <v>358.51</v>
      </c>
      <c r="K469" s="354"/>
      <c r="L469" s="362">
        <f t="shared" si="409"/>
        <v>0</v>
      </c>
      <c r="M469" s="354"/>
      <c r="N469" s="88"/>
      <c r="O469" s="362">
        <f>SUM(O470)</f>
        <v>0</v>
      </c>
      <c r="P469" s="354"/>
      <c r="Q469" s="123"/>
      <c r="R469" s="357"/>
      <c r="S469" s="88"/>
      <c r="T469" s="362">
        <f>SUM(T470)</f>
        <v>1050.04</v>
      </c>
      <c r="U469" s="354"/>
      <c r="V469" s="123"/>
      <c r="W469" s="357"/>
      <c r="X469" s="340"/>
      <c r="Y469" s="362">
        <f>SUM(Y470)</f>
        <v>0</v>
      </c>
      <c r="Z469" s="354"/>
      <c r="AA469" s="30"/>
      <c r="AB469" s="357"/>
      <c r="AC469" s="88">
        <f>SUM(AC470)</f>
        <v>410</v>
      </c>
      <c r="AD469" s="362">
        <f>SUM(AD470)</f>
        <v>0</v>
      </c>
      <c r="AE469" s="90" t="str">
        <f>ROUND((AD469-Y469),2)&amp;" / "&amp;(ROUND((AD469-Y469)/(IF(Y469=0,0.0001,Y469)),3)*100)&amp;"%"</f>
        <v>0 / 0%</v>
      </c>
      <c r="AF469" s="30"/>
      <c r="AG469" s="357"/>
      <c r="AH469" s="88">
        <f>SUM(AH470)</f>
        <v>420</v>
      </c>
      <c r="AI469" s="362">
        <f>SUM(AI470)</f>
        <v>0</v>
      </c>
      <c r="AJ469" s="90"/>
      <c r="AK469" s="30"/>
      <c r="AL469" s="357"/>
      <c r="AM469" s="88"/>
      <c r="AN469" s="362">
        <f>SUM(AN470)</f>
        <v>198.9</v>
      </c>
      <c r="AO469" s="29"/>
      <c r="AP469" s="30"/>
      <c r="AQ469" s="357"/>
      <c r="AR469" s="88"/>
      <c r="AS469" s="338"/>
      <c r="AT469" s="29"/>
      <c r="AU469" s="30"/>
      <c r="AV469" s="357"/>
    </row>
    <row r="470" spans="1:48" s="62" customFormat="1" hidden="1" outlineLevel="3" collapsed="1" x14ac:dyDescent="0.3">
      <c r="A470" s="190" t="s">
        <v>422</v>
      </c>
      <c r="B470" s="336"/>
      <c r="C470" s="337"/>
      <c r="D470" s="337"/>
      <c r="E470" s="347" t="str">
        <f>B192</f>
        <v>6150/00705 Entretien Mat.Incendie   (1006)</v>
      </c>
      <c r="F470" s="366">
        <f>SUM(F471:F472)</f>
        <v>0</v>
      </c>
      <c r="G470" s="366">
        <f>SUM(G471:G472)</f>
        <v>645.07000000000005</v>
      </c>
      <c r="H470" s="366">
        <f>SUM(H471:H472)</f>
        <v>340.26</v>
      </c>
      <c r="I470" s="366">
        <f>SUM(I471:I472)</f>
        <v>348.73</v>
      </c>
      <c r="J470" s="366">
        <f>SUM(J471:J472)</f>
        <v>358.51</v>
      </c>
      <c r="K470" s="354"/>
      <c r="L470" s="366">
        <f>SUM(L471:L472)</f>
        <v>0</v>
      </c>
      <c r="M470" s="354"/>
      <c r="N470" s="88"/>
      <c r="O470" s="366">
        <f>SUM(O471:O472)</f>
        <v>0</v>
      </c>
      <c r="P470" s="354"/>
      <c r="Q470" s="123"/>
      <c r="R470" s="357"/>
      <c r="S470" s="88"/>
      <c r="T470" s="366">
        <f>SUM(T471:T472)</f>
        <v>1050.04</v>
      </c>
      <c r="U470" s="354"/>
      <c r="V470" s="123"/>
      <c r="W470" s="357"/>
      <c r="X470" s="340"/>
      <c r="Y470" s="366">
        <f>SUM(Y471:Y472)</f>
        <v>0</v>
      </c>
      <c r="Z470" s="354"/>
      <c r="AA470" s="30"/>
      <c r="AB470" s="357"/>
      <c r="AC470" s="88">
        <f>SUM(AC471:AC472)</f>
        <v>410</v>
      </c>
      <c r="AD470" s="366">
        <f>SUM(AD471:AD472)</f>
        <v>0</v>
      </c>
      <c r="AE470" s="90"/>
      <c r="AF470" s="30"/>
      <c r="AG470" s="357"/>
      <c r="AH470" s="88">
        <f>SUM(AH471:AH472)</f>
        <v>420</v>
      </c>
      <c r="AI470" s="366">
        <f>SUM(AI471:AI472)</f>
        <v>0</v>
      </c>
      <c r="AJ470" s="90"/>
      <c r="AK470" s="30"/>
      <c r="AL470" s="357"/>
      <c r="AM470" s="88"/>
      <c r="AN470" s="366">
        <f>SUM(AN471:AN472)</f>
        <v>198.9</v>
      </c>
      <c r="AO470" s="29"/>
      <c r="AP470" s="30"/>
      <c r="AQ470" s="357"/>
      <c r="AR470" s="88"/>
      <c r="AS470" s="338"/>
      <c r="AT470" s="29"/>
      <c r="AU470" s="30"/>
      <c r="AV470" s="357"/>
    </row>
    <row r="471" spans="1:48" s="62" customFormat="1" hidden="1" outlineLevel="4" x14ac:dyDescent="0.3">
      <c r="A471" s="196" t="s">
        <v>423</v>
      </c>
      <c r="B471" s="336"/>
      <c r="C471" s="337"/>
      <c r="D471" s="337"/>
      <c r="E471" s="347"/>
      <c r="F471" s="367">
        <f>F192</f>
        <v>0</v>
      </c>
      <c r="G471" s="367">
        <f>G192</f>
        <v>645.07000000000005</v>
      </c>
      <c r="H471" s="367">
        <f>H192</f>
        <v>340.26</v>
      </c>
      <c r="I471" s="367">
        <f>I192</f>
        <v>348.73</v>
      </c>
      <c r="J471" s="367">
        <f>J192</f>
        <v>358.51</v>
      </c>
      <c r="K471" s="354"/>
      <c r="L471" s="367">
        <f>L192</f>
        <v>0</v>
      </c>
      <c r="M471" s="354"/>
      <c r="N471" s="88"/>
      <c r="O471" s="367">
        <f>O192</f>
        <v>0</v>
      </c>
      <c r="P471" s="354"/>
      <c r="Q471" s="123"/>
      <c r="R471" s="357"/>
      <c r="S471" s="88"/>
      <c r="T471" s="367">
        <f>T192</f>
        <v>1050.04</v>
      </c>
      <c r="U471" s="354"/>
      <c r="V471" s="123"/>
      <c r="W471" s="357"/>
      <c r="X471" s="340"/>
      <c r="Y471" s="367">
        <f>Y192</f>
        <v>0</v>
      </c>
      <c r="Z471" s="354"/>
      <c r="AA471" s="30"/>
      <c r="AB471" s="357"/>
      <c r="AC471" s="88">
        <f>AC192</f>
        <v>410</v>
      </c>
      <c r="AD471" s="367">
        <f>AD192</f>
        <v>0</v>
      </c>
      <c r="AE471" s="90"/>
      <c r="AF471" s="30"/>
      <c r="AG471" s="357"/>
      <c r="AH471" s="88">
        <f>AH192</f>
        <v>420</v>
      </c>
      <c r="AI471" s="367">
        <f>AI192</f>
        <v>0</v>
      </c>
      <c r="AJ471" s="90"/>
      <c r="AK471" s="30"/>
      <c r="AL471" s="357"/>
      <c r="AM471" s="88"/>
      <c r="AN471" s="367">
        <f>AN192</f>
        <v>198.9</v>
      </c>
      <c r="AO471" s="29"/>
      <c r="AP471" s="30"/>
      <c r="AQ471" s="357"/>
      <c r="AR471" s="88"/>
      <c r="AS471" s="338"/>
      <c r="AT471" s="29"/>
      <c r="AU471" s="30"/>
      <c r="AV471" s="357"/>
    </row>
    <row r="472" spans="1:48" s="62" customFormat="1" hidden="1" outlineLevel="4" x14ac:dyDescent="0.3">
      <c r="A472" s="196" t="s">
        <v>424</v>
      </c>
      <c r="B472" s="336"/>
      <c r="C472" s="337"/>
      <c r="D472" s="337"/>
      <c r="E472" s="347"/>
      <c r="F472" s="367"/>
      <c r="G472" s="367"/>
      <c r="H472" s="367"/>
      <c r="I472" s="367"/>
      <c r="J472" s="367"/>
      <c r="K472" s="354"/>
      <c r="L472" s="367"/>
      <c r="M472" s="354"/>
      <c r="N472" s="88"/>
      <c r="O472" s="367"/>
      <c r="P472" s="354"/>
      <c r="Q472" s="123"/>
      <c r="R472" s="357"/>
      <c r="S472" s="88"/>
      <c r="T472" s="367"/>
      <c r="U472" s="354"/>
      <c r="V472" s="123"/>
      <c r="W472" s="357"/>
      <c r="X472" s="340"/>
      <c r="Y472" s="367"/>
      <c r="Z472" s="354"/>
      <c r="AA472" s="30"/>
      <c r="AB472" s="357"/>
      <c r="AC472" s="88"/>
      <c r="AD472" s="367"/>
      <c r="AE472" s="90"/>
      <c r="AF472" s="30"/>
      <c r="AG472" s="357"/>
      <c r="AH472" s="88"/>
      <c r="AI472" s="367"/>
      <c r="AJ472" s="90"/>
      <c r="AK472" s="30"/>
      <c r="AL472" s="357"/>
      <c r="AM472" s="88"/>
      <c r="AN472" s="367"/>
      <c r="AO472" s="29"/>
      <c r="AP472" s="30"/>
      <c r="AQ472" s="357"/>
      <c r="AR472" s="88"/>
      <c r="AS472" s="338"/>
      <c r="AT472" s="29"/>
      <c r="AU472" s="30"/>
      <c r="AV472" s="357"/>
    </row>
    <row r="473" spans="1:48" s="62" customFormat="1" hidden="1" outlineLevel="2" collapsed="1" x14ac:dyDescent="0.3">
      <c r="A473" s="188" t="s">
        <v>425</v>
      </c>
      <c r="B473" s="336"/>
      <c r="C473" s="337"/>
      <c r="D473" s="337"/>
      <c r="E473" s="347"/>
      <c r="F473" s="362">
        <f>SUM(F474:F478)</f>
        <v>7728.9400000000005</v>
      </c>
      <c r="G473" s="362">
        <f>SUM(G474:G478)</f>
        <v>3236.7400000000002</v>
      </c>
      <c r="H473" s="362">
        <f>SUM(H474:H478)</f>
        <v>1298.98</v>
      </c>
      <c r="I473" s="362">
        <f>SUM(I474:I478)</f>
        <v>11516.84</v>
      </c>
      <c r="J473" s="362">
        <f>SUM(J474:J478)</f>
        <v>0</v>
      </c>
      <c r="K473" s="354"/>
      <c r="L473" s="362">
        <f>SUM(L474:L478)</f>
        <v>1199</v>
      </c>
      <c r="M473" s="354"/>
      <c r="N473" s="88"/>
      <c r="O473" s="362">
        <f>SUM(O474:O478)</f>
        <v>2033.6</v>
      </c>
      <c r="P473" s="354"/>
      <c r="Q473" s="123"/>
      <c r="R473" s="357"/>
      <c r="S473" s="88"/>
      <c r="T473" s="367">
        <f>SUM(T474:T478)</f>
        <v>2502.5</v>
      </c>
      <c r="U473" s="354"/>
      <c r="V473" s="123"/>
      <c r="W473" s="357"/>
      <c r="X473" s="340"/>
      <c r="Y473" s="362">
        <f>SUM(Y474:Y478)</f>
        <v>7907.68</v>
      </c>
      <c r="Z473" s="354"/>
      <c r="AA473" s="30"/>
      <c r="AB473" s="357"/>
      <c r="AC473" s="88">
        <f>SUM(AC474:AC478)</f>
        <v>2000</v>
      </c>
      <c r="AD473" s="362">
        <f>SUM(AD474:AD478)</f>
        <v>5864</v>
      </c>
      <c r="AE473" s="90" t="str">
        <f>ROUND((AD473-Y473),2)&amp;" / "&amp;(ROUND((AD473-Y473)/(IF(Y473=0,0.0001,Y473)),3)*100)&amp;"%"</f>
        <v>-2043,68 / -25,8%</v>
      </c>
      <c r="AF473" s="30"/>
      <c r="AG473" s="357"/>
      <c r="AH473" s="88">
        <f>SUM(AH474:AH478)</f>
        <v>2030</v>
      </c>
      <c r="AI473" s="362">
        <f>SUM(AI474:AI478)</f>
        <v>648</v>
      </c>
      <c r="AJ473" s="90"/>
      <c r="AK473" s="30"/>
      <c r="AL473" s="357"/>
      <c r="AM473" s="88"/>
      <c r="AN473" s="362">
        <f>SUM(AN474:AN478)</f>
        <v>2428.5299999999997</v>
      </c>
      <c r="AO473" s="29"/>
      <c r="AP473" s="30"/>
      <c r="AQ473" s="357"/>
      <c r="AR473" s="88"/>
      <c r="AS473" s="338"/>
      <c r="AT473" s="29"/>
      <c r="AU473" s="30"/>
      <c r="AV473" s="357"/>
    </row>
    <row r="474" spans="1:48" s="62" customFormat="1" hidden="1" outlineLevel="3" x14ac:dyDescent="0.3">
      <c r="A474" s="190" t="s">
        <v>426</v>
      </c>
      <c r="B474" s="336"/>
      <c r="C474" s="337"/>
      <c r="D474" s="337"/>
      <c r="E474" s="347" t="str">
        <f>B91</f>
        <v>6150/01146  TravxPeintureRevêtt    (0090)</v>
      </c>
      <c r="F474" s="250">
        <f>F91</f>
        <v>2161.6999999999998</v>
      </c>
      <c r="G474" s="250">
        <f>G91</f>
        <v>2519.34</v>
      </c>
      <c r="H474" s="250">
        <f>H91</f>
        <v>1298.98</v>
      </c>
      <c r="I474" s="250">
        <f>I91</f>
        <v>11516.84</v>
      </c>
      <c r="J474" s="250">
        <f>J91</f>
        <v>0</v>
      </c>
      <c r="K474" s="354"/>
      <c r="L474" s="250">
        <f>L91</f>
        <v>0</v>
      </c>
      <c r="M474" s="354"/>
      <c r="N474" s="88"/>
      <c r="O474" s="250">
        <f>O91</f>
        <v>1254.8399999999999</v>
      </c>
      <c r="P474" s="354"/>
      <c r="Q474" s="123"/>
      <c r="R474" s="357"/>
      <c r="S474" s="88"/>
      <c r="T474" s="250">
        <f>T91</f>
        <v>2502.5</v>
      </c>
      <c r="U474" s="354"/>
      <c r="V474" s="123"/>
      <c r="W474" s="357"/>
      <c r="X474" s="340"/>
      <c r="Y474" s="250">
        <f>Y91</f>
        <v>3019.83</v>
      </c>
      <c r="Z474" s="354"/>
      <c r="AA474" s="30"/>
      <c r="AB474" s="357"/>
      <c r="AC474" s="88">
        <f>AC91</f>
        <v>2000</v>
      </c>
      <c r="AD474" s="250">
        <f>AD91</f>
        <v>2323.1</v>
      </c>
      <c r="AE474" s="90"/>
      <c r="AF474" s="30"/>
      <c r="AG474" s="357"/>
      <c r="AH474" s="88">
        <f>AH91</f>
        <v>2030</v>
      </c>
      <c r="AI474" s="250">
        <f>AI91</f>
        <v>648</v>
      </c>
      <c r="AJ474" s="90"/>
      <c r="AK474" s="30"/>
      <c r="AL474" s="357"/>
      <c r="AM474" s="88"/>
      <c r="AN474" s="250">
        <f>SUM(AN91,AN285)</f>
        <v>1174.53</v>
      </c>
      <c r="AO474" s="29"/>
      <c r="AP474" s="30"/>
      <c r="AQ474" s="357"/>
      <c r="AR474" s="88"/>
      <c r="AS474" s="338"/>
      <c r="AT474" s="29"/>
      <c r="AU474" s="30"/>
      <c r="AV474" s="357"/>
    </row>
    <row r="475" spans="1:48" s="62" customFormat="1" hidden="1" outlineLevel="3" x14ac:dyDescent="0.3">
      <c r="A475" s="190" t="s">
        <v>427</v>
      </c>
      <c r="B475" s="336"/>
      <c r="C475" s="337"/>
      <c r="D475" s="337"/>
      <c r="E475" s="347" t="str">
        <f>B90</f>
        <v>6150/01136  Travx.Menuiserie           (0080)</v>
      </c>
      <c r="F475" s="250">
        <f>F90</f>
        <v>0</v>
      </c>
      <c r="G475" s="250">
        <f>G90</f>
        <v>0</v>
      </c>
      <c r="H475" s="250">
        <f>H90</f>
        <v>0</v>
      </c>
      <c r="I475" s="250">
        <f>I90</f>
        <v>0</v>
      </c>
      <c r="J475" s="250">
        <f>J90</f>
        <v>0</v>
      </c>
      <c r="K475" s="354">
        <f>H90</f>
        <v>0</v>
      </c>
      <c r="L475" s="250">
        <f>L90</f>
        <v>0</v>
      </c>
      <c r="M475" s="354">
        <f>J90</f>
        <v>0</v>
      </c>
      <c r="N475" s="88"/>
      <c r="O475" s="250">
        <f>O90</f>
        <v>778.76</v>
      </c>
      <c r="P475" s="354">
        <f>M90</f>
        <v>0</v>
      </c>
      <c r="Q475" s="123"/>
      <c r="R475" s="357"/>
      <c r="S475" s="88"/>
      <c r="T475" s="250">
        <f>T90</f>
        <v>0</v>
      </c>
      <c r="U475" s="354">
        <f>P90</f>
        <v>0</v>
      </c>
      <c r="V475" s="123"/>
      <c r="W475" s="357"/>
      <c r="X475" s="340"/>
      <c r="Y475" s="250">
        <f>Y90</f>
        <v>0</v>
      </c>
      <c r="Z475" s="354" t="str">
        <f>W90</f>
        <v/>
      </c>
      <c r="AA475" s="30"/>
      <c r="AB475" s="357"/>
      <c r="AC475" s="88">
        <f>AC90</f>
        <v>0</v>
      </c>
      <c r="AD475" s="250">
        <f>AD90</f>
        <v>0</v>
      </c>
      <c r="AE475" s="90" t="str">
        <f>AB90</f>
        <v/>
      </c>
      <c r="AF475" s="30"/>
      <c r="AG475" s="357"/>
      <c r="AH475" s="88">
        <f>AH90</f>
        <v>0</v>
      </c>
      <c r="AI475" s="250">
        <f>AI90</f>
        <v>0</v>
      </c>
      <c r="AJ475" s="90"/>
      <c r="AK475" s="30"/>
      <c r="AL475" s="357"/>
      <c r="AM475" s="88"/>
      <c r="AN475" s="250">
        <f>AN90</f>
        <v>0</v>
      </c>
      <c r="AO475" s="29"/>
      <c r="AP475" s="30"/>
      <c r="AQ475" s="357"/>
      <c r="AR475" s="88"/>
      <c r="AS475" s="338"/>
      <c r="AT475" s="29"/>
      <c r="AU475" s="30"/>
      <c r="AV475" s="357"/>
    </row>
    <row r="476" spans="1:48" s="62" customFormat="1" hidden="1" outlineLevel="3" x14ac:dyDescent="0.3">
      <c r="A476" s="190" t="s">
        <v>428</v>
      </c>
      <c r="B476" s="336"/>
      <c r="C476" s="337"/>
      <c r="D476" s="337"/>
      <c r="E476" s="347" t="str">
        <f>B102</f>
        <v>6150/01186  TravxVitrerrie           (0190)</v>
      </c>
      <c r="F476" s="250">
        <f>F102</f>
        <v>0</v>
      </c>
      <c r="G476" s="250">
        <f>G102</f>
        <v>0</v>
      </c>
      <c r="H476" s="250">
        <f>H102</f>
        <v>0</v>
      </c>
      <c r="I476" s="250">
        <f>I102</f>
        <v>0</v>
      </c>
      <c r="J476" s="250">
        <f>J102</f>
        <v>0</v>
      </c>
      <c r="K476" s="354">
        <f>H102</f>
        <v>0</v>
      </c>
      <c r="L476" s="250">
        <f>L102</f>
        <v>0</v>
      </c>
      <c r="M476" s="354">
        <f>J102</f>
        <v>0</v>
      </c>
      <c r="N476" s="88"/>
      <c r="O476" s="250">
        <f>O102</f>
        <v>0</v>
      </c>
      <c r="P476" s="354">
        <f>M102</f>
        <v>0</v>
      </c>
      <c r="Q476" s="123"/>
      <c r="R476" s="357"/>
      <c r="S476" s="88"/>
      <c r="T476" s="250">
        <f>T102</f>
        <v>0</v>
      </c>
      <c r="U476" s="354">
        <f>P102</f>
        <v>0</v>
      </c>
      <c r="V476" s="123"/>
      <c r="W476" s="357"/>
      <c r="X476" s="340"/>
      <c r="Y476" s="250">
        <f>Y102</f>
        <v>453.75</v>
      </c>
      <c r="Z476" s="354" t="str">
        <f>W102</f>
        <v/>
      </c>
      <c r="AA476" s="30"/>
      <c r="AB476" s="357"/>
      <c r="AC476" s="88">
        <f>AC102</f>
        <v>0</v>
      </c>
      <c r="AD476" s="250">
        <f>AD102</f>
        <v>0</v>
      </c>
      <c r="AE476" s="90">
        <f>AB102</f>
        <v>1.4595860642872146E-3</v>
      </c>
      <c r="AF476" s="30"/>
      <c r="AG476" s="357"/>
      <c r="AH476" s="88">
        <f>AH102</f>
        <v>0</v>
      </c>
      <c r="AI476" s="250">
        <f>AI102</f>
        <v>0</v>
      </c>
      <c r="AJ476" s="90"/>
      <c r="AK476" s="30"/>
      <c r="AL476" s="357"/>
      <c r="AM476" s="88"/>
      <c r="AN476" s="250">
        <f>AN102</f>
        <v>0</v>
      </c>
      <c r="AO476" s="29"/>
      <c r="AP476" s="30"/>
      <c r="AQ476" s="357"/>
      <c r="AR476" s="88"/>
      <c r="AS476" s="338"/>
      <c r="AT476" s="29"/>
      <c r="AU476" s="30"/>
      <c r="AV476" s="357"/>
    </row>
    <row r="477" spans="1:48" s="62" customFormat="1" hidden="1" outlineLevel="3" x14ac:dyDescent="0.3">
      <c r="A477" s="190" t="s">
        <v>429</v>
      </c>
      <c r="B477" s="336"/>
      <c r="C477" s="337"/>
      <c r="D477" s="337"/>
      <c r="E477" s="347" t="str">
        <f>B88</f>
        <v>6150/01126  Travx.Maçonnerie           (0070)</v>
      </c>
      <c r="F477" s="250">
        <f>F88</f>
        <v>717.4</v>
      </c>
      <c r="G477" s="250">
        <f>G88</f>
        <v>717.4</v>
      </c>
      <c r="H477" s="250">
        <f>H88</f>
        <v>0</v>
      </c>
      <c r="I477" s="250">
        <f>I88</f>
        <v>0</v>
      </c>
      <c r="J477" s="250">
        <f>J88</f>
        <v>0</v>
      </c>
      <c r="K477" s="354">
        <f>H88</f>
        <v>0</v>
      </c>
      <c r="L477" s="250">
        <f>L88</f>
        <v>0</v>
      </c>
      <c r="M477" s="354">
        <f>J88</f>
        <v>0</v>
      </c>
      <c r="N477" s="88"/>
      <c r="O477" s="250">
        <f>O88</f>
        <v>0</v>
      </c>
      <c r="P477" s="354">
        <f>M88</f>
        <v>0</v>
      </c>
      <c r="Q477" s="123"/>
      <c r="R477" s="357"/>
      <c r="S477" s="88"/>
      <c r="T477" s="250">
        <f>T88</f>
        <v>0</v>
      </c>
      <c r="U477" s="354">
        <f>P88</f>
        <v>0</v>
      </c>
      <c r="V477" s="123"/>
      <c r="W477" s="357"/>
      <c r="X477" s="340"/>
      <c r="Y477" s="250">
        <f>Y88</f>
        <v>4434.1000000000004</v>
      </c>
      <c r="Z477" s="354" t="str">
        <f>W88</f>
        <v/>
      </c>
      <c r="AA477" s="30"/>
      <c r="AB477" s="357"/>
      <c r="AC477" s="88">
        <f>AC88</f>
        <v>0</v>
      </c>
      <c r="AD477" s="250">
        <f>AD88</f>
        <v>0</v>
      </c>
      <c r="AE477" s="90">
        <f>AB88</f>
        <v>1.4263251939737607E-2</v>
      </c>
      <c r="AF477" s="30"/>
      <c r="AG477" s="357"/>
      <c r="AH477" s="88">
        <f>AH88</f>
        <v>0</v>
      </c>
      <c r="AI477" s="250">
        <f>AI88</f>
        <v>0</v>
      </c>
      <c r="AJ477" s="90"/>
      <c r="AK477" s="30"/>
      <c r="AL477" s="357"/>
      <c r="AM477" s="88"/>
      <c r="AN477" s="250">
        <f>AN88</f>
        <v>1254</v>
      </c>
      <c r="AO477" s="29"/>
      <c r="AP477" s="30"/>
      <c r="AQ477" s="357"/>
      <c r="AR477" s="88"/>
      <c r="AS477" s="338"/>
      <c r="AT477" s="29"/>
      <c r="AU477" s="30"/>
      <c r="AV477" s="357"/>
    </row>
    <row r="478" spans="1:48" s="62" customFormat="1" hidden="1" outlineLevel="3" x14ac:dyDescent="0.3">
      <c r="A478" s="190" t="s">
        <v>430</v>
      </c>
      <c r="B478" s="336"/>
      <c r="C478" s="337"/>
      <c r="D478" s="337"/>
      <c r="E478" s="347" t="str">
        <f>B180</f>
        <v>6150/01566 Travx Toitures Terrs         (0920)</v>
      </c>
      <c r="F478" s="250">
        <f>F180</f>
        <v>4849.84</v>
      </c>
      <c r="G478" s="250">
        <f>G180</f>
        <v>0</v>
      </c>
      <c r="H478" s="250">
        <f>H180</f>
        <v>0</v>
      </c>
      <c r="I478" s="250">
        <f>I180</f>
        <v>0</v>
      </c>
      <c r="J478" s="250">
        <f>J180</f>
        <v>0</v>
      </c>
      <c r="K478" s="354">
        <f>H180</f>
        <v>0</v>
      </c>
      <c r="L478" s="250">
        <f>L180</f>
        <v>1199</v>
      </c>
      <c r="M478" s="354">
        <f>J180</f>
        <v>0</v>
      </c>
      <c r="N478" s="88"/>
      <c r="O478" s="250">
        <f>O180</f>
        <v>0</v>
      </c>
      <c r="P478" s="354">
        <f>M180</f>
        <v>0</v>
      </c>
      <c r="Q478" s="123"/>
      <c r="R478" s="357"/>
      <c r="S478" s="88"/>
      <c r="T478" s="250">
        <f>T180</f>
        <v>0</v>
      </c>
      <c r="U478" s="354">
        <f>P180</f>
        <v>0</v>
      </c>
      <c r="V478" s="123"/>
      <c r="W478" s="357"/>
      <c r="X478" s="340"/>
      <c r="Y478" s="250">
        <f>Y180</f>
        <v>0</v>
      </c>
      <c r="Z478" s="354" t="str">
        <f>W180</f>
        <v/>
      </c>
      <c r="AA478" s="30"/>
      <c r="AB478" s="357"/>
      <c r="AC478" s="88">
        <f>AC180</f>
        <v>0</v>
      </c>
      <c r="AD478" s="250">
        <f>AD180</f>
        <v>3540.9</v>
      </c>
      <c r="AE478" s="90" t="str">
        <f>AB180</f>
        <v/>
      </c>
      <c r="AF478" s="356"/>
      <c r="AG478" s="357"/>
      <c r="AH478" s="88">
        <f>AH180</f>
        <v>0</v>
      </c>
      <c r="AI478" s="250">
        <f>AI180</f>
        <v>0</v>
      </c>
      <c r="AJ478" s="90"/>
      <c r="AK478" s="30"/>
      <c r="AL478" s="357"/>
      <c r="AM478" s="88"/>
      <c r="AN478" s="250">
        <f>AN180</f>
        <v>0</v>
      </c>
      <c r="AO478" s="29"/>
      <c r="AP478" s="30"/>
      <c r="AQ478" s="357"/>
      <c r="AR478" s="88"/>
      <c r="AS478" s="338"/>
      <c r="AT478" s="29"/>
      <c r="AU478" s="30"/>
      <c r="AV478" s="357"/>
    </row>
    <row r="479" spans="1:48" s="62" customFormat="1" hidden="1" outlineLevel="2" collapsed="1" x14ac:dyDescent="0.3">
      <c r="A479" s="188" t="s">
        <v>431</v>
      </c>
      <c r="B479" s="336"/>
      <c r="C479" s="337"/>
      <c r="D479" s="337"/>
      <c r="E479" s="347"/>
      <c r="F479" s="362">
        <f>SUM(F480,F481,F484,F486,F489,)</f>
        <v>1061.74</v>
      </c>
      <c r="G479" s="362">
        <f>SUM(G480,G481,G484,G486,G489,)</f>
        <v>2744.3599999999997</v>
      </c>
      <c r="H479" s="362">
        <f>SUM(H480,H481,H484,H486,H489,)</f>
        <v>8172.9600000000009</v>
      </c>
      <c r="I479" s="362">
        <f>SUM(I480,I481,I484,I486,I489,)</f>
        <v>5896.24</v>
      </c>
      <c r="J479" s="362">
        <f>SUM(J480,J481,J484,J486,J489,)</f>
        <v>1678.75</v>
      </c>
      <c r="K479" s="354"/>
      <c r="L479" s="362">
        <f>SUM(L480,L481,L484,L486,L489,)</f>
        <v>3703.9</v>
      </c>
      <c r="M479" s="354"/>
      <c r="N479" s="88"/>
      <c r="O479" s="362">
        <f>SUM(O480,O481,O484,O486,O489,)</f>
        <v>3911.4</v>
      </c>
      <c r="P479" s="354"/>
      <c r="Q479" s="123"/>
      <c r="R479" s="357">
        <f>O479/O$640</f>
        <v>7.8064931725417407E-3</v>
      </c>
      <c r="S479" s="88"/>
      <c r="T479" s="362">
        <f>SUM(T480,T481,T484,T486,T489,)</f>
        <v>7048.6</v>
      </c>
      <c r="U479" s="354"/>
      <c r="V479" s="123"/>
      <c r="W479" s="357">
        <f>T479/T$640</f>
        <v>1.4412207621993923E-2</v>
      </c>
      <c r="X479" s="340"/>
      <c r="Y479" s="362">
        <f>SUM(Y480,Y481,Y484,Y486,Y489,)</f>
        <v>3066</v>
      </c>
      <c r="Z479" s="354"/>
      <c r="AA479" s="30"/>
      <c r="AB479" s="357">
        <f>Y479/Y$640</f>
        <v>6.0190237665649045E-3</v>
      </c>
      <c r="AC479" s="88">
        <f>SUM(AC480,AC481,AC484,AC486,AC489,)</f>
        <v>6510</v>
      </c>
      <c r="AD479" s="362">
        <f>SUM(AD480,AD481,AD484,AD486,AD489,)</f>
        <v>6325.44</v>
      </c>
      <c r="AE479" s="90" t="str">
        <f>ROUND((AD479-Y479),2)&amp;" / "&amp;(ROUND((AD479-Y479)/(IF(Y479=0,0.0001,Y479)),3)*100)&amp;"%"</f>
        <v>3259,44 / 106,3%</v>
      </c>
      <c r="AF479" s="30"/>
      <c r="AG479" s="357">
        <f>AD479/AD$640</f>
        <v>1.2560870061228245E-2</v>
      </c>
      <c r="AH479" s="88">
        <f>SUM(AH480,AH481,AH484,AH486,AH489,)</f>
        <v>6620</v>
      </c>
      <c r="AI479" s="362">
        <f>SUM(AI480,AI481,AI484,AI486,AI489,)</f>
        <v>5090</v>
      </c>
      <c r="AJ479" s="90"/>
      <c r="AK479" s="30"/>
      <c r="AL479" s="357">
        <f>AI479/AI$640</f>
        <v>1.056314491346076E-2</v>
      </c>
      <c r="AM479" s="88"/>
      <c r="AN479" s="362">
        <f>SUM(AN480,AN481,AN484,AN486,AN489,)</f>
        <v>3816</v>
      </c>
      <c r="AO479" s="29"/>
      <c r="AP479" s="30"/>
      <c r="AQ479" s="357">
        <f>AN479/AN$640</f>
        <v>1.02874112926445E-2</v>
      </c>
      <c r="AR479" s="88"/>
      <c r="AS479" s="338"/>
      <c r="AT479" s="29"/>
      <c r="AU479" s="30"/>
      <c r="AV479" s="357" t="e">
        <f>AS479/AS$640</f>
        <v>#DIV/0!</v>
      </c>
    </row>
    <row r="480" spans="1:48" s="62" customFormat="1" ht="16.149999999999999" hidden="1" customHeight="1" outlineLevel="3" x14ac:dyDescent="0.3">
      <c r="A480" s="190" t="s">
        <v>432</v>
      </c>
      <c r="B480" s="336"/>
      <c r="C480" s="337"/>
      <c r="D480" s="337"/>
      <c r="E480" s="347" t="str">
        <f>B189</f>
        <v>6150/01686 Travaux Mobiliers           (0985)</v>
      </c>
      <c r="F480" s="250">
        <f>F189</f>
        <v>0</v>
      </c>
      <c r="G480" s="250">
        <f>G189</f>
        <v>1202.7</v>
      </c>
      <c r="H480" s="250">
        <f>H189</f>
        <v>0</v>
      </c>
      <c r="I480" s="250">
        <f>I189</f>
        <v>752.2</v>
      </c>
      <c r="J480" s="250">
        <f>J189</f>
        <v>0</v>
      </c>
      <c r="K480" s="354"/>
      <c r="L480" s="250">
        <f>L189</f>
        <v>0</v>
      </c>
      <c r="M480" s="354"/>
      <c r="N480" s="88"/>
      <c r="O480" s="250">
        <f>O189</f>
        <v>0</v>
      </c>
      <c r="P480" s="354"/>
      <c r="Q480" s="123"/>
      <c r="R480" s="357"/>
      <c r="S480" s="88"/>
      <c r="T480" s="250">
        <f>T189</f>
        <v>0</v>
      </c>
      <c r="U480" s="354"/>
      <c r="V480" s="123"/>
      <c r="W480" s="357"/>
      <c r="X480" s="340"/>
      <c r="Y480" s="250">
        <f>Y189</f>
        <v>0</v>
      </c>
      <c r="Z480" s="354"/>
      <c r="AA480" s="30"/>
      <c r="AB480" s="357"/>
      <c r="AC480" s="88">
        <f>AC189</f>
        <v>0</v>
      </c>
      <c r="AD480" s="250">
        <f>AD189</f>
        <v>0</v>
      </c>
      <c r="AE480" s="90"/>
      <c r="AF480" s="30"/>
      <c r="AG480" s="357"/>
      <c r="AH480" s="88">
        <f>AH189</f>
        <v>0</v>
      </c>
      <c r="AI480" s="250">
        <f>AI189</f>
        <v>0</v>
      </c>
      <c r="AJ480" s="90"/>
      <c r="AK480" s="30"/>
      <c r="AL480" s="357"/>
      <c r="AM480" s="88"/>
      <c r="AN480" s="250">
        <f>AN189</f>
        <v>0</v>
      </c>
      <c r="AO480" s="29"/>
      <c r="AP480" s="30"/>
      <c r="AQ480" s="357"/>
      <c r="AR480" s="88"/>
      <c r="AS480" s="338"/>
      <c r="AT480" s="29"/>
      <c r="AU480" s="30"/>
      <c r="AV480" s="357"/>
    </row>
    <row r="481" spans="1:48" s="62" customFormat="1" ht="16.149999999999999" hidden="1" customHeight="1" outlineLevel="3" collapsed="1" x14ac:dyDescent="0.3">
      <c r="A481" s="190" t="s">
        <v>433</v>
      </c>
      <c r="B481" s="336"/>
      <c r="C481" s="337"/>
      <c r="D481" s="337"/>
      <c r="E481" s="347"/>
      <c r="F481" s="366">
        <f>SUM(F482:F483)</f>
        <v>0</v>
      </c>
      <c r="G481" s="366">
        <f>SUM(G482:G483)</f>
        <v>0</v>
      </c>
      <c r="H481" s="366">
        <f>SUM(H482:H483)</f>
        <v>0</v>
      </c>
      <c r="I481" s="366">
        <f>SUM(I482:I483)</f>
        <v>0</v>
      </c>
      <c r="J481" s="366">
        <f>SUM(J482:J483)</f>
        <v>0</v>
      </c>
      <c r="K481" s="354"/>
      <c r="L481" s="366">
        <f>SUM(L482:L483)</f>
        <v>218.4</v>
      </c>
      <c r="M481" s="354"/>
      <c r="N481" s="88"/>
      <c r="O481" s="366">
        <f>SUM(O482:O483)</f>
        <v>299.39999999999998</v>
      </c>
      <c r="P481" s="354"/>
      <c r="Q481" s="123"/>
      <c r="R481" s="357"/>
      <c r="S481" s="88"/>
      <c r="T481" s="366">
        <f>SUM(T482:T483)</f>
        <v>1063.25</v>
      </c>
      <c r="U481" s="354"/>
      <c r="V481" s="123"/>
      <c r="W481" s="357"/>
      <c r="X481" s="340"/>
      <c r="Y481" s="366">
        <f>SUM(Y482:Y483)</f>
        <v>0</v>
      </c>
      <c r="Z481" s="354"/>
      <c r="AA481" s="30"/>
      <c r="AB481" s="357"/>
      <c r="AC481" s="88">
        <f>SUM(AC482:AC483)</f>
        <v>0</v>
      </c>
      <c r="AD481" s="366">
        <f>SUM(AD482:AD483)</f>
        <v>1705.4399999999998</v>
      </c>
      <c r="AE481" s="90"/>
      <c r="AF481" s="30"/>
      <c r="AG481" s="357"/>
      <c r="AH481" s="88">
        <f>SUM(AH482:AH483)</f>
        <v>0</v>
      </c>
      <c r="AI481" s="366">
        <f>SUM(AI482:AI483)</f>
        <v>0</v>
      </c>
      <c r="AJ481" s="90"/>
      <c r="AK481" s="30"/>
      <c r="AL481" s="357"/>
      <c r="AM481" s="88"/>
      <c r="AN481" s="366">
        <f>SUM(AN482:AN483)</f>
        <v>0</v>
      </c>
      <c r="AO481" s="29"/>
      <c r="AP481" s="30"/>
      <c r="AQ481" s="357"/>
      <c r="AR481" s="88"/>
      <c r="AS481" s="338"/>
      <c r="AT481" s="29"/>
      <c r="AU481" s="30"/>
      <c r="AV481" s="357"/>
    </row>
    <row r="482" spans="1:48" s="62" customFormat="1" ht="16.149999999999999" hidden="1" customHeight="1" outlineLevel="4" x14ac:dyDescent="0.3">
      <c r="A482" s="196" t="s">
        <v>434</v>
      </c>
      <c r="B482" s="336"/>
      <c r="C482" s="337"/>
      <c r="D482" s="337"/>
      <c r="E482" s="347" t="str">
        <f>B186</f>
        <v>6150/01645 Entretien Engins           (0960)</v>
      </c>
      <c r="F482" s="367">
        <f t="shared" ref="F482:J483" si="410">F186</f>
        <v>0</v>
      </c>
      <c r="G482" s="367">
        <f t="shared" si="410"/>
        <v>0</v>
      </c>
      <c r="H482" s="367">
        <f t="shared" si="410"/>
        <v>0</v>
      </c>
      <c r="I482" s="367">
        <f t="shared" si="410"/>
        <v>0</v>
      </c>
      <c r="J482" s="367">
        <f t="shared" si="410"/>
        <v>0</v>
      </c>
      <c r="K482" s="354">
        <f>H186</f>
        <v>0</v>
      </c>
      <c r="L482" s="367">
        <f>L186</f>
        <v>218.4</v>
      </c>
      <c r="M482" s="354">
        <f>J186</f>
        <v>0</v>
      </c>
      <c r="N482" s="88"/>
      <c r="O482" s="367">
        <f>O186</f>
        <v>0</v>
      </c>
      <c r="P482" s="354">
        <f>M186</f>
        <v>0</v>
      </c>
      <c r="Q482" s="123"/>
      <c r="R482" s="357"/>
      <c r="S482" s="88"/>
      <c r="T482" s="367">
        <f>T186</f>
        <v>0</v>
      </c>
      <c r="U482" s="354">
        <f>P186</f>
        <v>0</v>
      </c>
      <c r="V482" s="123"/>
      <c r="W482" s="357"/>
      <c r="X482" s="340"/>
      <c r="Y482" s="367">
        <f>Y186</f>
        <v>0</v>
      </c>
      <c r="Z482" s="354" t="str">
        <f>W186</f>
        <v/>
      </c>
      <c r="AA482" s="30"/>
      <c r="AB482" s="357"/>
      <c r="AC482" s="88">
        <f>AC186</f>
        <v>0</v>
      </c>
      <c r="AD482" s="367">
        <f>AD186</f>
        <v>1443.6</v>
      </c>
      <c r="AE482" s="90" t="str">
        <f>AB186</f>
        <v/>
      </c>
      <c r="AF482" s="30"/>
      <c r="AG482" s="357"/>
      <c r="AH482" s="88">
        <f>AH186</f>
        <v>0</v>
      </c>
      <c r="AI482" s="367">
        <f>AI186</f>
        <v>0</v>
      </c>
      <c r="AJ482" s="90"/>
      <c r="AK482" s="30"/>
      <c r="AL482" s="357"/>
      <c r="AM482" s="88"/>
      <c r="AN482" s="367">
        <f>AN186</f>
        <v>0</v>
      </c>
      <c r="AO482" s="29"/>
      <c r="AP482" s="30"/>
      <c r="AQ482" s="357"/>
      <c r="AR482" s="88"/>
      <c r="AS482" s="338"/>
      <c r="AT482" s="29"/>
      <c r="AU482" s="30"/>
      <c r="AV482" s="357"/>
    </row>
    <row r="483" spans="1:48" s="62" customFormat="1" ht="16.149999999999999" hidden="1" customHeight="1" outlineLevel="4" x14ac:dyDescent="0.3">
      <c r="A483" s="196" t="s">
        <v>435</v>
      </c>
      <c r="B483" s="336"/>
      <c r="C483" s="337"/>
      <c r="D483" s="337"/>
      <c r="E483" s="347" t="str">
        <f>B187</f>
        <v>6150/01646 Trav.EnginsVéhicules           (0970)</v>
      </c>
      <c r="F483" s="367">
        <f t="shared" si="410"/>
        <v>0</v>
      </c>
      <c r="G483" s="367">
        <f t="shared" si="410"/>
        <v>0</v>
      </c>
      <c r="H483" s="367">
        <f t="shared" si="410"/>
        <v>0</v>
      </c>
      <c r="I483" s="367">
        <f t="shared" si="410"/>
        <v>0</v>
      </c>
      <c r="J483" s="367">
        <f t="shared" si="410"/>
        <v>0</v>
      </c>
      <c r="K483" s="354"/>
      <c r="L483" s="367">
        <f>L187</f>
        <v>0</v>
      </c>
      <c r="M483" s="354"/>
      <c r="N483" s="88"/>
      <c r="O483" s="367">
        <f>O187</f>
        <v>299.39999999999998</v>
      </c>
      <c r="P483" s="354"/>
      <c r="Q483" s="123"/>
      <c r="R483" s="357"/>
      <c r="S483" s="88"/>
      <c r="T483" s="367">
        <f>T187</f>
        <v>1063.25</v>
      </c>
      <c r="U483" s="354"/>
      <c r="V483" s="123"/>
      <c r="W483" s="357"/>
      <c r="X483" s="340"/>
      <c r="Y483" s="367">
        <f>Y187</f>
        <v>0</v>
      </c>
      <c r="Z483" s="354"/>
      <c r="AA483" s="30"/>
      <c r="AB483" s="357"/>
      <c r="AC483" s="88">
        <f>AC187</f>
        <v>0</v>
      </c>
      <c r="AD483" s="367">
        <f>AD187</f>
        <v>261.83999999999997</v>
      </c>
      <c r="AE483" s="90"/>
      <c r="AF483" s="30"/>
      <c r="AG483" s="357"/>
      <c r="AH483" s="88">
        <f>AH187</f>
        <v>0</v>
      </c>
      <c r="AI483" s="367">
        <f>AI187</f>
        <v>0</v>
      </c>
      <c r="AJ483" s="90"/>
      <c r="AK483" s="30"/>
      <c r="AL483" s="357"/>
      <c r="AM483" s="88"/>
      <c r="AN483" s="367">
        <f>AN187</f>
        <v>0</v>
      </c>
      <c r="AO483" s="29"/>
      <c r="AP483" s="30"/>
      <c r="AQ483" s="357"/>
      <c r="AR483" s="88"/>
      <c r="AS483" s="338"/>
      <c r="AT483" s="29"/>
      <c r="AU483" s="30"/>
      <c r="AV483" s="357"/>
    </row>
    <row r="484" spans="1:48" s="62" customFormat="1" ht="16.149999999999999" hidden="1" customHeight="1" outlineLevel="3" collapsed="1" x14ac:dyDescent="0.3">
      <c r="A484" s="190" t="s">
        <v>436</v>
      </c>
      <c r="B484" s="336"/>
      <c r="C484" s="337"/>
      <c r="D484" s="337"/>
      <c r="E484" s="347"/>
      <c r="F484" s="366">
        <f>SUM(F485:F485)</f>
        <v>520.42999999999995</v>
      </c>
      <c r="G484" s="366">
        <f>SUM(G485:G485)</f>
        <v>0</v>
      </c>
      <c r="H484" s="366">
        <f>SUM(H485:H485)</f>
        <v>0</v>
      </c>
      <c r="I484" s="366">
        <f>SUM(I485:I485)</f>
        <v>1204.94</v>
      </c>
      <c r="J484" s="366">
        <f>SUM(J485:J485)</f>
        <v>0</v>
      </c>
      <c r="K484" s="354"/>
      <c r="L484" s="366">
        <f>SUM(L485:L485)</f>
        <v>0</v>
      </c>
      <c r="M484" s="354"/>
      <c r="N484" s="88"/>
      <c r="O484" s="366">
        <f>SUM(O485:O485)</f>
        <v>0</v>
      </c>
      <c r="P484" s="354"/>
      <c r="Q484" s="123"/>
      <c r="R484" s="357"/>
      <c r="S484" s="88"/>
      <c r="T484" s="366">
        <f>SUM(T485:T485)</f>
        <v>363.35</v>
      </c>
      <c r="U484" s="354"/>
      <c r="V484" s="123"/>
      <c r="W484" s="357"/>
      <c r="X484" s="340"/>
      <c r="Y484" s="366">
        <f>SUM(Y485:Y485)</f>
        <v>0</v>
      </c>
      <c r="Z484" s="354"/>
      <c r="AA484" s="30"/>
      <c r="AB484" s="357"/>
      <c r="AC484" s="88">
        <f>SUM(AC485:AC485)</f>
        <v>0</v>
      </c>
      <c r="AD484" s="366">
        <f>SUM(AD485:AD485)</f>
        <v>0</v>
      </c>
      <c r="AE484" s="90"/>
      <c r="AF484" s="30"/>
      <c r="AG484" s="357"/>
      <c r="AH484" s="88">
        <f>SUM(AH485:AH485)</f>
        <v>0</v>
      </c>
      <c r="AI484" s="366">
        <f>SUM(AI485:AI485)</f>
        <v>0</v>
      </c>
      <c r="AJ484" s="90"/>
      <c r="AK484" s="30"/>
      <c r="AL484" s="357"/>
      <c r="AM484" s="88"/>
      <c r="AN484" s="366">
        <f>SUM(AN485:AN485)</f>
        <v>0</v>
      </c>
      <c r="AO484" s="29"/>
      <c r="AP484" s="30"/>
      <c r="AQ484" s="357"/>
      <c r="AR484" s="88"/>
      <c r="AS484" s="338"/>
      <c r="AT484" s="29"/>
      <c r="AU484" s="30"/>
      <c r="AV484" s="357"/>
    </row>
    <row r="485" spans="1:48" s="62" customFormat="1" ht="16.149999999999999" hidden="1" customHeight="1" outlineLevel="4" x14ac:dyDescent="0.3">
      <c r="A485" s="196" t="s">
        <v>437</v>
      </c>
      <c r="B485" s="336"/>
      <c r="C485" s="337"/>
      <c r="D485" s="337"/>
      <c r="E485" s="347" t="str">
        <f>B178</f>
        <v>6150/01526 Trav.AntenneParabole     (0900)</v>
      </c>
      <c r="F485" s="367">
        <f>F178</f>
        <v>520.42999999999995</v>
      </c>
      <c r="G485" s="367">
        <f>G178</f>
        <v>0</v>
      </c>
      <c r="H485" s="367">
        <f>H178</f>
        <v>0</v>
      </c>
      <c r="I485" s="367">
        <f>I178</f>
        <v>1204.94</v>
      </c>
      <c r="J485" s="367">
        <f>J178</f>
        <v>0</v>
      </c>
      <c r="K485" s="354"/>
      <c r="L485" s="367">
        <f>L178</f>
        <v>0</v>
      </c>
      <c r="M485" s="354"/>
      <c r="N485" s="88"/>
      <c r="O485" s="367">
        <f>O178</f>
        <v>0</v>
      </c>
      <c r="P485" s="354"/>
      <c r="Q485" s="123"/>
      <c r="R485" s="357"/>
      <c r="S485" s="88"/>
      <c r="T485" s="367">
        <f>T178</f>
        <v>363.35</v>
      </c>
      <c r="U485" s="354"/>
      <c r="V485" s="123"/>
      <c r="W485" s="357"/>
      <c r="X485" s="340"/>
      <c r="Y485" s="367">
        <f>Y178</f>
        <v>0</v>
      </c>
      <c r="Z485" s="354"/>
      <c r="AA485" s="30"/>
      <c r="AB485" s="357"/>
      <c r="AC485" s="88">
        <f>AC178</f>
        <v>0</v>
      </c>
      <c r="AD485" s="367">
        <f>AD178</f>
        <v>0</v>
      </c>
      <c r="AE485" s="90"/>
      <c r="AF485" s="30"/>
      <c r="AG485" s="357"/>
      <c r="AH485" s="88">
        <f>AH178</f>
        <v>0</v>
      </c>
      <c r="AI485" s="367">
        <f>AI178</f>
        <v>0</v>
      </c>
      <c r="AJ485" s="90"/>
      <c r="AK485" s="30"/>
      <c r="AL485" s="357"/>
      <c r="AM485" s="88"/>
      <c r="AN485" s="367">
        <f>AN178</f>
        <v>0</v>
      </c>
      <c r="AO485" s="29"/>
      <c r="AP485" s="30"/>
      <c r="AQ485" s="357"/>
      <c r="AR485" s="88"/>
      <c r="AS485" s="338"/>
      <c r="AT485" s="29"/>
      <c r="AU485" s="30"/>
      <c r="AV485" s="357"/>
    </row>
    <row r="486" spans="1:48" s="62" customFormat="1" hidden="1" outlineLevel="3" collapsed="1" x14ac:dyDescent="0.3">
      <c r="A486" s="190" t="s">
        <v>438</v>
      </c>
      <c r="B486" s="336"/>
      <c r="C486" s="337"/>
      <c r="D486" s="337"/>
      <c r="E486" s="347"/>
      <c r="F486" s="366">
        <f>SUM(F487:F488)</f>
        <v>89.7</v>
      </c>
      <c r="G486" s="366">
        <f>SUM(G487:G488)</f>
        <v>264.32</v>
      </c>
      <c r="H486" s="366">
        <f>SUM(H487:H488)</f>
        <v>0</v>
      </c>
      <c r="I486" s="366">
        <f>SUM(I487:I488)</f>
        <v>0</v>
      </c>
      <c r="J486" s="366">
        <f>SUM(J487:J488)</f>
        <v>0</v>
      </c>
      <c r="K486" s="354"/>
      <c r="L486" s="366">
        <f>SUM(L487:L488)</f>
        <v>0</v>
      </c>
      <c r="M486" s="354"/>
      <c r="N486" s="88"/>
      <c r="O486" s="366">
        <f>SUM(O487:O488)</f>
        <v>0</v>
      </c>
      <c r="P486" s="354"/>
      <c r="Q486" s="123"/>
      <c r="R486" s="357"/>
      <c r="S486" s="88"/>
      <c r="T486" s="366">
        <f>SUM(T487:T488)</f>
        <v>0</v>
      </c>
      <c r="U486" s="354"/>
      <c r="V486" s="123"/>
      <c r="W486" s="357"/>
      <c r="X486" s="340"/>
      <c r="Y486" s="366">
        <f>SUM(Y487:Y488)</f>
        <v>0</v>
      </c>
      <c r="Z486" s="354"/>
      <c r="AA486" s="30"/>
      <c r="AB486" s="357"/>
      <c r="AC486" s="88">
        <f>SUM(AC487:AC488)</f>
        <v>310</v>
      </c>
      <c r="AD486" s="366">
        <f>SUM(AD487:AD488)</f>
        <v>0</v>
      </c>
      <c r="AE486" s="90"/>
      <c r="AF486" s="30"/>
      <c r="AG486" s="357"/>
      <c r="AH486" s="88">
        <f>SUM(AH487:AH488)</f>
        <v>320</v>
      </c>
      <c r="AI486" s="366">
        <f>SUM(AI487:AI488)</f>
        <v>0</v>
      </c>
      <c r="AJ486" s="90"/>
      <c r="AK486" s="30"/>
      <c r="AL486" s="357"/>
      <c r="AM486" s="88"/>
      <c r="AN486" s="366">
        <f>SUM(AN487:AN488)</f>
        <v>0</v>
      </c>
      <c r="AO486" s="29"/>
      <c r="AP486" s="30"/>
      <c r="AQ486" s="357"/>
      <c r="AR486" s="88"/>
      <c r="AS486" s="338"/>
      <c r="AT486" s="29"/>
      <c r="AU486" s="30"/>
      <c r="AV486" s="357"/>
    </row>
    <row r="487" spans="1:48" s="62" customFormat="1" ht="13.9" hidden="1" customHeight="1" outlineLevel="4" x14ac:dyDescent="0.3">
      <c r="A487" s="196" t="s">
        <v>439</v>
      </c>
      <c r="B487" s="336"/>
      <c r="C487" s="337"/>
      <c r="D487" s="337"/>
      <c r="E487" s="347" t="str">
        <f>B184</f>
        <v>6150/01625  Entretien Mat.TeleSurv       (0940)</v>
      </c>
      <c r="F487" s="367">
        <f>F184</f>
        <v>89.7</v>
      </c>
      <c r="G487" s="367">
        <f>G184</f>
        <v>89.7</v>
      </c>
      <c r="H487" s="367">
        <f>H184</f>
        <v>0</v>
      </c>
      <c r="I487" s="367">
        <f>I184</f>
        <v>0</v>
      </c>
      <c r="J487" s="367">
        <f>J184</f>
        <v>0</v>
      </c>
      <c r="K487" s="354"/>
      <c r="L487" s="367">
        <f>L184</f>
        <v>0</v>
      </c>
      <c r="M487" s="354"/>
      <c r="N487" s="88"/>
      <c r="O487" s="367">
        <f>O184</f>
        <v>0</v>
      </c>
      <c r="P487" s="354"/>
      <c r="Q487" s="123"/>
      <c r="R487" s="357"/>
      <c r="S487" s="88"/>
      <c r="T487" s="367">
        <f>T184</f>
        <v>0</v>
      </c>
      <c r="U487" s="354"/>
      <c r="V487" s="123"/>
      <c r="W487" s="357"/>
      <c r="X487" s="340"/>
      <c r="Y487" s="367">
        <f>Y184</f>
        <v>0</v>
      </c>
      <c r="Z487" s="354"/>
      <c r="AA487" s="30"/>
      <c r="AB487" s="357"/>
      <c r="AC487" s="88">
        <f>AC184</f>
        <v>0</v>
      </c>
      <c r="AD487" s="367">
        <f>AD184</f>
        <v>0</v>
      </c>
      <c r="AE487" s="90"/>
      <c r="AF487" s="30"/>
      <c r="AG487" s="357"/>
      <c r="AH487" s="88">
        <f>AH184</f>
        <v>0</v>
      </c>
      <c r="AI487" s="367">
        <f>AI184</f>
        <v>0</v>
      </c>
      <c r="AJ487" s="90"/>
      <c r="AK487" s="30"/>
      <c r="AL487" s="357"/>
      <c r="AM487" s="88"/>
      <c r="AN487" s="367">
        <f>AN184</f>
        <v>0</v>
      </c>
      <c r="AO487" s="29"/>
      <c r="AP487" s="30"/>
      <c r="AQ487" s="357"/>
      <c r="AR487" s="88"/>
      <c r="AS487" s="338"/>
      <c r="AT487" s="29"/>
      <c r="AU487" s="30"/>
      <c r="AV487" s="357"/>
    </row>
    <row r="488" spans="1:48" s="62" customFormat="1" ht="13.9" hidden="1" customHeight="1" outlineLevel="4" x14ac:dyDescent="0.3">
      <c r="A488" s="196" t="s">
        <v>440</v>
      </c>
      <c r="B488" s="336"/>
      <c r="C488" s="337"/>
      <c r="D488" s="337"/>
      <c r="E488" s="347" t="str">
        <f>B185</f>
        <v>6150/01626   EntretienMat.GTC           (0950)</v>
      </c>
      <c r="F488" s="367">
        <f>SUM(F185)</f>
        <v>0</v>
      </c>
      <c r="G488" s="367">
        <f>SUM(G185)</f>
        <v>174.62</v>
      </c>
      <c r="H488" s="367">
        <f>SUM(H185)</f>
        <v>0</v>
      </c>
      <c r="I488" s="367">
        <f>SUM(I185)</f>
        <v>0</v>
      </c>
      <c r="J488" s="367">
        <f>SUM(J185)</f>
        <v>0</v>
      </c>
      <c r="K488" s="354">
        <f>H185</f>
        <v>0</v>
      </c>
      <c r="L488" s="367">
        <f>SUM(L185)</f>
        <v>0</v>
      </c>
      <c r="M488" s="354">
        <f>J185</f>
        <v>0</v>
      </c>
      <c r="N488" s="88"/>
      <c r="O488" s="367">
        <f>SUM(O185)</f>
        <v>0</v>
      </c>
      <c r="P488" s="354">
        <f>M185</f>
        <v>0</v>
      </c>
      <c r="Q488" s="123"/>
      <c r="R488" s="357"/>
      <c r="S488" s="88"/>
      <c r="T488" s="367">
        <f>SUM(T185)</f>
        <v>0</v>
      </c>
      <c r="U488" s="354">
        <f>P185</f>
        <v>0</v>
      </c>
      <c r="V488" s="123"/>
      <c r="W488" s="357"/>
      <c r="X488" s="340"/>
      <c r="Y488" s="367">
        <f>SUM(Y185)</f>
        <v>0</v>
      </c>
      <c r="Z488" s="354" t="str">
        <f>W185</f>
        <v/>
      </c>
      <c r="AA488" s="30"/>
      <c r="AB488" s="357"/>
      <c r="AC488" s="88">
        <f>SUM(AC185)</f>
        <v>310</v>
      </c>
      <c r="AD488" s="367">
        <f>SUM(AD185)</f>
        <v>0</v>
      </c>
      <c r="AE488" s="90" t="str">
        <f>AB185</f>
        <v/>
      </c>
      <c r="AF488" s="30"/>
      <c r="AG488" s="357"/>
      <c r="AH488" s="88">
        <f>SUM(AH185)</f>
        <v>320</v>
      </c>
      <c r="AI488" s="367">
        <f>SUM(AI185)</f>
        <v>0</v>
      </c>
      <c r="AJ488" s="90"/>
      <c r="AK488" s="30"/>
      <c r="AL488" s="357"/>
      <c r="AM488" s="88"/>
      <c r="AN488" s="367">
        <f>SUM(AN185)</f>
        <v>0</v>
      </c>
      <c r="AO488" s="29"/>
      <c r="AP488" s="30"/>
      <c r="AQ488" s="357"/>
      <c r="AR488" s="88"/>
      <c r="AS488" s="338"/>
      <c r="AT488" s="29"/>
      <c r="AU488" s="30"/>
      <c r="AV488" s="357"/>
    </row>
    <row r="489" spans="1:48" s="62" customFormat="1" ht="16.149999999999999" hidden="1" customHeight="1" outlineLevel="3" collapsed="1" x14ac:dyDescent="0.3">
      <c r="A489" s="190" t="s">
        <v>441</v>
      </c>
      <c r="B489" s="336"/>
      <c r="C489" s="337"/>
      <c r="D489" s="337"/>
      <c r="E489" s="347"/>
      <c r="F489" s="366">
        <f>SUM(F490:F491)</f>
        <v>451.61</v>
      </c>
      <c r="G489" s="366">
        <f>SUM(G490:G491)</f>
        <v>1277.3399999999999</v>
      </c>
      <c r="H489" s="366">
        <f>SUM(H490:H491)</f>
        <v>8172.9600000000009</v>
      </c>
      <c r="I489" s="366">
        <f>SUM(I490:I491)</f>
        <v>3939.1</v>
      </c>
      <c r="J489" s="366">
        <f>SUM(J490:J491)</f>
        <v>1678.75</v>
      </c>
      <c r="K489" s="354"/>
      <c r="L489" s="366">
        <f>SUM(L490:L491)</f>
        <v>3485.5</v>
      </c>
      <c r="M489" s="354"/>
      <c r="N489" s="88"/>
      <c r="O489" s="366">
        <f>SUM(O490:O491)</f>
        <v>3612</v>
      </c>
      <c r="P489" s="354"/>
      <c r="Q489" s="123"/>
      <c r="R489" s="357">
        <f>O489/O$640</f>
        <v>7.2089413865165331E-3</v>
      </c>
      <c r="S489" s="88"/>
      <c r="T489" s="366">
        <f>SUM(T490:T491)</f>
        <v>5622</v>
      </c>
      <c r="U489" s="354"/>
      <c r="V489" s="123"/>
      <c r="W489" s="357">
        <f>T489/T$640</f>
        <v>1.149525171677352E-2</v>
      </c>
      <c r="X489" s="340"/>
      <c r="Y489" s="366">
        <f>SUM(Y490:Y491)</f>
        <v>3066</v>
      </c>
      <c r="Z489" s="354"/>
      <c r="AA489" s="30"/>
      <c r="AB489" s="357">
        <f>Y489/Y$640</f>
        <v>6.0190237665649045E-3</v>
      </c>
      <c r="AC489" s="88">
        <f>SUM(AC490:AC491)</f>
        <v>6200</v>
      </c>
      <c r="AD489" s="366">
        <f>SUM(AD490:AD491)</f>
        <v>4620</v>
      </c>
      <c r="AE489" s="90" t="str">
        <f>ROUND((AD489-Y489),2)&amp;" / "&amp;(ROUND((AD489-Y489)/(IF(Y489=0,0.0001,Y489)),3)*100)&amp;"%"</f>
        <v>1554 / 50,7%</v>
      </c>
      <c r="AF489" s="30"/>
      <c r="AG489" s="357">
        <f>AD489/AD$640</f>
        <v>9.1742581832844027E-3</v>
      </c>
      <c r="AH489" s="88">
        <f>SUM(AH490:AH491)</f>
        <v>6300</v>
      </c>
      <c r="AI489" s="366">
        <f>SUM(AI490:AI491)</f>
        <v>5090</v>
      </c>
      <c r="AJ489" s="90"/>
      <c r="AK489" s="30"/>
      <c r="AL489" s="357">
        <f>AI489/AI$640</f>
        <v>1.056314491346076E-2</v>
      </c>
      <c r="AM489" s="88"/>
      <c r="AN489" s="366">
        <f>SUM(AN490:AN491)</f>
        <v>3816</v>
      </c>
      <c r="AO489" s="29"/>
      <c r="AP489" s="30"/>
      <c r="AQ489" s="357">
        <f>AN489/AN$640</f>
        <v>1.02874112926445E-2</v>
      </c>
      <c r="AR489" s="88"/>
      <c r="AS489" s="338"/>
      <c r="AT489" s="29"/>
      <c r="AU489" s="30"/>
      <c r="AV489" s="357" t="e">
        <f>AS489/AS$640</f>
        <v>#DIV/0!</v>
      </c>
    </row>
    <row r="490" spans="1:48" s="62" customFormat="1" ht="16.149999999999999" hidden="1" customHeight="1" outlineLevel="4" x14ac:dyDescent="0.3">
      <c r="A490" s="196" t="s">
        <v>442</v>
      </c>
      <c r="B490" s="336"/>
      <c r="C490" s="337"/>
      <c r="D490" s="370"/>
      <c r="E490" s="347" t="str">
        <f>B204</f>
        <v>6150/01845 Entretien Jardins           (1120)</v>
      </c>
      <c r="F490" s="367">
        <f t="shared" ref="F490:J491" si="411">F204</f>
        <v>451.61</v>
      </c>
      <c r="G490" s="367">
        <f t="shared" si="411"/>
        <v>817.5</v>
      </c>
      <c r="H490" s="367">
        <f t="shared" si="411"/>
        <v>973.69</v>
      </c>
      <c r="I490" s="367">
        <f t="shared" si="411"/>
        <v>3939.1</v>
      </c>
      <c r="J490" s="367">
        <f t="shared" si="411"/>
        <v>0</v>
      </c>
      <c r="K490" s="354">
        <f>H204</f>
        <v>973.69</v>
      </c>
      <c r="L490" s="367">
        <f>L204</f>
        <v>65</v>
      </c>
      <c r="M490" s="354">
        <f>J204</f>
        <v>0</v>
      </c>
      <c r="N490" s="88"/>
      <c r="O490" s="367">
        <f>O204</f>
        <v>0</v>
      </c>
      <c r="P490" s="354">
        <f>M204</f>
        <v>0</v>
      </c>
      <c r="Q490" s="123"/>
      <c r="R490" s="357"/>
      <c r="S490" s="88"/>
      <c r="T490" s="367">
        <f>T204</f>
        <v>0</v>
      </c>
      <c r="U490" s="354">
        <f>P204</f>
        <v>0</v>
      </c>
      <c r="V490" s="123"/>
      <c r="W490" s="357"/>
      <c r="X490" s="340"/>
      <c r="Y490" s="367">
        <f>Y204</f>
        <v>0</v>
      </c>
      <c r="Z490" s="354" t="str">
        <f>W204</f>
        <v/>
      </c>
      <c r="AA490" s="30"/>
      <c r="AB490" s="357"/>
      <c r="AC490" s="88">
        <f>AC204</f>
        <v>2600</v>
      </c>
      <c r="AD490" s="367">
        <f>AD204</f>
        <v>0</v>
      </c>
      <c r="AE490" s="90" t="str">
        <f>AB204</f>
        <v/>
      </c>
      <c r="AF490" s="30"/>
      <c r="AG490" s="357"/>
      <c r="AH490" s="88">
        <f>AH204</f>
        <v>2640</v>
      </c>
      <c r="AI490" s="367">
        <f>AI204</f>
        <v>0</v>
      </c>
      <c r="AJ490" s="90"/>
      <c r="AK490" s="30"/>
      <c r="AL490" s="357"/>
      <c r="AM490" s="88"/>
      <c r="AN490" s="367">
        <f>AN204</f>
        <v>0</v>
      </c>
      <c r="AO490" s="29"/>
      <c r="AP490" s="30"/>
      <c r="AQ490" s="357"/>
      <c r="AR490" s="88"/>
      <c r="AS490" s="338"/>
      <c r="AT490" s="29"/>
      <c r="AU490" s="30"/>
      <c r="AV490" s="357"/>
    </row>
    <row r="491" spans="1:48" s="62" customFormat="1" ht="16.149999999999999" hidden="1" customHeight="1" outlineLevel="4" x14ac:dyDescent="0.3">
      <c r="A491" s="196" t="s">
        <v>443</v>
      </c>
      <c r="B491" s="336"/>
      <c r="C491" s="337"/>
      <c r="D491" s="370"/>
      <c r="E491" s="347" t="str">
        <f>B205</f>
        <v>6150/01846 Travaux Jardins           (1130)</v>
      </c>
      <c r="F491" s="367">
        <f t="shared" si="411"/>
        <v>0</v>
      </c>
      <c r="G491" s="367">
        <f t="shared" si="411"/>
        <v>459.84</v>
      </c>
      <c r="H491" s="367">
        <f t="shared" si="411"/>
        <v>7199.27</v>
      </c>
      <c r="I491" s="367">
        <f t="shared" si="411"/>
        <v>0</v>
      </c>
      <c r="J491" s="367">
        <f t="shared" si="411"/>
        <v>1678.75</v>
      </c>
      <c r="K491" s="354"/>
      <c r="L491" s="367">
        <f>L205</f>
        <v>3420.5</v>
      </c>
      <c r="M491" s="354"/>
      <c r="N491" s="88"/>
      <c r="O491" s="367">
        <f>O205</f>
        <v>3612</v>
      </c>
      <c r="P491" s="354"/>
      <c r="Q491" s="123"/>
      <c r="R491" s="357"/>
      <c r="S491" s="88"/>
      <c r="T491" s="367">
        <f>T205</f>
        <v>5622</v>
      </c>
      <c r="U491" s="354"/>
      <c r="V491" s="123"/>
      <c r="W491" s="357"/>
      <c r="X491" s="340"/>
      <c r="Y491" s="367">
        <f>Y205</f>
        <v>3066</v>
      </c>
      <c r="Z491" s="354"/>
      <c r="AA491" s="30"/>
      <c r="AB491" s="357"/>
      <c r="AC491" s="88">
        <f>AC205</f>
        <v>3600</v>
      </c>
      <c r="AD491" s="367">
        <f>AD205</f>
        <v>4620</v>
      </c>
      <c r="AE491" s="90"/>
      <c r="AF491" s="30"/>
      <c r="AG491" s="357"/>
      <c r="AH491" s="88">
        <f>AH205</f>
        <v>3660</v>
      </c>
      <c r="AI491" s="367">
        <f>AI205</f>
        <v>5090</v>
      </c>
      <c r="AJ491" s="90"/>
      <c r="AK491" s="30"/>
      <c r="AL491" s="357"/>
      <c r="AM491" s="88"/>
      <c r="AN491" s="367">
        <f>AN205</f>
        <v>3816</v>
      </c>
      <c r="AO491" s="29"/>
      <c r="AP491" s="30"/>
      <c r="AQ491" s="357"/>
      <c r="AR491" s="88"/>
      <c r="AS491" s="338"/>
      <c r="AT491" s="29"/>
      <c r="AU491" s="30"/>
      <c r="AV491" s="357"/>
    </row>
    <row r="492" spans="1:48" s="62" customFormat="1" hidden="1" outlineLevel="1" collapsed="1" x14ac:dyDescent="0.3">
      <c r="A492" s="199" t="s">
        <v>444</v>
      </c>
      <c r="B492" s="336"/>
      <c r="C492" s="337"/>
      <c r="D492" s="337"/>
      <c r="E492" s="347">
        <f>Y492-Y334</f>
        <v>0</v>
      </c>
      <c r="F492" s="348">
        <f>SUM(F493)</f>
        <v>28263.14</v>
      </c>
      <c r="G492" s="351">
        <f>SUM(G493)</f>
        <v>29411.34</v>
      </c>
      <c r="H492" s="351">
        <f>SUM(H493)</f>
        <v>30397.63</v>
      </c>
      <c r="I492" s="351">
        <f>SUM(I493)</f>
        <v>31201.15</v>
      </c>
      <c r="J492" s="351">
        <f>SUM(J493)</f>
        <v>31811.51</v>
      </c>
      <c r="K492" s="349" t="str">
        <f>ROUND((J492-I492),2)&amp;"  ( "&amp;(ROUND((J492-I492)/(IF(I492=0,0.0001,I492)),3)*100)&amp;"% )"</f>
        <v>610,36  ( 2% )</v>
      </c>
      <c r="L492" s="351">
        <f>SUM(L493)</f>
        <v>32156.34</v>
      </c>
      <c r="M492" s="349" t="str">
        <f>ROUND((L492-G492),2)&amp;"   ( "&amp;(ROUND((L492-G492)/(IF(G492=0,0.0001,G492)),3)*100)&amp;"% )"</f>
        <v>2745   ( 9,3% )</v>
      </c>
      <c r="N492" s="88"/>
      <c r="O492" s="351">
        <f>SUM(O493)</f>
        <v>28906.880000000001</v>
      </c>
      <c r="P492" s="349" t="str">
        <f>ROUND((O492-J492),2)&amp;"   ( "&amp;(ROUND((O492-J492)/(IF(J492=0,0.0001,J492)),3)*100)&amp;"% )"</f>
        <v>-2904,63   ( -9,1% )</v>
      </c>
      <c r="Q492" s="123"/>
      <c r="R492" s="357">
        <f>O492/O$640</f>
        <v>5.769324573285356E-2</v>
      </c>
      <c r="S492" s="88"/>
      <c r="T492" s="351">
        <f>SUM(T493)</f>
        <v>29107.06</v>
      </c>
      <c r="U492" s="349" t="str">
        <f>ROUND((T492-O492),2)&amp;"   ( "&amp;(ROUND((T492-O492)/(IF(O492=0,0.0001,O492)),3)*100)&amp;"% )"</f>
        <v>200,18   ( 0,7% )</v>
      </c>
      <c r="V492" s="123"/>
      <c r="W492" s="357">
        <f>T492/T$640</f>
        <v>5.9514937999863016E-2</v>
      </c>
      <c r="X492" s="340"/>
      <c r="Y492" s="351">
        <f>SUM(Y493)</f>
        <v>30294.2</v>
      </c>
      <c r="Z492" s="349" t="str">
        <f>ROUND((Y492-T492),2)&amp;"   ( "&amp;(ROUND((Y492-T492)/(IF(T492=0,0.0001,T492)),3)*100)&amp;"% )"</f>
        <v>1187,14   ( 4,1% )</v>
      </c>
      <c r="AA492" s="30"/>
      <c r="AB492" s="357">
        <f>Y492/Y$640</f>
        <v>5.9472116695717718E-2</v>
      </c>
      <c r="AC492" s="88">
        <f>SUM(AC493)</f>
        <v>32000</v>
      </c>
      <c r="AD492" s="351">
        <f>SUM(AD493)</f>
        <v>25346.54</v>
      </c>
      <c r="AE492" s="6" t="str">
        <f>ROUND((AD492-Y492),2)&amp;"   ( "&amp;(ROUND((AD492-Y492)/(IF(Y492=0,0.0001,Y492)),3)*100)&amp;"% )"</f>
        <v>-4947,66   ( -16,3% )</v>
      </c>
      <c r="AF492" s="30"/>
      <c r="AG492" s="357">
        <f>AD492/AD$640</f>
        <v>5.0332403033105079E-2</v>
      </c>
      <c r="AH492" s="88">
        <f>SUM(AH493)</f>
        <v>32480</v>
      </c>
      <c r="AI492" s="351">
        <f>SUM(AI493)</f>
        <v>25500.799999999999</v>
      </c>
      <c r="AJ492" s="6" t="str">
        <f t="shared" ref="AJ492" si="412">ROUND(AI492-AD492,2) &amp; "   (" &amp; ROUND(100*(AI492-AD492)/AD492,1) &amp;"%)"</f>
        <v>154,26   (0,6%)</v>
      </c>
      <c r="AK492" s="30"/>
      <c r="AL492" s="357">
        <f>AI492/AI$640</f>
        <v>5.2921148489033433E-2</v>
      </c>
      <c r="AM492" s="88"/>
      <c r="AN492" s="351">
        <f>SUM(AN493:AN494)</f>
        <v>22667.4</v>
      </c>
      <c r="AO492" s="35" t="str">
        <f t="shared" ref="AO492" si="413">ROUND(AN492-AI492,2) &amp; "   (" &amp; ROUND(100*(AN492-AI492)/AI492,1) &amp;"%)"</f>
        <v>-2833,4   (-11,1%)</v>
      </c>
      <c r="AP492" s="30"/>
      <c r="AQ492" s="357">
        <f>AN492/AN$640</f>
        <v>6.1108193588807647E-2</v>
      </c>
      <c r="AR492" s="88"/>
      <c r="AS492" s="338"/>
      <c r="AT492" s="35" t="str">
        <f t="shared" ref="AT492" si="414">ROUND(AS492-AN492,2) &amp; "   (" &amp; ROUND(100*(AS492-AN492)/AN492,1) &amp;"%)"</f>
        <v>-22667,4   (-100%)</v>
      </c>
      <c r="AU492" s="30"/>
      <c r="AV492" s="357" t="e">
        <f>AS492/AS$640</f>
        <v>#DIV/0!</v>
      </c>
    </row>
    <row r="493" spans="1:48" s="62" customFormat="1" ht="15" hidden="1" customHeight="1" outlineLevel="4" x14ac:dyDescent="0.3">
      <c r="A493" s="188" t="s">
        <v>445</v>
      </c>
      <c r="B493" s="336"/>
      <c r="C493" s="337"/>
      <c r="D493" s="337"/>
      <c r="E493" s="347" t="str">
        <f>B169</f>
        <v>6160/00441 Assurances MultiRisques (0830)</v>
      </c>
      <c r="F493" s="368">
        <f>F169</f>
        <v>28263.14</v>
      </c>
      <c r="G493" s="368">
        <f>G169</f>
        <v>29411.34</v>
      </c>
      <c r="H493" s="368">
        <f>H169</f>
        <v>30397.63</v>
      </c>
      <c r="I493" s="368">
        <f>I169</f>
        <v>31201.15</v>
      </c>
      <c r="J493" s="368">
        <f>J169</f>
        <v>31811.51</v>
      </c>
      <c r="K493" s="354"/>
      <c r="L493" s="368">
        <f>L169</f>
        <v>32156.34</v>
      </c>
      <c r="M493" s="354"/>
      <c r="N493" s="88"/>
      <c r="O493" s="368">
        <f>O169</f>
        <v>28906.880000000001</v>
      </c>
      <c r="P493" s="354"/>
      <c r="Q493" s="123"/>
      <c r="R493" s="357">
        <f>O493/O$640</f>
        <v>5.769324573285356E-2</v>
      </c>
      <c r="S493" s="88"/>
      <c r="T493" s="368">
        <f>T169</f>
        <v>29107.06</v>
      </c>
      <c r="U493" s="354"/>
      <c r="V493" s="123"/>
      <c r="W493" s="357">
        <f>T493/T$640</f>
        <v>5.9514937999863016E-2</v>
      </c>
      <c r="X493" s="340"/>
      <c r="Y493" s="368">
        <f>Y169</f>
        <v>30294.2</v>
      </c>
      <c r="Z493" s="354"/>
      <c r="AA493" s="30"/>
      <c r="AB493" s="357">
        <f>Y493/Y$640</f>
        <v>5.9472116695717718E-2</v>
      </c>
      <c r="AC493" s="88">
        <f>AC169</f>
        <v>32000</v>
      </c>
      <c r="AD493" s="368">
        <f>AD169</f>
        <v>25346.54</v>
      </c>
      <c r="AE493" s="90"/>
      <c r="AF493" s="30"/>
      <c r="AG493" s="357">
        <f>AD493/AD$640</f>
        <v>5.0332403033105079E-2</v>
      </c>
      <c r="AH493" s="88">
        <f>AH169</f>
        <v>32480</v>
      </c>
      <c r="AI493" s="368">
        <f>AI169</f>
        <v>25500.799999999999</v>
      </c>
      <c r="AJ493" s="90"/>
      <c r="AK493" s="30"/>
      <c r="AL493" s="357">
        <f>AI493/AI$640</f>
        <v>5.2921148489033433E-2</v>
      </c>
      <c r="AM493" s="88"/>
      <c r="AN493" s="368">
        <f>AN169</f>
        <v>22569.4</v>
      </c>
      <c r="AO493" s="29"/>
      <c r="AP493" s="30"/>
      <c r="AQ493" s="357">
        <f>AN493/AN$640</f>
        <v>6.0843999063996547E-2</v>
      </c>
      <c r="AR493" s="88"/>
      <c r="AS493" s="338"/>
      <c r="AT493" s="29"/>
      <c r="AU493" s="30"/>
      <c r="AV493" s="357" t="e">
        <f>AS493/AS$640</f>
        <v>#DIV/0!</v>
      </c>
    </row>
    <row r="494" spans="1:48" hidden="1" outlineLevel="2" x14ac:dyDescent="0.3">
      <c r="A494" s="188" t="s">
        <v>635</v>
      </c>
      <c r="B494" s="336"/>
      <c r="E494" s="347" t="str">
        <f>B170</f>
        <v>6160/01446 Assurances Sans TVA (0835)</v>
      </c>
      <c r="AN494" s="368">
        <f>AN170</f>
        <v>98</v>
      </c>
    </row>
    <row r="495" spans="1:48" s="62" customFormat="1" hidden="1" outlineLevel="1" collapsed="1" x14ac:dyDescent="0.3">
      <c r="A495" s="199" t="s">
        <v>446</v>
      </c>
      <c r="B495" s="336"/>
      <c r="C495" s="337"/>
      <c r="D495" s="337"/>
      <c r="E495" s="347"/>
      <c r="F495" s="351">
        <f t="shared" ref="F495:I496" si="415">SUM(F496)</f>
        <v>1410.3999999999999</v>
      </c>
      <c r="G495" s="351">
        <f t="shared" si="415"/>
        <v>1450.74</v>
      </c>
      <c r="H495" s="351">
        <f t="shared" si="415"/>
        <v>1688.9299999999998</v>
      </c>
      <c r="I495" s="351">
        <f t="shared" si="415"/>
        <v>1499.7399999999998</v>
      </c>
      <c r="J495" s="351">
        <f>SUM(J496)</f>
        <v>1858.19</v>
      </c>
      <c r="K495" s="354"/>
      <c r="L495" s="351">
        <f>SUM(L496)</f>
        <v>2142.7600000000002</v>
      </c>
      <c r="M495" s="354"/>
      <c r="N495" s="88"/>
      <c r="O495" s="351">
        <f>SUM(O496)</f>
        <v>2019.61</v>
      </c>
      <c r="P495" s="354"/>
      <c r="Q495" s="123"/>
      <c r="R495" s="357"/>
      <c r="S495" s="88"/>
      <c r="T495" s="351">
        <f>SUM(T496)</f>
        <v>2000.39</v>
      </c>
      <c r="U495" s="354"/>
      <c r="V495" s="123"/>
      <c r="W495" s="357"/>
      <c r="X495" s="340"/>
      <c r="Y495" s="351">
        <f>SUM(Y496)</f>
        <v>2129.58</v>
      </c>
      <c r="Z495" s="354"/>
      <c r="AA495" s="30"/>
      <c r="AB495" s="357"/>
      <c r="AC495" s="88">
        <f>SUM(AC496)</f>
        <v>410</v>
      </c>
      <c r="AD495" s="351">
        <f>SUM(AD496)</f>
        <v>2137.79</v>
      </c>
      <c r="AE495" s="6" t="str">
        <f>ROUND((AD495-Y495),2)&amp;"   ( "&amp;(ROUND((AD495-Y495)/(IF(Y495=0,0.0001,Y495)),3)*100)&amp;"% )"</f>
        <v>8,21   ( 0,4% )</v>
      </c>
      <c r="AF495" s="30"/>
      <c r="AG495" s="357"/>
      <c r="AH495" s="88">
        <f>SUM(AH496)</f>
        <v>11910</v>
      </c>
      <c r="AI495" s="351">
        <f>SUM(AI496)</f>
        <v>2224.69</v>
      </c>
      <c r="AJ495" s="6" t="str">
        <f t="shared" ref="AJ495" si="416">ROUND(AI495-AD495,2) &amp; "   (" &amp; ROUND(100*(AI495-AD495)/AD495,1) &amp;"%)"</f>
        <v>86,9   (4,1%)</v>
      </c>
      <c r="AK495" s="30"/>
      <c r="AL495" s="357"/>
      <c r="AM495" s="88"/>
      <c r="AN495" s="351">
        <f>SUM(AN496)</f>
        <v>1985.95</v>
      </c>
      <c r="AO495" s="35" t="str">
        <f t="shared" ref="AO495" si="417">ROUND(AN495-AI495,2) &amp; "   (" &amp; ROUND(100*(AN495-AI495)/AI495,1) &amp;"%)"</f>
        <v>-238,74   (-10,7%)</v>
      </c>
      <c r="AP495" s="30"/>
      <c r="AQ495" s="357"/>
      <c r="AR495" s="88"/>
      <c r="AS495" s="338"/>
      <c r="AT495" s="35" t="str">
        <f t="shared" ref="AT495" si="418">ROUND(AS495-AN495,2) &amp; "   (" &amp; ROUND(100*(AS495-AN495)/AN495,1) &amp;"%)"</f>
        <v>-1985,95   (-100%)</v>
      </c>
      <c r="AU495" s="30"/>
      <c r="AV495" s="357"/>
    </row>
    <row r="496" spans="1:48" s="62" customFormat="1" hidden="1" outlineLevel="2" collapsed="1" x14ac:dyDescent="0.3">
      <c r="A496" s="188" t="s">
        <v>447</v>
      </c>
      <c r="B496" s="336"/>
      <c r="C496" s="337"/>
      <c r="D496" s="337"/>
      <c r="E496" s="347"/>
      <c r="F496" s="362">
        <f t="shared" si="415"/>
        <v>1410.3999999999999</v>
      </c>
      <c r="G496" s="362">
        <f t="shared" si="415"/>
        <v>1450.74</v>
      </c>
      <c r="H496" s="362">
        <f t="shared" si="415"/>
        <v>1688.9299999999998</v>
      </c>
      <c r="I496" s="362">
        <f t="shared" si="415"/>
        <v>1499.7399999999998</v>
      </c>
      <c r="J496" s="362">
        <f>SUM(J497)</f>
        <v>1858.19</v>
      </c>
      <c r="K496" s="354"/>
      <c r="L496" s="362">
        <f>SUM(L497)</f>
        <v>2142.7600000000002</v>
      </c>
      <c r="M496" s="354"/>
      <c r="N496" s="88"/>
      <c r="O496" s="362">
        <f>SUM(O497)</f>
        <v>2019.61</v>
      </c>
      <c r="P496" s="354"/>
      <c r="Q496" s="123"/>
      <c r="R496" s="357"/>
      <c r="S496" s="88"/>
      <c r="T496" s="362">
        <f>SUM(T497)</f>
        <v>2000.39</v>
      </c>
      <c r="U496" s="354"/>
      <c r="V496" s="123"/>
      <c r="W496" s="357"/>
      <c r="X496" s="340"/>
      <c r="Y496" s="362">
        <f>SUM(Y497)</f>
        <v>2129.58</v>
      </c>
      <c r="Z496" s="354"/>
      <c r="AA496" s="30"/>
      <c r="AB496" s="357"/>
      <c r="AC496" s="88">
        <f>SUM(AC497)</f>
        <v>410</v>
      </c>
      <c r="AD496" s="362">
        <f>SUM(AD497)</f>
        <v>2137.79</v>
      </c>
      <c r="AE496" s="90"/>
      <c r="AF496" s="30"/>
      <c r="AG496" s="357"/>
      <c r="AH496" s="88">
        <f>SUM(AH497)</f>
        <v>11910</v>
      </c>
      <c r="AI496" s="362">
        <f>SUM(AI497)</f>
        <v>2224.69</v>
      </c>
      <c r="AJ496" s="90"/>
      <c r="AK496" s="30"/>
      <c r="AL496" s="357"/>
      <c r="AM496" s="88"/>
      <c r="AN496" s="362">
        <f>SUM(AN497)</f>
        <v>1985.95</v>
      </c>
      <c r="AO496" s="29"/>
      <c r="AP496" s="30"/>
      <c r="AQ496" s="357"/>
      <c r="AR496" s="88"/>
      <c r="AS496" s="338"/>
      <c r="AT496" s="29"/>
      <c r="AU496" s="30"/>
      <c r="AV496" s="357"/>
    </row>
    <row r="497" spans="1:48" s="62" customFormat="1" hidden="1" outlineLevel="3" collapsed="1" x14ac:dyDescent="0.3">
      <c r="A497" s="190" t="s">
        <v>448</v>
      </c>
      <c r="B497" s="336"/>
      <c r="C497" s="337"/>
      <c r="D497" s="337"/>
      <c r="E497" s="347"/>
      <c r="F497" s="371">
        <f>SUM(F498:F500)</f>
        <v>1410.3999999999999</v>
      </c>
      <c r="G497" s="371">
        <f>SUM(G498:G500)</f>
        <v>1450.74</v>
      </c>
      <c r="H497" s="371">
        <f>SUM(H498:H500)</f>
        <v>1688.9299999999998</v>
      </c>
      <c r="I497" s="371">
        <f>SUM(I498:I500)</f>
        <v>1499.7399999999998</v>
      </c>
      <c r="J497" s="371">
        <f>SUM(J498:J500)</f>
        <v>1858.19</v>
      </c>
      <c r="K497" s="354"/>
      <c r="L497" s="371">
        <f>SUM(L498:L500)</f>
        <v>2142.7600000000002</v>
      </c>
      <c r="M497" s="354"/>
      <c r="N497" s="88"/>
      <c r="O497" s="371">
        <f>SUM(O498:O500)</f>
        <v>2019.61</v>
      </c>
      <c r="P497" s="354"/>
      <c r="Q497" s="123"/>
      <c r="R497" s="357"/>
      <c r="S497" s="88"/>
      <c r="T497" s="371">
        <f>SUM(T498:T500)</f>
        <v>2000.39</v>
      </c>
      <c r="U497" s="354"/>
      <c r="V497" s="123"/>
      <c r="W497" s="357"/>
      <c r="X497" s="340"/>
      <c r="Y497" s="371">
        <f>SUM(Y498:Y500)</f>
        <v>2129.58</v>
      </c>
      <c r="Z497" s="354"/>
      <c r="AA497" s="30"/>
      <c r="AB497" s="357"/>
      <c r="AC497" s="88">
        <f>SUM(AC498:AC500)</f>
        <v>410</v>
      </c>
      <c r="AD497" s="371">
        <f>SUM(AD498:AD500)</f>
        <v>2137.79</v>
      </c>
      <c r="AE497" s="90"/>
      <c r="AF497" s="30"/>
      <c r="AG497" s="357"/>
      <c r="AH497" s="88">
        <f>SUM(AH498:AH500)</f>
        <v>11910</v>
      </c>
      <c r="AI497" s="371">
        <f>SUM(AI498:AI500)</f>
        <v>2224.69</v>
      </c>
      <c r="AJ497" s="90"/>
      <c r="AK497" s="30"/>
      <c r="AL497" s="357"/>
      <c r="AM497" s="88"/>
      <c r="AN497" s="371">
        <f>SUM(AN498:AN500)</f>
        <v>1985.95</v>
      </c>
      <c r="AO497" s="29"/>
      <c r="AP497" s="30"/>
      <c r="AQ497" s="357"/>
      <c r="AR497" s="88"/>
      <c r="AS497" s="338"/>
      <c r="AT497" s="29"/>
      <c r="AU497" s="30"/>
      <c r="AV497" s="357"/>
    </row>
    <row r="498" spans="1:48" s="62" customFormat="1" hidden="1" outlineLevel="4" x14ac:dyDescent="0.3">
      <c r="A498" s="196" t="s">
        <v>449</v>
      </c>
      <c r="B498" s="336"/>
      <c r="C498" s="337"/>
      <c r="D498" s="337"/>
      <c r="E498" s="347" t="str">
        <f>B193</f>
        <v>6140/00761 Consommation Tel.         (1030)</v>
      </c>
      <c r="F498" s="367">
        <f>F193</f>
        <v>355.93</v>
      </c>
      <c r="G498" s="367">
        <f>G193</f>
        <v>388.74</v>
      </c>
      <c r="H498" s="367">
        <f>H193</f>
        <v>602.57000000000005</v>
      </c>
      <c r="I498" s="367">
        <f>I193</f>
        <v>382.9</v>
      </c>
      <c r="J498" s="367">
        <f>J193</f>
        <v>720.59</v>
      </c>
      <c r="K498" s="354"/>
      <c r="L498" s="367">
        <f>L193</f>
        <v>973.52</v>
      </c>
      <c r="M498" s="354"/>
      <c r="N498" s="88"/>
      <c r="O498" s="367">
        <f>O193</f>
        <v>377.61</v>
      </c>
      <c r="P498" s="354"/>
      <c r="Q498" s="123"/>
      <c r="R498" s="357"/>
      <c r="S498" s="88"/>
      <c r="T498" s="367">
        <f>T193</f>
        <v>370.24</v>
      </c>
      <c r="U498" s="354"/>
      <c r="V498" s="123"/>
      <c r="W498" s="357"/>
      <c r="X498" s="340"/>
      <c r="Y498" s="367">
        <f>Y193</f>
        <v>453.44</v>
      </c>
      <c r="Z498" s="354"/>
      <c r="AA498" s="30"/>
      <c r="AB498" s="357"/>
      <c r="AC498" s="88">
        <f>SUM(AC193:AC195)</f>
        <v>410</v>
      </c>
      <c r="AD498" s="367">
        <f>SUM(AD193:AD195)</f>
        <v>402.86</v>
      </c>
      <c r="AE498" s="90"/>
      <c r="AF498" s="30"/>
      <c r="AG498" s="357"/>
      <c r="AH498" s="88">
        <f>SUM(AH193:AH195)</f>
        <v>420</v>
      </c>
      <c r="AI498" s="367">
        <f>SUM(AI193:AI195)</f>
        <v>415.42</v>
      </c>
      <c r="AJ498" s="90"/>
      <c r="AK498" s="30"/>
      <c r="AL498" s="357"/>
      <c r="AM498" s="88"/>
      <c r="AN498" s="367">
        <f>SUM(AN193:AN195)</f>
        <v>471.66</v>
      </c>
      <c r="AO498" s="29"/>
      <c r="AP498" s="30"/>
      <c r="AQ498" s="357"/>
      <c r="AR498" s="88"/>
      <c r="AS498" s="338"/>
      <c r="AT498" s="29"/>
      <c r="AU498" s="30"/>
      <c r="AV498" s="357"/>
    </row>
    <row r="499" spans="1:48" s="62" customFormat="1" hidden="1" outlineLevel="4" x14ac:dyDescent="0.3">
      <c r="A499" s="196" t="s">
        <v>450</v>
      </c>
      <c r="B499" s="336"/>
      <c r="C499" s="337"/>
      <c r="D499" s="337"/>
      <c r="E499" s="347" t="str">
        <f>B287</f>
        <v>6140/40761/600  Frais Téléph.</v>
      </c>
      <c r="F499" s="367">
        <f>F287</f>
        <v>1054.4699999999998</v>
      </c>
      <c r="G499" s="367">
        <f>G287</f>
        <v>1062</v>
      </c>
      <c r="H499" s="367">
        <f>H287</f>
        <v>1086.3599999999999</v>
      </c>
      <c r="I499" s="367">
        <f>I287</f>
        <v>1116.8399999999999</v>
      </c>
      <c r="J499" s="367">
        <f>J287</f>
        <v>1137.5999999999999</v>
      </c>
      <c r="K499" s="354"/>
      <c r="L499" s="367">
        <f>L287</f>
        <v>1169.24</v>
      </c>
      <c r="M499" s="354"/>
      <c r="N499" s="88"/>
      <c r="O499" s="367">
        <f>O287</f>
        <v>1209.28</v>
      </c>
      <c r="P499" s="354"/>
      <c r="Q499" s="123"/>
      <c r="R499" s="357"/>
      <c r="S499" s="88"/>
      <c r="T499" s="367">
        <f>T287</f>
        <v>1255.48</v>
      </c>
      <c r="U499" s="354"/>
      <c r="V499" s="123"/>
      <c r="W499" s="357"/>
      <c r="X499" s="340"/>
      <c r="Y499" s="367">
        <f>Y287</f>
        <v>1290</v>
      </c>
      <c r="Z499" s="354"/>
      <c r="AA499" s="30"/>
      <c r="AB499" s="357"/>
      <c r="AC499" s="88">
        <f>AC287</f>
        <v>0</v>
      </c>
      <c r="AD499" s="367">
        <f>AD287</f>
        <v>1311.84</v>
      </c>
      <c r="AE499" s="90"/>
      <c r="AF499" s="30"/>
      <c r="AG499" s="357"/>
      <c r="AH499" s="88">
        <f>AH287</f>
        <v>11490</v>
      </c>
      <c r="AI499" s="367">
        <f>AI287</f>
        <v>1376.64</v>
      </c>
      <c r="AJ499" s="90"/>
      <c r="AK499" s="30"/>
      <c r="AL499" s="357"/>
      <c r="AM499" s="88"/>
      <c r="AN499" s="367">
        <f>AN287</f>
        <v>1228.8</v>
      </c>
      <c r="AO499" s="29"/>
      <c r="AP499" s="30"/>
      <c r="AQ499" s="357"/>
      <c r="AR499" s="88"/>
      <c r="AS499" s="338"/>
      <c r="AT499" s="29"/>
      <c r="AU499" s="30"/>
      <c r="AV499" s="357"/>
    </row>
    <row r="500" spans="1:48" s="62" customFormat="1" hidden="1" outlineLevel="4" x14ac:dyDescent="0.3">
      <c r="A500" s="196" t="s">
        <v>451</v>
      </c>
      <c r="B500" s="336"/>
      <c r="C500" s="337"/>
      <c r="D500" s="337"/>
      <c r="E500" s="347" t="str">
        <f>B302</f>
        <v>6140/65761  Frais Téléph.</v>
      </c>
      <c r="F500" s="367">
        <f>F302</f>
        <v>0</v>
      </c>
      <c r="G500" s="367">
        <f>G302</f>
        <v>0</v>
      </c>
      <c r="H500" s="367">
        <f>H302</f>
        <v>0</v>
      </c>
      <c r="I500" s="367">
        <f>I302</f>
        <v>0</v>
      </c>
      <c r="J500" s="367">
        <f>J302</f>
        <v>0</v>
      </c>
      <c r="K500" s="354"/>
      <c r="L500" s="367">
        <f>L302</f>
        <v>0</v>
      </c>
      <c r="M500" s="354"/>
      <c r="N500" s="88"/>
      <c r="O500" s="367">
        <f>O302</f>
        <v>432.72</v>
      </c>
      <c r="P500" s="354"/>
      <c r="Q500" s="123"/>
      <c r="R500" s="357"/>
      <c r="S500" s="88"/>
      <c r="T500" s="367">
        <f>T302</f>
        <v>374.67</v>
      </c>
      <c r="U500" s="354"/>
      <c r="V500" s="123"/>
      <c r="W500" s="357"/>
      <c r="X500" s="340"/>
      <c r="Y500" s="367">
        <f>Y302</f>
        <v>386.14</v>
      </c>
      <c r="Z500" s="354"/>
      <c r="AA500" s="30"/>
      <c r="AB500" s="357"/>
      <c r="AC500" s="88">
        <f>AC302</f>
        <v>0</v>
      </c>
      <c r="AD500" s="367">
        <f>AD302</f>
        <v>423.09</v>
      </c>
      <c r="AE500" s="90"/>
      <c r="AF500" s="30"/>
      <c r="AG500" s="357"/>
      <c r="AH500" s="88">
        <f>AH302</f>
        <v>0</v>
      </c>
      <c r="AI500" s="367">
        <f>AI302</f>
        <v>432.63</v>
      </c>
      <c r="AJ500" s="90"/>
      <c r="AK500" s="30"/>
      <c r="AL500" s="357"/>
      <c r="AM500" s="88"/>
      <c r="AN500" s="367">
        <f>AN302</f>
        <v>285.49</v>
      </c>
      <c r="AO500" s="29"/>
      <c r="AP500" s="30"/>
      <c r="AQ500" s="357"/>
      <c r="AR500" s="88"/>
      <c r="AS500" s="338"/>
      <c r="AT500" s="29"/>
      <c r="AU500" s="30"/>
      <c r="AV500" s="357"/>
    </row>
    <row r="501" spans="1:48" s="62" customFormat="1" collapsed="1" x14ac:dyDescent="0.3">
      <c r="A501" s="342" t="s">
        <v>452</v>
      </c>
      <c r="B501" s="336"/>
      <c r="C501" s="337"/>
      <c r="D501" s="337"/>
      <c r="E501" s="372">
        <f>Y501-SUM(Y335:Y343)</f>
        <v>0</v>
      </c>
      <c r="F501" s="344">
        <f>SUM(F502,F512,F520,F530)</f>
        <v>40714.26999999999</v>
      </c>
      <c r="G501" s="344">
        <f>SUM(G502,G512,G520,G530)</f>
        <v>47222.17</v>
      </c>
      <c r="H501" s="344">
        <f>SUM(H502,H512,H520,H530)</f>
        <v>45316.49</v>
      </c>
      <c r="I501" s="344">
        <f>SUM(I502,I512,I520,I530)</f>
        <v>44992.26</v>
      </c>
      <c r="J501" s="344">
        <f>SUM(J502,J512,J520,J530)</f>
        <v>48957.47</v>
      </c>
      <c r="K501" s="345" t="str">
        <f>ROUND((J501-I501),2)&amp;"  ( "&amp;(ROUND((J501-I501)/(IF(I501=0,0.0001,I501)),3)*100)&amp;"% )"</f>
        <v>3965,21  ( 8,8% )</v>
      </c>
      <c r="L501" s="344">
        <f>SUM(L502,L512,L520,L530)</f>
        <v>46311.89</v>
      </c>
      <c r="M501" s="345" t="str">
        <f>ROUND((L501-G501),2)&amp;"   ( "&amp;(ROUND((L501-G501)/(IF(G501=0,0.0001,G501)),3)*100)&amp;"% )"</f>
        <v>-910,28   ( -1,9% )</v>
      </c>
      <c r="N501" s="88"/>
      <c r="O501" s="344">
        <f>SUM(O502,O512,O520,O530)</f>
        <v>48244.58</v>
      </c>
      <c r="P501" s="345" t="str">
        <f>ROUND((O501-J501),2)&amp;"   ( "&amp;(ROUND((O501-J501)/(IF(J501=0,0.0001,J501)),3)*100)&amp;"% )"</f>
        <v>-712,89   ( -1,5% )</v>
      </c>
      <c r="Q501" s="123"/>
      <c r="R501" s="346">
        <f>O501/O$640</f>
        <v>9.6288025868523766E-2</v>
      </c>
      <c r="S501" s="88"/>
      <c r="T501" s="344">
        <f>SUM(T502,T512,T520,T530)</f>
        <v>43103.12</v>
      </c>
      <c r="U501" s="345" t="str">
        <f>ROUND((T501-O501),2)&amp;"   ( "&amp;(ROUND((T501-O501)/(IF(O501=0,0.0001,O501)),3)*100)&amp;"% )"</f>
        <v>-5141,46   ( -10,7% )</v>
      </c>
      <c r="V501" s="123"/>
      <c r="W501" s="346">
        <f>T501/T$640</f>
        <v>8.8132553215634124E-2</v>
      </c>
      <c r="X501" s="340"/>
      <c r="Y501" s="344">
        <f>SUM(Y502,Y512,Y520,Y530)</f>
        <v>44624.049999999996</v>
      </c>
      <c r="Z501" s="345" t="str">
        <f>ROUND((Y501-T501),2)&amp;"   ( "&amp;(ROUND((Y501-T501)/(IF(T501=0,0.0001,T501)),3)*100)&amp;"% )"</f>
        <v>1520,93   ( 3,5% )</v>
      </c>
      <c r="AA501" s="30"/>
      <c r="AB501" s="346">
        <f>Y501/Y$640</f>
        <v>8.7603789142328956E-2</v>
      </c>
      <c r="AC501" s="88">
        <f>SUM(AC502,AC512,AC520,AC530)</f>
        <v>45530</v>
      </c>
      <c r="AD501" s="344">
        <f>SUM(AD502,AD512,AD520,AD530)</f>
        <v>45502.28</v>
      </c>
      <c r="AE501" s="6" t="str">
        <f>ROUND((AD501-Y501),2)&amp;"   ( "&amp;(ROUND((AD501-Y501)/(IF(Y501=0,0.0001,Y501)),3)*100)&amp;"% )"</f>
        <v>878,23   ( 2% )</v>
      </c>
      <c r="AF501" s="30"/>
      <c r="AG501" s="346">
        <f>AD501/AD$640</f>
        <v>9.0357070270151135E-2</v>
      </c>
      <c r="AH501" s="88">
        <f>SUM(AH502,AH512,AH520,AH530)</f>
        <v>45660</v>
      </c>
      <c r="AI501" s="344">
        <f>SUM(AI502,AI512,AI520,AI530)</f>
        <v>43070.94</v>
      </c>
      <c r="AJ501" s="6" t="str">
        <f t="shared" ref="AJ501:AJ502" si="419">ROUND(AI501-AD501,2) &amp; "   (" &amp; ROUND(100*(AI501-AD501)/AD501,1) &amp;"%)"</f>
        <v>-2431,34   (-5,3%)</v>
      </c>
      <c r="AK501" s="30"/>
      <c r="AL501" s="346">
        <f>AI501/AI$640</f>
        <v>8.938400408231309E-2</v>
      </c>
      <c r="AM501" s="88"/>
      <c r="AN501" s="344">
        <f>SUM(AN502,AN512,AN520,AN530)</f>
        <v>51608.330000000009</v>
      </c>
      <c r="AO501" s="35" t="str">
        <f t="shared" ref="AO501:AO502" si="420">ROUND(AN501-AI501,2) &amp; "   (" &amp; ROUND(100*(AN501-AI501)/AI501,1) &amp;"%)"</f>
        <v>8537,39   (19,8%)</v>
      </c>
      <c r="AP501" s="30"/>
      <c r="AQ501" s="346">
        <f>AN501/AN$640</f>
        <v>0.13912896143514783</v>
      </c>
      <c r="AR501" s="88"/>
      <c r="AS501" s="338"/>
      <c r="AT501" s="35" t="str">
        <f t="shared" ref="AT501:AT502" si="421">ROUND(AS501-AN501,2) &amp; "   (" &amp; ROUND(100*(AS501-AN501)/AN501,1) &amp;"%)"</f>
        <v>-51608,33   (-100%)</v>
      </c>
      <c r="AU501" s="30"/>
      <c r="AV501" s="346" t="e">
        <f>AS501/AS$640</f>
        <v>#DIV/0!</v>
      </c>
    </row>
    <row r="502" spans="1:48" s="62" customFormat="1" hidden="1" outlineLevel="1" collapsed="1" x14ac:dyDescent="0.3">
      <c r="A502" s="199" t="s">
        <v>453</v>
      </c>
      <c r="B502" s="336"/>
      <c r="C502" s="337"/>
      <c r="D502" s="337"/>
      <c r="E502" s="373"/>
      <c r="F502" s="351">
        <f>SUM(F503,F504,F509,)</f>
        <v>35862.71</v>
      </c>
      <c r="G502" s="351">
        <f>SUM(G503,G504,G509,)</f>
        <v>42321.24</v>
      </c>
      <c r="H502" s="351">
        <f>SUM(H503,H504,H509,)</f>
        <v>38657.69</v>
      </c>
      <c r="I502" s="351">
        <f>SUM(I503,I504,I509,)</f>
        <v>36590.14</v>
      </c>
      <c r="J502" s="351">
        <f>SUM(J503,J504,J509,)</f>
        <v>39147.89</v>
      </c>
      <c r="K502" s="349" t="str">
        <f>ROUND((J502-I502),2)&amp;"  ( "&amp;(ROUND((J502-I502)/(IF(I502=0,0.0001,I502)),3)*100)&amp;"% )"</f>
        <v>2557,75  ( 7% )</v>
      </c>
      <c r="L502" s="351">
        <f>SUM(L503,L504,L509,)</f>
        <v>41365.35</v>
      </c>
      <c r="M502" s="349" t="str">
        <f>ROUND((L502-G502),2)&amp;"   ( "&amp;(ROUND((L502-G502)/(IF(G502=0,0.0001,G502)),3)*100)&amp;"% )"</f>
        <v>-955,89   ( -2,3% )</v>
      </c>
      <c r="N502" s="88"/>
      <c r="O502" s="351">
        <f>SUM(O503,O504,O509,)</f>
        <v>40727.279999999999</v>
      </c>
      <c r="P502" s="349" t="str">
        <f>ROUND((O502-J502),2)&amp;"   ( "&amp;(ROUND((O502-J502)/(IF(J502=0,0.0001,J502)),3)*100)&amp;"% )"</f>
        <v>1579,39   ( 4% )</v>
      </c>
      <c r="Q502" s="123"/>
      <c r="R502" s="357">
        <f>O502/O$640</f>
        <v>8.128476587825223E-2</v>
      </c>
      <c r="S502" s="88"/>
      <c r="T502" s="351">
        <f>SUM(T503,T504,T509,)</f>
        <v>41615.21</v>
      </c>
      <c r="U502" s="349" t="str">
        <f>ROUND((T502-O502),2)&amp;"   ( "&amp;(ROUND((T502-O502)/(IF(O502=0,0.0001,O502)),3)*100)&amp;"% )"</f>
        <v>887,93   ( 2,2% )</v>
      </c>
      <c r="V502" s="123"/>
      <c r="W502" s="357">
        <f>T502/T$640</f>
        <v>8.509023731703852E-2</v>
      </c>
      <c r="X502" s="340"/>
      <c r="Y502" s="351">
        <f>SUM(Y503,Y504,Y509,)</f>
        <v>43188.81</v>
      </c>
      <c r="Z502" s="349" t="str">
        <f>ROUND((Y502-T502),2)&amp;"   ( "&amp;(ROUND((Y502-T502)/(IF(T502=0,0.0001,T502)),3)*100)&amp;"% )"</f>
        <v>1573,6   ( 3,8% )</v>
      </c>
      <c r="AA502" s="30"/>
      <c r="AB502" s="357">
        <f>Y502/Y$640</f>
        <v>8.4786194990103064E-2</v>
      </c>
      <c r="AC502" s="88">
        <f>SUM(AC503,AC504,AC509,)</f>
        <v>41540</v>
      </c>
      <c r="AD502" s="351">
        <f>SUM(AD503,AD504,AD509,)</f>
        <v>41446.04</v>
      </c>
      <c r="AE502" s="6" t="str">
        <f>ROUND((AD502-Y502),2)&amp;"   ( "&amp;(ROUND((AD502-Y502)/(IF(Y502=0,0.0001,Y502)),3)*100)&amp;"% )"</f>
        <v>-1742,77   ( -4% )</v>
      </c>
      <c r="AF502" s="30"/>
      <c r="AG502" s="357">
        <f>AD502/AD$640</f>
        <v>8.2302309877647778E-2</v>
      </c>
      <c r="AH502" s="88">
        <f>SUM(AH503,AH504,AH509,)</f>
        <v>41590</v>
      </c>
      <c r="AI502" s="351">
        <f>SUM(AI503,AI504,AI509,)</f>
        <v>40573.19</v>
      </c>
      <c r="AJ502" s="6" t="str">
        <f t="shared" si="419"/>
        <v>-872,85   (-2,1%)</v>
      </c>
      <c r="AK502" s="30"/>
      <c r="AL502" s="357">
        <f>AI502/AI$640</f>
        <v>8.4200488324435566E-2</v>
      </c>
      <c r="AM502" s="88"/>
      <c r="AN502" s="351">
        <f>SUM(AN503,AN504,AN509,)</f>
        <v>44990.100000000006</v>
      </c>
      <c r="AO502" s="35" t="str">
        <f t="shared" si="420"/>
        <v>4416,91   (10,9%)</v>
      </c>
      <c r="AP502" s="30"/>
      <c r="AQ502" s="357">
        <f>AN502/AN$640</f>
        <v>0.12128712337452972</v>
      </c>
      <c r="AR502" s="88"/>
      <c r="AS502" s="338"/>
      <c r="AT502" s="35" t="str">
        <f t="shared" si="421"/>
        <v>-44990,1   (-100%)</v>
      </c>
      <c r="AU502" s="30"/>
      <c r="AV502" s="357" t="e">
        <f>AS502/AS$640</f>
        <v>#DIV/0!</v>
      </c>
    </row>
    <row r="503" spans="1:48" s="62" customFormat="1" hidden="1" outlineLevel="2" x14ac:dyDescent="0.3">
      <c r="A503" s="188" t="s">
        <v>454</v>
      </c>
      <c r="B503" s="336"/>
      <c r="C503" s="337"/>
      <c r="D503" s="337"/>
      <c r="E503" s="374" t="str">
        <f xml:space="preserve"> B161</f>
        <v>6211/00401 Honoraires Syndic          (0750)</v>
      </c>
      <c r="F503" s="368">
        <f>F161</f>
        <v>27662</v>
      </c>
      <c r="G503" s="368">
        <f>G161</f>
        <v>28400</v>
      </c>
      <c r="H503" s="368">
        <f>H161</f>
        <v>29000</v>
      </c>
      <c r="I503" s="368">
        <f>I161</f>
        <v>29850</v>
      </c>
      <c r="J503" s="368">
        <f>J161</f>
        <v>31500</v>
      </c>
      <c r="K503" s="375">
        <f>J503-J336</f>
        <v>0</v>
      </c>
      <c r="L503" s="368">
        <f>L161</f>
        <v>32000</v>
      </c>
      <c r="M503" s="375">
        <f>L503-L336</f>
        <v>0</v>
      </c>
      <c r="N503" s="88"/>
      <c r="O503" s="368">
        <f>O161</f>
        <v>38340</v>
      </c>
      <c r="P503" s="375">
        <f>O503-O336</f>
        <v>0</v>
      </c>
      <c r="Q503" s="123"/>
      <c r="R503" s="357">
        <f>O503/O$640</f>
        <v>7.6520158571163871E-2</v>
      </c>
      <c r="S503" s="88"/>
      <c r="T503" s="368">
        <f>T161</f>
        <v>38340</v>
      </c>
      <c r="U503" s="375">
        <f>T503-T336</f>
        <v>0</v>
      </c>
      <c r="V503" s="123"/>
      <c r="W503" s="357">
        <f>T503/T$640</f>
        <v>7.839344553914919E-2</v>
      </c>
      <c r="X503" s="340"/>
      <c r="Y503" s="368">
        <f>Y161</f>
        <v>38700</v>
      </c>
      <c r="Z503" s="349" t="str">
        <f t="shared" ref="Z503:Z509" si="422">ROUND((Y503-T503),2)&amp;" / "&amp;(ROUND((Y503-T503)/(IF(T503=0,0.0001,T503)),3)*100)&amp;"%"</f>
        <v>360 / 0,9%</v>
      </c>
      <c r="AA503" s="30"/>
      <c r="AB503" s="361">
        <f>Y503/Y$640</f>
        <v>7.5973979049596144E-2</v>
      </c>
      <c r="AC503" s="88">
        <f>AC161</f>
        <v>38800</v>
      </c>
      <c r="AD503" s="368">
        <f>AD161</f>
        <v>38800</v>
      </c>
      <c r="AE503" s="90" t="str">
        <f t="shared" ref="AE503:AE509" si="423">ROUND((AD503-Y503),2)&amp;" / "&amp;(ROUND((AD503-Y503)/(IF(Y503=0,0.0001,Y503)),3)*100)&amp;"%"</f>
        <v>100 / 0,3%</v>
      </c>
      <c r="AF503" s="30"/>
      <c r="AG503" s="361">
        <f>AD503/AD$640</f>
        <v>7.7047882578232654E-2</v>
      </c>
      <c r="AH503" s="88">
        <f>AH161</f>
        <v>38800</v>
      </c>
      <c r="AI503" s="368">
        <f>AI161</f>
        <v>38800</v>
      </c>
      <c r="AJ503" s="90"/>
      <c r="AK503" s="30"/>
      <c r="AL503" s="361">
        <f>AI503/AI$640</f>
        <v>8.0520633132078093E-2</v>
      </c>
      <c r="AM503" s="88"/>
      <c r="AN503" s="368">
        <f>AN161</f>
        <v>39295.480000000003</v>
      </c>
      <c r="AO503" s="29"/>
      <c r="AP503" s="30"/>
      <c r="AQ503" s="361">
        <f>AN503/AN$640</f>
        <v>0.10593521087575633</v>
      </c>
      <c r="AR503" s="88"/>
      <c r="AS503" s="338"/>
      <c r="AT503" s="29"/>
      <c r="AU503" s="30"/>
      <c r="AV503" s="361" t="e">
        <f>AS503/AS$640</f>
        <v>#DIV/0!</v>
      </c>
    </row>
    <row r="504" spans="1:48" s="62" customFormat="1" hidden="1" outlineLevel="2" collapsed="1" x14ac:dyDescent="0.3">
      <c r="A504" s="188" t="s">
        <v>455</v>
      </c>
      <c r="B504" s="336"/>
      <c r="C504" s="337"/>
      <c r="D504" s="337"/>
      <c r="E504" s="3"/>
      <c r="F504" s="362">
        <f>SUM(F505:F508)</f>
        <v>6040.71</v>
      </c>
      <c r="G504" s="362">
        <f>SUM(G505:G508)</f>
        <v>10484.93</v>
      </c>
      <c r="H504" s="362">
        <f>SUM(H505:H508)</f>
        <v>5373.39</v>
      </c>
      <c r="I504" s="362">
        <f>SUM(I505:I508)</f>
        <v>3773.1</v>
      </c>
      <c r="J504" s="362">
        <f>SUM(J505:J508)</f>
        <v>3277.82</v>
      </c>
      <c r="K504" s="375">
        <f>J504-J337</f>
        <v>0</v>
      </c>
      <c r="L504" s="362">
        <f>SUM(L505:L508)</f>
        <v>4553.47</v>
      </c>
      <c r="M504" s="375">
        <f>L504-L337</f>
        <v>0</v>
      </c>
      <c r="N504" s="88"/>
      <c r="O504" s="362">
        <f>SUM(O505:O508)</f>
        <v>0</v>
      </c>
      <c r="P504" s="375">
        <f>O504-O337</f>
        <v>0</v>
      </c>
      <c r="Q504" s="123"/>
      <c r="R504" s="357"/>
      <c r="S504" s="88"/>
      <c r="T504" s="362">
        <f>SUM(T505:T508)</f>
        <v>600</v>
      </c>
      <c r="U504" s="375">
        <f>T504-T337</f>
        <v>0</v>
      </c>
      <c r="V504" s="123"/>
      <c r="W504" s="357"/>
      <c r="X504" s="340"/>
      <c r="Y504" s="362">
        <f>SUM(Y505:Y508)</f>
        <v>1704</v>
      </c>
      <c r="Z504" s="349" t="str">
        <f t="shared" si="422"/>
        <v>1104 / 184%</v>
      </c>
      <c r="AA504" s="30"/>
      <c r="AB504" s="361">
        <f>Y504/Y$640</f>
        <v>3.3452108604783422E-3</v>
      </c>
      <c r="AC504" s="88">
        <f>SUM(AC505:AC508)</f>
        <v>140</v>
      </c>
      <c r="AD504" s="362">
        <f>SUM(AD505:AD508)</f>
        <v>0</v>
      </c>
      <c r="AE504" s="90" t="str">
        <f t="shared" si="423"/>
        <v>-1704 / -100%</v>
      </c>
      <c r="AF504" s="30"/>
      <c r="AG504" s="361">
        <f>AD504/AD$640</f>
        <v>0</v>
      </c>
      <c r="AH504" s="88">
        <f>SUM(AH505:AH508)</f>
        <v>150</v>
      </c>
      <c r="AI504" s="362">
        <f>SUM(AI505:AI508)</f>
        <v>0</v>
      </c>
      <c r="AJ504" s="90"/>
      <c r="AK504" s="30"/>
      <c r="AL504" s="361">
        <f>AI504/AI$640</f>
        <v>0</v>
      </c>
      <c r="AM504" s="88"/>
      <c r="AN504" s="362">
        <f>SUM(AN505:AN508)</f>
        <v>3492.48</v>
      </c>
      <c r="AO504" s="29"/>
      <c r="AP504" s="30"/>
      <c r="AQ504" s="361">
        <f>AN504/AN$640</f>
        <v>9.4152458572680994E-3</v>
      </c>
      <c r="AR504" s="88"/>
      <c r="AS504" s="338"/>
      <c r="AT504" s="29"/>
      <c r="AU504" s="30"/>
      <c r="AV504" s="361" t="e">
        <f>AS504/AS$640</f>
        <v>#DIV/0!</v>
      </c>
    </row>
    <row r="505" spans="1:48" s="62" customFormat="1" hidden="1" outlineLevel="3" x14ac:dyDescent="0.3">
      <c r="A505" s="190" t="s">
        <v>456</v>
      </c>
      <c r="B505" s="336"/>
      <c r="C505" s="337"/>
      <c r="D505" s="337"/>
      <c r="E505" s="347" t="str">
        <f>B166</f>
        <v>6212/01409 Frais Gestion Syndic       (0795)</v>
      </c>
      <c r="F505" s="250">
        <f>F166</f>
        <v>0</v>
      </c>
      <c r="G505" s="250">
        <f>G166</f>
        <v>0</v>
      </c>
      <c r="H505" s="250">
        <f>H166</f>
        <v>0</v>
      </c>
      <c r="I505" s="250">
        <f>I166</f>
        <v>0</v>
      </c>
      <c r="J505" s="250">
        <f>J166</f>
        <v>0</v>
      </c>
      <c r="K505" s="354"/>
      <c r="L505" s="250">
        <f>L166</f>
        <v>0</v>
      </c>
      <c r="M505" s="354"/>
      <c r="N505" s="88"/>
      <c r="O505" s="250">
        <f>O166</f>
        <v>0</v>
      </c>
      <c r="P505" s="354"/>
      <c r="Q505" s="123"/>
      <c r="R505" s="357"/>
      <c r="S505" s="88"/>
      <c r="T505" s="250">
        <f>T166</f>
        <v>600</v>
      </c>
      <c r="U505" s="354"/>
      <c r="V505" s="123"/>
      <c r="W505" s="357"/>
      <c r="X505" s="340"/>
      <c r="Y505" s="250">
        <f>Y166</f>
        <v>0</v>
      </c>
      <c r="Z505" s="349"/>
      <c r="AA505" s="30"/>
      <c r="AB505" s="357"/>
      <c r="AC505" s="88">
        <f>AC166</f>
        <v>0</v>
      </c>
      <c r="AD505" s="250">
        <f>AD166</f>
        <v>0</v>
      </c>
      <c r="AE505" s="90"/>
      <c r="AF505" s="30"/>
      <c r="AG505" s="357"/>
      <c r="AH505" s="88">
        <f>AH166</f>
        <v>0</v>
      </c>
      <c r="AI505" s="250">
        <f>AI166</f>
        <v>0</v>
      </c>
      <c r="AJ505" s="90"/>
      <c r="AK505" s="30"/>
      <c r="AL505" s="357"/>
      <c r="AM505" s="88"/>
      <c r="AN505" s="250">
        <f>AN166</f>
        <v>0</v>
      </c>
      <c r="AO505" s="29"/>
      <c r="AP505" s="30"/>
      <c r="AQ505" s="357"/>
      <c r="AR505" s="88"/>
      <c r="AS505" s="338"/>
      <c r="AT505" s="29"/>
      <c r="AU505" s="30"/>
      <c r="AV505" s="357"/>
    </row>
    <row r="506" spans="1:48" s="62" customFormat="1" hidden="1" outlineLevel="3" x14ac:dyDescent="0.3">
      <c r="A506" s="190" t="s">
        <v>457</v>
      </c>
      <c r="B506" s="336"/>
      <c r="C506" s="337"/>
      <c r="D506" s="337"/>
      <c r="E506" s="347" t="str">
        <f>B136</f>
        <v>6212/01353 Photocopies&amp;Tirages       (0522)</v>
      </c>
      <c r="F506" s="250">
        <f>F136</f>
        <v>0</v>
      </c>
      <c r="G506" s="250">
        <f>G136</f>
        <v>5112.76</v>
      </c>
      <c r="H506" s="250">
        <f>H136</f>
        <v>5373.39</v>
      </c>
      <c r="I506" s="250">
        <f>I136</f>
        <v>3543.6</v>
      </c>
      <c r="J506" s="250">
        <f>J136</f>
        <v>3277.82</v>
      </c>
      <c r="K506" s="354">
        <f>H136</f>
        <v>5373.39</v>
      </c>
      <c r="L506" s="250">
        <f>L136</f>
        <v>4553.47</v>
      </c>
      <c r="M506" s="354">
        <f>J136</f>
        <v>3277.82</v>
      </c>
      <c r="N506" s="88"/>
      <c r="O506" s="250">
        <f>O136</f>
        <v>0</v>
      </c>
      <c r="P506" s="354">
        <f>M136</f>
        <v>0.38917634281321123</v>
      </c>
      <c r="Q506" s="123"/>
      <c r="R506" s="357"/>
      <c r="S506" s="88"/>
      <c r="T506" s="250">
        <f>T136</f>
        <v>0</v>
      </c>
      <c r="U506" s="354">
        <f>P136</f>
        <v>0</v>
      </c>
      <c r="V506" s="123"/>
      <c r="W506" s="357"/>
      <c r="X506" s="340"/>
      <c r="Y506" s="250">
        <f>Y136</f>
        <v>0</v>
      </c>
      <c r="Z506" s="349"/>
      <c r="AA506" s="30"/>
      <c r="AB506" s="357"/>
      <c r="AC506" s="88">
        <f>AC136</f>
        <v>0</v>
      </c>
      <c r="AD506" s="250">
        <f>AD136</f>
        <v>0</v>
      </c>
      <c r="AE506" s="90"/>
      <c r="AF506" s="30"/>
      <c r="AG506" s="357"/>
      <c r="AH506" s="88">
        <f>AH136</f>
        <v>0</v>
      </c>
      <c r="AI506" s="250">
        <f>AI136</f>
        <v>0</v>
      </c>
      <c r="AJ506" s="90"/>
      <c r="AK506" s="30"/>
      <c r="AL506" s="357"/>
      <c r="AM506" s="88"/>
      <c r="AN506" s="250">
        <f>AN136</f>
        <v>3492.48</v>
      </c>
      <c r="AO506" s="29"/>
      <c r="AP506" s="30"/>
      <c r="AQ506" s="357"/>
      <c r="AR506" s="88"/>
      <c r="AS506" s="338"/>
      <c r="AT506" s="29"/>
      <c r="AU506" s="30"/>
      <c r="AV506" s="357"/>
    </row>
    <row r="507" spans="1:48" s="62" customFormat="1" hidden="1" outlineLevel="3" x14ac:dyDescent="0.3">
      <c r="A507" s="190" t="s">
        <v>458</v>
      </c>
      <c r="B507" s="336"/>
      <c r="C507" s="337"/>
      <c r="D507" s="337"/>
      <c r="E507" s="347" t="str">
        <f>B151</f>
        <v>6230/01384 Frais Procédure           (0645)</v>
      </c>
      <c r="F507" s="250">
        <f>F151</f>
        <v>0</v>
      </c>
      <c r="G507" s="250">
        <f>G151</f>
        <v>5372.17</v>
      </c>
      <c r="H507" s="250">
        <f>H151</f>
        <v>0</v>
      </c>
      <c r="I507" s="250">
        <f>I151</f>
        <v>0</v>
      </c>
      <c r="J507" s="250">
        <f>J151</f>
        <v>0</v>
      </c>
      <c r="K507" s="354">
        <f>H151</f>
        <v>0</v>
      </c>
      <c r="L507" s="250">
        <f>L151</f>
        <v>0</v>
      </c>
      <c r="M507" s="354">
        <f>J151</f>
        <v>0</v>
      </c>
      <c r="N507" s="88"/>
      <c r="O507" s="250">
        <f>O151</f>
        <v>0</v>
      </c>
      <c r="P507" s="354">
        <f>M151</f>
        <v>0</v>
      </c>
      <c r="Q507" s="123"/>
      <c r="R507" s="357"/>
      <c r="S507" s="88"/>
      <c r="T507" s="250">
        <f>T151</f>
        <v>0</v>
      </c>
      <c r="U507" s="354">
        <f>P151</f>
        <v>0</v>
      </c>
      <c r="V507" s="123"/>
      <c r="W507" s="357"/>
      <c r="X507" s="340"/>
      <c r="Y507" s="250">
        <f>Y151</f>
        <v>1704</v>
      </c>
      <c r="Z507" s="349"/>
      <c r="AA507" s="30"/>
      <c r="AB507" s="357"/>
      <c r="AC507" s="88">
        <f>AC151</f>
        <v>0</v>
      </c>
      <c r="AD507" s="250">
        <f>AD151</f>
        <v>0</v>
      </c>
      <c r="AE507" s="90"/>
      <c r="AF507" s="30"/>
      <c r="AG507" s="357"/>
      <c r="AH507" s="88">
        <f>AH151</f>
        <v>0</v>
      </c>
      <c r="AI507" s="250">
        <f>AI151</f>
        <v>0</v>
      </c>
      <c r="AJ507" s="90"/>
      <c r="AK507" s="30"/>
      <c r="AL507" s="357"/>
      <c r="AM507" s="88"/>
      <c r="AN507" s="250">
        <f>AN151</f>
        <v>0</v>
      </c>
      <c r="AO507" s="29"/>
      <c r="AP507" s="30"/>
      <c r="AQ507" s="357"/>
      <c r="AR507" s="88"/>
      <c r="AS507" s="338"/>
      <c r="AT507" s="29"/>
      <c r="AU507" s="30"/>
      <c r="AV507" s="357"/>
    </row>
    <row r="508" spans="1:48" s="62" customFormat="1" hidden="1" outlineLevel="3" x14ac:dyDescent="0.3">
      <c r="A508" s="190" t="s">
        <v>459</v>
      </c>
      <c r="B508" s="336"/>
      <c r="C508" s="337"/>
      <c r="D508" s="337"/>
      <c r="E508" s="347" t="str">
        <f>B168</f>
        <v>6230/01412 Frais Administratifs Ext.      (0820)</v>
      </c>
      <c r="F508" s="250">
        <f>F168</f>
        <v>6040.71</v>
      </c>
      <c r="G508" s="250">
        <f>G168</f>
        <v>0</v>
      </c>
      <c r="H508" s="250">
        <f>H168</f>
        <v>0</v>
      </c>
      <c r="I508" s="250">
        <f>I168</f>
        <v>229.5</v>
      </c>
      <c r="J508" s="250">
        <f>J168</f>
        <v>0</v>
      </c>
      <c r="K508" s="354">
        <f>H168</f>
        <v>0</v>
      </c>
      <c r="L508" s="250">
        <f>L168</f>
        <v>0</v>
      </c>
      <c r="M508" s="354">
        <f>J168</f>
        <v>0</v>
      </c>
      <c r="N508" s="88"/>
      <c r="O508" s="250">
        <f>O168</f>
        <v>0</v>
      </c>
      <c r="P508" s="354">
        <f>M168</f>
        <v>0</v>
      </c>
      <c r="Q508" s="123"/>
      <c r="R508" s="357"/>
      <c r="S508" s="88"/>
      <c r="T508" s="250">
        <f>T168</f>
        <v>0</v>
      </c>
      <c r="U508" s="354">
        <f>P168</f>
        <v>0</v>
      </c>
      <c r="V508" s="123"/>
      <c r="W508" s="357"/>
      <c r="X508" s="340"/>
      <c r="Y508" s="250">
        <f>Y168</f>
        <v>0</v>
      </c>
      <c r="Z508" s="349"/>
      <c r="AA508" s="30"/>
      <c r="AB508" s="357"/>
      <c r="AC508" s="88">
        <f>AC168</f>
        <v>140</v>
      </c>
      <c r="AD508" s="250">
        <f>AD168</f>
        <v>0</v>
      </c>
      <c r="AE508" s="90"/>
      <c r="AF508" s="30"/>
      <c r="AG508" s="357"/>
      <c r="AH508" s="88">
        <f>AH168</f>
        <v>150</v>
      </c>
      <c r="AI508" s="250">
        <f>AI168</f>
        <v>0</v>
      </c>
      <c r="AJ508" s="90"/>
      <c r="AK508" s="30"/>
      <c r="AL508" s="357"/>
      <c r="AM508" s="88"/>
      <c r="AN508" s="250">
        <f>AN168</f>
        <v>0</v>
      </c>
      <c r="AO508" s="29"/>
      <c r="AP508" s="30"/>
      <c r="AQ508" s="357"/>
      <c r="AR508" s="88"/>
      <c r="AS508" s="338"/>
      <c r="AT508" s="29"/>
      <c r="AU508" s="30"/>
      <c r="AV508" s="357"/>
    </row>
    <row r="509" spans="1:48" s="62" customFormat="1" hidden="1" outlineLevel="2" collapsed="1" x14ac:dyDescent="0.3">
      <c r="A509" s="188" t="s">
        <v>460</v>
      </c>
      <c r="B509" s="336"/>
      <c r="C509" s="337"/>
      <c r="D509" s="337"/>
      <c r="E509" s="373"/>
      <c r="F509" s="362">
        <f>SUM(F510:F511)</f>
        <v>2160</v>
      </c>
      <c r="G509" s="362">
        <f>SUM(G510:G511)</f>
        <v>3436.31</v>
      </c>
      <c r="H509" s="362">
        <f>SUM(H510:H511)</f>
        <v>4284.3</v>
      </c>
      <c r="I509" s="362">
        <f>SUM(I510:I511)</f>
        <v>2967.04</v>
      </c>
      <c r="J509" s="362">
        <f>SUM(J510:J511)</f>
        <v>4370.07</v>
      </c>
      <c r="K509" s="375">
        <f>J509-J338</f>
        <v>0</v>
      </c>
      <c r="L509" s="362">
        <f>SUM(L510:L511)</f>
        <v>4811.88</v>
      </c>
      <c r="M509" s="375">
        <f>L509-L338</f>
        <v>0</v>
      </c>
      <c r="N509" s="88"/>
      <c r="O509" s="362">
        <f>SUM(O510:O511)</f>
        <v>2387.2800000000002</v>
      </c>
      <c r="P509" s="375">
        <f>O509-O338</f>
        <v>0</v>
      </c>
      <c r="Q509" s="123"/>
      <c r="R509" s="357"/>
      <c r="S509" s="88"/>
      <c r="T509" s="362">
        <f>SUM(T510:T511)</f>
        <v>2675.21</v>
      </c>
      <c r="U509" s="375">
        <f>T509-T338</f>
        <v>0</v>
      </c>
      <c r="V509" s="123"/>
      <c r="W509" s="357"/>
      <c r="X509" s="340"/>
      <c r="Y509" s="362">
        <f>SUM(Y510:Y511)</f>
        <v>2784.81</v>
      </c>
      <c r="Z509" s="349" t="str">
        <f t="shared" si="422"/>
        <v>109,6 / 4,1%</v>
      </c>
      <c r="AA509" s="30"/>
      <c r="AB509" s="361">
        <f>Y509/Y$640</f>
        <v>5.4670050800285745E-3</v>
      </c>
      <c r="AC509" s="88">
        <f>SUM(AC510:AC511)</f>
        <v>2600</v>
      </c>
      <c r="AD509" s="362">
        <f>SUM(AD510:AD511)</f>
        <v>2646.04</v>
      </c>
      <c r="AE509" s="90" t="str">
        <f t="shared" si="423"/>
        <v>-138,77 / -5%</v>
      </c>
      <c r="AF509" s="30"/>
      <c r="AG509" s="361">
        <f>AD509/AD$640</f>
        <v>5.2544272994151219E-3</v>
      </c>
      <c r="AH509" s="88">
        <f>SUM(AH510:AH511)</f>
        <v>2640</v>
      </c>
      <c r="AI509" s="362">
        <f>SUM(AI510:AI511)</f>
        <v>1773.19</v>
      </c>
      <c r="AJ509" s="90"/>
      <c r="AK509" s="30"/>
      <c r="AL509" s="361">
        <f>AI509/AI$640</f>
        <v>3.679855192357463E-3</v>
      </c>
      <c r="AM509" s="88"/>
      <c r="AN509" s="362">
        <f>SUM(AN510:AN511)</f>
        <v>2202.14</v>
      </c>
      <c r="AO509" s="29"/>
      <c r="AP509" s="30"/>
      <c r="AQ509" s="361">
        <f>AN509/AN$640</f>
        <v>5.9366666415052831E-3</v>
      </c>
      <c r="AR509" s="88"/>
      <c r="AS509" s="338"/>
      <c r="AT509" s="29"/>
      <c r="AU509" s="30"/>
      <c r="AV509" s="361" t="e">
        <f>AS509/AS$640</f>
        <v>#DIV/0!</v>
      </c>
    </row>
    <row r="510" spans="1:48" s="62" customFormat="1" hidden="1" outlineLevel="3" x14ac:dyDescent="0.3">
      <c r="A510" s="190" t="s">
        <v>461</v>
      </c>
      <c r="B510" s="336"/>
      <c r="C510" s="337"/>
      <c r="D510" s="337"/>
      <c r="E510" s="347" t="str">
        <f>B134</f>
        <v>6213/01351 Frais Postaux           (0510)</v>
      </c>
      <c r="F510" s="250">
        <f t="shared" ref="F510:J511" si="424">F134</f>
        <v>0</v>
      </c>
      <c r="G510" s="250">
        <f t="shared" si="424"/>
        <v>1276.31</v>
      </c>
      <c r="H510" s="250">
        <f t="shared" si="424"/>
        <v>2124.3000000000002</v>
      </c>
      <c r="I510" s="250">
        <f t="shared" si="424"/>
        <v>807.04</v>
      </c>
      <c r="J510" s="250">
        <f t="shared" si="424"/>
        <v>2210.0700000000002</v>
      </c>
      <c r="K510" s="354"/>
      <c r="L510" s="250">
        <f>L134</f>
        <v>2651.88</v>
      </c>
      <c r="M510" s="354"/>
      <c r="N510" s="88"/>
      <c r="O510" s="250">
        <f>O134</f>
        <v>2387.2800000000002</v>
      </c>
      <c r="P510" s="354"/>
      <c r="Q510" s="123"/>
      <c r="R510" s="357"/>
      <c r="S510" s="88"/>
      <c r="T510" s="250">
        <f>T134</f>
        <v>2675.21</v>
      </c>
      <c r="U510" s="354"/>
      <c r="V510" s="123"/>
      <c r="W510" s="357"/>
      <c r="X510" s="340"/>
      <c r="Y510" s="250">
        <f>Y134</f>
        <v>2784.81</v>
      </c>
      <c r="Z510" s="354"/>
      <c r="AA510" s="30"/>
      <c r="AB510" s="357"/>
      <c r="AC510" s="88">
        <f>AC134</f>
        <v>2600</v>
      </c>
      <c r="AD510" s="250">
        <f>AD134</f>
        <v>2646.04</v>
      </c>
      <c r="AE510" s="90"/>
      <c r="AF510" s="30"/>
      <c r="AG510" s="357"/>
      <c r="AH510" s="88">
        <f>AH134</f>
        <v>2640</v>
      </c>
      <c r="AI510" s="250">
        <f>AI134</f>
        <v>1773.19</v>
      </c>
      <c r="AJ510" s="90"/>
      <c r="AK510" s="30"/>
      <c r="AL510" s="357"/>
      <c r="AM510" s="88"/>
      <c r="AN510" s="250">
        <f>AN134</f>
        <v>2202.14</v>
      </c>
      <c r="AO510" s="29"/>
      <c r="AP510" s="30"/>
      <c r="AQ510" s="357"/>
      <c r="AR510" s="88"/>
      <c r="AS510" s="338"/>
      <c r="AT510" s="29"/>
      <c r="AU510" s="30"/>
      <c r="AV510" s="357"/>
    </row>
    <row r="511" spans="1:48" s="62" customFormat="1" hidden="1" outlineLevel="3" x14ac:dyDescent="0.3">
      <c r="A511" s="190" t="s">
        <v>462</v>
      </c>
      <c r="B511" s="336"/>
      <c r="C511" s="337"/>
      <c r="D511" s="337"/>
      <c r="E511" s="347" t="str">
        <f>B135</f>
        <v>6213/00352 FraisCorrespondances     (0520)</v>
      </c>
      <c r="F511" s="250">
        <f t="shared" si="424"/>
        <v>2160</v>
      </c>
      <c r="G511" s="250">
        <f t="shared" si="424"/>
        <v>2160</v>
      </c>
      <c r="H511" s="250">
        <f t="shared" si="424"/>
        <v>2160</v>
      </c>
      <c r="I511" s="250">
        <f t="shared" si="424"/>
        <v>2160</v>
      </c>
      <c r="J511" s="250">
        <f t="shared" si="424"/>
        <v>2160</v>
      </c>
      <c r="K511" s="354">
        <f>H135</f>
        <v>2160</v>
      </c>
      <c r="L511" s="250">
        <f>L135</f>
        <v>2160</v>
      </c>
      <c r="M511" s="354">
        <f>J135</f>
        <v>2160</v>
      </c>
      <c r="N511" s="88"/>
      <c r="O511" s="250">
        <f>O135</f>
        <v>0</v>
      </c>
      <c r="P511" s="354">
        <f>M135</f>
        <v>0</v>
      </c>
      <c r="Q511" s="123"/>
      <c r="R511" s="357"/>
      <c r="S511" s="88"/>
      <c r="T511" s="250">
        <f>T135</f>
        <v>0</v>
      </c>
      <c r="U511" s="354">
        <f>P135</f>
        <v>0</v>
      </c>
      <c r="V511" s="123"/>
      <c r="W511" s="357"/>
      <c r="X511" s="340"/>
      <c r="Y511" s="250">
        <f>Y135</f>
        <v>0</v>
      </c>
      <c r="Z511" s="354" t="str">
        <f>W135</f>
        <v/>
      </c>
      <c r="AA511" s="30"/>
      <c r="AB511" s="357"/>
      <c r="AC511" s="88">
        <f>AC135</f>
        <v>0</v>
      </c>
      <c r="AD511" s="250">
        <f>AD135</f>
        <v>0</v>
      </c>
      <c r="AE511" s="90" t="str">
        <f>AB135</f>
        <v/>
      </c>
      <c r="AF511" s="30"/>
      <c r="AG511" s="357"/>
      <c r="AH511" s="88">
        <f>AH135</f>
        <v>0</v>
      </c>
      <c r="AI511" s="250">
        <f>AI135</f>
        <v>0</v>
      </c>
      <c r="AJ511" s="90"/>
      <c r="AK511" s="30"/>
      <c r="AL511" s="357"/>
      <c r="AM511" s="88"/>
      <c r="AN511" s="250">
        <f>AN135</f>
        <v>0</v>
      </c>
      <c r="AO511" s="29"/>
      <c r="AP511" s="30"/>
      <c r="AQ511" s="357"/>
      <c r="AR511" s="88"/>
      <c r="AS511" s="338"/>
      <c r="AT511" s="29"/>
      <c r="AU511" s="30"/>
      <c r="AV511" s="357"/>
    </row>
    <row r="512" spans="1:48" s="62" customFormat="1" hidden="1" outlineLevel="1" collapsed="1" x14ac:dyDescent="0.3">
      <c r="A512" s="199" t="s">
        <v>463</v>
      </c>
      <c r="B512" s="336"/>
      <c r="C512" s="337"/>
      <c r="D512" s="337"/>
      <c r="E512" s="337"/>
      <c r="F512" s="351">
        <f>SUM(F513,F514,F517,)</f>
        <v>1285.7</v>
      </c>
      <c r="G512" s="351">
        <f>SUM(G513,G514,G517,)</f>
        <v>956.8</v>
      </c>
      <c r="H512" s="351">
        <f>SUM(H513,H514,H517,)</f>
        <v>1435.2</v>
      </c>
      <c r="I512" s="351">
        <f>SUM(I513,I514,I517,)</f>
        <v>490.36</v>
      </c>
      <c r="J512" s="351">
        <f>SUM(J513,J514,J517,)</f>
        <v>336</v>
      </c>
      <c r="K512" s="376"/>
      <c r="L512" s="351">
        <f>SUM(L513,L514,L517,)</f>
        <v>1728</v>
      </c>
      <c r="M512" s="349" t="str">
        <f>ROUND((L512-G512),2)&amp;"   ( "&amp;(ROUND((L512-G512)/(IF(G512=0,0.0001,G512)),3)*100)&amp;"% )"</f>
        <v>771,2   ( 80,6% )</v>
      </c>
      <c r="N512" s="88"/>
      <c r="O512" s="351">
        <f>SUM(O513,O514,O517,)</f>
        <v>2531.1799999999998</v>
      </c>
      <c r="P512" s="349" t="str">
        <f>ROUND((O512-J512),2)&amp;"   ( "&amp;(ROUND((O512-J512)/(IF(J512=0,0.0001,J512)),3)*100)&amp;"% )"</f>
        <v>2195,18   ( 653,3% )</v>
      </c>
      <c r="Q512" s="123"/>
      <c r="R512" s="357"/>
      <c r="S512" s="88"/>
      <c r="T512" s="351">
        <f>SUM(T513,T514,T517,)</f>
        <v>960</v>
      </c>
      <c r="U512" s="349" t="str">
        <f>ROUND((T512-O512),2)&amp;"   ( "&amp;(ROUND((T512-O512)/(IF(O512=0,0.0001,O512)),3)*100)&amp;"% )"</f>
        <v>-1571,18   ( -62,1% )</v>
      </c>
      <c r="V512" s="123"/>
      <c r="W512" s="357"/>
      <c r="X512" s="340"/>
      <c r="Y512" s="351">
        <f>SUM(Y513,Y514,Y517,)</f>
        <v>480</v>
      </c>
      <c r="Z512" s="377"/>
      <c r="AA512" s="30"/>
      <c r="AB512" s="357">
        <f>Y512/Y$640</f>
        <v>9.4231291844460341E-4</v>
      </c>
      <c r="AC512" s="88">
        <f>SUM(AC513,AC514,AC517,)</f>
        <v>460</v>
      </c>
      <c r="AD512" s="351">
        <f>SUM(AD513,AD514,AD517,)</f>
        <v>600</v>
      </c>
      <c r="AE512" s="6" t="str">
        <f>ROUND((AD512-Y512),2)&amp;"   ( "&amp;(ROUND((AD512-Y512)/(IF(Y512=0,0.0001,Y512)),3)*100)&amp;"% )"</f>
        <v>120   ( 25% )</v>
      </c>
      <c r="AF512" s="30"/>
      <c r="AG512" s="357">
        <f>AD512/AD$640</f>
        <v>1.1914621017252473E-3</v>
      </c>
      <c r="AH512" s="88">
        <f>SUM(AH513,AH514,AH517,)</f>
        <v>470</v>
      </c>
      <c r="AI512" s="351">
        <f>SUM(AI513,AI514,AI517,)</f>
        <v>960</v>
      </c>
      <c r="AJ512" s="6" t="str">
        <f t="shared" ref="AJ512" si="425">ROUND(AI512-AD512,2) &amp; "   (" &amp; ROUND(100*(AI512-AD512)/AD512,1) &amp;"%)"</f>
        <v>360   (60%)</v>
      </c>
      <c r="AK512" s="30"/>
      <c r="AL512" s="357">
        <f>AI512/AI$640</f>
        <v>1.9922630878039943E-3</v>
      </c>
      <c r="AM512" s="88"/>
      <c r="AN512" s="351">
        <f>SUM(AN513,AN514,AN517,)</f>
        <v>3144</v>
      </c>
      <c r="AO512" s="35" t="str">
        <f t="shared" ref="AO512" si="426">ROUND(AN512-AI512,2) &amp; "   (" &amp; ROUND(100*(AN512-AI512)/AI512,1) &amp;"%)"</f>
        <v>2184   (227,5%)</v>
      </c>
      <c r="AP512" s="30"/>
      <c r="AQ512" s="357">
        <f>AN512/AN$640</f>
        <v>8.47579169393981E-3</v>
      </c>
      <c r="AR512" s="88"/>
      <c r="AS512" s="338"/>
      <c r="AT512" s="35" t="str">
        <f t="shared" ref="AT512" si="427">ROUND(AS512-AN512,2) &amp; "   (" &amp; ROUND(100*(AS512-AN512)/AN512,1) &amp;"%)"</f>
        <v>-3144   (-100%)</v>
      </c>
      <c r="AU512" s="30"/>
      <c r="AV512" s="357" t="e">
        <f>AS512/AS$640</f>
        <v>#DIV/0!</v>
      </c>
    </row>
    <row r="513" spans="1:48" s="62" customFormat="1" hidden="1" outlineLevel="2" x14ac:dyDescent="0.3">
      <c r="A513" s="188" t="s">
        <v>464</v>
      </c>
      <c r="B513" s="336"/>
      <c r="C513" s="337"/>
      <c r="D513" s="337"/>
      <c r="E513" s="373"/>
      <c r="F513" s="368">
        <f>SUM(0)</f>
        <v>0</v>
      </c>
      <c r="G513" s="368">
        <f>SUM(0)</f>
        <v>0</v>
      </c>
      <c r="H513" s="368">
        <f>SUM(0)</f>
        <v>0</v>
      </c>
      <c r="I513" s="368">
        <f>SUM(0)</f>
        <v>0</v>
      </c>
      <c r="J513" s="368">
        <f>SUM(0)</f>
        <v>0</v>
      </c>
      <c r="K513" s="375">
        <f>J513-J339</f>
        <v>0</v>
      </c>
      <c r="L513" s="368">
        <f>SUM(0)</f>
        <v>0</v>
      </c>
      <c r="M513" s="375">
        <f>L513-L339</f>
        <v>0</v>
      </c>
      <c r="N513" s="88"/>
      <c r="O513" s="368">
        <f>SUM(0)</f>
        <v>0</v>
      </c>
      <c r="P513" s="375">
        <f>O513-O339</f>
        <v>0</v>
      </c>
      <c r="Q513" s="123"/>
      <c r="R513" s="357"/>
      <c r="S513" s="88"/>
      <c r="T513" s="368">
        <f>SUM(0)</f>
        <v>0</v>
      </c>
      <c r="U513" s="375">
        <f>T513-T339</f>
        <v>0</v>
      </c>
      <c r="V513" s="123"/>
      <c r="W513" s="357"/>
      <c r="X513" s="340"/>
      <c r="Y513" s="368">
        <f>SUM(0)</f>
        <v>0</v>
      </c>
      <c r="Z513" s="375"/>
      <c r="AA513" s="30"/>
      <c r="AB513" s="357"/>
      <c r="AC513" s="88">
        <f>SUM(0)</f>
        <v>0</v>
      </c>
      <c r="AD513" s="368">
        <f>SUM(0)</f>
        <v>0</v>
      </c>
      <c r="AE513" s="90"/>
      <c r="AF513" s="30"/>
      <c r="AG513" s="357"/>
      <c r="AH513" s="88">
        <f>SUM(0)</f>
        <v>0</v>
      </c>
      <c r="AI513" s="368">
        <f>SUM(0)</f>
        <v>0</v>
      </c>
      <c r="AJ513" s="90"/>
      <c r="AK513" s="30"/>
      <c r="AL513" s="357"/>
      <c r="AM513" s="88"/>
      <c r="AN513" s="368">
        <f>SUM(0)</f>
        <v>0</v>
      </c>
      <c r="AO513" s="29"/>
      <c r="AP513" s="30"/>
      <c r="AQ513" s="357"/>
      <c r="AR513" s="88"/>
      <c r="AS513" s="338"/>
      <c r="AT513" s="29"/>
      <c r="AU513" s="30"/>
      <c r="AV513" s="357"/>
    </row>
    <row r="514" spans="1:48" s="62" customFormat="1" hidden="1" outlineLevel="2" collapsed="1" x14ac:dyDescent="0.3">
      <c r="A514" s="188" t="s">
        <v>465</v>
      </c>
      <c r="B514" s="336"/>
      <c r="C514" s="337"/>
      <c r="D514" s="337"/>
      <c r="E514" s="373"/>
      <c r="F514" s="362">
        <f>SUM(F515:F516)</f>
        <v>1285.7</v>
      </c>
      <c r="G514" s="362">
        <f>SUM(G515:G516)</f>
        <v>956.8</v>
      </c>
      <c r="H514" s="362">
        <f>SUM(H515:H516)</f>
        <v>1435.2</v>
      </c>
      <c r="I514" s="362">
        <f>SUM(I515:I516)</f>
        <v>490.36</v>
      </c>
      <c r="J514" s="362">
        <f>SUM(J515:J516)</f>
        <v>336</v>
      </c>
      <c r="K514" s="375">
        <f>J514-J340</f>
        <v>0</v>
      </c>
      <c r="L514" s="362">
        <f>SUM(L515:L516)</f>
        <v>1728</v>
      </c>
      <c r="M514" s="375">
        <f>L514-L340</f>
        <v>0</v>
      </c>
      <c r="N514" s="88"/>
      <c r="O514" s="362">
        <f>SUM(O515:O516)</f>
        <v>-79.840000000000032</v>
      </c>
      <c r="P514" s="375">
        <f>O514-O340</f>
        <v>0</v>
      </c>
      <c r="Q514" s="123"/>
      <c r="R514" s="357"/>
      <c r="S514" s="88"/>
      <c r="T514" s="362">
        <f>SUM(T515:T516)</f>
        <v>960</v>
      </c>
      <c r="U514" s="375">
        <f>T514-T340</f>
        <v>0</v>
      </c>
      <c r="V514" s="123"/>
      <c r="W514" s="357"/>
      <c r="X514" s="340"/>
      <c r="Y514" s="362">
        <f>SUM(Y515:Y516)</f>
        <v>360</v>
      </c>
      <c r="Z514" s="375"/>
      <c r="AA514" s="30"/>
      <c r="AB514" s="357"/>
      <c r="AC514" s="88">
        <f>SUM(AC515:AC516)</f>
        <v>460</v>
      </c>
      <c r="AD514" s="362">
        <f>SUM(AD515:AD516)</f>
        <v>600</v>
      </c>
      <c r="AE514" s="90"/>
      <c r="AF514" s="30"/>
      <c r="AG514" s="357"/>
      <c r="AH514" s="88">
        <f>SUM(AH515:AH516)</f>
        <v>470</v>
      </c>
      <c r="AI514" s="362">
        <f>SUM(AI515:AI516)</f>
        <v>960</v>
      </c>
      <c r="AJ514" s="90"/>
      <c r="AK514" s="30"/>
      <c r="AL514" s="357"/>
      <c r="AM514" s="88"/>
      <c r="AN514" s="362">
        <f>SUM(AN515:AN516)</f>
        <v>3144</v>
      </c>
      <c r="AO514" s="29"/>
      <c r="AP514" s="30"/>
      <c r="AQ514" s="357"/>
      <c r="AR514" s="88"/>
      <c r="AS514" s="338"/>
      <c r="AT514" s="29"/>
      <c r="AU514" s="30"/>
      <c r="AV514" s="357"/>
    </row>
    <row r="515" spans="1:48" s="62" customFormat="1" hidden="1" outlineLevel="3" x14ac:dyDescent="0.3">
      <c r="A515" s="190" t="s">
        <v>466</v>
      </c>
      <c r="B515" s="336"/>
      <c r="C515" s="337"/>
      <c r="D515" s="337"/>
      <c r="E515" s="347" t="str">
        <f>B162</f>
        <v>6222/00403 Vacations Syndic           (0753)</v>
      </c>
      <c r="F515" s="250">
        <f>F162</f>
        <v>1285.7</v>
      </c>
      <c r="G515" s="250">
        <f>G162</f>
        <v>956.8</v>
      </c>
      <c r="H515" s="250">
        <f>H162</f>
        <v>1435.2</v>
      </c>
      <c r="I515" s="250">
        <f>I162</f>
        <v>490.36</v>
      </c>
      <c r="J515" s="250">
        <f>J162</f>
        <v>336</v>
      </c>
      <c r="K515" s="354">
        <f>H162</f>
        <v>1435.2</v>
      </c>
      <c r="L515" s="250">
        <f>L162</f>
        <v>1728</v>
      </c>
      <c r="M515" s="354">
        <f>J162</f>
        <v>336</v>
      </c>
      <c r="N515" s="88"/>
      <c r="O515" s="250">
        <f>O162</f>
        <v>-840</v>
      </c>
      <c r="P515" s="354">
        <f>M162</f>
        <v>4.1428571428571432</v>
      </c>
      <c r="Q515" s="123"/>
      <c r="R515" s="357"/>
      <c r="S515" s="88"/>
      <c r="T515" s="250">
        <f>T162</f>
        <v>0</v>
      </c>
      <c r="U515" s="354">
        <f>P162</f>
        <v>-1.4861111111111112</v>
      </c>
      <c r="V515" s="123"/>
      <c r="W515" s="357"/>
      <c r="X515" s="340"/>
      <c r="Y515" s="250">
        <f>Y162</f>
        <v>360</v>
      </c>
      <c r="Z515" s="354"/>
      <c r="AA515" s="30"/>
      <c r="AB515" s="357"/>
      <c r="AC515" s="88">
        <f>AC162</f>
        <v>460</v>
      </c>
      <c r="AD515" s="250">
        <f>AD162</f>
        <v>600</v>
      </c>
      <c r="AE515" s="90"/>
      <c r="AF515" s="30"/>
      <c r="AG515" s="357"/>
      <c r="AH515" s="88">
        <f>AH162</f>
        <v>470</v>
      </c>
      <c r="AI515" s="250">
        <f>AI162</f>
        <v>960</v>
      </c>
      <c r="AJ515" s="90"/>
      <c r="AK515" s="30"/>
      <c r="AL515" s="357"/>
      <c r="AM515" s="88"/>
      <c r="AN515" s="250">
        <f>AN162</f>
        <v>3144</v>
      </c>
      <c r="AO515" s="29"/>
      <c r="AP515" s="30"/>
      <c r="AQ515" s="357"/>
      <c r="AR515" s="88"/>
      <c r="AS515" s="338"/>
      <c r="AT515" s="29"/>
      <c r="AU515" s="30"/>
      <c r="AV515" s="357"/>
    </row>
    <row r="516" spans="1:48" s="62" customFormat="1" hidden="1" outlineLevel="3" x14ac:dyDescent="0.3">
      <c r="A516" s="190" t="s">
        <v>467</v>
      </c>
      <c r="B516" s="336"/>
      <c r="C516" s="337"/>
      <c r="D516" s="337"/>
      <c r="E516" s="347" t="str">
        <f>B165</f>
        <v>6222/01408 Vacations Sinistres          (0780)</v>
      </c>
      <c r="F516" s="250">
        <f>F165</f>
        <v>0</v>
      </c>
      <c r="G516" s="250">
        <f>G165</f>
        <v>0</v>
      </c>
      <c r="H516" s="250">
        <f>H165</f>
        <v>0</v>
      </c>
      <c r="I516" s="250">
        <f>I165</f>
        <v>0</v>
      </c>
      <c r="J516" s="250">
        <f>J165</f>
        <v>0</v>
      </c>
      <c r="K516" s="354"/>
      <c r="L516" s="250">
        <f>L165</f>
        <v>0</v>
      </c>
      <c r="M516" s="354"/>
      <c r="N516" s="88"/>
      <c r="O516" s="250">
        <f>O165</f>
        <v>760.16</v>
      </c>
      <c r="P516" s="354"/>
      <c r="Q516" s="123"/>
      <c r="R516" s="357"/>
      <c r="S516" s="88"/>
      <c r="T516" s="250">
        <f>T165</f>
        <v>960</v>
      </c>
      <c r="U516" s="354"/>
      <c r="V516" s="123"/>
      <c r="W516" s="357"/>
      <c r="X516" s="340"/>
      <c r="Y516" s="250">
        <f>Y165</f>
        <v>0</v>
      </c>
      <c r="Z516" s="354"/>
      <c r="AA516" s="30"/>
      <c r="AB516" s="357"/>
      <c r="AC516" s="88">
        <f>AC165</f>
        <v>0</v>
      </c>
      <c r="AD516" s="250">
        <f>AD165</f>
        <v>0</v>
      </c>
      <c r="AE516" s="90"/>
      <c r="AF516" s="30"/>
      <c r="AG516" s="357"/>
      <c r="AH516" s="88">
        <f>AH165</f>
        <v>0</v>
      </c>
      <c r="AI516" s="250">
        <f>AI165</f>
        <v>0</v>
      </c>
      <c r="AJ516" s="90"/>
      <c r="AK516" s="30"/>
      <c r="AL516" s="357"/>
      <c r="AM516" s="88"/>
      <c r="AN516" s="250">
        <f>AN165</f>
        <v>0</v>
      </c>
      <c r="AO516" s="29"/>
      <c r="AP516" s="30"/>
      <c r="AQ516" s="357"/>
      <c r="AR516" s="88"/>
      <c r="AS516" s="338"/>
      <c r="AT516" s="29"/>
      <c r="AU516" s="30"/>
      <c r="AV516" s="357"/>
    </row>
    <row r="517" spans="1:48" s="62" customFormat="1" hidden="1" outlineLevel="2" collapsed="1" x14ac:dyDescent="0.3">
      <c r="A517" s="188" t="s">
        <v>468</v>
      </c>
      <c r="B517" s="336"/>
      <c r="C517" s="337"/>
      <c r="D517" s="337"/>
      <c r="E517" s="373"/>
      <c r="F517" s="362">
        <f>SUM(F518:F519)</f>
        <v>0</v>
      </c>
      <c r="G517" s="362">
        <f>SUM(G518:G519)</f>
        <v>0</v>
      </c>
      <c r="H517" s="362">
        <f>SUM(H518:H519)</f>
        <v>0</v>
      </c>
      <c r="I517" s="362">
        <f>SUM(I518:I519)</f>
        <v>0</v>
      </c>
      <c r="J517" s="362">
        <f>SUM(J518:J519)</f>
        <v>0</v>
      </c>
      <c r="K517" s="375">
        <f>J517-J341</f>
        <v>0</v>
      </c>
      <c r="L517" s="362">
        <f>SUM(L518:L519)</f>
        <v>0</v>
      </c>
      <c r="M517" s="375">
        <f>L517-L341</f>
        <v>0</v>
      </c>
      <c r="N517" s="88"/>
      <c r="O517" s="362">
        <f>SUM(O518:O519)</f>
        <v>2611.02</v>
      </c>
      <c r="P517" s="375">
        <f>O517-O341</f>
        <v>0</v>
      </c>
      <c r="Q517" s="123"/>
      <c r="R517" s="357"/>
      <c r="S517" s="88"/>
      <c r="T517" s="362">
        <f>SUM(T518:T519)</f>
        <v>0</v>
      </c>
      <c r="U517" s="375">
        <f>T517-T341</f>
        <v>0</v>
      </c>
      <c r="V517" s="123"/>
      <c r="W517" s="357"/>
      <c r="X517" s="340"/>
      <c r="Y517" s="362">
        <f>SUM(Y518:Y519)</f>
        <v>120</v>
      </c>
      <c r="Z517" s="375"/>
      <c r="AA517" s="30"/>
      <c r="AB517" s="357"/>
      <c r="AC517" s="88">
        <f>SUM(AC518:AC519)</f>
        <v>0</v>
      </c>
      <c r="AD517" s="362">
        <f>SUM(AD518:AD519)</f>
        <v>0</v>
      </c>
      <c r="AE517" s="90"/>
      <c r="AF517" s="30"/>
      <c r="AG517" s="357"/>
      <c r="AH517" s="88">
        <f>SUM(AH518:AH519)</f>
        <v>0</v>
      </c>
      <c r="AI517" s="362">
        <f>SUM(AI518:AI519)</f>
        <v>0</v>
      </c>
      <c r="AJ517" s="90"/>
      <c r="AK517" s="30"/>
      <c r="AL517" s="357"/>
      <c r="AM517" s="88"/>
      <c r="AN517" s="362">
        <f>SUM(AN518:AN519)</f>
        <v>0</v>
      </c>
      <c r="AO517" s="29"/>
      <c r="AP517" s="30"/>
      <c r="AQ517" s="357"/>
      <c r="AR517" s="88"/>
      <c r="AS517" s="338"/>
      <c r="AT517" s="29"/>
      <c r="AU517" s="30"/>
      <c r="AV517" s="357"/>
    </row>
    <row r="518" spans="1:48" s="62" customFormat="1" hidden="1" outlineLevel="3" x14ac:dyDescent="0.3">
      <c r="A518" s="190" t="s">
        <v>469</v>
      </c>
      <c r="B518" s="336"/>
      <c r="C518" s="337"/>
      <c r="D518" s="337"/>
      <c r="E518" s="347" t="str">
        <f>B163</f>
        <v>6223/01406  Hon. Recouvrement        (0757)</v>
      </c>
      <c r="F518" s="250">
        <f t="shared" ref="F518:J519" si="428">F163</f>
        <v>0</v>
      </c>
      <c r="G518" s="250">
        <f t="shared" si="428"/>
        <v>0</v>
      </c>
      <c r="H518" s="250">
        <f t="shared" si="428"/>
        <v>0</v>
      </c>
      <c r="I518" s="250">
        <f t="shared" si="428"/>
        <v>0</v>
      </c>
      <c r="J518" s="250">
        <f t="shared" si="428"/>
        <v>0</v>
      </c>
      <c r="K518" s="354">
        <f>H163</f>
        <v>0</v>
      </c>
      <c r="L518" s="250">
        <f>L163</f>
        <v>0</v>
      </c>
      <c r="M518" s="354">
        <f>J163</f>
        <v>0</v>
      </c>
      <c r="N518" s="88"/>
      <c r="O518" s="250">
        <f>O163</f>
        <v>0</v>
      </c>
      <c r="P518" s="354">
        <f>M163</f>
        <v>0</v>
      </c>
      <c r="Q518" s="123"/>
      <c r="R518" s="357"/>
      <c r="S518" s="88"/>
      <c r="T518" s="250">
        <f>T163</f>
        <v>0</v>
      </c>
      <c r="U518" s="354">
        <f>P163</f>
        <v>0</v>
      </c>
      <c r="V518" s="123"/>
      <c r="W518" s="357"/>
      <c r="X518" s="340"/>
      <c r="Y518" s="250">
        <f>Y163</f>
        <v>120</v>
      </c>
      <c r="Z518" s="354" t="str">
        <f>W163</f>
        <v/>
      </c>
      <c r="AA518" s="30"/>
      <c r="AB518" s="357">
        <f>Y518/Y$640</f>
        <v>2.3557822961115085E-4</v>
      </c>
      <c r="AC518" s="88">
        <f>AC163</f>
        <v>0</v>
      </c>
      <c r="AD518" s="250">
        <f>AD163</f>
        <v>0</v>
      </c>
      <c r="AE518" s="90">
        <f>AB163</f>
        <v>3.8600623187761047E-4</v>
      </c>
      <c r="AF518" s="30"/>
      <c r="AG518" s="357">
        <f>AD518/AD$640</f>
        <v>0</v>
      </c>
      <c r="AH518" s="88">
        <f>AH163</f>
        <v>0</v>
      </c>
      <c r="AI518" s="250">
        <f>AI163</f>
        <v>0</v>
      </c>
      <c r="AJ518" s="90"/>
      <c r="AK518" s="30"/>
      <c r="AL518" s="357">
        <f>AI518/AI$640</f>
        <v>0</v>
      </c>
      <c r="AM518" s="88"/>
      <c r="AN518" s="250">
        <f>AN163</f>
        <v>0</v>
      </c>
      <c r="AO518" s="29"/>
      <c r="AP518" s="30"/>
      <c r="AQ518" s="357">
        <f>AN518/AN$640</f>
        <v>0</v>
      </c>
      <c r="AR518" s="88"/>
      <c r="AS518" s="338"/>
      <c r="AT518" s="29"/>
      <c r="AU518" s="30"/>
      <c r="AV518" s="357" t="e">
        <f>AS518/AS$640</f>
        <v>#DIV/0!</v>
      </c>
    </row>
    <row r="519" spans="1:48" s="62" customFormat="1" hidden="1" outlineLevel="3" x14ac:dyDescent="0.3">
      <c r="A519" s="190" t="s">
        <v>470</v>
      </c>
      <c r="B519" s="336"/>
      <c r="C519" s="337"/>
      <c r="D519" s="337"/>
      <c r="E519" s="347" t="str">
        <f>B164</f>
        <v>6223/01407  Hon. Procéd. Syndic       (0770)</v>
      </c>
      <c r="F519" s="250">
        <f t="shared" si="428"/>
        <v>0</v>
      </c>
      <c r="G519" s="250">
        <f t="shared" si="428"/>
        <v>0</v>
      </c>
      <c r="H519" s="250">
        <f t="shared" si="428"/>
        <v>0</v>
      </c>
      <c r="I519" s="250">
        <f t="shared" si="428"/>
        <v>0</v>
      </c>
      <c r="J519" s="250">
        <f t="shared" si="428"/>
        <v>0</v>
      </c>
      <c r="K519" s="354">
        <f>H164</f>
        <v>0</v>
      </c>
      <c r="L519" s="250">
        <f>L164</f>
        <v>0</v>
      </c>
      <c r="M519" s="354">
        <f>J164</f>
        <v>0</v>
      </c>
      <c r="N519" s="88"/>
      <c r="O519" s="250">
        <f>O164</f>
        <v>2611.02</v>
      </c>
      <c r="P519" s="354">
        <f>M164</f>
        <v>0</v>
      </c>
      <c r="Q519" s="123"/>
      <c r="R519" s="357"/>
      <c r="S519" s="88"/>
      <c r="T519" s="250">
        <f>T164</f>
        <v>0</v>
      </c>
      <c r="U519" s="354">
        <f>P164</f>
        <v>0</v>
      </c>
      <c r="V519" s="123"/>
      <c r="W519" s="357"/>
      <c r="X519" s="340"/>
      <c r="Y519" s="250">
        <f>Y164</f>
        <v>0</v>
      </c>
      <c r="Z519" s="354" t="str">
        <f>W164</f>
        <v/>
      </c>
      <c r="AA519" s="30"/>
      <c r="AB519" s="357">
        <f>Y519/Y$640</f>
        <v>0</v>
      </c>
      <c r="AC519" s="88">
        <f>AC164</f>
        <v>0</v>
      </c>
      <c r="AD519" s="250">
        <f>AD164</f>
        <v>0</v>
      </c>
      <c r="AE519" s="90" t="str">
        <f>AB164</f>
        <v/>
      </c>
      <c r="AF519" s="30"/>
      <c r="AG519" s="357">
        <f>AD519/AD$640</f>
        <v>0</v>
      </c>
      <c r="AH519" s="88">
        <f>AH164</f>
        <v>0</v>
      </c>
      <c r="AI519" s="250">
        <f>AI164</f>
        <v>0</v>
      </c>
      <c r="AJ519" s="90"/>
      <c r="AK519" s="30"/>
      <c r="AL519" s="357">
        <f>AI519/AI$640</f>
        <v>0</v>
      </c>
      <c r="AM519" s="88"/>
      <c r="AN519" s="250">
        <f>AN164</f>
        <v>0</v>
      </c>
      <c r="AO519" s="29"/>
      <c r="AP519" s="30"/>
      <c r="AQ519" s="357">
        <f>AN519/AN$640</f>
        <v>0</v>
      </c>
      <c r="AR519" s="88"/>
      <c r="AS519" s="338"/>
      <c r="AT519" s="29"/>
      <c r="AU519" s="30"/>
      <c r="AV519" s="357" t="e">
        <f>AS519/AS$640</f>
        <v>#DIV/0!</v>
      </c>
    </row>
    <row r="520" spans="1:48" s="62" customFormat="1" hidden="1" outlineLevel="1" collapsed="1" x14ac:dyDescent="0.3">
      <c r="A520" s="199" t="s">
        <v>471</v>
      </c>
      <c r="B520" s="336"/>
      <c r="C520" s="337"/>
      <c r="D520" s="337"/>
      <c r="E520" s="347"/>
      <c r="F520" s="348">
        <f>SUM(F521,F525:F527)</f>
        <v>3506.16</v>
      </c>
      <c r="G520" s="348">
        <f>SUM(G521,G525:G527)</f>
        <v>3624.13</v>
      </c>
      <c r="H520" s="348">
        <f>SUM(H521,H525:H527)</f>
        <v>4903.6000000000004</v>
      </c>
      <c r="I520" s="348">
        <f>SUM(I521,I525:I527)</f>
        <v>7291.82</v>
      </c>
      <c r="J520" s="348">
        <f>SUM(J521,J525:J527)</f>
        <v>8997.02</v>
      </c>
      <c r="K520" s="349" t="str">
        <f>ROUND((J520-I520),2)&amp;"  ( "&amp;(ROUND((J520-I520)/(IF(I520=0,0.0001,I520)),3)*100)&amp;"% )"</f>
        <v>1705,2  ( 23,4% )</v>
      </c>
      <c r="L520" s="348">
        <f>SUM(L521,L525:L527)</f>
        <v>2780.63</v>
      </c>
      <c r="M520" s="349" t="str">
        <f>ROUND((L520-G520),2)&amp;"   ( "&amp;(ROUND((L520-G520)/(IF(G520=0,0.0001,G520)),3)*100)&amp;"% )"</f>
        <v>-843,5   ( -23,3% )</v>
      </c>
      <c r="N520" s="88"/>
      <c r="O520" s="348">
        <f>SUM(O521,O525:O527)</f>
        <v>4552.43</v>
      </c>
      <c r="P520" s="349" t="str">
        <f>ROUND((O520-J520),2)&amp;"   ( "&amp;(ROUND((O520-J520)/(IF(J520=0,0.0001,J520)),3)*100)&amp;"% )"</f>
        <v>-4444,59   ( -49,4% )</v>
      </c>
      <c r="Q520" s="123"/>
      <c r="R520" s="357"/>
      <c r="S520" s="88"/>
      <c r="T520" s="348">
        <f>SUM(T521,T525:T527)</f>
        <v>330.42999999999995</v>
      </c>
      <c r="U520" s="349" t="str">
        <f>ROUND((T520-O520),2)&amp;"   ( "&amp;(ROUND((T520-O520)/(IF(O520=0,0.0001,O520)),3)*100)&amp;"% )"</f>
        <v>-4222   ( -92,7% )</v>
      </c>
      <c r="V520" s="123"/>
      <c r="W520" s="357"/>
      <c r="X520" s="340"/>
      <c r="Y520" s="348">
        <f>SUM(Y521,Y525:Y527)</f>
        <v>793.59999999999991</v>
      </c>
      <c r="Z520" s="349" t="str">
        <f>ROUND((Y520-T520),2)&amp;"   ( "&amp;(ROUND((Y520-T520)/(IF(T520=0,0.0001,T520)),3)*100)&amp;"% )"</f>
        <v>463,17   ( 140,2% )</v>
      </c>
      <c r="AA520" s="30"/>
      <c r="AB520" s="357">
        <f>Y520/Y$640</f>
        <v>1.5579573584950774E-3</v>
      </c>
      <c r="AC520" s="88">
        <f>SUM(AC521,AC525:AC527)</f>
        <v>3020</v>
      </c>
      <c r="AD520" s="348">
        <f>SUM(AD521,AD525:AD527)</f>
        <v>3431.24</v>
      </c>
      <c r="AE520" s="6" t="str">
        <f>ROUND((AD520-Y520),2)&amp;"   ( "&amp;(ROUND((AD520-Y520)/(IF(Y520=0,0.0001,Y520)),3)*100)&amp;"% )"</f>
        <v>2637,64   ( 332,4% )</v>
      </c>
      <c r="AF520" s="30"/>
      <c r="AG520" s="357">
        <f>AD520/AD$640</f>
        <v>6.813654036539561E-3</v>
      </c>
      <c r="AH520" s="88">
        <f>SUM(AH521,AH525:AH527)</f>
        <v>3080</v>
      </c>
      <c r="AI520" s="348">
        <f>SUM(AI521,AI525:AI527)</f>
        <v>1537.75</v>
      </c>
      <c r="AJ520" s="6" t="str">
        <f t="shared" ref="AJ520" si="429">ROUND(AI520-AD520,2) &amp; "   (" &amp; ROUND(100*(AI520-AD520)/AD520,1) &amp;"%)"</f>
        <v>-1893,49   (-55,2%)</v>
      </c>
      <c r="AK520" s="30"/>
      <c r="AL520" s="357">
        <f>AI520/AI$640</f>
        <v>3.1912526700735334E-3</v>
      </c>
      <c r="AM520" s="88"/>
      <c r="AN520" s="348">
        <f>SUM(AN521,AN525:AN527)</f>
        <v>3474.23</v>
      </c>
      <c r="AO520" s="35" t="str">
        <f t="shared" ref="AO520" si="430">ROUND(AN520-AI520,2) &amp; "   (" &amp; ROUND(100*(AN520-AI520)/AI520,1) &amp;"%)"</f>
        <v>1936,48   (125,9%)</v>
      </c>
      <c r="AP520" s="30"/>
      <c r="AQ520" s="357">
        <f>AN520/AN$640</f>
        <v>9.3660463666782774E-3</v>
      </c>
      <c r="AR520" s="88"/>
      <c r="AS520" s="338"/>
      <c r="AT520" s="35" t="str">
        <f t="shared" ref="AT520" si="431">ROUND(AS520-AN520,2) &amp; "   (" &amp; ROUND(100*(AS520-AN520)/AN520,1) &amp;"%)"</f>
        <v>-3474,23   (-100%)</v>
      </c>
      <c r="AU520" s="30"/>
      <c r="AV520" s="357" t="e">
        <f>AS520/AS$640</f>
        <v>#DIV/0!</v>
      </c>
    </row>
    <row r="521" spans="1:48" s="62" customFormat="1" hidden="1" outlineLevel="2" collapsed="1" x14ac:dyDescent="0.3">
      <c r="A521" s="188" t="s">
        <v>472</v>
      </c>
      <c r="B521" s="336"/>
      <c r="C521" s="337"/>
      <c r="D521" s="337"/>
      <c r="E521" s="378"/>
      <c r="F521" s="362">
        <f>SUM(F522:F524)</f>
        <v>0</v>
      </c>
      <c r="G521" s="362">
        <f>SUM(G522:G524)</f>
        <v>0</v>
      </c>
      <c r="H521" s="362">
        <f>SUM(H522:H524)</f>
        <v>0</v>
      </c>
      <c r="I521" s="362">
        <f>SUM(I522:I524)</f>
        <v>0</v>
      </c>
      <c r="J521" s="362">
        <f>SUM(J522:J524)</f>
        <v>0</v>
      </c>
      <c r="K521" s="354">
        <f>H138</f>
        <v>0</v>
      </c>
      <c r="L521" s="362">
        <f>SUM(L522:L524)</f>
        <v>0</v>
      </c>
      <c r="M521" s="354">
        <f>J138</f>
        <v>0</v>
      </c>
      <c r="N521" s="88"/>
      <c r="O521" s="362">
        <f>SUM(O522:O524)</f>
        <v>532.79999999999995</v>
      </c>
      <c r="P521" s="354">
        <f>M138</f>
        <v>0</v>
      </c>
      <c r="Q521" s="123"/>
      <c r="R521" s="357"/>
      <c r="S521" s="88"/>
      <c r="T521" s="362">
        <f>SUM(T522:T524)</f>
        <v>0</v>
      </c>
      <c r="U521" s="354">
        <f>P138</f>
        <v>0</v>
      </c>
      <c r="V521" s="123"/>
      <c r="W521" s="357"/>
      <c r="X521" s="340"/>
      <c r="Y521" s="362">
        <f>SUM(Y522:Y524)</f>
        <v>0</v>
      </c>
      <c r="Z521" s="354" t="str">
        <f>W138</f>
        <v/>
      </c>
      <c r="AA521" s="30"/>
      <c r="AB521" s="357"/>
      <c r="AC521" s="88">
        <f>SUM(AC522:AC524)</f>
        <v>0</v>
      </c>
      <c r="AD521" s="362">
        <f>SUM(AD522:AD524)</f>
        <v>237.6</v>
      </c>
      <c r="AE521" s="90" t="str">
        <f>AB138</f>
        <v/>
      </c>
      <c r="AF521" s="30"/>
      <c r="AG521" s="357"/>
      <c r="AH521" s="88">
        <f>SUM(AH522:AH524)</f>
        <v>0</v>
      </c>
      <c r="AI521" s="362">
        <f>SUM(AI522:AI524)</f>
        <v>0</v>
      </c>
      <c r="AJ521" s="90"/>
      <c r="AK521" s="30"/>
      <c r="AL521" s="357"/>
      <c r="AM521" s="88"/>
      <c r="AN521" s="362">
        <f>SUM(AN522:AN524)</f>
        <v>252</v>
      </c>
      <c r="AO521" s="29"/>
      <c r="AP521" s="30"/>
      <c r="AQ521" s="357"/>
      <c r="AR521" s="88"/>
      <c r="AS521" s="338"/>
      <c r="AT521" s="29"/>
      <c r="AU521" s="30"/>
      <c r="AV521" s="357"/>
    </row>
    <row r="522" spans="1:48" s="62" customFormat="1" hidden="1" outlineLevel="3" x14ac:dyDescent="0.3">
      <c r="A522" s="190" t="s">
        <v>473</v>
      </c>
      <c r="B522" s="336"/>
      <c r="C522" s="337"/>
      <c r="D522" s="337"/>
      <c r="E522" s="347" t="str">
        <f>B138</f>
        <v>6230/01361 Honoraires Experts           (0530)</v>
      </c>
      <c r="F522" s="250">
        <f>F138</f>
        <v>0</v>
      </c>
      <c r="G522" s="250">
        <f>G138</f>
        <v>0</v>
      </c>
      <c r="H522" s="250">
        <f>H138</f>
        <v>0</v>
      </c>
      <c r="I522" s="250">
        <f>I138</f>
        <v>0</v>
      </c>
      <c r="J522" s="250">
        <f>J138</f>
        <v>0</v>
      </c>
      <c r="K522" s="354"/>
      <c r="L522" s="250">
        <f>L138</f>
        <v>0</v>
      </c>
      <c r="M522" s="354"/>
      <c r="N522" s="88"/>
      <c r="O522" s="250">
        <f>O138</f>
        <v>532.79999999999995</v>
      </c>
      <c r="P522" s="354"/>
      <c r="Q522" s="123"/>
      <c r="R522" s="357"/>
      <c r="S522" s="88"/>
      <c r="T522" s="250">
        <f>T138</f>
        <v>0</v>
      </c>
      <c r="U522" s="354"/>
      <c r="V522" s="123"/>
      <c r="W522" s="357"/>
      <c r="X522" s="340"/>
      <c r="Y522" s="250">
        <f>Y138</f>
        <v>0</v>
      </c>
      <c r="Z522" s="354"/>
      <c r="AA522" s="30"/>
      <c r="AB522" s="357"/>
      <c r="AC522" s="88">
        <f>AC138</f>
        <v>0</v>
      </c>
      <c r="AD522" s="250">
        <f>AD138</f>
        <v>237.6</v>
      </c>
      <c r="AE522" s="90"/>
      <c r="AF522" s="30"/>
      <c r="AG522" s="357"/>
      <c r="AH522" s="88">
        <f>AH138</f>
        <v>0</v>
      </c>
      <c r="AI522" s="250">
        <f>AI138</f>
        <v>0</v>
      </c>
      <c r="AJ522" s="90"/>
      <c r="AK522" s="30"/>
      <c r="AL522" s="357"/>
      <c r="AM522" s="88"/>
      <c r="AN522" s="250">
        <f>AN138</f>
        <v>252</v>
      </c>
      <c r="AO522" s="29"/>
      <c r="AP522" s="30"/>
      <c r="AQ522" s="357"/>
      <c r="AR522" s="88"/>
      <c r="AS522" s="338"/>
      <c r="AT522" s="29"/>
      <c r="AU522" s="30"/>
      <c r="AV522" s="357"/>
    </row>
    <row r="523" spans="1:48" s="62" customFormat="1" hidden="1" outlineLevel="3" x14ac:dyDescent="0.3">
      <c r="A523" s="190" t="s">
        <v>474</v>
      </c>
      <c r="B523" s="336"/>
      <c r="C523" s="337"/>
      <c r="D523" s="337"/>
      <c r="E523" s="347" t="str">
        <f>B291</f>
        <v>6230/65367/600 Etudes Ascenseurs</v>
      </c>
      <c r="F523" s="250"/>
      <c r="G523" s="250"/>
      <c r="H523" s="250"/>
      <c r="I523" s="250"/>
      <c r="J523" s="250"/>
      <c r="K523" s="354"/>
      <c r="L523" s="250"/>
      <c r="M523" s="354"/>
      <c r="N523" s="88"/>
      <c r="O523" s="250"/>
      <c r="P523" s="354"/>
      <c r="Q523" s="123"/>
      <c r="R523" s="357"/>
      <c r="S523" s="88"/>
      <c r="T523" s="250"/>
      <c r="U523" s="354"/>
      <c r="V523" s="123"/>
      <c r="W523" s="357"/>
      <c r="X523" s="340"/>
      <c r="Y523" s="250"/>
      <c r="Z523" s="354"/>
      <c r="AA523" s="30"/>
      <c r="AB523" s="357"/>
      <c r="AC523" s="88"/>
      <c r="AD523" s="250"/>
      <c r="AE523" s="90"/>
      <c r="AF523" s="30"/>
      <c r="AG523" s="357"/>
      <c r="AH523" s="88"/>
      <c r="AI523" s="250"/>
      <c r="AJ523" s="90"/>
      <c r="AK523" s="30"/>
      <c r="AL523" s="357"/>
      <c r="AM523" s="88"/>
      <c r="AN523" s="250"/>
      <c r="AO523" s="29"/>
      <c r="AP523" s="30"/>
      <c r="AQ523" s="357"/>
      <c r="AR523" s="88"/>
      <c r="AS523" s="338"/>
      <c r="AT523" s="29"/>
      <c r="AU523" s="30"/>
      <c r="AV523" s="357"/>
    </row>
    <row r="524" spans="1:48" s="62" customFormat="1" hidden="1" outlineLevel="3" x14ac:dyDescent="0.3">
      <c r="A524" s="190" t="s">
        <v>475</v>
      </c>
      <c r="B524" s="336"/>
      <c r="C524" s="337"/>
      <c r="D524" s="337"/>
      <c r="E524" s="347" t="str">
        <f>B307</f>
        <v>6230/65367/601 Etudes Chauffage</v>
      </c>
      <c r="F524" s="250"/>
      <c r="G524" s="250"/>
      <c r="H524" s="250"/>
      <c r="I524" s="250"/>
      <c r="J524" s="250"/>
      <c r="K524" s="354"/>
      <c r="L524" s="250"/>
      <c r="M524" s="354"/>
      <c r="N524" s="88"/>
      <c r="O524" s="250"/>
      <c r="P524" s="354"/>
      <c r="Q524" s="123"/>
      <c r="R524" s="357"/>
      <c r="S524" s="88"/>
      <c r="T524" s="250"/>
      <c r="U524" s="354"/>
      <c r="V524" s="123"/>
      <c r="W524" s="357"/>
      <c r="X524" s="340"/>
      <c r="Y524" s="250"/>
      <c r="Z524" s="354"/>
      <c r="AA524" s="30"/>
      <c r="AB524" s="357"/>
      <c r="AC524" s="88"/>
      <c r="AD524" s="250"/>
      <c r="AE524" s="90"/>
      <c r="AF524" s="30"/>
      <c r="AG524" s="357"/>
      <c r="AH524" s="88"/>
      <c r="AI524" s="250"/>
      <c r="AJ524" s="90"/>
      <c r="AK524" s="30"/>
      <c r="AL524" s="357"/>
      <c r="AM524" s="88"/>
      <c r="AN524" s="250"/>
      <c r="AO524" s="29"/>
      <c r="AP524" s="30"/>
      <c r="AQ524" s="357"/>
      <c r="AR524" s="88"/>
      <c r="AS524" s="338"/>
      <c r="AT524" s="29"/>
      <c r="AU524" s="30"/>
      <c r="AV524" s="357"/>
    </row>
    <row r="525" spans="1:48" s="62" customFormat="1" hidden="1" outlineLevel="2" x14ac:dyDescent="0.3">
      <c r="A525" s="188" t="s">
        <v>476</v>
      </c>
      <c r="B525" s="336"/>
      <c r="C525" s="337"/>
      <c r="D525" s="337"/>
      <c r="E525" s="347" t="str">
        <f>B139</f>
        <v>6230/01362 Honoraires Archi.           (0540)</v>
      </c>
      <c r="F525" s="368">
        <f>F139</f>
        <v>1148.1600000000001</v>
      </c>
      <c r="G525" s="368">
        <f>G139</f>
        <v>430.56</v>
      </c>
      <c r="H525" s="368">
        <f>H139</f>
        <v>0</v>
      </c>
      <c r="I525" s="368">
        <f>I139</f>
        <v>4413.74</v>
      </c>
      <c r="J525" s="368">
        <f>J139</f>
        <v>8484.0400000000009</v>
      </c>
      <c r="K525" s="354"/>
      <c r="L525" s="368">
        <f>L139</f>
        <v>648</v>
      </c>
      <c r="M525" s="354"/>
      <c r="N525" s="88"/>
      <c r="O525" s="368">
        <f>O139</f>
        <v>0</v>
      </c>
      <c r="P525" s="354"/>
      <c r="Q525" s="123"/>
      <c r="R525" s="357"/>
      <c r="S525" s="88"/>
      <c r="T525" s="368">
        <f>T139</f>
        <v>288</v>
      </c>
      <c r="U525" s="354"/>
      <c r="V525" s="123"/>
      <c r="W525" s="357"/>
      <c r="X525" s="340"/>
      <c r="Y525" s="368">
        <f>Y139</f>
        <v>656.04</v>
      </c>
      <c r="Z525" s="354"/>
      <c r="AA525" s="30"/>
      <c r="AB525" s="357"/>
      <c r="AC525" s="88">
        <f>AC139</f>
        <v>500</v>
      </c>
      <c r="AD525" s="368">
        <f>AD139</f>
        <v>1289.79</v>
      </c>
      <c r="AE525" s="90"/>
      <c r="AF525" s="30"/>
      <c r="AG525" s="357"/>
      <c r="AH525" s="88">
        <f>AH139</f>
        <v>510</v>
      </c>
      <c r="AI525" s="368">
        <f>AI139</f>
        <v>0</v>
      </c>
      <c r="AJ525" s="90"/>
      <c r="AK525" s="30"/>
      <c r="AL525" s="357"/>
      <c r="AM525" s="88"/>
      <c r="AN525" s="368">
        <f>AN139</f>
        <v>216</v>
      </c>
      <c r="AO525" s="29"/>
      <c r="AP525" s="30"/>
      <c r="AQ525" s="357"/>
      <c r="AR525" s="88"/>
      <c r="AS525" s="338"/>
      <c r="AT525" s="29"/>
      <c r="AU525" s="30"/>
      <c r="AV525" s="357"/>
    </row>
    <row r="526" spans="1:48" s="62" customFormat="1" hidden="1" outlineLevel="2" x14ac:dyDescent="0.3">
      <c r="A526" s="188" t="s">
        <v>477</v>
      </c>
      <c r="B526" s="336"/>
      <c r="C526" s="337"/>
      <c r="D526" s="337"/>
      <c r="E526" s="347" t="str">
        <f>B148</f>
        <v>6230/01381 Honor. Huissiers          (0630)</v>
      </c>
      <c r="F526" s="368">
        <f t="shared" ref="F526:J527" si="432">F148</f>
        <v>770</v>
      </c>
      <c r="G526" s="368">
        <f t="shared" si="432"/>
        <v>0</v>
      </c>
      <c r="H526" s="368">
        <f t="shared" si="432"/>
        <v>0</v>
      </c>
      <c r="I526" s="368">
        <f t="shared" si="432"/>
        <v>827.13</v>
      </c>
      <c r="J526" s="368">
        <f t="shared" si="432"/>
        <v>512.98</v>
      </c>
      <c r="K526" s="354"/>
      <c r="L526" s="368">
        <f>L148</f>
        <v>1496.63</v>
      </c>
      <c r="M526" s="354"/>
      <c r="N526" s="88"/>
      <c r="O526" s="368">
        <f>O148</f>
        <v>0</v>
      </c>
      <c r="P526" s="354"/>
      <c r="Q526" s="123"/>
      <c r="R526" s="357"/>
      <c r="S526" s="88"/>
      <c r="T526" s="368">
        <f>T148</f>
        <v>342.06</v>
      </c>
      <c r="U526" s="354"/>
      <c r="V526" s="123"/>
      <c r="W526" s="357"/>
      <c r="X526" s="340"/>
      <c r="Y526" s="368">
        <f>Y148</f>
        <v>137.56</v>
      </c>
      <c r="Z526" s="354"/>
      <c r="AA526" s="30"/>
      <c r="AB526" s="357"/>
      <c r="AC526" s="88">
        <f>AC148</f>
        <v>1020</v>
      </c>
      <c r="AD526" s="368">
        <f>AD148</f>
        <v>103.85</v>
      </c>
      <c r="AE526" s="90"/>
      <c r="AF526" s="30"/>
      <c r="AG526" s="357"/>
      <c r="AH526" s="88">
        <f>AH148</f>
        <v>1040</v>
      </c>
      <c r="AI526" s="368">
        <f>AI148</f>
        <v>0</v>
      </c>
      <c r="AJ526" s="90"/>
      <c r="AK526" s="30"/>
      <c r="AL526" s="357"/>
      <c r="AM526" s="88"/>
      <c r="AN526" s="368">
        <f>AN148</f>
        <v>36.229999999999997</v>
      </c>
      <c r="AO526" s="29"/>
      <c r="AP526" s="30"/>
      <c r="AQ526" s="357"/>
      <c r="AR526" s="88"/>
      <c r="AS526" s="338"/>
      <c r="AT526" s="29"/>
      <c r="AU526" s="30"/>
      <c r="AV526" s="357"/>
    </row>
    <row r="527" spans="1:48" s="62" customFormat="1" hidden="1" outlineLevel="2" collapsed="1" x14ac:dyDescent="0.3">
      <c r="A527" s="188" t="s">
        <v>478</v>
      </c>
      <c r="B527" s="336"/>
      <c r="C527" s="337"/>
      <c r="D527" s="337"/>
      <c r="E527" s="347" t="str">
        <f>B149</f>
        <v>6230/01382 Honoraires Avocats           (0640)</v>
      </c>
      <c r="F527" s="368">
        <f t="shared" si="432"/>
        <v>1588</v>
      </c>
      <c r="G527" s="368">
        <f t="shared" si="432"/>
        <v>3193.57</v>
      </c>
      <c r="H527" s="368">
        <f t="shared" si="432"/>
        <v>4903.6000000000004</v>
      </c>
      <c r="I527" s="368">
        <f t="shared" si="432"/>
        <v>2050.9499999999998</v>
      </c>
      <c r="J527" s="368">
        <f t="shared" si="432"/>
        <v>0</v>
      </c>
      <c r="K527" s="354">
        <f>H149</f>
        <v>4903.6000000000004</v>
      </c>
      <c r="L527" s="368">
        <f>L149</f>
        <v>636</v>
      </c>
      <c r="M527" s="354">
        <f>J149</f>
        <v>0</v>
      </c>
      <c r="N527" s="88"/>
      <c r="O527" s="368">
        <f>O149</f>
        <v>4019.63</v>
      </c>
      <c r="P527" s="354">
        <f>M149</f>
        <v>0</v>
      </c>
      <c r="Q527" s="123"/>
      <c r="R527" s="357"/>
      <c r="S527" s="88"/>
      <c r="T527" s="368">
        <f>T149</f>
        <v>-299.63</v>
      </c>
      <c r="U527" s="354">
        <f>P149</f>
        <v>5.3201729559748427</v>
      </c>
      <c r="V527" s="123"/>
      <c r="W527" s="357"/>
      <c r="X527" s="340"/>
      <c r="Y527" s="368">
        <f>Y149</f>
        <v>0</v>
      </c>
      <c r="Z527" s="354" t="str">
        <f>W149</f>
        <v/>
      </c>
      <c r="AA527" s="30"/>
      <c r="AB527" s="357"/>
      <c r="AC527" s="88">
        <f>AC149</f>
        <v>1500</v>
      </c>
      <c r="AD527" s="368">
        <f>AD149</f>
        <v>1800</v>
      </c>
      <c r="AE527" s="90" t="str">
        <f>AB149</f>
        <v/>
      </c>
      <c r="AF527" s="30"/>
      <c r="AG527" s="357"/>
      <c r="AH527" s="88">
        <f>AH149</f>
        <v>1530</v>
      </c>
      <c r="AI527" s="368">
        <f>AI149</f>
        <v>1537.75</v>
      </c>
      <c r="AJ527" s="90"/>
      <c r="AK527" s="30"/>
      <c r="AL527" s="357"/>
      <c r="AM527" s="88"/>
      <c r="AN527" s="362">
        <f>SUM(AN528:AN529)</f>
        <v>2970</v>
      </c>
      <c r="AO527" s="29"/>
      <c r="AP527" s="30"/>
      <c r="AQ527" s="357"/>
      <c r="AR527" s="88"/>
      <c r="AS527" s="338"/>
      <c r="AT527" s="29"/>
      <c r="AU527" s="30"/>
      <c r="AV527" s="357"/>
    </row>
    <row r="528" spans="1:48" s="62" customFormat="1" hidden="1" outlineLevel="3" x14ac:dyDescent="0.3">
      <c r="A528" s="190" t="s">
        <v>639</v>
      </c>
      <c r="B528" s="336"/>
      <c r="C528" s="337"/>
      <c r="D528" s="337"/>
      <c r="E528" s="347"/>
      <c r="F528" s="368"/>
      <c r="G528" s="368"/>
      <c r="H528" s="368"/>
      <c r="I528" s="368"/>
      <c r="J528" s="368"/>
      <c r="K528" s="354"/>
      <c r="L528" s="368"/>
      <c r="M528" s="354"/>
      <c r="N528" s="88"/>
      <c r="O528" s="368"/>
      <c r="P528" s="354"/>
      <c r="Q528" s="123"/>
      <c r="R528" s="357"/>
      <c r="S528" s="88"/>
      <c r="T528" s="368"/>
      <c r="U528" s="354"/>
      <c r="V528" s="123"/>
      <c r="W528" s="357"/>
      <c r="X528" s="340"/>
      <c r="Y528" s="368"/>
      <c r="Z528" s="354"/>
      <c r="AA528" s="30"/>
      <c r="AB528" s="357"/>
      <c r="AC528" s="88"/>
      <c r="AD528" s="368"/>
      <c r="AE528" s="90"/>
      <c r="AF528" s="30"/>
      <c r="AG528" s="357"/>
      <c r="AH528" s="88"/>
      <c r="AI528" s="368"/>
      <c r="AJ528" s="90"/>
      <c r="AK528" s="30"/>
      <c r="AL528" s="357"/>
      <c r="AM528" s="88"/>
      <c r="AN528" s="250">
        <f>AN150</f>
        <v>2010</v>
      </c>
      <c r="AO528" s="29"/>
      <c r="AP528" s="30"/>
      <c r="AQ528" s="357"/>
      <c r="AR528" s="88"/>
      <c r="AS528" s="338"/>
      <c r="AT528" s="29"/>
      <c r="AU528" s="30"/>
      <c r="AV528" s="357"/>
    </row>
    <row r="529" spans="1:48" s="62" customFormat="1" hidden="1" outlineLevel="3" x14ac:dyDescent="0.3">
      <c r="A529" s="190" t="s">
        <v>640</v>
      </c>
      <c r="B529" s="336"/>
      <c r="C529" s="337"/>
      <c r="D529" s="337"/>
      <c r="E529" s="347"/>
      <c r="F529" s="368"/>
      <c r="G529" s="368"/>
      <c r="H529" s="368"/>
      <c r="I529" s="368"/>
      <c r="J529" s="368"/>
      <c r="K529" s="354"/>
      <c r="L529" s="368"/>
      <c r="M529" s="354"/>
      <c r="N529" s="88"/>
      <c r="O529" s="368"/>
      <c r="P529" s="354"/>
      <c r="Q529" s="123"/>
      <c r="R529" s="357"/>
      <c r="S529" s="88"/>
      <c r="T529" s="368"/>
      <c r="U529" s="354"/>
      <c r="V529" s="123"/>
      <c r="W529" s="357"/>
      <c r="X529" s="340"/>
      <c r="Y529" s="368"/>
      <c r="Z529" s="354"/>
      <c r="AA529" s="30"/>
      <c r="AB529" s="357"/>
      <c r="AC529" s="88"/>
      <c r="AD529" s="368"/>
      <c r="AE529" s="90"/>
      <c r="AF529" s="30"/>
      <c r="AG529" s="357"/>
      <c r="AH529" s="88"/>
      <c r="AI529" s="368"/>
      <c r="AJ529" s="90"/>
      <c r="AK529" s="30"/>
      <c r="AL529" s="357"/>
      <c r="AM529" s="88"/>
      <c r="AN529" s="250">
        <f>AN149</f>
        <v>960</v>
      </c>
      <c r="AO529" s="29"/>
      <c r="AP529" s="30"/>
      <c r="AQ529" s="357"/>
      <c r="AR529" s="88"/>
      <c r="AS529" s="338"/>
      <c r="AT529" s="29"/>
      <c r="AU529" s="30"/>
      <c r="AV529" s="357"/>
    </row>
    <row r="530" spans="1:48" s="62" customFormat="1" hidden="1" outlineLevel="1" x14ac:dyDescent="0.3">
      <c r="A530" s="199" t="s">
        <v>479</v>
      </c>
      <c r="B530" s="336"/>
      <c r="C530" s="337"/>
      <c r="D530" s="337"/>
      <c r="E530" s="379" t="str">
        <f>B167</f>
        <v>6240/00411 Frais Conseil Syndical    (0810)</v>
      </c>
      <c r="F530" s="348">
        <f>F167</f>
        <v>59.7</v>
      </c>
      <c r="G530" s="348">
        <f>G167</f>
        <v>320</v>
      </c>
      <c r="H530" s="348">
        <f>H167</f>
        <v>320</v>
      </c>
      <c r="I530" s="348">
        <f>I167</f>
        <v>619.94000000000005</v>
      </c>
      <c r="J530" s="348">
        <f>J167</f>
        <v>476.56</v>
      </c>
      <c r="K530" s="349" t="str">
        <f>ROUND((J530-I530),2)&amp;"  ( "&amp;(ROUND((J530-I530)/(IF(I530=0,0.0001,I530)),3)*100)&amp;"% )"</f>
        <v>-143,38  ( -23,1% )</v>
      </c>
      <c r="L530" s="348">
        <f>L167</f>
        <v>437.91</v>
      </c>
      <c r="M530" s="349" t="str">
        <f>ROUND((L530-G530),2)&amp;"   ( "&amp;(ROUND((L530-G530)/(IF(G530=0,0.0001,G530)),3)*100)&amp;"% )"</f>
        <v>117,91   ( 36,8% )</v>
      </c>
      <c r="N530" s="88"/>
      <c r="O530" s="348">
        <f>O167</f>
        <v>433.69</v>
      </c>
      <c r="P530" s="349" t="str">
        <f>ROUND((O530-J530),2)&amp;"   ( "&amp;(ROUND((O530-J530)/(IF(J530=0,0.0001,J530)),3)*100)&amp;"% )"</f>
        <v>-42,87   ( -9% )</v>
      </c>
      <c r="Q530" s="123"/>
      <c r="R530" s="357"/>
      <c r="S530" s="88"/>
      <c r="T530" s="348">
        <f>T167</f>
        <v>197.48</v>
      </c>
      <c r="U530" s="349" t="str">
        <f>ROUND((T530-O530),2)&amp;"   ( "&amp;(ROUND((T530-O530)/(IF(O530=0,0.0001,O530)),3)*100)&amp;"% )"</f>
        <v>-236,21   ( -54,5% )</v>
      </c>
      <c r="V530" s="123"/>
      <c r="W530" s="357"/>
      <c r="X530" s="340"/>
      <c r="Y530" s="348">
        <f>Y167</f>
        <v>161.63999999999999</v>
      </c>
      <c r="Z530" s="349" t="str">
        <f>ROUND((Y530-T530),2)&amp;"   ( "&amp;(ROUND((Y530-T530)/(IF(T530=0,0.0001,T530)),3)*100)&amp;"% )"</f>
        <v>-35,84   ( -18,1% )</v>
      </c>
      <c r="AA530" s="30"/>
      <c r="AB530" s="357">
        <f>Y530/Y$640</f>
        <v>3.1732387528622018E-4</v>
      </c>
      <c r="AC530" s="88">
        <f>AC167</f>
        <v>510</v>
      </c>
      <c r="AD530" s="348">
        <f>AD167</f>
        <v>25</v>
      </c>
      <c r="AE530" s="6" t="str">
        <f>ROUND((AD530-Y530),2)&amp;"   ( "&amp;(ROUND((AD530-Y530)/(IF(Y530=0,0.0001,Y530)),3)*100)&amp;"% )"</f>
        <v>-136,64   ( -84,5% )</v>
      </c>
      <c r="AF530" s="30"/>
      <c r="AG530" s="357">
        <f>AD530/AD$640</f>
        <v>4.9644254238551965E-5</v>
      </c>
      <c r="AH530" s="88">
        <f>AH167</f>
        <v>520</v>
      </c>
      <c r="AI530" s="348">
        <f>AI167</f>
        <v>0</v>
      </c>
      <c r="AJ530" s="6" t="str">
        <f t="shared" ref="AJ530" si="433">ROUND(AI530-AD530,2) &amp; "   (" &amp; ROUND(100*(AI530-AD530)/AD530,1) &amp;"%)"</f>
        <v>-25   (-100%)</v>
      </c>
      <c r="AK530" s="30"/>
      <c r="AL530" s="357">
        <f>AI530/AI$640</f>
        <v>0</v>
      </c>
      <c r="AM530" s="88"/>
      <c r="AN530" s="348">
        <f>AN167</f>
        <v>0</v>
      </c>
      <c r="AO530" s="35" t="e">
        <f t="shared" ref="AO530" si="434">ROUND(AN530-AI530,2) &amp; "   (" &amp; ROUND(100*(AN530-AI530)/AI530,1) &amp;"%)"</f>
        <v>#DIV/0!</v>
      </c>
      <c r="AP530" s="30"/>
      <c r="AQ530" s="357">
        <f>AN530/AN$640</f>
        <v>0</v>
      </c>
      <c r="AR530" s="88"/>
      <c r="AS530" s="338"/>
      <c r="AT530" s="35" t="e">
        <f t="shared" ref="AT530:AT534" si="435">ROUND(AS530-AN530,2) &amp; "   (" &amp; ROUND(100*(AS530-AN530)/AN530,1) &amp;"%)"</f>
        <v>#DIV/0!</v>
      </c>
      <c r="AU530" s="30"/>
      <c r="AV530" s="357" t="e">
        <f>AS530/AS$640</f>
        <v>#DIV/0!</v>
      </c>
    </row>
    <row r="531" spans="1:48" s="62" customFormat="1" collapsed="1" x14ac:dyDescent="0.3">
      <c r="A531" s="342" t="s">
        <v>480</v>
      </c>
      <c r="B531" s="336"/>
      <c r="C531" s="337"/>
      <c r="D531" s="337"/>
      <c r="E531" s="372"/>
      <c r="F531" s="344">
        <f>SUM(F532:F534)</f>
        <v>4024</v>
      </c>
      <c r="G531" s="344">
        <f>SUM(G532:G534)</f>
        <v>2384</v>
      </c>
      <c r="H531" s="344">
        <f>SUM(H532:H534)</f>
        <v>4951</v>
      </c>
      <c r="I531" s="344">
        <f>SUM(I532:I534)</f>
        <v>4984</v>
      </c>
      <c r="J531" s="344">
        <f>SUM(J532:J534)</f>
        <v>5003</v>
      </c>
      <c r="K531" s="345" t="str">
        <f>ROUND((J531-I531),2)&amp;"  ( "&amp;(ROUND((J531-I531)/(IF(I531=0,0.0001,I531)),3)*100)&amp;"% )"</f>
        <v>19  ( 0,4% )</v>
      </c>
      <c r="L531" s="344">
        <f>SUM(L532:L534)</f>
        <v>5039</v>
      </c>
      <c r="M531" s="345" t="str">
        <f>ROUND((L531-G531),2)&amp;"   ( "&amp;(ROUND((L531-G531)/(IF(G531=0,0.0001,G531)),3)*100)&amp;"% )"</f>
        <v>2655   ( 111,4% )</v>
      </c>
      <c r="N531" s="88"/>
      <c r="O531" s="344">
        <f>SUM(O532:O534)</f>
        <v>5057</v>
      </c>
      <c r="P531" s="345" t="str">
        <f>ROUND((O531-J531),2)&amp;"   ( "&amp;(ROUND((O531-J531)/(IF(J531=0,0.0001,J531)),3)*100)&amp;"% )"</f>
        <v>54   ( 1,1% )</v>
      </c>
      <c r="Q531" s="123"/>
      <c r="R531" s="346">
        <f>O531/O$640</f>
        <v>1.0092917107312875E-2</v>
      </c>
      <c r="S531" s="88"/>
      <c r="T531" s="344">
        <f>SUM(T532:T534)</f>
        <v>5064</v>
      </c>
      <c r="U531" s="345" t="str">
        <f>ROUND((T531-O531),2)&amp;"   ( "&amp;(ROUND((T531-O531)/(IF(O531=0,0.0001,O531)),3)*100)&amp;"% )"</f>
        <v>7   ( 0,1% )</v>
      </c>
      <c r="V531" s="123"/>
      <c r="W531" s="346">
        <f>T531/T$640</f>
        <v>1.0354314246485433E-2</v>
      </c>
      <c r="X531" s="340"/>
      <c r="Y531" s="344">
        <f>SUM(Y532:Y534)</f>
        <v>5083</v>
      </c>
      <c r="Z531" s="345" t="str">
        <f>ROUND((Y531-T531),2)&amp;"   ( "&amp;(ROUND((Y531-T531)/(IF(T531=0,0.0001,T531)),3)*100)&amp;"% )"</f>
        <v>19   ( 0,4% )</v>
      </c>
      <c r="AA531" s="30"/>
      <c r="AB531" s="346">
        <f>Y531/Y$640</f>
        <v>9.9787011759456638E-3</v>
      </c>
      <c r="AC531" s="88">
        <f>SUM(AC532:AC534)</f>
        <v>5300</v>
      </c>
      <c r="AD531" s="344">
        <f>SUM(AD532:AD534)</f>
        <v>4981.75</v>
      </c>
      <c r="AE531" s="6" t="str">
        <f>ROUND((AD531-Y531),2)&amp;"   ( "&amp;(ROUND((AD531-Y531)/(IF(Y531=0,0.0001,Y531)),3)*100)&amp;"% )"</f>
        <v>-101,25   ( -2% )</v>
      </c>
      <c r="AF531" s="30"/>
      <c r="AG531" s="346">
        <f>AD531/AD$640</f>
        <v>9.8926105421162508E-3</v>
      </c>
      <c r="AH531" s="88">
        <f>SUM(AH532:AH534)</f>
        <v>5390</v>
      </c>
      <c r="AI531" s="344">
        <f>SUM(AI532:AI534)</f>
        <v>5002.75</v>
      </c>
      <c r="AJ531" s="6" t="str">
        <f t="shared" ref="AJ531:AJ534" si="436">ROUND(AI531-AD531,2) &amp; "   (" &amp; ROUND(100*(AI531-AD531)/AD531,1) &amp;"%)"</f>
        <v>21   (0,4%)</v>
      </c>
      <c r="AK531" s="30"/>
      <c r="AL531" s="346">
        <f>AI531/AI$640</f>
        <v>1.0382077252616076E-2</v>
      </c>
      <c r="AM531" s="88"/>
      <c r="AN531" s="344">
        <f>SUM(AN532:AN534)</f>
        <v>5007.75</v>
      </c>
      <c r="AO531" s="35" t="str">
        <f t="shared" ref="AO531:AO534" si="437">ROUND(AN531-AI531,2) &amp; "   (" &amp; ROUND(100*(AN531-AI531)/AI531,1) &amp;"%)"</f>
        <v>5   (0,1%)</v>
      </c>
      <c r="AP531" s="30"/>
      <c r="AQ531" s="346">
        <f>AN531/AN$640</f>
        <v>1.3500205424722354E-2</v>
      </c>
      <c r="AR531" s="88"/>
      <c r="AS531" s="338"/>
      <c r="AT531" s="35" t="str">
        <f t="shared" si="435"/>
        <v>-5007,75   (-100%)</v>
      </c>
      <c r="AU531" s="30"/>
      <c r="AV531" s="346" t="e">
        <f>AS531/AS$640</f>
        <v>#DIV/0!</v>
      </c>
    </row>
    <row r="532" spans="1:48" s="62" customFormat="1" hidden="1" outlineLevel="1" x14ac:dyDescent="0.3">
      <c r="A532" s="199" t="s">
        <v>481</v>
      </c>
      <c r="B532" s="336"/>
      <c r="C532" s="337"/>
      <c r="D532" s="337"/>
      <c r="E532" s="347" t="str">
        <f>B176</f>
        <v>6320/00484 TaxesBalayage          (0880)</v>
      </c>
      <c r="F532" s="348">
        <f>F176</f>
        <v>1623</v>
      </c>
      <c r="G532" s="348">
        <f>G176</f>
        <v>773</v>
      </c>
      <c r="H532" s="348">
        <f>H176</f>
        <v>3317</v>
      </c>
      <c r="I532" s="348">
        <f>I176</f>
        <v>3317</v>
      </c>
      <c r="J532" s="348">
        <f>J176</f>
        <v>3317</v>
      </c>
      <c r="K532" s="354"/>
      <c r="L532" s="348">
        <f>L176</f>
        <v>3317</v>
      </c>
      <c r="M532" s="349" t="str">
        <f>ROUND((L532-G532),2)&amp;"   ( "&amp;(ROUND((L532-G532)/(IF(G532=0,0.0001,G532)),3)*100)&amp;"% )"</f>
        <v>2544   ( 329,1% )</v>
      </c>
      <c r="N532" s="88"/>
      <c r="O532" s="348">
        <f>O176</f>
        <v>3317</v>
      </c>
      <c r="P532" s="349" t="str">
        <f>ROUND((O532-J532),2)&amp;"   ( "&amp;(ROUND((O532-J532)/(IF(J532=0,0.0001,J532)),3)*100)&amp;"% )"</f>
        <v>0   ( 0% )</v>
      </c>
      <c r="Q532" s="123"/>
      <c r="R532" s="357"/>
      <c r="S532" s="88"/>
      <c r="T532" s="348">
        <f>T176</f>
        <v>3317</v>
      </c>
      <c r="U532" s="349" t="str">
        <f>ROUND((T532-O532),2)&amp;"   ( "&amp;(ROUND((T532-O532)/(IF(O532=0,0.0001,O532)),3)*100)&amp;"% )"</f>
        <v>0   ( 0% )</v>
      </c>
      <c r="V532" s="123"/>
      <c r="W532" s="357"/>
      <c r="X532" s="340"/>
      <c r="Y532" s="348">
        <f>Y176</f>
        <v>3317</v>
      </c>
      <c r="Z532" s="349" t="str">
        <f>ROUND((Y532-T532),2)&amp;"   ( "&amp;(ROUND((Y532-T532)/(IF(T532=0,0.0001,T532)),3)*100)&amp;"% )"</f>
        <v>0   ( 0% )</v>
      </c>
      <c r="AA532" s="30"/>
      <c r="AB532" s="357"/>
      <c r="AC532" s="88">
        <f>AC176</f>
        <v>3450</v>
      </c>
      <c r="AD532" s="348">
        <f>AD176</f>
        <v>3176.75</v>
      </c>
      <c r="AE532" s="6" t="str">
        <f>ROUND((AD532-Y532),2)&amp;"   ( "&amp;(ROUND((AD532-Y532)/(IF(Y532=0,0.0001,Y532)),3)*100)&amp;"% )"</f>
        <v>-140,25   ( -4,2% )</v>
      </c>
      <c r="AF532" s="30"/>
      <c r="AG532" s="357"/>
      <c r="AH532" s="88">
        <f>AH176</f>
        <v>3510</v>
      </c>
      <c r="AI532" s="348">
        <f>AI176</f>
        <v>3176.75</v>
      </c>
      <c r="AJ532" s="6" t="str">
        <f t="shared" si="436"/>
        <v>0   (0%)</v>
      </c>
      <c r="AK532" s="30"/>
      <c r="AL532" s="357"/>
      <c r="AM532" s="88"/>
      <c r="AN532" s="348">
        <f>AN176</f>
        <v>3176.75</v>
      </c>
      <c r="AO532" s="35" t="str">
        <f t="shared" si="437"/>
        <v>0   (0%)</v>
      </c>
      <c r="AP532" s="30"/>
      <c r="AQ532" s="357"/>
      <c r="AR532" s="88"/>
      <c r="AS532" s="338"/>
      <c r="AT532" s="35" t="str">
        <f t="shared" si="435"/>
        <v>-3176,75   (-100%)</v>
      </c>
      <c r="AU532" s="30"/>
      <c r="AV532" s="357"/>
    </row>
    <row r="533" spans="1:48" s="62" customFormat="1" hidden="1" outlineLevel="1" x14ac:dyDescent="0.3">
      <c r="A533" s="199" t="s">
        <v>482</v>
      </c>
      <c r="B533" s="336"/>
      <c r="C533" s="337"/>
      <c r="D533" s="337"/>
      <c r="E533" s="347" t="str">
        <f>B173</f>
        <v>6330/01481 TaxesFoncières          (0860)</v>
      </c>
      <c r="F533" s="348">
        <f>F173</f>
        <v>1102</v>
      </c>
      <c r="G533" s="348">
        <f>G173</f>
        <v>1142</v>
      </c>
      <c r="H533" s="348">
        <f>H173</f>
        <v>1157</v>
      </c>
      <c r="I533" s="348">
        <f>I173</f>
        <v>1181</v>
      </c>
      <c r="J533" s="348">
        <f>J173</f>
        <v>1196</v>
      </c>
      <c r="K533" s="354"/>
      <c r="L533" s="348">
        <f>L173</f>
        <v>1227</v>
      </c>
      <c r="M533" s="349" t="str">
        <f>ROUND((L533-G533),2)&amp;"   ( "&amp;(ROUND((L533-G533)/(IF(G533=0,0.0001,G533)),3)*100)&amp;"% )"</f>
        <v>85   ( 7,4% )</v>
      </c>
      <c r="N533" s="88"/>
      <c r="O533" s="348">
        <f>O173</f>
        <v>1240</v>
      </c>
      <c r="P533" s="349" t="str">
        <f>ROUND((O533-J533),2)&amp;"   ( "&amp;(ROUND((O533-J533)/(IF(J533=0,0.0001,J533)),3)*100)&amp;"% )"</f>
        <v>44   ( 3,7% )</v>
      </c>
      <c r="Q533" s="123"/>
      <c r="R533" s="357"/>
      <c r="S533" s="88"/>
      <c r="T533" s="348">
        <f>T173</f>
        <v>1245</v>
      </c>
      <c r="U533" s="349" t="str">
        <f>ROUND((T533-O533),2)&amp;"   ( "&amp;(ROUND((T533-O533)/(IF(O533=0,0.0001,O533)),3)*100)&amp;"% )"</f>
        <v>5   ( 0,4% )</v>
      </c>
      <c r="V533" s="123"/>
      <c r="W533" s="357"/>
      <c r="X533" s="340"/>
      <c r="Y533" s="348">
        <f>Y173</f>
        <v>1258</v>
      </c>
      <c r="Z533" s="349" t="str">
        <f>ROUND((Y533-T533),2)&amp;"   ( "&amp;(ROUND((Y533-T533)/(IF(T533=0,0.0001,T533)),3)*100)&amp;"% )"</f>
        <v>13   ( 1% )</v>
      </c>
      <c r="AA533" s="30"/>
      <c r="AB533" s="357"/>
      <c r="AC533" s="88">
        <f>AC173</f>
        <v>1300</v>
      </c>
      <c r="AD533" s="348">
        <f>AD173</f>
        <v>1286</v>
      </c>
      <c r="AE533" s="6" t="str">
        <f>ROUND((AD533-Y533),2)&amp;"   ( "&amp;(ROUND((AD533-Y533)/(IF(Y533=0,0.0001,Y533)),3)*100)&amp;"% )"</f>
        <v>28   ( 2,2% )</v>
      </c>
      <c r="AF533" s="30"/>
      <c r="AG533" s="357"/>
      <c r="AH533" s="88">
        <f>AH173</f>
        <v>1320</v>
      </c>
      <c r="AI533" s="348">
        <f>AI173</f>
        <v>1301</v>
      </c>
      <c r="AJ533" s="6" t="str">
        <f t="shared" si="436"/>
        <v>15   (1,2%)</v>
      </c>
      <c r="AK533" s="30"/>
      <c r="AL533" s="357"/>
      <c r="AM533" s="88"/>
      <c r="AN533" s="348">
        <f>AN173</f>
        <v>1305</v>
      </c>
      <c r="AO533" s="35" t="str">
        <f t="shared" si="437"/>
        <v>4   (0,3%)</v>
      </c>
      <c r="AP533" s="30"/>
      <c r="AQ533" s="357"/>
      <c r="AR533" s="88"/>
      <c r="AS533" s="338"/>
      <c r="AT533" s="35" t="str">
        <f t="shared" si="435"/>
        <v>-1305   (-100%)</v>
      </c>
      <c r="AU533" s="30"/>
      <c r="AV533" s="357"/>
    </row>
    <row r="534" spans="1:48" s="62" customFormat="1" hidden="1" outlineLevel="1" collapsed="1" x14ac:dyDescent="0.3">
      <c r="A534" s="199" t="s">
        <v>483</v>
      </c>
      <c r="B534" s="336"/>
      <c r="C534" s="337"/>
      <c r="D534" s="337"/>
      <c r="E534" s="337"/>
      <c r="F534" s="351">
        <f>SUM(F535:F536)</f>
        <v>1299</v>
      </c>
      <c r="G534" s="351">
        <f>SUM(G535:G536)</f>
        <v>469</v>
      </c>
      <c r="H534" s="351">
        <f>SUM(H535:H536)</f>
        <v>477</v>
      </c>
      <c r="I534" s="351">
        <f>SUM(I535:I536)</f>
        <v>486</v>
      </c>
      <c r="J534" s="351">
        <f>SUM(J535:J536)</f>
        <v>490</v>
      </c>
      <c r="K534" s="376"/>
      <c r="L534" s="351">
        <f>SUM(L535:L536)</f>
        <v>495</v>
      </c>
      <c r="M534" s="349" t="str">
        <f>ROUND((L534-G534),2)&amp;"   ( "&amp;(ROUND((L534-G534)/(IF(G534=0,0.0001,G534)),3)*100)&amp;"% )"</f>
        <v>26   ( 5,5% )</v>
      </c>
      <c r="N534" s="88"/>
      <c r="O534" s="351">
        <f>SUM(O535:O536)</f>
        <v>500</v>
      </c>
      <c r="P534" s="349" t="str">
        <f>ROUND((O534-J534),2)&amp;"   ( "&amp;(ROUND((O534-J534)/(IF(J534=0,0.0001,J534)),3)*100)&amp;"% )"</f>
        <v>10   ( 2% )</v>
      </c>
      <c r="Q534" s="123"/>
      <c r="R534" s="357"/>
      <c r="S534" s="88"/>
      <c r="T534" s="351">
        <f>SUM(T535:T536)</f>
        <v>502</v>
      </c>
      <c r="U534" s="349" t="str">
        <f>ROUND((T534-O534),2)&amp;"   ( "&amp;(ROUND((T534-O534)/(IF(O534=0,0.0001,O534)),3)*100)&amp;"% )"</f>
        <v>2   ( 0,4% )</v>
      </c>
      <c r="V534" s="123"/>
      <c r="W534" s="357"/>
      <c r="X534" s="340"/>
      <c r="Y534" s="351">
        <f>SUM(Y535:Y536)</f>
        <v>508</v>
      </c>
      <c r="Z534" s="349" t="str">
        <f>ROUND((Y534-T534),2)&amp;"   ( "&amp;(ROUND((Y534-T534)/(IF(T534=0,0.0001,T534)),3)*100)&amp;"% )"</f>
        <v>6   ( 1,2% )</v>
      </c>
      <c r="AA534" s="30"/>
      <c r="AB534" s="357"/>
      <c r="AC534" s="88">
        <f>SUM(AC535:AC536)</f>
        <v>550</v>
      </c>
      <c r="AD534" s="351">
        <f>SUM(AD535:AD536)</f>
        <v>519</v>
      </c>
      <c r="AE534" s="6" t="str">
        <f>ROUND((AD534-Y534),2)&amp;"   ( "&amp;(ROUND((AD534-Y534)/(IF(Y534=0,0.0001,Y534)),3)*100)&amp;"% )"</f>
        <v>11   ( 2,2% )</v>
      </c>
      <c r="AF534" s="30"/>
      <c r="AG534" s="357"/>
      <c r="AH534" s="88">
        <f>SUM(AH535:AH536)</f>
        <v>560</v>
      </c>
      <c r="AI534" s="351">
        <f>SUM(AI535:AI536)</f>
        <v>525</v>
      </c>
      <c r="AJ534" s="6" t="str">
        <f t="shared" si="436"/>
        <v>6   (1,2%)</v>
      </c>
      <c r="AK534" s="30"/>
      <c r="AL534" s="357"/>
      <c r="AM534" s="88"/>
      <c r="AN534" s="351">
        <f>SUM(AN535:AN536)</f>
        <v>526</v>
      </c>
      <c r="AO534" s="35" t="str">
        <f t="shared" si="437"/>
        <v>1   (0,2%)</v>
      </c>
      <c r="AP534" s="30"/>
      <c r="AQ534" s="357"/>
      <c r="AR534" s="88"/>
      <c r="AS534" s="338"/>
      <c r="AT534" s="35" t="str">
        <f t="shared" si="435"/>
        <v>-526   (-100%)</v>
      </c>
      <c r="AU534" s="30"/>
      <c r="AV534" s="357"/>
    </row>
    <row r="535" spans="1:48" s="62" customFormat="1" hidden="1" outlineLevel="2" x14ac:dyDescent="0.3">
      <c r="A535" s="188" t="s">
        <v>484</v>
      </c>
      <c r="B535" s="336"/>
      <c r="C535" s="337"/>
      <c r="D535" s="337"/>
      <c r="E535" s="347" t="str">
        <f>B175</f>
        <v>6340/01483 TaxesOrduresMénag.      (0870)</v>
      </c>
      <c r="F535" s="368">
        <f>F175</f>
        <v>460</v>
      </c>
      <c r="G535" s="368">
        <f>G175</f>
        <v>469</v>
      </c>
      <c r="H535" s="368">
        <f>H175</f>
        <v>477</v>
      </c>
      <c r="I535" s="368">
        <f>I175</f>
        <v>486</v>
      </c>
      <c r="J535" s="368">
        <f>J175</f>
        <v>490</v>
      </c>
      <c r="K535" s="354"/>
      <c r="L535" s="368">
        <f>L175</f>
        <v>495</v>
      </c>
      <c r="M535" s="354"/>
      <c r="N535" s="88"/>
      <c r="O535" s="368">
        <f>O175</f>
        <v>500</v>
      </c>
      <c r="P535" s="354"/>
      <c r="Q535" s="123"/>
      <c r="R535" s="357"/>
      <c r="S535" s="88"/>
      <c r="T535" s="368">
        <f>T175</f>
        <v>502</v>
      </c>
      <c r="U535" s="354"/>
      <c r="V535" s="123"/>
      <c r="W535" s="357"/>
      <c r="X535" s="340"/>
      <c r="Y535" s="368">
        <f>Y175</f>
        <v>508</v>
      </c>
      <c r="Z535" s="354"/>
      <c r="AA535" s="30"/>
      <c r="AB535" s="357"/>
      <c r="AC535" s="88">
        <f>AC175</f>
        <v>550</v>
      </c>
      <c r="AD535" s="368">
        <f>AD175</f>
        <v>519</v>
      </c>
      <c r="AE535" s="90"/>
      <c r="AF535" s="30"/>
      <c r="AG535" s="357"/>
      <c r="AH535" s="88">
        <f>AH175</f>
        <v>560</v>
      </c>
      <c r="AI535" s="368">
        <f>AI175</f>
        <v>525</v>
      </c>
      <c r="AJ535" s="90"/>
      <c r="AK535" s="30"/>
      <c r="AL535" s="357"/>
      <c r="AM535" s="88"/>
      <c r="AN535" s="368">
        <f>AN175</f>
        <v>526</v>
      </c>
      <c r="AO535" s="29"/>
      <c r="AP535" s="30"/>
      <c r="AQ535" s="357"/>
      <c r="AR535" s="88"/>
      <c r="AS535" s="338"/>
      <c r="AT535" s="29"/>
      <c r="AU535" s="30"/>
      <c r="AV535" s="357"/>
    </row>
    <row r="536" spans="1:48" s="62" customFormat="1" hidden="1" outlineLevel="2" x14ac:dyDescent="0.3">
      <c r="A536" s="188" t="s">
        <v>485</v>
      </c>
      <c r="B536" s="336"/>
      <c r="C536" s="337"/>
      <c r="D536" s="337"/>
      <c r="E536" s="347" t="str">
        <f>B174</f>
        <v>6330/01482 TaxesHabitation          (0865)</v>
      </c>
      <c r="F536" s="368">
        <f>F174</f>
        <v>839</v>
      </c>
      <c r="G536" s="368">
        <f>G174</f>
        <v>0</v>
      </c>
      <c r="H536" s="368">
        <f>H174</f>
        <v>0</v>
      </c>
      <c r="I536" s="368">
        <f>I174</f>
        <v>0</v>
      </c>
      <c r="J536" s="368">
        <f>J174</f>
        <v>0</v>
      </c>
      <c r="K536" s="354"/>
      <c r="L536" s="368">
        <f>L174</f>
        <v>0</v>
      </c>
      <c r="M536" s="354"/>
      <c r="N536" s="88"/>
      <c r="O536" s="368">
        <f>O174</f>
        <v>0</v>
      </c>
      <c r="P536" s="354"/>
      <c r="Q536" s="123"/>
      <c r="R536" s="357"/>
      <c r="S536" s="88"/>
      <c r="T536" s="368">
        <f>T174</f>
        <v>0</v>
      </c>
      <c r="U536" s="354"/>
      <c r="V536" s="123"/>
      <c r="W536" s="357"/>
      <c r="X536" s="340"/>
      <c r="Y536" s="368">
        <f>Y174</f>
        <v>0</v>
      </c>
      <c r="Z536" s="354"/>
      <c r="AA536" s="30"/>
      <c r="AB536" s="357"/>
      <c r="AC536" s="88">
        <f>AC174</f>
        <v>0</v>
      </c>
      <c r="AD536" s="368">
        <f>AD174</f>
        <v>0</v>
      </c>
      <c r="AE536" s="90"/>
      <c r="AF536" s="30"/>
      <c r="AG536" s="357"/>
      <c r="AH536" s="88">
        <f>AH174</f>
        <v>0</v>
      </c>
      <c r="AI536" s="368">
        <f>AI174</f>
        <v>0</v>
      </c>
      <c r="AJ536" s="90"/>
      <c r="AK536" s="30"/>
      <c r="AL536" s="357"/>
      <c r="AM536" s="88"/>
      <c r="AN536" s="368">
        <f>AN174</f>
        <v>0</v>
      </c>
      <c r="AO536" s="29"/>
      <c r="AP536" s="30"/>
      <c r="AQ536" s="357"/>
      <c r="AR536" s="88"/>
      <c r="AS536" s="338"/>
      <c r="AT536" s="29"/>
      <c r="AU536" s="30"/>
      <c r="AV536" s="357"/>
    </row>
    <row r="537" spans="1:48" s="62" customFormat="1" collapsed="1" x14ac:dyDescent="0.3">
      <c r="A537" s="342" t="s">
        <v>486</v>
      </c>
      <c r="B537" s="336"/>
      <c r="C537" s="337"/>
      <c r="D537" s="337"/>
      <c r="E537" s="372"/>
      <c r="F537" s="344">
        <f>SUM(F538,F544,F577,F583,)</f>
        <v>134480.12</v>
      </c>
      <c r="G537" s="344">
        <f>SUM(G538,G544,G577,G583,)</f>
        <v>140741.82999999999</v>
      </c>
      <c r="H537" s="344">
        <f>SUM(H538,H544,H577,H583,)</f>
        <v>145819.96</v>
      </c>
      <c r="I537" s="344">
        <f>SUM(I538,I544,I577,I583,)</f>
        <v>106350.5</v>
      </c>
      <c r="J537" s="344">
        <f>SUM(J538,J544,J577,J583,)</f>
        <v>98694.010000000009</v>
      </c>
      <c r="K537" s="345" t="str">
        <f>ROUND((J537-I537),2)&amp;"  ( "&amp;(ROUND((J537-I537)/(IF(I537=0,0.0001,I537)),3)*100)&amp;"% )"</f>
        <v>-7656,49  ( -7,2% )</v>
      </c>
      <c r="L537" s="344">
        <f>SUM(L538,L544,L577,L583,)</f>
        <v>98179.22</v>
      </c>
      <c r="M537" s="345" t="str">
        <f>ROUND((L537-G537),2)&amp;"   ( "&amp;(ROUND((L537-G537)/(IF(G537=0,0.0001,G537)),3)*100)&amp;"% )"</f>
        <v>-42562,61   ( -30,2% )</v>
      </c>
      <c r="N537" s="88"/>
      <c r="O537" s="344">
        <f>SUM(O538,O544,O577,O583,)</f>
        <v>107497.01000000001</v>
      </c>
      <c r="P537" s="345" t="str">
        <f>ROUND((O537-J537),2)&amp;"   ( "&amp;(ROUND((O537-J537)/(IF(J537=0,0.0001,J537)),3)*100)&amp;"% )"</f>
        <v>8803   ( 8,9% )</v>
      </c>
      <c r="Q537" s="123"/>
      <c r="R537" s="346">
        <f>O537/O$640</f>
        <v>0.21454585944512228</v>
      </c>
      <c r="S537" s="88"/>
      <c r="T537" s="344">
        <f>SUM(T538,T544,T577,T583,)</f>
        <v>106940.92</v>
      </c>
      <c r="U537" s="345" t="str">
        <f>ROUND((T537-O537),2)&amp;"   ( "&amp;(ROUND((T537-O537)/(IF(O537=0,0.0001,O537)),3)*100)&amp;"% )"</f>
        <v>-556,09   ( -0,5% )</v>
      </c>
      <c r="V537" s="123"/>
      <c r="W537" s="346">
        <f>T537/T$640</f>
        <v>0.21866111601268937</v>
      </c>
      <c r="X537" s="340"/>
      <c r="Y537" s="344">
        <f>SUM(Y538,Y544,Y577,Y583,)</f>
        <v>108678.66000000002</v>
      </c>
      <c r="Z537" s="345" t="str">
        <f>ROUND((Y537-T537),2)&amp;"   ( "&amp;(ROUND((Y537-T537)/(IF(T537=0,0.0001,T537)),3)*100)&amp;"% )"</f>
        <v>1737,74   ( 1,6% )</v>
      </c>
      <c r="AA537" s="30"/>
      <c r="AB537" s="346">
        <f>Y537/Y$640</f>
        <v>0.21335271932760166</v>
      </c>
      <c r="AC537" s="88">
        <f>SUM(AC538,AC544,AC577,AC583,)</f>
        <v>116650</v>
      </c>
      <c r="AD537" s="344">
        <f>SUM(AD538,AD544,AD577,AD583,)</f>
        <v>106997.79000000002</v>
      </c>
      <c r="AE537" s="6" t="str">
        <f>ROUND((AD537-Y537),2)&amp;"   ( "&amp;(ROUND((AD537-Y537)/(IF(Y537=0,0.0001,Y537)),3)*100)&amp;"% )"</f>
        <v>-1680,87   ( -1,5% )</v>
      </c>
      <c r="AF537" s="30"/>
      <c r="AG537" s="346">
        <f>AD537/AD$640</f>
        <v>0.21247301958892778</v>
      </c>
      <c r="AH537" s="88">
        <f>SUM(AH538,AH544,AH577,AH583,)</f>
        <v>118480</v>
      </c>
      <c r="AI537" s="344">
        <f>SUM(AI538,AI544,AI577,AI583,)</f>
        <v>118233.70999999999</v>
      </c>
      <c r="AJ537" s="6" t="str">
        <f t="shared" ref="AJ537:AJ538" si="438">ROUND(AI537-AD537,2) &amp; "   (" &amp; ROUND(100*(AI537-AD537)/AD537,1) &amp;"%)"</f>
        <v>11235,92   (10,5%)</v>
      </c>
      <c r="AK537" s="30"/>
      <c r="AL537" s="346">
        <f>AI537/AI$640</f>
        <v>0.24536735017408537</v>
      </c>
      <c r="AM537" s="88"/>
      <c r="AN537" s="344">
        <f>SUM(AN538,AN544,AN577,AN583,)</f>
        <v>77359.790000000008</v>
      </c>
      <c r="AO537" s="35" t="str">
        <f t="shared" ref="AO537:AO538" si="439">ROUND(AN537-AI537,2) &amp; "   (" &amp; ROUND(100*(AN537-AI537)/AI537,1) &amp;"%)"</f>
        <v>-40873,92   (-34,6%)</v>
      </c>
      <c r="AP537" s="30"/>
      <c r="AQ537" s="346">
        <f>AN537/AN$640</f>
        <v>0.2085513567197608</v>
      </c>
      <c r="AR537" s="88"/>
      <c r="AS537" s="338"/>
      <c r="AT537" s="35" t="str">
        <f t="shared" ref="AT537:AT538" si="440">ROUND(AS537-AN537,2) &amp; "   (" &amp; ROUND(100*(AS537-AN537)/AN537,1) &amp;"%)"</f>
        <v>-77359,79   (-100%)</v>
      </c>
      <c r="AU537" s="30"/>
      <c r="AV537" s="346" t="e">
        <f>AS537/AS$640</f>
        <v>#DIV/0!</v>
      </c>
    </row>
    <row r="538" spans="1:48" s="62" customFormat="1" hidden="1" outlineLevel="1" collapsed="1" x14ac:dyDescent="0.3">
      <c r="A538" s="199" t="s">
        <v>487</v>
      </c>
      <c r="B538" s="336"/>
      <c r="C538" s="337"/>
      <c r="D538" s="337"/>
      <c r="E538" s="373"/>
      <c r="F538" s="348">
        <f>SUM(F539:F543)</f>
        <v>89503.95</v>
      </c>
      <c r="G538" s="348">
        <f>SUM(G539:G543)</f>
        <v>91665.41</v>
      </c>
      <c r="H538" s="348">
        <f>SUM(H539:H543)</f>
        <v>95498.03</v>
      </c>
      <c r="I538" s="348">
        <f>SUM(I539:I543)</f>
        <v>108519.94</v>
      </c>
      <c r="J538" s="348">
        <f>SUM(J539:J543)</f>
        <v>70127.44</v>
      </c>
      <c r="K538" s="349" t="str">
        <f>ROUND((J538-I538),2)&amp;"  ( "&amp;(ROUND((J538-I538)/(IF(I538=0,0.0001,I538)),3)*100)&amp;"% )"</f>
        <v>-38392,5  ( -35,4% )</v>
      </c>
      <c r="L538" s="348">
        <f>SUM(L539:L543)</f>
        <v>70399.679999999993</v>
      </c>
      <c r="M538" s="349" t="str">
        <f>ROUND((L538-G538),2)&amp;"   ( "&amp;(ROUND((L538-G538)/(IF(G538=0,0.0001,G538)),3)*100)&amp;"% )"</f>
        <v>-21265,73   ( -23,2% )</v>
      </c>
      <c r="N538" s="88"/>
      <c r="O538" s="348">
        <f>SUM(O539:O543)</f>
        <v>76663.850000000006</v>
      </c>
      <c r="P538" s="349" t="str">
        <f>ROUND((O538-J538),2)&amp;"   ( "&amp;(ROUND((O538-J538)/(IF(J538=0,0.0001,J538)),3)*100)&amp;"% )"</f>
        <v>6536,41   ( 9,3% )</v>
      </c>
      <c r="Q538" s="123"/>
      <c r="R538" s="357">
        <f>O538/O$640</f>
        <v>0.15300808447250708</v>
      </c>
      <c r="S538" s="88"/>
      <c r="T538" s="348">
        <f>SUM(T539:T543)</f>
        <v>78083.13</v>
      </c>
      <c r="U538" s="349" t="str">
        <f>ROUND((T538-O538),2)&amp;"   ( "&amp;(ROUND((T538-O538)/(IF(O538=0,0.0001,O538)),3)*100)&amp;"% )"</f>
        <v>1419,28   ( 1,9% )</v>
      </c>
      <c r="V538" s="123"/>
      <c r="W538" s="357">
        <f>T538/T$640</f>
        <v>0.15965585809027927</v>
      </c>
      <c r="X538" s="340"/>
      <c r="Y538" s="348">
        <f>SUM(Y539:Y543)</f>
        <v>72701.73000000001</v>
      </c>
      <c r="Z538" s="349" t="str">
        <f>ROUND((Y538-T538),2)&amp;"   ( "&amp;(ROUND((Y538-T538)/(IF(T538=0,0.0001,T538)),3)*100)&amp;"% )"</f>
        <v>-5381,4   ( -6,9% )</v>
      </c>
      <c r="AA538" s="30"/>
      <c r="AB538" s="357">
        <f>Y538/Y$640</f>
        <v>0.14272454035889914</v>
      </c>
      <c r="AC538" s="88">
        <f>SUM(AC539:AC543)</f>
        <v>80000</v>
      </c>
      <c r="AD538" s="348">
        <f>SUM(AD539:AD543)</f>
        <v>70542.950000000012</v>
      </c>
      <c r="AE538" s="6" t="str">
        <f>ROUND((AD538-Y538),2)&amp;"   ( "&amp;(ROUND((AD538-Y538)/(IF(Y538=0,0.0001,Y538)),3)*100)&amp;"% )"</f>
        <v>-2158,78   ( -3% )</v>
      </c>
      <c r="AF538" s="30"/>
      <c r="AG538" s="357">
        <f>AD538/AD$640</f>
        <v>0.14008208578149839</v>
      </c>
      <c r="AH538" s="88">
        <f>SUM(AH539:AH543)</f>
        <v>81200</v>
      </c>
      <c r="AI538" s="348">
        <f>SUM(AI539:AI543)</f>
        <v>87053.06</v>
      </c>
      <c r="AJ538" s="6" t="str">
        <f t="shared" si="438"/>
        <v>16510,11   (23,4%)</v>
      </c>
      <c r="AK538" s="30"/>
      <c r="AL538" s="357">
        <f>AI538/AI$640</f>
        <v>0.18065895637331914</v>
      </c>
      <c r="AM538" s="88"/>
      <c r="AN538" s="348">
        <f>SUM(AN539:AN543)</f>
        <v>54648.590000000004</v>
      </c>
      <c r="AO538" s="35" t="str">
        <f t="shared" si="439"/>
        <v>-32404,47   (-37,2%)</v>
      </c>
      <c r="AP538" s="30"/>
      <c r="AQ538" s="357">
        <f>AN538/AN$640</f>
        <v>0.14732508435353758</v>
      </c>
      <c r="AR538" s="88"/>
      <c r="AS538" s="338"/>
      <c r="AT538" s="35" t="str">
        <f t="shared" si="440"/>
        <v>-54648,59   (-100%)</v>
      </c>
      <c r="AU538" s="30"/>
      <c r="AV538" s="357" t="e">
        <f>AS538/AS$640</f>
        <v>#DIV/0!</v>
      </c>
    </row>
    <row r="539" spans="1:48" s="62" customFormat="1" hidden="1" outlineLevel="3" x14ac:dyDescent="0.3">
      <c r="A539" s="190" t="s">
        <v>488</v>
      </c>
      <c r="B539" s="336"/>
      <c r="C539" s="337"/>
      <c r="D539" s="337"/>
      <c r="E539" s="347" t="str">
        <f>B111</f>
        <v>6410/00301  Salaires Concierges     (0280)</v>
      </c>
      <c r="F539" s="250">
        <f>F111</f>
        <v>62921.84</v>
      </c>
      <c r="G539" s="250">
        <f>G111</f>
        <v>64179.22</v>
      </c>
      <c r="H539" s="250">
        <f>H111</f>
        <v>66877.440000000002</v>
      </c>
      <c r="I539" s="250">
        <f>I111</f>
        <v>79188.28</v>
      </c>
      <c r="J539" s="250">
        <f>J111</f>
        <v>41665.46</v>
      </c>
      <c r="K539" s="354"/>
      <c r="L539" s="250">
        <f>L111</f>
        <v>0</v>
      </c>
      <c r="M539" s="354"/>
      <c r="N539" s="88"/>
      <c r="O539" s="250">
        <f>O111</f>
        <v>0</v>
      </c>
      <c r="P539" s="354"/>
      <c r="Q539" s="123"/>
      <c r="R539" s="357"/>
      <c r="S539" s="88"/>
      <c r="T539" s="250">
        <f>T111</f>
        <v>0</v>
      </c>
      <c r="U539" s="354"/>
      <c r="V539" s="123"/>
      <c r="W539" s="357"/>
      <c r="X539" s="340"/>
      <c r="Y539" s="250">
        <f>Y111</f>
        <v>0</v>
      </c>
      <c r="Z539" s="354"/>
      <c r="AA539" s="30"/>
      <c r="AB539" s="357"/>
      <c r="AC539" s="88">
        <f>AC111</f>
        <v>0</v>
      </c>
      <c r="AD539" s="250">
        <f>AD111</f>
        <v>0</v>
      </c>
      <c r="AE539" s="90"/>
      <c r="AF539" s="30"/>
      <c r="AG539" s="357"/>
      <c r="AH539" s="88">
        <f>AH111</f>
        <v>0</v>
      </c>
      <c r="AI539" s="250">
        <f>AI111</f>
        <v>0</v>
      </c>
      <c r="AJ539" s="90"/>
      <c r="AK539" s="30"/>
      <c r="AL539" s="357"/>
      <c r="AM539" s="88"/>
      <c r="AN539" s="250">
        <f>AN111</f>
        <v>0</v>
      </c>
      <c r="AO539" s="29"/>
      <c r="AP539" s="30"/>
      <c r="AQ539" s="357"/>
      <c r="AR539" s="88"/>
      <c r="AS539" s="338"/>
      <c r="AT539" s="29"/>
      <c r="AU539" s="30"/>
      <c r="AV539" s="357"/>
    </row>
    <row r="540" spans="1:48" s="62" customFormat="1" hidden="1" outlineLevel="3" x14ac:dyDescent="0.3">
      <c r="A540" s="190" t="s">
        <v>489</v>
      </c>
      <c r="B540" s="336"/>
      <c r="C540" s="337"/>
      <c r="D540" s="337"/>
      <c r="E540" s="347" t="str">
        <f>B152</f>
        <v>6410/01386 Salaires Gardiens           (0660)</v>
      </c>
      <c r="F540" s="250">
        <f>F152</f>
        <v>0</v>
      </c>
      <c r="G540" s="250">
        <f>G152</f>
        <v>0</v>
      </c>
      <c r="H540" s="250">
        <f>H152</f>
        <v>0</v>
      </c>
      <c r="I540" s="250">
        <f>I152</f>
        <v>0</v>
      </c>
      <c r="J540" s="250">
        <f>J152</f>
        <v>0</v>
      </c>
      <c r="K540" s="354"/>
      <c r="L540" s="250">
        <f>L152</f>
        <v>26757.26</v>
      </c>
      <c r="M540" s="354"/>
      <c r="N540" s="88"/>
      <c r="O540" s="250">
        <f>O152</f>
        <v>50497.67</v>
      </c>
      <c r="P540" s="354"/>
      <c r="Q540" s="123"/>
      <c r="R540" s="357">
        <f>O540/O$640</f>
        <v>0.10078481262061305</v>
      </c>
      <c r="S540" s="88"/>
      <c r="T540" s="250">
        <f>T152</f>
        <v>48908.15</v>
      </c>
      <c r="U540" s="354"/>
      <c r="V540" s="123"/>
      <c r="W540" s="357">
        <f>T540/T$640</f>
        <v>0.10000204469080698</v>
      </c>
      <c r="X540" s="340"/>
      <c r="Y540" s="250">
        <f>Y152</f>
        <v>42409.41</v>
      </c>
      <c r="Z540" s="354"/>
      <c r="AA540" s="30"/>
      <c r="AB540" s="357">
        <f>Y540/Y$640</f>
        <v>8.3256114388778654E-2</v>
      </c>
      <c r="AC540" s="88">
        <f>AC152</f>
        <v>50000</v>
      </c>
      <c r="AD540" s="250">
        <f>AD152</f>
        <v>42754.55</v>
      </c>
      <c r="AE540" s="90"/>
      <c r="AF540" s="30"/>
      <c r="AG540" s="357">
        <f>AD540/AD$640</f>
        <v>8.4900710002195276E-2</v>
      </c>
      <c r="AH540" s="88">
        <f>AH152</f>
        <v>50750</v>
      </c>
      <c r="AI540" s="250">
        <f>AI152</f>
        <v>49358.64</v>
      </c>
      <c r="AJ540" s="90"/>
      <c r="AK540" s="30"/>
      <c r="AL540" s="357">
        <f>AI540/AI$640</f>
        <v>0.1024327047252143</v>
      </c>
      <c r="AM540" s="88"/>
      <c r="AN540" s="250">
        <f>AN152</f>
        <v>35244.910000000003</v>
      </c>
      <c r="AO540" s="29"/>
      <c r="AP540" s="30"/>
      <c r="AQ540" s="357">
        <f>AN540/AN$640</f>
        <v>9.5015431116938984E-2</v>
      </c>
      <c r="AR540" s="88"/>
      <c r="AS540" s="338"/>
      <c r="AT540" s="29"/>
      <c r="AU540" s="30"/>
      <c r="AV540" s="357" t="e">
        <f>AS540/AS$640</f>
        <v>#DIV/0!</v>
      </c>
    </row>
    <row r="541" spans="1:48" s="62" customFormat="1" hidden="1" outlineLevel="3" x14ac:dyDescent="0.3">
      <c r="A541" s="190" t="s">
        <v>490</v>
      </c>
      <c r="B541" s="336"/>
      <c r="C541" s="337"/>
      <c r="D541" s="337"/>
      <c r="E541" s="347" t="str">
        <f>B155</f>
        <v>6410/01391 Sal. Gardiens 0%           (0690)</v>
      </c>
      <c r="F541" s="250"/>
      <c r="G541" s="250"/>
      <c r="H541" s="250"/>
      <c r="I541" s="250"/>
      <c r="J541" s="250"/>
      <c r="K541" s="354">
        <f>H155</f>
        <v>0</v>
      </c>
      <c r="L541" s="250"/>
      <c r="M541" s="354">
        <f>J155</f>
        <v>0</v>
      </c>
      <c r="N541" s="88"/>
      <c r="O541" s="250"/>
      <c r="P541" s="354">
        <f>M155</f>
        <v>0</v>
      </c>
      <c r="Q541" s="123"/>
      <c r="R541" s="357"/>
      <c r="S541" s="88"/>
      <c r="T541" s="250"/>
      <c r="U541" s="354"/>
      <c r="V541" s="123"/>
      <c r="W541" s="357"/>
      <c r="X541" s="340"/>
      <c r="Y541" s="250"/>
      <c r="Z541" s="354" t="str">
        <f>W155</f>
        <v/>
      </c>
      <c r="AA541" s="30"/>
      <c r="AB541" s="357"/>
      <c r="AC541" s="88"/>
      <c r="AD541" s="250"/>
      <c r="AE541" s="90" t="str">
        <f>AB155</f>
        <v/>
      </c>
      <c r="AF541" s="30"/>
      <c r="AG541" s="357"/>
      <c r="AH541" s="88"/>
      <c r="AI541" s="250"/>
      <c r="AJ541" s="90"/>
      <c r="AK541" s="30"/>
      <c r="AL541" s="357"/>
      <c r="AM541" s="88"/>
      <c r="AN541" s="250"/>
      <c r="AO541" s="29"/>
      <c r="AP541" s="30"/>
      <c r="AQ541" s="357"/>
      <c r="AR541" s="88"/>
      <c r="AS541" s="338"/>
      <c r="AT541" s="29"/>
      <c r="AU541" s="30"/>
      <c r="AV541" s="357"/>
    </row>
    <row r="542" spans="1:48" s="62" customFormat="1" hidden="1" outlineLevel="3" x14ac:dyDescent="0.3">
      <c r="A542" s="190" t="s">
        <v>491</v>
      </c>
      <c r="B542" s="336"/>
      <c r="C542" s="337"/>
      <c r="D542" s="337"/>
      <c r="E542" s="347" t="str">
        <f>B155</f>
        <v>6410/01391 Sal. Gardiens 0%           (0690)</v>
      </c>
      <c r="F542" s="250">
        <f>F155</f>
        <v>0</v>
      </c>
      <c r="G542" s="250">
        <f>G155</f>
        <v>0</v>
      </c>
      <c r="H542" s="250">
        <f>H155</f>
        <v>0</v>
      </c>
      <c r="I542" s="250">
        <f>I155</f>
        <v>0</v>
      </c>
      <c r="J542" s="250">
        <f>J155</f>
        <v>0</v>
      </c>
      <c r="K542" s="354">
        <f>H155</f>
        <v>0</v>
      </c>
      <c r="L542" s="250">
        <f>L155</f>
        <v>15098.55</v>
      </c>
      <c r="M542" s="354">
        <f>J155</f>
        <v>0</v>
      </c>
      <c r="N542" s="88"/>
      <c r="O542" s="250">
        <f>O155</f>
        <v>0</v>
      </c>
      <c r="P542" s="354">
        <f>M155</f>
        <v>0</v>
      </c>
      <c r="Q542" s="123"/>
      <c r="R542" s="357"/>
      <c r="S542" s="88"/>
      <c r="T542" s="250">
        <f>T155</f>
        <v>0</v>
      </c>
      <c r="U542" s="354"/>
      <c r="V542" s="123"/>
      <c r="W542" s="357"/>
      <c r="X542" s="340"/>
      <c r="Y542" s="250">
        <f>Y155</f>
        <v>0</v>
      </c>
      <c r="Z542" s="354" t="str">
        <f>W155</f>
        <v/>
      </c>
      <c r="AA542" s="30"/>
      <c r="AB542" s="357"/>
      <c r="AC542" s="88">
        <f>AC155</f>
        <v>0</v>
      </c>
      <c r="AD542" s="250">
        <f>AD155</f>
        <v>0</v>
      </c>
      <c r="AE542" s="90" t="str">
        <f>AB155</f>
        <v/>
      </c>
      <c r="AF542" s="30"/>
      <c r="AG542" s="357"/>
      <c r="AH542" s="88">
        <f>AH155</f>
        <v>0</v>
      </c>
      <c r="AI542" s="250">
        <f>AI155</f>
        <v>0</v>
      </c>
      <c r="AJ542" s="90"/>
      <c r="AK542" s="30"/>
      <c r="AL542" s="357"/>
      <c r="AM542" s="88"/>
      <c r="AN542" s="250">
        <f>AN155</f>
        <v>0</v>
      </c>
      <c r="AO542" s="29"/>
      <c r="AP542" s="30"/>
      <c r="AQ542" s="357"/>
      <c r="AR542" s="88"/>
      <c r="AS542" s="338"/>
      <c r="AT542" s="29"/>
      <c r="AU542" s="30"/>
      <c r="AV542" s="357"/>
    </row>
    <row r="543" spans="1:48" s="62" customFormat="1" hidden="1" outlineLevel="3" x14ac:dyDescent="0.3">
      <c r="A543" s="190" t="s">
        <v>492</v>
      </c>
      <c r="B543" s="336"/>
      <c r="C543" s="337"/>
      <c r="D543" s="337"/>
      <c r="E543" s="347" t="str">
        <f xml:space="preserve"> B121</f>
        <v>6410/00321 Salaires Pers.Entretien    (0380)</v>
      </c>
      <c r="F543" s="250">
        <f xml:space="preserve"> F121</f>
        <v>26582.11</v>
      </c>
      <c r="G543" s="250">
        <f xml:space="preserve"> G121</f>
        <v>27486.19</v>
      </c>
      <c r="H543" s="250">
        <f xml:space="preserve"> H121</f>
        <v>28620.59</v>
      </c>
      <c r="I543" s="250">
        <f xml:space="preserve"> I121</f>
        <v>29331.66</v>
      </c>
      <c r="J543" s="250">
        <f xml:space="preserve"> J121</f>
        <v>28461.98</v>
      </c>
      <c r="K543" s="354"/>
      <c r="L543" s="250">
        <f xml:space="preserve"> L121</f>
        <v>28543.87</v>
      </c>
      <c r="M543" s="354"/>
      <c r="N543" s="88"/>
      <c r="O543" s="250">
        <f xml:space="preserve"> O121</f>
        <v>26166.18</v>
      </c>
      <c r="P543" s="354"/>
      <c r="Q543" s="123"/>
      <c r="R543" s="357">
        <f>O543/O$640</f>
        <v>5.2223271851894015E-2</v>
      </c>
      <c r="S543" s="88"/>
      <c r="T543" s="250">
        <f xml:space="preserve"> T121</f>
        <v>29174.98</v>
      </c>
      <c r="U543" s="354"/>
      <c r="V543" s="123"/>
      <c r="W543" s="357">
        <f>T543/T$640</f>
        <v>5.9653813399472275E-2</v>
      </c>
      <c r="X543" s="340"/>
      <c r="Y543" s="250">
        <f xml:space="preserve"> Y121</f>
        <v>30292.32</v>
      </c>
      <c r="Z543" s="354"/>
      <c r="AA543" s="30"/>
      <c r="AB543" s="357">
        <f>Y543/Y$640</f>
        <v>5.9468425970120475E-2</v>
      </c>
      <c r="AC543" s="88">
        <f xml:space="preserve"> AC121</f>
        <v>30000</v>
      </c>
      <c r="AD543" s="250">
        <f xml:space="preserve"> AD121</f>
        <v>27788.400000000001</v>
      </c>
      <c r="AE543" s="90"/>
      <c r="AF543" s="30"/>
      <c r="AG543" s="357">
        <f>AD543/AD$640</f>
        <v>5.5181375779303099E-2</v>
      </c>
      <c r="AH543" s="88">
        <f xml:space="preserve"> AH121</f>
        <v>30450</v>
      </c>
      <c r="AI543" s="250">
        <f xml:space="preserve"> AI121</f>
        <v>37694.42</v>
      </c>
      <c r="AJ543" s="90"/>
      <c r="AK543" s="30"/>
      <c r="AL543" s="357">
        <f>AI543/AI$640</f>
        <v>7.8226251648104816E-2</v>
      </c>
      <c r="AM543" s="88"/>
      <c r="AN543" s="250">
        <f xml:space="preserve"> AN121</f>
        <v>19403.68</v>
      </c>
      <c r="AO543" s="29"/>
      <c r="AP543" s="30"/>
      <c r="AQ543" s="357">
        <f>AN543/AN$640</f>
        <v>5.2309653236598599E-2</v>
      </c>
      <c r="AR543" s="88"/>
      <c r="AS543" s="338"/>
      <c r="AT543" s="29"/>
      <c r="AU543" s="30"/>
      <c r="AV543" s="357" t="e">
        <f>AS543/AS$640</f>
        <v>#DIV/0!</v>
      </c>
    </row>
    <row r="544" spans="1:48" s="62" customFormat="1" hidden="1" outlineLevel="1" collapsed="1" x14ac:dyDescent="0.3">
      <c r="A544" s="199" t="s">
        <v>493</v>
      </c>
      <c r="B544" s="336"/>
      <c r="C544" s="337"/>
      <c r="D544" s="337"/>
      <c r="E544" s="373"/>
      <c r="F544" s="348">
        <f>SUM(F545,F551,F557,F563,F569,F574,)</f>
        <v>35092.520000000004</v>
      </c>
      <c r="G544" s="348">
        <f>SUM(G545,G551,G557,G563,G569,G574,)</f>
        <v>38203.699999999997</v>
      </c>
      <c r="H544" s="348">
        <f>SUM(H545,H551,H557,H563,H569,H574,)</f>
        <v>40637.630000000005</v>
      </c>
      <c r="I544" s="348">
        <f>SUM(I545,I551,I557,I563,I569,I574,)</f>
        <v>-12554.080000000002</v>
      </c>
      <c r="J544" s="348">
        <f>SUM(J545,J551,J557,J563,J569,J574,)</f>
        <v>21996.52</v>
      </c>
      <c r="K544" s="349" t="str">
        <f>ROUND((J544-I544),2)&amp;"  ( "&amp;(ROUND((J544-I544)/(IF(I544=0,0.0001,I544)),3)*100)&amp;"% )"</f>
        <v>34550,6  ( -275,2% )</v>
      </c>
      <c r="L544" s="348">
        <f>SUM(L545,L551,L557,L563,L569,L574,)</f>
        <v>21979.129999999997</v>
      </c>
      <c r="M544" s="349" t="str">
        <f>ROUND((L544-G544),2)&amp;"   ( "&amp;(ROUND((L544-G544)/(IF(G544=0,0.0001,G544)),3)*100)&amp;"% )"</f>
        <v>-16224,57   ( -42,5% )</v>
      </c>
      <c r="N544" s="88"/>
      <c r="O544" s="348">
        <f>SUM(O545,O551,O557,O563,O569,O574,)</f>
        <v>23678.799999999999</v>
      </c>
      <c r="P544" s="349" t="str">
        <f>ROUND((O544-J544),2)&amp;"   ( "&amp;(ROUND((O544-J544)/(IF(J544=0,0.0001,J544)),3)*100)&amp;"% )"</f>
        <v>1682,28   ( 7,6% )</v>
      </c>
      <c r="Q544" s="123"/>
      <c r="R544" s="357">
        <f>O544/O$640</f>
        <v>4.725888186684598E-2</v>
      </c>
      <c r="S544" s="88"/>
      <c r="T544" s="348">
        <f>SUM(T545,T551,T557,T563,T569,T574,)</f>
        <v>24805.9</v>
      </c>
      <c r="U544" s="349" t="str">
        <f>ROUND((T544-O544),2)&amp;"   ( "&amp;(ROUND((T544-O544)/(IF(O544=0,0.0001,O544)),3)*100)&amp;"% )"</f>
        <v>1127,1   ( 4,8% )</v>
      </c>
      <c r="V544" s="123"/>
      <c r="W544" s="357">
        <f>T544/T$640</f>
        <v>5.072039568856497E-2</v>
      </c>
      <c r="X544" s="340"/>
      <c r="Y544" s="348">
        <f>SUM(Y545,Y551,Y557,Y563,Y569,Y574,)</f>
        <v>22809.49</v>
      </c>
      <c r="Z544" s="349" t="str">
        <f>ROUND((Y544-T544),2)&amp;"   ( "&amp;(ROUND((Y544-T544)/(IF(T544=0,0.0001,T544)),3)*100)&amp;"% )"</f>
        <v>-1996,41   ( -8% )</v>
      </c>
      <c r="AA544" s="30"/>
      <c r="AB544" s="357">
        <f>Y544/Y$640</f>
        <v>4.4778493937777081E-2</v>
      </c>
      <c r="AC544" s="88">
        <f>SUM(AC545,AC551,AC557,AC563,AC569,AC574,)</f>
        <v>27970</v>
      </c>
      <c r="AD544" s="348">
        <f>SUM(AD545,AD551,AD557,AD563,AD569,AD574,)</f>
        <v>18601.850000000002</v>
      </c>
      <c r="AE544" s="6" t="str">
        <f>ROUND((AD544-Y544),2)&amp;"   ( "&amp;(ROUND((AD544-Y544)/(IF(Y544=0,0.0001,Y544)),3)*100)&amp;"% )"</f>
        <v>-4207,64   ( -18,4% )</v>
      </c>
      <c r="AF544" s="30"/>
      <c r="AG544" s="357">
        <f>AD544/AD$640</f>
        <v>3.6938998828296321E-2</v>
      </c>
      <c r="AH544" s="88">
        <f>SUM(AH545,AH551,AH557,AH563,AH569,AH574,)</f>
        <v>28430</v>
      </c>
      <c r="AI544" s="348">
        <f>SUM(AI545,AI551,AI557,AI563,AI569,AI574,)</f>
        <v>21584.83</v>
      </c>
      <c r="AJ544" s="6" t="str">
        <f t="shared" ref="AJ544" si="441">ROUND(AI544-AD544,2) &amp; "   (" &amp; ROUND(100*(AI544-AD544)/AD544,1) &amp;"%)"</f>
        <v>2982,98   (16%)</v>
      </c>
      <c r="AK544" s="30"/>
      <c r="AL544" s="357">
        <f>AI544/AI$640</f>
        <v>4.4794437568254471E-2</v>
      </c>
      <c r="AM544" s="88"/>
      <c r="AN544" s="348">
        <f>SUM(AN545,AN551,AN557,AN563,AN569,AN574,)</f>
        <v>12065.43</v>
      </c>
      <c r="AO544" s="35" t="str">
        <f t="shared" ref="AO544" si="442">ROUND(AN544-AI544,2) &amp; "   (" &amp; ROUND(100*(AN544-AI544)/AI544,1) &amp;"%)"</f>
        <v>-9519,4   (-44,1%)</v>
      </c>
      <c r="AP544" s="30"/>
      <c r="AQ544" s="357">
        <f>AN544/AN$640</f>
        <v>3.2526740260118384E-2</v>
      </c>
      <c r="AR544" s="88"/>
      <c r="AS544" s="338"/>
      <c r="AT544" s="35" t="str">
        <f t="shared" ref="AT544" si="443">ROUND(AS544-AN544,2) &amp; "   (" &amp; ROUND(100*(AS544-AN544)/AN544,1) &amp;"%)"</f>
        <v>-12065,43   (-100%)</v>
      </c>
      <c r="AU544" s="30"/>
      <c r="AV544" s="357" t="e">
        <f>AS544/AS$640</f>
        <v>#DIV/0!</v>
      </c>
    </row>
    <row r="545" spans="1:48" s="62" customFormat="1" hidden="1" outlineLevel="2" collapsed="1" x14ac:dyDescent="0.3">
      <c r="A545" s="188" t="s">
        <v>494</v>
      </c>
      <c r="B545" s="336"/>
      <c r="C545" s="337"/>
      <c r="D545" s="337"/>
      <c r="E545" s="337"/>
      <c r="F545" s="362">
        <f>SUM(F546:F550)</f>
        <v>904.31</v>
      </c>
      <c r="G545" s="362">
        <f>SUM(G546:G550)</f>
        <v>933.35</v>
      </c>
      <c r="H545" s="362">
        <f>SUM(H546:H550)</f>
        <v>974.8</v>
      </c>
      <c r="I545" s="362">
        <f>SUM(I546:I550)</f>
        <v>1105.76</v>
      </c>
      <c r="J545" s="362">
        <f>SUM(J546:J550)</f>
        <v>716</v>
      </c>
      <c r="K545" s="376"/>
      <c r="L545" s="362">
        <f>SUM(L546:L550)</f>
        <v>161.75</v>
      </c>
      <c r="M545" s="376"/>
      <c r="N545" s="88"/>
      <c r="O545" s="362">
        <f>SUM(O546:O550)</f>
        <v>0</v>
      </c>
      <c r="P545" s="376"/>
      <c r="Q545" s="123"/>
      <c r="R545" s="357"/>
      <c r="S545" s="88"/>
      <c r="T545" s="362">
        <f>SUM(T546:T550)</f>
        <v>0</v>
      </c>
      <c r="U545" s="376"/>
      <c r="V545" s="123"/>
      <c r="W545" s="357"/>
      <c r="X545" s="340"/>
      <c r="Y545" s="362">
        <f>SUM(Y546:Y550)</f>
        <v>0</v>
      </c>
      <c r="Z545" s="376"/>
      <c r="AA545" s="30"/>
      <c r="AB545" s="357"/>
      <c r="AC545" s="88">
        <f>SUM(AC546:AC550)</f>
        <v>680</v>
      </c>
      <c r="AD545" s="362">
        <f>SUM(AD546:AD550)</f>
        <v>0</v>
      </c>
      <c r="AE545" s="90"/>
      <c r="AF545" s="30"/>
      <c r="AG545" s="357"/>
      <c r="AH545" s="88">
        <f>SUM(AH546:AH550)</f>
        <v>700</v>
      </c>
      <c r="AI545" s="362">
        <f>SUM(AI546:AI550)</f>
        <v>0</v>
      </c>
      <c r="AJ545" s="90"/>
      <c r="AK545" s="30"/>
      <c r="AL545" s="357"/>
      <c r="AM545" s="88"/>
      <c r="AN545" s="362">
        <f>SUM(AN546:AN550)</f>
        <v>0</v>
      </c>
      <c r="AO545" s="29"/>
      <c r="AP545" s="30"/>
      <c r="AQ545" s="357"/>
      <c r="AR545" s="88"/>
      <c r="AS545" s="338"/>
      <c r="AT545" s="29"/>
      <c r="AU545" s="30"/>
      <c r="AV545" s="357"/>
    </row>
    <row r="546" spans="1:48" s="62" customFormat="1" hidden="1" outlineLevel="3" x14ac:dyDescent="0.3">
      <c r="A546" s="190" t="s">
        <v>495</v>
      </c>
      <c r="B546" s="336"/>
      <c r="C546" s="337"/>
      <c r="D546" s="337"/>
      <c r="E546" s="347" t="str">
        <f xml:space="preserve"> B120</f>
        <v>6410/01315  CRI Prévoyance   C      (0370)</v>
      </c>
      <c r="F546" s="250">
        <f xml:space="preserve"> F120</f>
        <v>0</v>
      </c>
      <c r="G546" s="250">
        <f xml:space="preserve"> G120</f>
        <v>658.21</v>
      </c>
      <c r="H546" s="250">
        <f xml:space="preserve"> H120</f>
        <v>693.6</v>
      </c>
      <c r="I546" s="250">
        <f xml:space="preserve"> I120</f>
        <v>816.44</v>
      </c>
      <c r="J546" s="250">
        <f xml:space="preserve"> J120</f>
        <v>433</v>
      </c>
      <c r="K546" s="354">
        <f xml:space="preserve"> H120</f>
        <v>693.6</v>
      </c>
      <c r="L546" s="250">
        <f xml:space="preserve"> L120</f>
        <v>0</v>
      </c>
      <c r="M546" s="354">
        <f xml:space="preserve"> J120</f>
        <v>433</v>
      </c>
      <c r="N546" s="88"/>
      <c r="O546" s="250">
        <f xml:space="preserve"> O120</f>
        <v>0</v>
      </c>
      <c r="P546" s="354">
        <f xml:space="preserve"> M120</f>
        <v>0</v>
      </c>
      <c r="Q546" s="123"/>
      <c r="R546" s="357"/>
      <c r="S546" s="88"/>
      <c r="T546" s="250">
        <f xml:space="preserve"> T120</f>
        <v>0</v>
      </c>
      <c r="U546" s="354">
        <f xml:space="preserve"> P120</f>
        <v>0</v>
      </c>
      <c r="V546" s="123"/>
      <c r="W546" s="357"/>
      <c r="X546" s="340"/>
      <c r="Y546" s="250">
        <f xml:space="preserve"> Y120</f>
        <v>0</v>
      </c>
      <c r="Z546" s="354" t="str">
        <f xml:space="preserve"> W120</f>
        <v/>
      </c>
      <c r="AA546" s="30"/>
      <c r="AB546" s="357"/>
      <c r="AC546" s="88">
        <f xml:space="preserve"> AC120</f>
        <v>570</v>
      </c>
      <c r="AD546" s="250">
        <f xml:space="preserve"> AD120</f>
        <v>0</v>
      </c>
      <c r="AE546" s="90" t="str">
        <f xml:space="preserve"> AB120</f>
        <v/>
      </c>
      <c r="AF546" s="30"/>
      <c r="AG546" s="357"/>
      <c r="AH546" s="88">
        <f xml:space="preserve"> AH120</f>
        <v>580</v>
      </c>
      <c r="AI546" s="250">
        <f xml:space="preserve"> AI120</f>
        <v>0</v>
      </c>
      <c r="AJ546" s="90"/>
      <c r="AK546" s="30"/>
      <c r="AL546" s="357"/>
      <c r="AM546" s="88"/>
      <c r="AN546" s="250">
        <f xml:space="preserve"> AN120</f>
        <v>0</v>
      </c>
      <c r="AO546" s="29"/>
      <c r="AP546" s="30"/>
      <c r="AQ546" s="357"/>
      <c r="AR546" s="88"/>
      <c r="AS546" s="338"/>
      <c r="AT546" s="29"/>
      <c r="AU546" s="30"/>
      <c r="AV546" s="357"/>
    </row>
    <row r="547" spans="1:48" s="62" customFormat="1" hidden="1" outlineLevel="3" x14ac:dyDescent="0.3">
      <c r="A547" s="190" t="s">
        <v>496</v>
      </c>
      <c r="B547" s="336"/>
      <c r="C547" s="337"/>
      <c r="D547" s="337"/>
      <c r="E547" s="347"/>
      <c r="F547" s="250"/>
      <c r="G547" s="250"/>
      <c r="H547" s="250"/>
      <c r="I547" s="250"/>
      <c r="J547" s="250"/>
      <c r="K547" s="354"/>
      <c r="L547" s="250"/>
      <c r="M547" s="354"/>
      <c r="N547" s="88"/>
      <c r="O547" s="250"/>
      <c r="P547" s="354"/>
      <c r="Q547" s="123"/>
      <c r="R547" s="357"/>
      <c r="S547" s="88"/>
      <c r="T547" s="250"/>
      <c r="U547" s="354"/>
      <c r="V547" s="123"/>
      <c r="W547" s="357"/>
      <c r="X547" s="340"/>
      <c r="Y547" s="250"/>
      <c r="Z547" s="354"/>
      <c r="AA547" s="30"/>
      <c r="AB547" s="357"/>
      <c r="AC547" s="88"/>
      <c r="AD547" s="250"/>
      <c r="AE547" s="90"/>
      <c r="AF547" s="30"/>
      <c r="AG547" s="357"/>
      <c r="AH547" s="88"/>
      <c r="AI547" s="250"/>
      <c r="AJ547" s="90"/>
      <c r="AK547" s="30"/>
      <c r="AL547" s="357"/>
      <c r="AM547" s="88"/>
      <c r="AN547" s="250"/>
      <c r="AO547" s="29"/>
      <c r="AP547" s="30"/>
      <c r="AQ547" s="357"/>
      <c r="AR547" s="88"/>
      <c r="AS547" s="338"/>
      <c r="AT547" s="29"/>
      <c r="AU547" s="30"/>
      <c r="AV547" s="357"/>
    </row>
    <row r="548" spans="1:48" s="62" customFormat="1" hidden="1" outlineLevel="3" x14ac:dyDescent="0.3">
      <c r="A548" s="190" t="s">
        <v>497</v>
      </c>
      <c r="B548" s="336"/>
      <c r="C548" s="337"/>
      <c r="D548" s="337"/>
      <c r="E548" s="374" t="str">
        <f xml:space="preserve"> B144</f>
        <v>6420/01374 Cotis.Prévoy. Gard.40%   (0590)</v>
      </c>
      <c r="F548" s="250">
        <f>F144</f>
        <v>0</v>
      </c>
      <c r="G548" s="250">
        <f>G144</f>
        <v>0</v>
      </c>
      <c r="H548" s="250">
        <f>H144</f>
        <v>0</v>
      </c>
      <c r="I548" s="250">
        <f>I144</f>
        <v>0</v>
      </c>
      <c r="J548" s="250">
        <f>J144</f>
        <v>0</v>
      </c>
      <c r="K548" s="354"/>
      <c r="L548" s="250">
        <f>L144</f>
        <v>98.27</v>
      </c>
      <c r="M548" s="354"/>
      <c r="N548" s="88"/>
      <c r="O548" s="250">
        <f>O144</f>
        <v>0</v>
      </c>
      <c r="P548" s="354"/>
      <c r="Q548" s="123"/>
      <c r="R548" s="357"/>
      <c r="S548" s="88"/>
      <c r="T548" s="250">
        <f>T144</f>
        <v>0</v>
      </c>
      <c r="U548" s="354"/>
      <c r="V548" s="123"/>
      <c r="W548" s="357"/>
      <c r="X548" s="340"/>
      <c r="Y548" s="250">
        <f>Y144</f>
        <v>0</v>
      </c>
      <c r="Z548" s="354"/>
      <c r="AA548" s="30"/>
      <c r="AB548" s="357"/>
      <c r="AC548" s="88">
        <f>AC144</f>
        <v>110</v>
      </c>
      <c r="AD548" s="250">
        <f>AD144</f>
        <v>0</v>
      </c>
      <c r="AE548" s="90"/>
      <c r="AF548" s="30"/>
      <c r="AG548" s="357"/>
      <c r="AH548" s="88">
        <f>AH144</f>
        <v>120</v>
      </c>
      <c r="AI548" s="250">
        <f>AI144</f>
        <v>0</v>
      </c>
      <c r="AJ548" s="90"/>
      <c r="AK548" s="30"/>
      <c r="AL548" s="357"/>
      <c r="AM548" s="88"/>
      <c r="AN548" s="250">
        <f>AN144</f>
        <v>0</v>
      </c>
      <c r="AO548" s="29"/>
      <c r="AP548" s="30"/>
      <c r="AQ548" s="357"/>
      <c r="AR548" s="88"/>
      <c r="AS548" s="338"/>
      <c r="AT548" s="29"/>
      <c r="AU548" s="30"/>
      <c r="AV548" s="357"/>
    </row>
    <row r="549" spans="1:48" s="62" customFormat="1" hidden="1" outlineLevel="3" x14ac:dyDescent="0.3">
      <c r="A549" s="190" t="s">
        <v>498</v>
      </c>
      <c r="B549" s="336"/>
      <c r="C549" s="337"/>
      <c r="D549" s="337"/>
      <c r="E549" s="347" t="str">
        <f>B158</f>
        <v>6420/01394 Cotis. Prévoy.Gard 0%    (0720)</v>
      </c>
      <c r="F549" s="250">
        <f>F158</f>
        <v>0</v>
      </c>
      <c r="G549" s="250">
        <f>G158</f>
        <v>0</v>
      </c>
      <c r="H549" s="250">
        <f>H158</f>
        <v>0</v>
      </c>
      <c r="I549" s="250">
        <f>I158</f>
        <v>0</v>
      </c>
      <c r="J549" s="250">
        <f>J158</f>
        <v>0</v>
      </c>
      <c r="K549" s="354">
        <f>H158</f>
        <v>0</v>
      </c>
      <c r="L549" s="250">
        <f>L158</f>
        <v>63.48</v>
      </c>
      <c r="M549" s="354">
        <f>J158</f>
        <v>0</v>
      </c>
      <c r="N549" s="88"/>
      <c r="O549" s="250">
        <f>O158</f>
        <v>0</v>
      </c>
      <c r="P549" s="354">
        <f>M158</f>
        <v>0</v>
      </c>
      <c r="Q549" s="123"/>
      <c r="R549" s="357"/>
      <c r="S549" s="88"/>
      <c r="T549" s="250">
        <f>T158</f>
        <v>0</v>
      </c>
      <c r="U549" s="354">
        <f>P158</f>
        <v>0</v>
      </c>
      <c r="V549" s="123"/>
      <c r="W549" s="357"/>
      <c r="X549" s="340"/>
      <c r="Y549" s="250">
        <f>Y158</f>
        <v>0</v>
      </c>
      <c r="Z549" s="354" t="str">
        <f>W158</f>
        <v/>
      </c>
      <c r="AA549" s="30"/>
      <c r="AB549" s="357"/>
      <c r="AC549" s="88">
        <f>AC158</f>
        <v>0</v>
      </c>
      <c r="AD549" s="250">
        <f>AD158</f>
        <v>0</v>
      </c>
      <c r="AE549" s="90" t="str">
        <f>AB158</f>
        <v/>
      </c>
      <c r="AF549" s="30"/>
      <c r="AG549" s="357"/>
      <c r="AH549" s="88">
        <f>AH158</f>
        <v>0</v>
      </c>
      <c r="AI549" s="250">
        <f>AI158</f>
        <v>0</v>
      </c>
      <c r="AJ549" s="90"/>
      <c r="AK549" s="30"/>
      <c r="AL549" s="357"/>
      <c r="AM549" s="88"/>
      <c r="AN549" s="250">
        <f>AN158</f>
        <v>0</v>
      </c>
      <c r="AO549" s="29"/>
      <c r="AP549" s="30"/>
      <c r="AQ549" s="357"/>
      <c r="AR549" s="88"/>
      <c r="AS549" s="338"/>
      <c r="AT549" s="29"/>
      <c r="AU549" s="30"/>
      <c r="AV549" s="357"/>
    </row>
    <row r="550" spans="1:48" s="62" customFormat="1" hidden="1" outlineLevel="3" x14ac:dyDescent="0.3">
      <c r="A550" s="190" t="s">
        <v>499</v>
      </c>
      <c r="B550" s="336"/>
      <c r="C550" s="337"/>
      <c r="D550" s="337"/>
      <c r="E550" s="347" t="str">
        <f>B126</f>
        <v>6420/00326 CRIP PrévoyancePers.Ent. (0430)</v>
      </c>
      <c r="F550" s="250">
        <f>F126</f>
        <v>904.31</v>
      </c>
      <c r="G550" s="250">
        <f>G126</f>
        <v>275.14</v>
      </c>
      <c r="H550" s="250">
        <f>H126</f>
        <v>281.2</v>
      </c>
      <c r="I550" s="250">
        <f>I126</f>
        <v>289.32</v>
      </c>
      <c r="J550" s="250">
        <f>J126</f>
        <v>283</v>
      </c>
      <c r="K550" s="354">
        <f>H126</f>
        <v>281.2</v>
      </c>
      <c r="L550" s="250">
        <f>L126</f>
        <v>0</v>
      </c>
      <c r="M550" s="354">
        <f>J126</f>
        <v>283</v>
      </c>
      <c r="N550" s="88"/>
      <c r="O550" s="250">
        <f>O126</f>
        <v>0</v>
      </c>
      <c r="P550" s="354">
        <f>M126</f>
        <v>0</v>
      </c>
      <c r="Q550" s="123"/>
      <c r="R550" s="357"/>
      <c r="S550" s="88"/>
      <c r="T550" s="250">
        <f>T126</f>
        <v>0</v>
      </c>
      <c r="U550" s="354">
        <f>P126</f>
        <v>0</v>
      </c>
      <c r="V550" s="123"/>
      <c r="W550" s="357"/>
      <c r="X550" s="340"/>
      <c r="Y550" s="250">
        <f>Y126</f>
        <v>0</v>
      </c>
      <c r="Z550" s="354" t="str">
        <f>W126</f>
        <v/>
      </c>
      <c r="AA550" s="30"/>
      <c r="AB550" s="357"/>
      <c r="AC550" s="88">
        <f>AC126</f>
        <v>0</v>
      </c>
      <c r="AD550" s="250">
        <f>AD126</f>
        <v>0</v>
      </c>
      <c r="AE550" s="90" t="str">
        <f>AB126</f>
        <v/>
      </c>
      <c r="AF550" s="30"/>
      <c r="AG550" s="357"/>
      <c r="AH550" s="88">
        <f>AH126</f>
        <v>0</v>
      </c>
      <c r="AI550" s="250">
        <f>AI126</f>
        <v>0</v>
      </c>
      <c r="AJ550" s="90"/>
      <c r="AK550" s="30"/>
      <c r="AL550" s="357"/>
      <c r="AM550" s="88"/>
      <c r="AN550" s="250">
        <f>AN126</f>
        <v>0</v>
      </c>
      <c r="AO550" s="29"/>
      <c r="AP550" s="30"/>
      <c r="AQ550" s="357"/>
      <c r="AR550" s="88"/>
      <c r="AS550" s="338"/>
      <c r="AT550" s="29"/>
      <c r="AU550" s="30"/>
      <c r="AV550" s="357"/>
    </row>
    <row r="551" spans="1:48" s="62" customFormat="1" hidden="1" outlineLevel="2" collapsed="1" x14ac:dyDescent="0.3">
      <c r="A551" s="188" t="s">
        <v>500</v>
      </c>
      <c r="B551" s="336"/>
      <c r="C551" s="337"/>
      <c r="D551" s="337"/>
      <c r="E551" s="337"/>
      <c r="F551" s="362">
        <f>SUM(F552:F556)</f>
        <v>24294.74</v>
      </c>
      <c r="G551" s="362">
        <f>SUM(G552:G556)</f>
        <v>30747.360000000001</v>
      </c>
      <c r="H551" s="362">
        <f>SUM(H552:H556)</f>
        <v>32976.910000000003</v>
      </c>
      <c r="I551" s="362">
        <f>SUM(I552:I556)</f>
        <v>30860.99</v>
      </c>
      <c r="J551" s="362">
        <f>SUM(J552:J556)</f>
        <v>16485.560000000001</v>
      </c>
      <c r="K551" s="376"/>
      <c r="L551" s="362">
        <f>SUM(L552:L556)</f>
        <v>17100.559999999998</v>
      </c>
      <c r="M551" s="376"/>
      <c r="N551" s="88"/>
      <c r="O551" s="362">
        <f>SUM(O552:O556)</f>
        <v>18395.23</v>
      </c>
      <c r="P551" s="376"/>
      <c r="Q551" s="123"/>
      <c r="R551" s="357"/>
      <c r="S551" s="88"/>
      <c r="T551" s="362">
        <f>SUM(T552:T556)</f>
        <v>19168.22</v>
      </c>
      <c r="U551" s="376"/>
      <c r="V551" s="123"/>
      <c r="W551" s="357"/>
      <c r="X551" s="340"/>
      <c r="Y551" s="362">
        <f>SUM(Y552:Y556)</f>
        <v>17863.09</v>
      </c>
      <c r="Z551" s="376"/>
      <c r="AA551" s="30"/>
      <c r="AB551" s="357"/>
      <c r="AC551" s="88">
        <f>SUM(AC552:AC556)</f>
        <v>19500</v>
      </c>
      <c r="AD551" s="362">
        <f>SUM(AD552:AD556)</f>
        <v>14904.11</v>
      </c>
      <c r="AE551" s="90"/>
      <c r="AF551" s="30"/>
      <c r="AG551" s="357"/>
      <c r="AH551" s="88">
        <f>SUM(AH552:AH556)</f>
        <v>19800</v>
      </c>
      <c r="AI551" s="362">
        <f>SUM(AI552:AI556)</f>
        <v>17160.63</v>
      </c>
      <c r="AJ551" s="90"/>
      <c r="AK551" s="30"/>
      <c r="AL551" s="357"/>
      <c r="AM551" s="88"/>
      <c r="AN551" s="362">
        <f>SUM(AN552:AN556)</f>
        <v>9679.24</v>
      </c>
      <c r="AO551" s="29"/>
      <c r="AP551" s="30"/>
      <c r="AQ551" s="357"/>
      <c r="AR551" s="88"/>
      <c r="AS551" s="338"/>
      <c r="AT551" s="29"/>
      <c r="AU551" s="30"/>
      <c r="AV551" s="357"/>
    </row>
    <row r="552" spans="1:48" s="62" customFormat="1" hidden="1" outlineLevel="3" x14ac:dyDescent="0.3">
      <c r="A552" s="190" t="s">
        <v>501</v>
      </c>
      <c r="B552" s="336"/>
      <c r="C552" s="337"/>
      <c r="D552" s="337"/>
      <c r="E552" s="347" t="str">
        <f>B112</f>
        <v>6420/00302 Cotis.Urssaf Concierges (0290)</v>
      </c>
      <c r="F552" s="250">
        <f>F112</f>
        <v>15975.54</v>
      </c>
      <c r="G552" s="250">
        <f>G112</f>
        <v>21386.77</v>
      </c>
      <c r="H552" s="250">
        <f>H112</f>
        <v>23987.95</v>
      </c>
      <c r="I552" s="250">
        <f>I112</f>
        <v>21581.95</v>
      </c>
      <c r="J552" s="250">
        <f>J112</f>
        <v>7583.69</v>
      </c>
      <c r="K552" s="354"/>
      <c r="L552" s="250">
        <f>L112</f>
        <v>0</v>
      </c>
      <c r="M552" s="354"/>
      <c r="N552" s="88"/>
      <c r="O552" s="250">
        <f>O112</f>
        <v>0</v>
      </c>
      <c r="P552" s="354"/>
      <c r="Q552" s="123"/>
      <c r="R552" s="357"/>
      <c r="S552" s="88"/>
      <c r="T552" s="250">
        <f>T112</f>
        <v>0</v>
      </c>
      <c r="U552" s="354"/>
      <c r="V552" s="123"/>
      <c r="W552" s="357"/>
      <c r="X552" s="340"/>
      <c r="Y552" s="250">
        <f>Y112</f>
        <v>0</v>
      </c>
      <c r="Z552" s="354"/>
      <c r="AA552" s="30"/>
      <c r="AB552" s="357"/>
      <c r="AC552" s="88">
        <f>AC112</f>
        <v>0</v>
      </c>
      <c r="AD552" s="250">
        <f>AD112</f>
        <v>0</v>
      </c>
      <c r="AE552" s="90"/>
      <c r="AF552" s="30"/>
      <c r="AG552" s="357"/>
      <c r="AH552" s="88">
        <f>AH112</f>
        <v>0</v>
      </c>
      <c r="AI552" s="250">
        <f>AI112</f>
        <v>0</v>
      </c>
      <c r="AJ552" s="90"/>
      <c r="AK552" s="30"/>
      <c r="AL552" s="357"/>
      <c r="AM552" s="88"/>
      <c r="AN552" s="250">
        <f>AN112</f>
        <v>0</v>
      </c>
      <c r="AO552" s="29"/>
      <c r="AP552" s="30"/>
      <c r="AQ552" s="357"/>
      <c r="AR552" s="88"/>
      <c r="AS552" s="338"/>
      <c r="AT552" s="29"/>
      <c r="AU552" s="30"/>
      <c r="AV552" s="357"/>
    </row>
    <row r="553" spans="1:48" s="62" customFormat="1" hidden="1" outlineLevel="3" x14ac:dyDescent="0.3">
      <c r="A553" s="190" t="s">
        <v>502</v>
      </c>
      <c r="B553" s="336"/>
      <c r="C553" s="337"/>
      <c r="D553" s="337"/>
      <c r="E553" s="347"/>
      <c r="F553" s="250"/>
      <c r="G553" s="250"/>
      <c r="H553" s="250"/>
      <c r="I553" s="250"/>
      <c r="J553" s="250"/>
      <c r="K553" s="354"/>
      <c r="L553" s="250"/>
      <c r="M553" s="354"/>
      <c r="N553" s="88"/>
      <c r="O553" s="250"/>
      <c r="P553" s="354"/>
      <c r="Q553" s="123"/>
      <c r="R553" s="357"/>
      <c r="S553" s="88"/>
      <c r="T553" s="250"/>
      <c r="U553" s="354"/>
      <c r="V553" s="123"/>
      <c r="W553" s="357"/>
      <c r="X553" s="340"/>
      <c r="Y553" s="250"/>
      <c r="Z553" s="354"/>
      <c r="AA553" s="30"/>
      <c r="AB553" s="357"/>
      <c r="AC553" s="88"/>
      <c r="AD553" s="250"/>
      <c r="AE553" s="90"/>
      <c r="AF553" s="30"/>
      <c r="AG553" s="357"/>
      <c r="AH553" s="88"/>
      <c r="AI553" s="250"/>
      <c r="AJ553" s="90"/>
      <c r="AK553" s="30"/>
      <c r="AL553" s="357"/>
      <c r="AM553" s="88"/>
      <c r="AN553" s="250"/>
      <c r="AO553" s="29"/>
      <c r="AP553" s="30"/>
      <c r="AQ553" s="357"/>
      <c r="AR553" s="88"/>
      <c r="AS553" s="338"/>
      <c r="AT553" s="29"/>
      <c r="AU553" s="30"/>
      <c r="AV553" s="357"/>
    </row>
    <row r="554" spans="1:48" s="62" customFormat="1" hidden="1" outlineLevel="3" x14ac:dyDescent="0.3">
      <c r="A554" s="190" t="s">
        <v>503</v>
      </c>
      <c r="B554" s="336"/>
      <c r="C554" s="337"/>
      <c r="D554" s="337"/>
      <c r="E554" s="347" t="str">
        <f>B153</f>
        <v>6420/01387  Cotis.Urssaf Gardien 40%  (0670)</v>
      </c>
      <c r="F554" s="250">
        <f>F153</f>
        <v>0</v>
      </c>
      <c r="G554" s="250">
        <f>G153</f>
        <v>0</v>
      </c>
      <c r="H554" s="250">
        <f>H153</f>
        <v>0</v>
      </c>
      <c r="I554" s="250">
        <f>I153</f>
        <v>0</v>
      </c>
      <c r="J554" s="250">
        <f>J153</f>
        <v>0</v>
      </c>
      <c r="K554" s="354"/>
      <c r="L554" s="250">
        <f>L153</f>
        <v>7396.61</v>
      </c>
      <c r="M554" s="354"/>
      <c r="N554" s="88"/>
      <c r="O554" s="250">
        <f>O153</f>
        <v>10889.39</v>
      </c>
      <c r="P554" s="354"/>
      <c r="Q554" s="123"/>
      <c r="R554" s="357"/>
      <c r="S554" s="88"/>
      <c r="T554" s="250">
        <f>T153</f>
        <v>10218.56</v>
      </c>
      <c r="U554" s="354"/>
      <c r="V554" s="123"/>
      <c r="W554" s="357"/>
      <c r="X554" s="340"/>
      <c r="Y554" s="250">
        <f>Y153</f>
        <v>8830.7900000000009</v>
      </c>
      <c r="Z554" s="354"/>
      <c r="AA554" s="30"/>
      <c r="AB554" s="357"/>
      <c r="AC554" s="88">
        <f>AC153</f>
        <v>10500</v>
      </c>
      <c r="AD554" s="250">
        <f>AD153</f>
        <v>7523.82</v>
      </c>
      <c r="AE554" s="90"/>
      <c r="AF554" s="30"/>
      <c r="AG554" s="357"/>
      <c r="AH554" s="88">
        <f>AH153</f>
        <v>10660</v>
      </c>
      <c r="AI554" s="250">
        <f>AI153</f>
        <v>7262.03</v>
      </c>
      <c r="AJ554" s="90"/>
      <c r="AK554" s="30"/>
      <c r="AL554" s="357"/>
      <c r="AM554" s="88"/>
      <c r="AN554" s="250">
        <f>AN153</f>
        <v>5408.12</v>
      </c>
      <c r="AO554" s="29"/>
      <c r="AP554" s="30"/>
      <c r="AQ554" s="357"/>
      <c r="AR554" s="88"/>
      <c r="AS554" s="338"/>
      <c r="AT554" s="29"/>
      <c r="AU554" s="30"/>
      <c r="AV554" s="357"/>
    </row>
    <row r="555" spans="1:48" s="62" customFormat="1" hidden="1" outlineLevel="3" x14ac:dyDescent="0.3">
      <c r="A555" s="190" t="s">
        <v>504</v>
      </c>
      <c r="B555" s="336"/>
      <c r="C555" s="337"/>
      <c r="D555" s="337"/>
      <c r="E555" s="347" t="str">
        <f>B156</f>
        <v>6420/01392 Cotis. URSAFF 0%           (0700)</v>
      </c>
      <c r="F555" s="250">
        <f>F156</f>
        <v>0</v>
      </c>
      <c r="G555" s="250">
        <f>G156</f>
        <v>0</v>
      </c>
      <c r="H555" s="250">
        <f>H156</f>
        <v>0</v>
      </c>
      <c r="I555" s="250">
        <f>I156</f>
        <v>0</v>
      </c>
      <c r="J555" s="250">
        <f>J156</f>
        <v>0</v>
      </c>
      <c r="K555" s="354">
        <f>H156</f>
        <v>0</v>
      </c>
      <c r="L555" s="250">
        <f>L156</f>
        <v>925.15</v>
      </c>
      <c r="M555" s="354">
        <f>J156</f>
        <v>0</v>
      </c>
      <c r="N555" s="88"/>
      <c r="O555" s="250">
        <f>O156</f>
        <v>0</v>
      </c>
      <c r="P555" s="354">
        <f>M156</f>
        <v>0</v>
      </c>
      <c r="Q555" s="123"/>
      <c r="R555" s="357"/>
      <c r="S555" s="88"/>
      <c r="T555" s="250">
        <f>T156</f>
        <v>0</v>
      </c>
      <c r="U555" s="354">
        <f>P156</f>
        <v>0</v>
      </c>
      <c r="V555" s="123"/>
      <c r="W555" s="357"/>
      <c r="X555" s="340"/>
      <c r="Y555" s="250">
        <f>Y156</f>
        <v>0</v>
      </c>
      <c r="Z555" s="354" t="str">
        <f>W156</f>
        <v/>
      </c>
      <c r="AA555" s="30"/>
      <c r="AB555" s="357"/>
      <c r="AC555" s="88">
        <f>AC156</f>
        <v>0</v>
      </c>
      <c r="AD555" s="250">
        <f>AD156</f>
        <v>0</v>
      </c>
      <c r="AE555" s="90" t="str">
        <f>AB156</f>
        <v/>
      </c>
      <c r="AF555" s="30"/>
      <c r="AG555" s="357"/>
      <c r="AH555" s="88">
        <f>AH156</f>
        <v>0</v>
      </c>
      <c r="AI555" s="250">
        <f>AI156</f>
        <v>0</v>
      </c>
      <c r="AJ555" s="90"/>
      <c r="AK555" s="30"/>
      <c r="AL555" s="357"/>
      <c r="AM555" s="88"/>
      <c r="AN555" s="250">
        <f>AN156</f>
        <v>0</v>
      </c>
      <c r="AO555" s="29"/>
      <c r="AP555" s="30"/>
      <c r="AQ555" s="357"/>
      <c r="AR555" s="88"/>
      <c r="AS555" s="338"/>
      <c r="AT555" s="29"/>
      <c r="AU555" s="30"/>
      <c r="AV555" s="357"/>
    </row>
    <row r="556" spans="1:48" s="62" customFormat="1" hidden="1" outlineLevel="3" x14ac:dyDescent="0.3">
      <c r="A556" s="190" t="s">
        <v>505</v>
      </c>
      <c r="B556" s="336"/>
      <c r="C556" s="337"/>
      <c r="D556" s="337"/>
      <c r="E556" s="347" t="str">
        <f xml:space="preserve"> B122</f>
        <v>6420/00322 Urssaf Pers.Entretien      (0390)</v>
      </c>
      <c r="F556" s="250">
        <f xml:space="preserve"> F122</f>
        <v>8319.2000000000007</v>
      </c>
      <c r="G556" s="250">
        <f xml:space="preserve"> G122</f>
        <v>9360.59</v>
      </c>
      <c r="H556" s="250">
        <f xml:space="preserve"> H122</f>
        <v>8988.9599999999991</v>
      </c>
      <c r="I556" s="250">
        <f xml:space="preserve"> I122</f>
        <v>9279.0400000000009</v>
      </c>
      <c r="J556" s="250">
        <f xml:space="preserve"> J122</f>
        <v>8901.8700000000008</v>
      </c>
      <c r="K556" s="354"/>
      <c r="L556" s="250">
        <f xml:space="preserve"> L122</f>
        <v>8778.7999999999993</v>
      </c>
      <c r="M556" s="354"/>
      <c r="N556" s="88"/>
      <c r="O556" s="250">
        <f xml:space="preserve"> O122</f>
        <v>7505.84</v>
      </c>
      <c r="P556" s="354"/>
      <c r="Q556" s="123"/>
      <c r="R556" s="357"/>
      <c r="S556" s="88"/>
      <c r="T556" s="250">
        <f xml:space="preserve"> T122</f>
        <v>8949.66</v>
      </c>
      <c r="U556" s="354"/>
      <c r="V556" s="123"/>
      <c r="W556" s="357"/>
      <c r="X556" s="340"/>
      <c r="Y556" s="250">
        <f xml:space="preserve"> Y122</f>
        <v>9032.2999999999993</v>
      </c>
      <c r="Z556" s="354"/>
      <c r="AA556" s="30"/>
      <c r="AB556" s="357"/>
      <c r="AC556" s="88">
        <f xml:space="preserve"> AC122</f>
        <v>9000</v>
      </c>
      <c r="AD556" s="250">
        <f xml:space="preserve"> AD122</f>
        <v>7380.29</v>
      </c>
      <c r="AE556" s="90"/>
      <c r="AF556" s="30"/>
      <c r="AG556" s="357"/>
      <c r="AH556" s="88">
        <f xml:space="preserve"> AH122</f>
        <v>9140</v>
      </c>
      <c r="AI556" s="250">
        <f xml:space="preserve"> AI122</f>
        <v>9898.6</v>
      </c>
      <c r="AJ556" s="90"/>
      <c r="AK556" s="30"/>
      <c r="AL556" s="357"/>
      <c r="AM556" s="88"/>
      <c r="AN556" s="250">
        <f xml:space="preserve"> AN122</f>
        <v>4271.12</v>
      </c>
      <c r="AO556" s="29"/>
      <c r="AP556" s="30"/>
      <c r="AQ556" s="357"/>
      <c r="AR556" s="88"/>
      <c r="AS556" s="338"/>
      <c r="AT556" s="29"/>
      <c r="AU556" s="30"/>
      <c r="AV556" s="357"/>
    </row>
    <row r="557" spans="1:48" s="62" customFormat="1" hidden="1" outlineLevel="2" collapsed="1" x14ac:dyDescent="0.3">
      <c r="A557" s="188" t="s">
        <v>506</v>
      </c>
      <c r="B557" s="336"/>
      <c r="C557" s="337"/>
      <c r="D557" s="337"/>
      <c r="E557" s="347"/>
      <c r="F557" s="362">
        <f>SUM(F558:F562)</f>
        <v>6229.59</v>
      </c>
      <c r="G557" s="362">
        <f>SUM(G558:G562)</f>
        <v>6522.99</v>
      </c>
      <c r="H557" s="362">
        <f>SUM(H558:H562)</f>
        <v>6685.92</v>
      </c>
      <c r="I557" s="362">
        <f>SUM(I558:I562)</f>
        <v>8716.6</v>
      </c>
      <c r="J557" s="362">
        <f>SUM(J558:J562)</f>
        <v>4794.96</v>
      </c>
      <c r="K557" s="354"/>
      <c r="L557" s="362">
        <f>SUM(L558:L562)</f>
        <v>4716.82</v>
      </c>
      <c r="M557" s="354"/>
      <c r="N557" s="88"/>
      <c r="O557" s="362">
        <f>SUM(O558:O562)</f>
        <v>5136.41</v>
      </c>
      <c r="P557" s="354"/>
      <c r="Q557" s="123"/>
      <c r="R557" s="357"/>
      <c r="S557" s="88"/>
      <c r="T557" s="362">
        <f>SUM(T558:T562)</f>
        <v>4951.12</v>
      </c>
      <c r="U557" s="354"/>
      <c r="V557" s="123"/>
      <c r="W557" s="357"/>
      <c r="X557" s="340"/>
      <c r="Y557" s="362">
        <f>SUM(Y558:Y562)</f>
        <v>4705.0200000000004</v>
      </c>
      <c r="Z557" s="354"/>
      <c r="AA557" s="30"/>
      <c r="AB557" s="357"/>
      <c r="AC557" s="88">
        <f>SUM(AC558:AC562)</f>
        <v>5780</v>
      </c>
      <c r="AD557" s="362">
        <f>SUM(AD558:AD562)</f>
        <v>3462.59</v>
      </c>
      <c r="AE557" s="90"/>
      <c r="AF557" s="30"/>
      <c r="AG557" s="357"/>
      <c r="AH557" s="88">
        <f>SUM(AH558:AH562)</f>
        <v>5870</v>
      </c>
      <c r="AI557" s="362">
        <f>SUM(AI558:AI562)</f>
        <v>4182.3600000000006</v>
      </c>
      <c r="AJ557" s="90"/>
      <c r="AK557" s="30"/>
      <c r="AL557" s="357"/>
      <c r="AM557" s="88"/>
      <c r="AN557" s="362">
        <f>SUM(AN558:AN562)</f>
        <v>2386.19</v>
      </c>
      <c r="AO557" s="29"/>
      <c r="AP557" s="30"/>
      <c r="AQ557" s="357"/>
      <c r="AR557" s="88"/>
      <c r="AS557" s="338"/>
      <c r="AT557" s="29"/>
      <c r="AU557" s="30"/>
      <c r="AV557" s="357"/>
    </row>
    <row r="558" spans="1:48" s="62" customFormat="1" hidden="1" outlineLevel="3" x14ac:dyDescent="0.3">
      <c r="A558" s="190" t="s">
        <v>507</v>
      </c>
      <c r="B558" s="336"/>
      <c r="C558" s="337"/>
      <c r="D558" s="337"/>
      <c r="E558" s="347" t="str">
        <f>B113</f>
        <v>6420/00303 Cotis.Retraite Concierges (0300)</v>
      </c>
      <c r="F558" s="250">
        <f>F113</f>
        <v>4451.9399999999996</v>
      </c>
      <c r="G558" s="250">
        <f>G113</f>
        <v>4491.62</v>
      </c>
      <c r="H558" s="250">
        <f>H113</f>
        <v>4801.26</v>
      </c>
      <c r="I558" s="250">
        <f>I113</f>
        <v>6786.29</v>
      </c>
      <c r="J558" s="250">
        <f>J113</f>
        <v>2921.4</v>
      </c>
      <c r="K558" s="354"/>
      <c r="L558" s="250">
        <f>L113</f>
        <v>0</v>
      </c>
      <c r="M558" s="354"/>
      <c r="N558" s="88"/>
      <c r="O558" s="250">
        <f>O113</f>
        <v>0</v>
      </c>
      <c r="P558" s="354"/>
      <c r="Q558" s="123"/>
      <c r="R558" s="357"/>
      <c r="S558" s="88"/>
      <c r="T558" s="250">
        <f>T113</f>
        <v>0</v>
      </c>
      <c r="U558" s="354"/>
      <c r="V558" s="123"/>
      <c r="W558" s="357"/>
      <c r="X558" s="340"/>
      <c r="Y558" s="250">
        <f>Y113</f>
        <v>0</v>
      </c>
      <c r="Z558" s="354"/>
      <c r="AA558" s="30"/>
      <c r="AB558" s="357"/>
      <c r="AC558" s="88">
        <f>AC113</f>
        <v>0</v>
      </c>
      <c r="AD558" s="250">
        <f>AD113</f>
        <v>0</v>
      </c>
      <c r="AE558" s="90"/>
      <c r="AF558" s="30"/>
      <c r="AG558" s="357"/>
      <c r="AH558" s="88">
        <f>AH113</f>
        <v>0</v>
      </c>
      <c r="AI558" s="250">
        <f>AI113</f>
        <v>0</v>
      </c>
      <c r="AJ558" s="90"/>
      <c r="AK558" s="30"/>
      <c r="AL558" s="357"/>
      <c r="AM558" s="88"/>
      <c r="AN558" s="250">
        <f>AN113</f>
        <v>0</v>
      </c>
      <c r="AO558" s="29"/>
      <c r="AP558" s="30"/>
      <c r="AQ558" s="357"/>
      <c r="AR558" s="88"/>
      <c r="AS558" s="338"/>
      <c r="AT558" s="29"/>
      <c r="AU558" s="30"/>
      <c r="AV558" s="357"/>
    </row>
    <row r="559" spans="1:48" s="62" customFormat="1" hidden="1" outlineLevel="3" x14ac:dyDescent="0.3">
      <c r="A559" s="190" t="s">
        <v>508</v>
      </c>
      <c r="B559" s="336"/>
      <c r="C559" s="337"/>
      <c r="D559" s="337"/>
      <c r="E559" s="378"/>
      <c r="F559" s="27"/>
      <c r="G559" s="27"/>
      <c r="H559" s="27"/>
      <c r="I559" s="27"/>
      <c r="J559" s="27"/>
      <c r="K559" s="380"/>
      <c r="L559" s="27"/>
      <c r="M559" s="380"/>
      <c r="N559" s="88"/>
      <c r="O559" s="27"/>
      <c r="P559" s="380"/>
      <c r="Q559" s="123"/>
      <c r="R559" s="357"/>
      <c r="S559" s="88"/>
      <c r="T559" s="27"/>
      <c r="U559" s="380"/>
      <c r="V559" s="123"/>
      <c r="W559" s="357"/>
      <c r="X559" s="340"/>
      <c r="Y559" s="27"/>
      <c r="Z559" s="380"/>
      <c r="AA559" s="30"/>
      <c r="AB559" s="357"/>
      <c r="AC559" s="88"/>
      <c r="AD559" s="27"/>
      <c r="AE559" s="90"/>
      <c r="AF559" s="30"/>
      <c r="AG559" s="357"/>
      <c r="AH559" s="88"/>
      <c r="AI559" s="27"/>
      <c r="AJ559" s="90"/>
      <c r="AK559" s="30"/>
      <c r="AL559" s="357"/>
      <c r="AM559" s="88"/>
      <c r="AN559" s="27"/>
      <c r="AO559" s="29"/>
      <c r="AP559" s="30"/>
      <c r="AQ559" s="357"/>
      <c r="AR559" s="88"/>
      <c r="AS559" s="338"/>
      <c r="AT559" s="29"/>
      <c r="AU559" s="30"/>
      <c r="AV559" s="357"/>
    </row>
    <row r="560" spans="1:48" s="62" customFormat="1" hidden="1" outlineLevel="3" x14ac:dyDescent="0.3">
      <c r="A560" s="190" t="s">
        <v>509</v>
      </c>
      <c r="B560" s="336"/>
      <c r="C560" s="337"/>
      <c r="D560" s="337"/>
      <c r="E560" s="347" t="str">
        <f>B143</f>
        <v>6420/01373 Cotis.Retraite Gard. 40% (0580)</v>
      </c>
      <c r="F560" s="250">
        <f>F143</f>
        <v>0</v>
      </c>
      <c r="G560" s="250">
        <f>G143</f>
        <v>0</v>
      </c>
      <c r="H560" s="250">
        <f>H143</f>
        <v>0</v>
      </c>
      <c r="I560" s="250">
        <f>I143</f>
        <v>0</v>
      </c>
      <c r="J560" s="250">
        <f>J143</f>
        <v>0</v>
      </c>
      <c r="K560" s="354"/>
      <c r="L560" s="250">
        <f>L143</f>
        <v>1792.69</v>
      </c>
      <c r="M560" s="354"/>
      <c r="N560" s="88"/>
      <c r="O560" s="250">
        <f>O143</f>
        <v>3609.95</v>
      </c>
      <c r="P560" s="354"/>
      <c r="Q560" s="123"/>
      <c r="R560" s="357"/>
      <c r="S560" s="88"/>
      <c r="T560" s="250">
        <f>T143</f>
        <v>3019.16</v>
      </c>
      <c r="U560" s="354"/>
      <c r="V560" s="123"/>
      <c r="W560" s="357"/>
      <c r="X560" s="340"/>
      <c r="Y560" s="250">
        <f>Y143</f>
        <v>2833.67</v>
      </c>
      <c r="Z560" s="354"/>
      <c r="AA560" s="30"/>
      <c r="AB560" s="357"/>
      <c r="AC560" s="88">
        <f>AC143</f>
        <v>3780</v>
      </c>
      <c r="AD560" s="250">
        <f>AD143</f>
        <v>1716.99</v>
      </c>
      <c r="AE560" s="90"/>
      <c r="AF560" s="30"/>
      <c r="AG560" s="357"/>
      <c r="AH560" s="88">
        <f>AH143</f>
        <v>3840</v>
      </c>
      <c r="AI560" s="250">
        <f>AI143</f>
        <v>1796.54</v>
      </c>
      <c r="AJ560" s="90"/>
      <c r="AK560" s="30"/>
      <c r="AL560" s="357"/>
      <c r="AM560" s="88"/>
      <c r="AN560" s="250">
        <f>AN143</f>
        <v>1347.46</v>
      </c>
      <c r="AO560" s="29"/>
      <c r="AP560" s="30"/>
      <c r="AQ560" s="357"/>
      <c r="AR560" s="88"/>
      <c r="AS560" s="338"/>
      <c r="AT560" s="29"/>
      <c r="AU560" s="30"/>
      <c r="AV560" s="357"/>
    </row>
    <row r="561" spans="1:48" s="62" customFormat="1" hidden="1" outlineLevel="3" x14ac:dyDescent="0.3">
      <c r="A561" s="190" t="s">
        <v>510</v>
      </c>
      <c r="B561" s="336"/>
      <c r="C561" s="337"/>
      <c r="D561" s="337"/>
      <c r="E561" s="347" t="str">
        <f>B157</f>
        <v>6420/01393 Cotis.Retrait. Gards 0%       (0710)</v>
      </c>
      <c r="F561" s="250">
        <f>F157</f>
        <v>0</v>
      </c>
      <c r="G561" s="250">
        <f>G157</f>
        <v>0</v>
      </c>
      <c r="H561" s="250">
        <f>H157</f>
        <v>0</v>
      </c>
      <c r="I561" s="250">
        <f>I157</f>
        <v>0</v>
      </c>
      <c r="J561" s="250">
        <f>J157</f>
        <v>0</v>
      </c>
      <c r="K561" s="354">
        <f>H157</f>
        <v>0</v>
      </c>
      <c r="L561" s="250">
        <f>L157</f>
        <v>1011.63</v>
      </c>
      <c r="M561" s="354">
        <f>J157</f>
        <v>0</v>
      </c>
      <c r="N561" s="88"/>
      <c r="O561" s="250">
        <f>O157</f>
        <v>0</v>
      </c>
      <c r="P561" s="354">
        <f>M157</f>
        <v>0</v>
      </c>
      <c r="Q561" s="123"/>
      <c r="R561" s="357"/>
      <c r="S561" s="88"/>
      <c r="T561" s="250">
        <f>T157</f>
        <v>0</v>
      </c>
      <c r="U561" s="354">
        <f>P157</f>
        <v>0</v>
      </c>
      <c r="V561" s="123"/>
      <c r="W561" s="357"/>
      <c r="X561" s="340"/>
      <c r="Y561" s="250">
        <f>Y157</f>
        <v>0</v>
      </c>
      <c r="Z561" s="354" t="str">
        <f>W157</f>
        <v/>
      </c>
      <c r="AA561" s="30"/>
      <c r="AB561" s="357"/>
      <c r="AC561" s="88">
        <f>AC157</f>
        <v>0</v>
      </c>
      <c r="AD561" s="250">
        <f>AD157</f>
        <v>0</v>
      </c>
      <c r="AE561" s="90" t="str">
        <f>AB157</f>
        <v/>
      </c>
      <c r="AF561" s="30"/>
      <c r="AG561" s="357"/>
      <c r="AH561" s="88">
        <f>AH157</f>
        <v>0</v>
      </c>
      <c r="AI561" s="250">
        <f>AI157</f>
        <v>0</v>
      </c>
      <c r="AJ561" s="90"/>
      <c r="AK561" s="30"/>
      <c r="AL561" s="357"/>
      <c r="AM561" s="88"/>
      <c r="AN561" s="250">
        <f>AN157</f>
        <v>0</v>
      </c>
      <c r="AO561" s="29"/>
      <c r="AP561" s="30"/>
      <c r="AQ561" s="357"/>
      <c r="AR561" s="88"/>
      <c r="AS561" s="338"/>
      <c r="AT561" s="29"/>
      <c r="AU561" s="30"/>
      <c r="AV561" s="357"/>
    </row>
    <row r="562" spans="1:48" s="62" customFormat="1" hidden="1" outlineLevel="3" x14ac:dyDescent="0.3">
      <c r="A562" s="190" t="s">
        <v>511</v>
      </c>
      <c r="B562" s="336"/>
      <c r="C562" s="337"/>
      <c r="D562" s="337"/>
      <c r="E562" s="347" t="str">
        <f>B123</f>
        <v>6420/00323 Cot.Retraites Pers.Ent.    (0400)</v>
      </c>
      <c r="F562" s="250">
        <f>F123</f>
        <v>1777.65</v>
      </c>
      <c r="G562" s="250">
        <f>G123</f>
        <v>2031.37</v>
      </c>
      <c r="H562" s="250">
        <f>H123</f>
        <v>1884.66</v>
      </c>
      <c r="I562" s="250">
        <f>I123</f>
        <v>1930.31</v>
      </c>
      <c r="J562" s="250">
        <f>J123</f>
        <v>1873.56</v>
      </c>
      <c r="K562" s="354"/>
      <c r="L562" s="250">
        <f>L123</f>
        <v>1912.5</v>
      </c>
      <c r="M562" s="354"/>
      <c r="N562" s="88"/>
      <c r="O562" s="250">
        <f>O123</f>
        <v>1526.46</v>
      </c>
      <c r="P562" s="354"/>
      <c r="Q562" s="123"/>
      <c r="R562" s="357"/>
      <c r="S562" s="88"/>
      <c r="T562" s="250">
        <f>T123</f>
        <v>1931.96</v>
      </c>
      <c r="U562" s="354"/>
      <c r="V562" s="123"/>
      <c r="W562" s="357"/>
      <c r="X562" s="340"/>
      <c r="Y562" s="250">
        <f>Y123</f>
        <v>1871.35</v>
      </c>
      <c r="Z562" s="354"/>
      <c r="AA562" s="30"/>
      <c r="AB562" s="357"/>
      <c r="AC562" s="88">
        <f>AC123</f>
        <v>2000</v>
      </c>
      <c r="AD562" s="250">
        <f>AD123</f>
        <v>1745.6</v>
      </c>
      <c r="AE562" s="90"/>
      <c r="AF562" s="30"/>
      <c r="AG562" s="357"/>
      <c r="AH562" s="88">
        <f>AH123</f>
        <v>2030</v>
      </c>
      <c r="AI562" s="250">
        <f>AI123</f>
        <v>2385.8200000000002</v>
      </c>
      <c r="AJ562" s="90"/>
      <c r="AK562" s="30"/>
      <c r="AL562" s="357"/>
      <c r="AM562" s="88"/>
      <c r="AN562" s="250">
        <f>AN123</f>
        <v>1038.73</v>
      </c>
      <c r="AO562" s="29"/>
      <c r="AP562" s="30"/>
      <c r="AQ562" s="357"/>
      <c r="AR562" s="88"/>
      <c r="AS562" s="338"/>
      <c r="AT562" s="29"/>
      <c r="AU562" s="30"/>
      <c r="AV562" s="357"/>
    </row>
    <row r="563" spans="1:48" s="62" customFormat="1" hidden="1" outlineLevel="2" collapsed="1" x14ac:dyDescent="0.3">
      <c r="A563" s="188" t="s">
        <v>512</v>
      </c>
      <c r="B563" s="336"/>
      <c r="C563" s="337"/>
      <c r="D563" s="337"/>
      <c r="E563" s="347"/>
      <c r="F563" s="362">
        <f>SUM(F564:F568)</f>
        <v>3663.88</v>
      </c>
      <c r="G563" s="362">
        <f>SUM(G564:G568)</f>
        <v>0</v>
      </c>
      <c r="H563" s="362">
        <f>SUM(H564:H568)</f>
        <v>0</v>
      </c>
      <c r="I563" s="362">
        <f>SUM(I564:I568)</f>
        <v>0</v>
      </c>
      <c r="J563" s="362">
        <f>SUM(J564:J568)</f>
        <v>0</v>
      </c>
      <c r="K563" s="354"/>
      <c r="L563" s="362">
        <f>SUM(L564:L568)</f>
        <v>0</v>
      </c>
      <c r="M563" s="354"/>
      <c r="N563" s="88"/>
      <c r="O563" s="362">
        <f>SUM(O564:O568)</f>
        <v>0</v>
      </c>
      <c r="P563" s="354"/>
      <c r="Q563" s="123"/>
      <c r="R563" s="357"/>
      <c r="S563" s="88"/>
      <c r="T563" s="362">
        <f>SUM(T564:T568)</f>
        <v>0</v>
      </c>
      <c r="U563" s="354"/>
      <c r="V563" s="123"/>
      <c r="W563" s="357"/>
      <c r="X563" s="340"/>
      <c r="Y563" s="362">
        <f>SUM(Y564:Y568)</f>
        <v>0</v>
      </c>
      <c r="Z563" s="354"/>
      <c r="AA563" s="30"/>
      <c r="AB563" s="357"/>
      <c r="AC563" s="88">
        <f>SUM(AC564:AC568)</f>
        <v>310</v>
      </c>
      <c r="AD563" s="362">
        <f>SUM(AD564:AD568)</f>
        <v>0</v>
      </c>
      <c r="AE563" s="90"/>
      <c r="AF563" s="30"/>
      <c r="AG563" s="357"/>
      <c r="AH563" s="88">
        <f>SUM(AH564:AH568)</f>
        <v>330</v>
      </c>
      <c r="AI563" s="362">
        <f>SUM(AI564:AI568)</f>
        <v>0</v>
      </c>
      <c r="AJ563" s="90"/>
      <c r="AK563" s="30"/>
      <c r="AL563" s="357"/>
      <c r="AM563" s="88"/>
      <c r="AN563" s="362">
        <f>SUM(AN564:AN568)</f>
        <v>0</v>
      </c>
      <c r="AO563" s="29"/>
      <c r="AP563" s="30"/>
      <c r="AQ563" s="357"/>
      <c r="AR563" s="88"/>
      <c r="AS563" s="338"/>
      <c r="AT563" s="29"/>
      <c r="AU563" s="30"/>
      <c r="AV563" s="357"/>
    </row>
    <row r="564" spans="1:48" s="62" customFormat="1" hidden="1" outlineLevel="3" x14ac:dyDescent="0.3">
      <c r="A564" s="190" t="s">
        <v>513</v>
      </c>
      <c r="B564" s="336"/>
      <c r="C564" s="337"/>
      <c r="D564" s="337"/>
      <c r="E564" s="347" t="str">
        <f>B114</f>
        <v>6420  Cotis. Chômage Concierges           (0310)</v>
      </c>
      <c r="F564" s="250">
        <f>F114</f>
        <v>2602.58</v>
      </c>
      <c r="G564" s="250">
        <f>G114</f>
        <v>0</v>
      </c>
      <c r="H564" s="250">
        <f>H114</f>
        <v>0</v>
      </c>
      <c r="I564" s="250">
        <f>I114</f>
        <v>0</v>
      </c>
      <c r="J564" s="250">
        <f>J114</f>
        <v>0</v>
      </c>
      <c r="K564" s="354">
        <f>H114</f>
        <v>0</v>
      </c>
      <c r="L564" s="250">
        <f>L114</f>
        <v>0</v>
      </c>
      <c r="M564" s="354">
        <f>J114</f>
        <v>0</v>
      </c>
      <c r="N564" s="88"/>
      <c r="O564" s="250">
        <f>O114</f>
        <v>0</v>
      </c>
      <c r="P564" s="354">
        <f>M114</f>
        <v>0</v>
      </c>
      <c r="Q564" s="123"/>
      <c r="R564" s="357"/>
      <c r="S564" s="88"/>
      <c r="T564" s="250">
        <f>T114</f>
        <v>0</v>
      </c>
      <c r="U564" s="354">
        <f>P114</f>
        <v>0</v>
      </c>
      <c r="V564" s="123"/>
      <c r="W564" s="357"/>
      <c r="X564" s="340"/>
      <c r="Y564" s="250">
        <f>Y114</f>
        <v>0</v>
      </c>
      <c r="Z564" s="354" t="str">
        <f>W114</f>
        <v/>
      </c>
      <c r="AA564" s="30"/>
      <c r="AB564" s="357"/>
      <c r="AC564" s="88">
        <f>AC114</f>
        <v>200</v>
      </c>
      <c r="AD564" s="250">
        <f>AD114</f>
        <v>0</v>
      </c>
      <c r="AE564" s="90" t="str">
        <f>AB114</f>
        <v/>
      </c>
      <c r="AF564" s="30"/>
      <c r="AG564" s="357"/>
      <c r="AH564" s="88">
        <f>AH114</f>
        <v>210</v>
      </c>
      <c r="AI564" s="250">
        <f>AI114</f>
        <v>0</v>
      </c>
      <c r="AJ564" s="90"/>
      <c r="AK564" s="30"/>
      <c r="AL564" s="357"/>
      <c r="AM564" s="88"/>
      <c r="AN564" s="250">
        <f>AN114</f>
        <v>0</v>
      </c>
      <c r="AO564" s="29"/>
      <c r="AP564" s="30"/>
      <c r="AQ564" s="357"/>
      <c r="AR564" s="88"/>
      <c r="AS564" s="338"/>
      <c r="AT564" s="29"/>
      <c r="AU564" s="30"/>
      <c r="AV564" s="357"/>
    </row>
    <row r="565" spans="1:48" s="62" customFormat="1" hidden="1" outlineLevel="3" x14ac:dyDescent="0.3">
      <c r="A565" s="190" t="s">
        <v>514</v>
      </c>
      <c r="B565" s="336"/>
      <c r="C565" s="337"/>
      <c r="D565" s="337"/>
      <c r="E565" s="347"/>
      <c r="F565" s="250"/>
      <c r="G565" s="250"/>
      <c r="H565" s="250"/>
      <c r="I565" s="250"/>
      <c r="J565" s="250"/>
      <c r="K565" s="354"/>
      <c r="L565" s="250"/>
      <c r="M565" s="354"/>
      <c r="N565" s="88"/>
      <c r="O565" s="250"/>
      <c r="P565" s="354"/>
      <c r="Q565" s="123"/>
      <c r="R565" s="357"/>
      <c r="S565" s="88"/>
      <c r="T565" s="250"/>
      <c r="U565" s="354"/>
      <c r="V565" s="123"/>
      <c r="W565" s="357"/>
      <c r="X565" s="340"/>
      <c r="Y565" s="250"/>
      <c r="Z565" s="354"/>
      <c r="AA565" s="30"/>
      <c r="AB565" s="357"/>
      <c r="AC565" s="88"/>
      <c r="AD565" s="250"/>
      <c r="AE565" s="90"/>
      <c r="AF565" s="30"/>
      <c r="AG565" s="357"/>
      <c r="AH565" s="88"/>
      <c r="AI565" s="250"/>
      <c r="AJ565" s="90"/>
      <c r="AK565" s="30"/>
      <c r="AL565" s="357"/>
      <c r="AM565" s="88"/>
      <c r="AN565" s="250"/>
      <c r="AO565" s="29"/>
      <c r="AP565" s="30"/>
      <c r="AQ565" s="357"/>
      <c r="AR565" s="88"/>
      <c r="AS565" s="338"/>
      <c r="AT565" s="29"/>
      <c r="AU565" s="30"/>
      <c r="AV565" s="357"/>
    </row>
    <row r="566" spans="1:48" s="62" customFormat="1" hidden="1" outlineLevel="3" x14ac:dyDescent="0.3">
      <c r="A566" s="190" t="s">
        <v>515</v>
      </c>
      <c r="B566" s="336"/>
      <c r="C566" s="337"/>
      <c r="D566" s="337"/>
      <c r="E566" s="347"/>
      <c r="F566" s="250"/>
      <c r="G566" s="250"/>
      <c r="H566" s="250"/>
      <c r="I566" s="250"/>
      <c r="J566" s="250"/>
      <c r="K566" s="354"/>
      <c r="L566" s="250"/>
      <c r="M566" s="354"/>
      <c r="N566" s="88"/>
      <c r="O566" s="250"/>
      <c r="P566" s="354"/>
      <c r="Q566" s="123"/>
      <c r="R566" s="357"/>
      <c r="S566" s="88"/>
      <c r="T566" s="250"/>
      <c r="U566" s="354"/>
      <c r="V566" s="123"/>
      <c r="W566" s="357"/>
      <c r="X566" s="340"/>
      <c r="Y566" s="250"/>
      <c r="Z566" s="354"/>
      <c r="AA566" s="30"/>
      <c r="AB566" s="357"/>
      <c r="AC566" s="88"/>
      <c r="AD566" s="250"/>
      <c r="AE566" s="90"/>
      <c r="AF566" s="30"/>
      <c r="AG566" s="357"/>
      <c r="AH566" s="88"/>
      <c r="AI566" s="250"/>
      <c r="AJ566" s="90"/>
      <c r="AK566" s="30"/>
      <c r="AL566" s="357"/>
      <c r="AM566" s="88"/>
      <c r="AN566" s="250"/>
      <c r="AO566" s="29"/>
      <c r="AP566" s="30"/>
      <c r="AQ566" s="357"/>
      <c r="AR566" s="88"/>
      <c r="AS566" s="338"/>
      <c r="AT566" s="29"/>
      <c r="AU566" s="30"/>
      <c r="AV566" s="357"/>
    </row>
    <row r="567" spans="1:48" s="62" customFormat="1" hidden="1" outlineLevel="3" x14ac:dyDescent="0.3">
      <c r="A567" s="190" t="s">
        <v>516</v>
      </c>
      <c r="B567" s="336"/>
      <c r="C567" s="337"/>
      <c r="D567" s="337"/>
      <c r="E567" s="347"/>
      <c r="F567" s="250"/>
      <c r="G567" s="250"/>
      <c r="H567" s="250"/>
      <c r="I567" s="250"/>
      <c r="J567" s="250"/>
      <c r="K567" s="354"/>
      <c r="L567" s="250"/>
      <c r="M567" s="354"/>
      <c r="N567" s="88"/>
      <c r="O567" s="250"/>
      <c r="P567" s="354"/>
      <c r="Q567" s="123"/>
      <c r="R567" s="357"/>
      <c r="S567" s="88"/>
      <c r="T567" s="250"/>
      <c r="U567" s="354"/>
      <c r="V567" s="123"/>
      <c r="W567" s="357"/>
      <c r="X567" s="340"/>
      <c r="Y567" s="250"/>
      <c r="Z567" s="354"/>
      <c r="AA567" s="30"/>
      <c r="AB567" s="357"/>
      <c r="AC567" s="88"/>
      <c r="AD567" s="250"/>
      <c r="AE567" s="90"/>
      <c r="AF567" s="30"/>
      <c r="AG567" s="357"/>
      <c r="AH567" s="88"/>
      <c r="AI567" s="250"/>
      <c r="AJ567" s="90"/>
      <c r="AK567" s="30"/>
      <c r="AL567" s="357"/>
      <c r="AM567" s="88"/>
      <c r="AN567" s="250"/>
      <c r="AO567" s="29"/>
      <c r="AP567" s="30"/>
      <c r="AQ567" s="357"/>
      <c r="AR567" s="88"/>
      <c r="AS567" s="338"/>
      <c r="AT567" s="29"/>
      <c r="AU567" s="30"/>
      <c r="AV567" s="357"/>
    </row>
    <row r="568" spans="1:48" s="62" customFormat="1" hidden="1" outlineLevel="3" x14ac:dyDescent="0.3">
      <c r="A568" s="190" t="s">
        <v>517</v>
      </c>
      <c r="B568" s="336"/>
      <c r="C568" s="337"/>
      <c r="D568" s="337"/>
      <c r="E568" s="347" t="str">
        <f>B124</f>
        <v>6420/01326 Cot.C hômage Pers.Ent.   (0410)</v>
      </c>
      <c r="F568" s="250">
        <f>F124</f>
        <v>1061.3</v>
      </c>
      <c r="G568" s="250">
        <f>G124</f>
        <v>0</v>
      </c>
      <c r="H568" s="250">
        <f>H124</f>
        <v>0</v>
      </c>
      <c r="I568" s="250">
        <f>I124</f>
        <v>0</v>
      </c>
      <c r="J568" s="250">
        <f>J124</f>
        <v>0</v>
      </c>
      <c r="K568" s="354">
        <f>H124</f>
        <v>0</v>
      </c>
      <c r="L568" s="250">
        <f>L124</f>
        <v>0</v>
      </c>
      <c r="M568" s="354">
        <f>J124</f>
        <v>0</v>
      </c>
      <c r="N568" s="88"/>
      <c r="O568" s="250">
        <f>O124</f>
        <v>0</v>
      </c>
      <c r="P568" s="354">
        <f>M124</f>
        <v>0</v>
      </c>
      <c r="Q568" s="123"/>
      <c r="R568" s="357"/>
      <c r="S568" s="88"/>
      <c r="T568" s="250">
        <f>T124</f>
        <v>0</v>
      </c>
      <c r="U568" s="354">
        <f>P124</f>
        <v>0</v>
      </c>
      <c r="V568" s="123"/>
      <c r="W568" s="357"/>
      <c r="X568" s="340"/>
      <c r="Y568" s="250">
        <f>Y124</f>
        <v>0</v>
      </c>
      <c r="Z568" s="354" t="str">
        <f>W124</f>
        <v/>
      </c>
      <c r="AA568" s="30"/>
      <c r="AB568" s="357"/>
      <c r="AC568" s="88">
        <f>AC124</f>
        <v>110</v>
      </c>
      <c r="AD568" s="250">
        <f>AD124</f>
        <v>0</v>
      </c>
      <c r="AE568" s="90" t="str">
        <f>AB124</f>
        <v/>
      </c>
      <c r="AF568" s="30"/>
      <c r="AG568" s="357"/>
      <c r="AH568" s="88">
        <f>AH124</f>
        <v>120</v>
      </c>
      <c r="AI568" s="250">
        <f>AI124</f>
        <v>0</v>
      </c>
      <c r="AJ568" s="90"/>
      <c r="AK568" s="30"/>
      <c r="AL568" s="357"/>
      <c r="AM568" s="88"/>
      <c r="AN568" s="250">
        <f>AN124</f>
        <v>0</v>
      </c>
      <c r="AO568" s="29"/>
      <c r="AP568" s="30"/>
      <c r="AQ568" s="357"/>
      <c r="AR568" s="88"/>
      <c r="AS568" s="338"/>
      <c r="AT568" s="29"/>
      <c r="AU568" s="30"/>
      <c r="AV568" s="357"/>
    </row>
    <row r="569" spans="1:48" s="62" customFormat="1" hidden="1" outlineLevel="2" collapsed="1" x14ac:dyDescent="0.3">
      <c r="A569" s="188" t="s">
        <v>518</v>
      </c>
      <c r="B569" s="336"/>
      <c r="C569" s="337"/>
      <c r="D569" s="337"/>
      <c r="E569" s="347"/>
      <c r="F569" s="362">
        <f>SUM(F570:F573)</f>
        <v>0</v>
      </c>
      <c r="G569" s="362">
        <f>SUM(G570:G573)</f>
        <v>0</v>
      </c>
      <c r="H569" s="362">
        <f>SUM(H570:H573)</f>
        <v>0</v>
      </c>
      <c r="I569" s="362">
        <f>SUM(I570:I573)</f>
        <v>0</v>
      </c>
      <c r="J569" s="362">
        <f>SUM(J570:J573)</f>
        <v>0</v>
      </c>
      <c r="K569" s="354"/>
      <c r="L569" s="362">
        <f>SUM(L570:L573)</f>
        <v>0</v>
      </c>
      <c r="M569" s="354"/>
      <c r="N569" s="88"/>
      <c r="O569" s="362">
        <f>SUM(O570:O573)</f>
        <v>147.16</v>
      </c>
      <c r="P569" s="354"/>
      <c r="Q569" s="123"/>
      <c r="R569" s="357"/>
      <c r="S569" s="88"/>
      <c r="T569" s="362">
        <f>SUM(T570:T573)</f>
        <v>686.56</v>
      </c>
      <c r="U569" s="354"/>
      <c r="V569" s="123"/>
      <c r="W569" s="357"/>
      <c r="X569" s="340"/>
      <c r="Y569" s="362">
        <f>SUM(Y570:Y573)</f>
        <v>241.38</v>
      </c>
      <c r="Z569" s="354"/>
      <c r="AA569" s="30"/>
      <c r="AB569" s="357"/>
      <c r="AC569" s="88">
        <f>SUM(AC570:AC573)</f>
        <v>0</v>
      </c>
      <c r="AD569" s="362">
        <f>SUM(AD570:AD573)</f>
        <v>235.15</v>
      </c>
      <c r="AE569" s="90"/>
      <c r="AF569" s="30"/>
      <c r="AG569" s="357"/>
      <c r="AH569" s="88">
        <f>SUM(AH570:AH573)</f>
        <v>0</v>
      </c>
      <c r="AI569" s="362">
        <f>SUM(AI570:AI573)</f>
        <v>241.84</v>
      </c>
      <c r="AJ569" s="90"/>
      <c r="AK569" s="30"/>
      <c r="AL569" s="357"/>
      <c r="AM569" s="88"/>
      <c r="AN569" s="362">
        <f>SUM(AN570:AN573)</f>
        <v>0</v>
      </c>
      <c r="AO569" s="29"/>
      <c r="AP569" s="30"/>
      <c r="AQ569" s="357"/>
      <c r="AR569" s="88"/>
      <c r="AS569" s="338"/>
      <c r="AT569" s="29"/>
      <c r="AU569" s="30"/>
      <c r="AV569" s="357"/>
    </row>
    <row r="570" spans="1:48" s="62" customFormat="1" hidden="1" outlineLevel="3" x14ac:dyDescent="0.3">
      <c r="A570" s="190" t="s">
        <v>519</v>
      </c>
      <c r="B570" s="336"/>
      <c r="C570" s="337"/>
      <c r="D570" s="337"/>
      <c r="E570" s="347"/>
      <c r="F570" s="250"/>
      <c r="G570" s="250"/>
      <c r="H570" s="250"/>
      <c r="I570" s="250"/>
      <c r="J570" s="250"/>
      <c r="K570" s="354"/>
      <c r="L570" s="250"/>
      <c r="M570" s="354"/>
      <c r="N570" s="88"/>
      <c r="O570" s="250"/>
      <c r="P570" s="354"/>
      <c r="Q570" s="123"/>
      <c r="R570" s="357"/>
      <c r="S570" s="88"/>
      <c r="T570" s="250"/>
      <c r="U570" s="354"/>
      <c r="V570" s="123"/>
      <c r="W570" s="357"/>
      <c r="X570" s="340"/>
      <c r="Y570" s="250"/>
      <c r="Z570" s="354"/>
      <c r="AA570" s="30"/>
      <c r="AB570" s="357"/>
      <c r="AC570" s="88"/>
      <c r="AD570" s="250"/>
      <c r="AE570" s="90"/>
      <c r="AF570" s="30"/>
      <c r="AG570" s="357"/>
      <c r="AH570" s="88"/>
      <c r="AI570" s="250"/>
      <c r="AJ570" s="90"/>
      <c r="AK570" s="30"/>
      <c r="AL570" s="357"/>
      <c r="AM570" s="88"/>
      <c r="AN570" s="250"/>
      <c r="AO570" s="29"/>
      <c r="AP570" s="30"/>
      <c r="AQ570" s="357"/>
      <c r="AR570" s="88"/>
      <c r="AS570" s="338"/>
      <c r="AT570" s="29"/>
      <c r="AU570" s="30"/>
      <c r="AV570" s="357"/>
    </row>
    <row r="571" spans="1:48" s="62" customFormat="1" hidden="1" outlineLevel="3" x14ac:dyDescent="0.3">
      <c r="A571" s="190" t="s">
        <v>520</v>
      </c>
      <c r="B571" s="336"/>
      <c r="C571" s="337"/>
      <c r="D571" s="337"/>
      <c r="E571" s="347" t="str">
        <f>B147</f>
        <v>6420/01377 Cotis.AGEFOS Gard.           (0620)</v>
      </c>
      <c r="F571" s="250">
        <f>F147</f>
        <v>0</v>
      </c>
      <c r="G571" s="250">
        <f>G147</f>
        <v>0</v>
      </c>
      <c r="H571" s="250">
        <f>H147</f>
        <v>0</v>
      </c>
      <c r="I571" s="250">
        <f>I147</f>
        <v>0</v>
      </c>
      <c r="J571" s="250">
        <f>J147</f>
        <v>0</v>
      </c>
      <c r="K571" s="354"/>
      <c r="L571" s="250">
        <f>L147</f>
        <v>0</v>
      </c>
      <c r="M571" s="354"/>
      <c r="N571" s="88"/>
      <c r="O571" s="250">
        <f>O147</f>
        <v>147.16</v>
      </c>
      <c r="P571" s="354"/>
      <c r="Q571" s="123"/>
      <c r="R571" s="357"/>
      <c r="S571" s="88"/>
      <c r="T571" s="250">
        <f>T147</f>
        <v>686.56</v>
      </c>
      <c r="U571" s="354"/>
      <c r="V571" s="123"/>
      <c r="W571" s="357"/>
      <c r="X571" s="340"/>
      <c r="Y571" s="250">
        <f>Y147</f>
        <v>241.38</v>
      </c>
      <c r="Z571" s="354"/>
      <c r="AA571" s="30"/>
      <c r="AB571" s="357"/>
      <c r="AC571" s="88">
        <f>AC147</f>
        <v>0</v>
      </c>
      <c r="AD571" s="250">
        <f>AD147</f>
        <v>235.15</v>
      </c>
      <c r="AE571" s="90"/>
      <c r="AF571" s="30"/>
      <c r="AG571" s="357"/>
      <c r="AH571" s="88">
        <f>AH147</f>
        <v>0</v>
      </c>
      <c r="AI571" s="250">
        <f>AI147</f>
        <v>241.84</v>
      </c>
      <c r="AJ571" s="90"/>
      <c r="AK571" s="30"/>
      <c r="AL571" s="357"/>
      <c r="AM571" s="88"/>
      <c r="AN571" s="250">
        <f>AN147</f>
        <v>0</v>
      </c>
      <c r="AO571" s="29"/>
      <c r="AP571" s="30"/>
      <c r="AQ571" s="357"/>
      <c r="AR571" s="88"/>
      <c r="AS571" s="338"/>
      <c r="AT571" s="29"/>
      <c r="AU571" s="30"/>
      <c r="AV571" s="357"/>
    </row>
    <row r="572" spans="1:48" s="62" customFormat="1" hidden="1" outlineLevel="3" x14ac:dyDescent="0.3">
      <c r="A572" s="190" t="s">
        <v>521</v>
      </c>
      <c r="B572" s="336"/>
      <c r="C572" s="337"/>
      <c r="D572" s="337"/>
      <c r="E572" s="347"/>
      <c r="F572" s="250"/>
      <c r="G572" s="250"/>
      <c r="H572" s="250"/>
      <c r="I572" s="250"/>
      <c r="J572" s="250"/>
      <c r="K572" s="354"/>
      <c r="L572" s="250"/>
      <c r="M572" s="354"/>
      <c r="N572" s="88"/>
      <c r="O572" s="250"/>
      <c r="P572" s="354"/>
      <c r="Q572" s="123"/>
      <c r="R572" s="357"/>
      <c r="S572" s="88"/>
      <c r="T572" s="250"/>
      <c r="U572" s="354"/>
      <c r="V572" s="123"/>
      <c r="W572" s="357"/>
      <c r="X572" s="340"/>
      <c r="Y572" s="250"/>
      <c r="Z572" s="354"/>
      <c r="AA572" s="30"/>
      <c r="AB572" s="357"/>
      <c r="AC572" s="88"/>
      <c r="AD572" s="250"/>
      <c r="AE572" s="90"/>
      <c r="AF572" s="30"/>
      <c r="AG572" s="357"/>
      <c r="AH572" s="88"/>
      <c r="AI572" s="250"/>
      <c r="AJ572" s="90"/>
      <c r="AK572" s="30"/>
      <c r="AL572" s="357"/>
      <c r="AM572" s="88"/>
      <c r="AN572" s="250"/>
      <c r="AO572" s="29"/>
      <c r="AP572" s="30"/>
      <c r="AQ572" s="357"/>
      <c r="AR572" s="88"/>
      <c r="AS572" s="338"/>
      <c r="AT572" s="29"/>
      <c r="AU572" s="30"/>
      <c r="AV572" s="357"/>
    </row>
    <row r="573" spans="1:48" s="62" customFormat="1" hidden="1" outlineLevel="3" x14ac:dyDescent="0.3">
      <c r="A573" s="190" t="s">
        <v>522</v>
      </c>
      <c r="B573" s="336"/>
      <c r="C573" s="337"/>
      <c r="D573" s="337"/>
      <c r="E573" s="347"/>
      <c r="F573" s="250"/>
      <c r="G573" s="250"/>
      <c r="H573" s="250"/>
      <c r="I573" s="250"/>
      <c r="J573" s="250"/>
      <c r="K573" s="354"/>
      <c r="L573" s="250"/>
      <c r="M573" s="354"/>
      <c r="N573" s="88"/>
      <c r="O573" s="250"/>
      <c r="P573" s="354"/>
      <c r="Q573" s="123"/>
      <c r="R573" s="357"/>
      <c r="S573" s="88"/>
      <c r="T573" s="250"/>
      <c r="U573" s="354"/>
      <c r="V573" s="123"/>
      <c r="W573" s="357"/>
      <c r="X573" s="340"/>
      <c r="Y573" s="250"/>
      <c r="Z573" s="354"/>
      <c r="AA573" s="30"/>
      <c r="AB573" s="357"/>
      <c r="AC573" s="88"/>
      <c r="AD573" s="250"/>
      <c r="AE573" s="90"/>
      <c r="AF573" s="30"/>
      <c r="AG573" s="357"/>
      <c r="AH573" s="88"/>
      <c r="AI573" s="250"/>
      <c r="AJ573" s="90"/>
      <c r="AK573" s="30"/>
      <c r="AL573" s="357"/>
      <c r="AM573" s="88"/>
      <c r="AN573" s="250"/>
      <c r="AO573" s="29"/>
      <c r="AP573" s="30"/>
      <c r="AQ573" s="357"/>
      <c r="AR573" s="88"/>
      <c r="AS573" s="338"/>
      <c r="AT573" s="29"/>
      <c r="AU573" s="30"/>
      <c r="AV573" s="357"/>
    </row>
    <row r="574" spans="1:48" s="62" customFormat="1" hidden="1" outlineLevel="2" collapsed="1" x14ac:dyDescent="0.3">
      <c r="A574" s="188" t="s">
        <v>523</v>
      </c>
      <c r="B574" s="336"/>
      <c r="C574" s="337"/>
      <c r="D574" s="337"/>
      <c r="E574" s="347"/>
      <c r="F574" s="362">
        <f>SUM(F575:F576)</f>
        <v>0</v>
      </c>
      <c r="G574" s="362">
        <f>SUM(G575:G576)</f>
        <v>0</v>
      </c>
      <c r="H574" s="362">
        <f>SUM(H575:H576)</f>
        <v>0</v>
      </c>
      <c r="I574" s="362">
        <f>SUM(I575:I576)</f>
        <v>-53237.43</v>
      </c>
      <c r="J574" s="362">
        <f>SUM(J575:J576)</f>
        <v>0</v>
      </c>
      <c r="K574" s="354"/>
      <c r="L574" s="362">
        <f>SUM(L575:L576)</f>
        <v>0</v>
      </c>
      <c r="M574" s="354"/>
      <c r="N574" s="88"/>
      <c r="O574" s="362">
        <f>SUM(O575:O576)</f>
        <v>0</v>
      </c>
      <c r="P574" s="354"/>
      <c r="Q574" s="123"/>
      <c r="R574" s="357"/>
      <c r="S574" s="88"/>
      <c r="T574" s="362">
        <f>SUM(T575:T576)</f>
        <v>0</v>
      </c>
      <c r="U574" s="354"/>
      <c r="V574" s="123"/>
      <c r="W574" s="357"/>
      <c r="X574" s="340"/>
      <c r="Y574" s="362">
        <f>SUM(Y575:Y576)</f>
        <v>0</v>
      </c>
      <c r="Z574" s="354"/>
      <c r="AA574" s="30"/>
      <c r="AB574" s="357"/>
      <c r="AC574" s="88">
        <f>SUM(AC575:AC576)</f>
        <v>1700</v>
      </c>
      <c r="AD574" s="362">
        <f>SUM(AD575:AD576)</f>
        <v>0</v>
      </c>
      <c r="AE574" s="90"/>
      <c r="AF574" s="30"/>
      <c r="AG574" s="357"/>
      <c r="AH574" s="88">
        <f>SUM(AH575:AH576)</f>
        <v>1730</v>
      </c>
      <c r="AI574" s="362">
        <f>SUM(AI575:AI576)</f>
        <v>0</v>
      </c>
      <c r="AJ574" s="90"/>
      <c r="AK574" s="30"/>
      <c r="AL574" s="357"/>
      <c r="AM574" s="88"/>
      <c r="AN574" s="362">
        <f>SUM(AN575:AN576)</f>
        <v>0</v>
      </c>
      <c r="AO574" s="29"/>
      <c r="AP574" s="30"/>
      <c r="AQ574" s="357"/>
      <c r="AR574" s="88"/>
      <c r="AS574" s="338"/>
      <c r="AT574" s="29"/>
      <c r="AU574" s="30"/>
      <c r="AV574" s="357"/>
    </row>
    <row r="575" spans="1:48" s="62" customFormat="1" hidden="1" outlineLevel="3" x14ac:dyDescent="0.3">
      <c r="A575" s="190" t="s">
        <v>524</v>
      </c>
      <c r="B575" s="336"/>
      <c r="C575" s="337"/>
      <c r="D575" s="337"/>
      <c r="E575" s="347" t="str">
        <f>B129</f>
        <v>6420/01329  Charges Soc.Pers.Entretien  (0460)</v>
      </c>
      <c r="F575" s="250">
        <f>F129</f>
        <v>0</v>
      </c>
      <c r="G575" s="250">
        <f>G129</f>
        <v>0</v>
      </c>
      <c r="H575" s="250">
        <f>H129</f>
        <v>0</v>
      </c>
      <c r="I575" s="250">
        <f>I129</f>
        <v>0</v>
      </c>
      <c r="J575" s="250">
        <f>J129</f>
        <v>0</v>
      </c>
      <c r="K575" s="354">
        <f>H129</f>
        <v>0</v>
      </c>
      <c r="L575" s="250">
        <f>L129</f>
        <v>0</v>
      </c>
      <c r="M575" s="354">
        <f>J129</f>
        <v>0</v>
      </c>
      <c r="N575" s="88"/>
      <c r="O575" s="250">
        <f>O129</f>
        <v>0</v>
      </c>
      <c r="P575" s="354">
        <f>M129</f>
        <v>0</v>
      </c>
      <c r="Q575" s="123"/>
      <c r="R575" s="357"/>
      <c r="S575" s="88"/>
      <c r="T575" s="250">
        <f>T129</f>
        <v>0</v>
      </c>
      <c r="U575" s="354">
        <f>P129</f>
        <v>0</v>
      </c>
      <c r="V575" s="123"/>
      <c r="W575" s="357"/>
      <c r="X575" s="340"/>
      <c r="Y575" s="250">
        <f>Y129</f>
        <v>0</v>
      </c>
      <c r="Z575" s="354" t="str">
        <f>W129</f>
        <v/>
      </c>
      <c r="AA575" s="30"/>
      <c r="AB575" s="357"/>
      <c r="AC575" s="88">
        <f>AC129</f>
        <v>1700</v>
      </c>
      <c r="AD575" s="250">
        <f>AD129</f>
        <v>0</v>
      </c>
      <c r="AE575" s="90">
        <f>AB129</f>
        <v>2.9054367401567839E-2</v>
      </c>
      <c r="AF575" s="30"/>
      <c r="AG575" s="357"/>
      <c r="AH575" s="88">
        <f>AH129</f>
        <v>1730</v>
      </c>
      <c r="AI575" s="250">
        <f>AI129</f>
        <v>0</v>
      </c>
      <c r="AJ575" s="90"/>
      <c r="AK575" s="30"/>
      <c r="AL575" s="357"/>
      <c r="AM575" s="88"/>
      <c r="AN575" s="250">
        <f>AN129</f>
        <v>0</v>
      </c>
      <c r="AO575" s="29"/>
      <c r="AP575" s="30"/>
      <c r="AQ575" s="357"/>
      <c r="AR575" s="88"/>
      <c r="AS575" s="338"/>
      <c r="AT575" s="29"/>
      <c r="AU575" s="30"/>
      <c r="AV575" s="357"/>
    </row>
    <row r="576" spans="1:48" s="62" customFormat="1" hidden="1" outlineLevel="3" x14ac:dyDescent="0.3">
      <c r="A576" s="190" t="s">
        <v>525</v>
      </c>
      <c r="B576" s="336"/>
      <c r="C576" s="337"/>
      <c r="D576" s="337"/>
      <c r="E576" s="347" t="str">
        <f>B117</f>
        <v>6420/00309 Salaires+Ch.Soc           (0340)</v>
      </c>
      <c r="F576" s="250">
        <f>F117</f>
        <v>0</v>
      </c>
      <c r="G576" s="250">
        <f>G117</f>
        <v>0</v>
      </c>
      <c r="H576" s="250">
        <f>H117</f>
        <v>0</v>
      </c>
      <c r="I576" s="250">
        <f>I117</f>
        <v>-53237.43</v>
      </c>
      <c r="J576" s="250">
        <f>J117</f>
        <v>0</v>
      </c>
      <c r="K576" s="354">
        <f>H117</f>
        <v>0</v>
      </c>
      <c r="L576" s="250">
        <f>L117</f>
        <v>0</v>
      </c>
      <c r="M576" s="354">
        <f>J117</f>
        <v>0</v>
      </c>
      <c r="N576" s="88"/>
      <c r="O576" s="250">
        <f>O117</f>
        <v>0</v>
      </c>
      <c r="P576" s="354">
        <f>M117</f>
        <v>0</v>
      </c>
      <c r="Q576" s="123"/>
      <c r="R576" s="357"/>
      <c r="S576" s="88"/>
      <c r="T576" s="250">
        <f>T117</f>
        <v>0</v>
      </c>
      <c r="U576" s="354">
        <f>P117</f>
        <v>0</v>
      </c>
      <c r="V576" s="123"/>
      <c r="W576" s="357"/>
      <c r="X576" s="340"/>
      <c r="Y576" s="250">
        <f>Y117</f>
        <v>0</v>
      </c>
      <c r="Z576" s="354" t="str">
        <f>W117</f>
        <v/>
      </c>
      <c r="AA576" s="30"/>
      <c r="AB576" s="357"/>
      <c r="AC576" s="88">
        <f>AC117</f>
        <v>0</v>
      </c>
      <c r="AD576" s="250">
        <f>AD117</f>
        <v>0</v>
      </c>
      <c r="AE576" s="90" t="str">
        <f>AB117</f>
        <v/>
      </c>
      <c r="AF576" s="30"/>
      <c r="AG576" s="357"/>
      <c r="AH576" s="88">
        <f>AH117</f>
        <v>0</v>
      </c>
      <c r="AI576" s="250">
        <f>AI117</f>
        <v>0</v>
      </c>
      <c r="AJ576" s="90"/>
      <c r="AK576" s="30"/>
      <c r="AL576" s="357"/>
      <c r="AM576" s="88"/>
      <c r="AN576" s="250">
        <f>AN117</f>
        <v>0</v>
      </c>
      <c r="AO576" s="29"/>
      <c r="AP576" s="30"/>
      <c r="AQ576" s="357"/>
      <c r="AR576" s="88"/>
      <c r="AS576" s="338"/>
      <c r="AT576" s="29"/>
      <c r="AU576" s="30"/>
      <c r="AV576" s="357"/>
    </row>
    <row r="577" spans="1:48" s="62" customFormat="1" hidden="1" outlineLevel="1" collapsed="1" x14ac:dyDescent="0.3">
      <c r="A577" s="199" t="s">
        <v>526</v>
      </c>
      <c r="B577" s="336"/>
      <c r="C577" s="337"/>
      <c r="D577" s="337"/>
      <c r="E577" s="373">
        <f>Y577-Y347</f>
        <v>0</v>
      </c>
      <c r="F577" s="348">
        <f>SUM(F578:F582)</f>
        <v>9128</v>
      </c>
      <c r="G577" s="348">
        <f>SUM(G578:G582)</f>
        <v>10116</v>
      </c>
      <c r="H577" s="348">
        <f>SUM(H578:H582)</f>
        <v>8915</v>
      </c>
      <c r="I577" s="348">
        <f>SUM(I578:I582)</f>
        <v>9583</v>
      </c>
      <c r="J577" s="348">
        <f>SUM(J578:J582)</f>
        <v>5696</v>
      </c>
      <c r="K577" s="349" t="str">
        <f>ROUND((J577-I577),2)&amp;"  ( "&amp;(ROUND((J577-I577)/(IF(I577=0,0.0001,I577)),3)*100)&amp;"% )"</f>
        <v>-3887  ( -40,6% )</v>
      </c>
      <c r="L577" s="348">
        <f>SUM(L578:L582)</f>
        <v>4891.66</v>
      </c>
      <c r="M577" s="349" t="str">
        <f>ROUND((L577-G577),2)&amp;"   ( "&amp;(ROUND((L577-G577)/(IF(G577=0,0.0001,G577)),3)*100)&amp;"% )"</f>
        <v>-5224,34   ( -51,6% )</v>
      </c>
      <c r="N577" s="88"/>
      <c r="O577" s="348">
        <f>SUM(O578:O582)</f>
        <v>6428.0400000000009</v>
      </c>
      <c r="P577" s="349" t="str">
        <f>ROUND((O577-J577),2)&amp;"   ( "&amp;(ROUND((O577-J577)/(IF(J577=0,0.0001,J577)),3)*100)&amp;"% )"</f>
        <v>732,04   ( 12,9% )</v>
      </c>
      <c r="Q577" s="123"/>
      <c r="R577" s="357">
        <f>O577/O$640</f>
        <v>1.2829281171147216E-2</v>
      </c>
      <c r="S577" s="88"/>
      <c r="T577" s="348">
        <f>SUM(T578:T582)</f>
        <v>6080</v>
      </c>
      <c r="U577" s="349" t="str">
        <f>ROUND((T577-O577),2)&amp;"   ( "&amp;(ROUND((T577-O577)/(IF(O577=0,0.0001,O577)),3)*100)&amp;"% )"</f>
        <v>-348,04   ( -5,4% )</v>
      </c>
      <c r="V577" s="123"/>
      <c r="W577" s="357">
        <f>T577/T$640</f>
        <v>1.2431720106364817E-2</v>
      </c>
      <c r="X577" s="340"/>
      <c r="Y577" s="348">
        <f>SUM(Y578:Y582)</f>
        <v>5825</v>
      </c>
      <c r="Z577" s="349" t="str">
        <f>ROUND((Y577-T577),2)&amp;"   ( "&amp;(ROUND((Y577-T577)/(IF(T577=0,0.0001,T577)),3)*100)&amp;"% )"</f>
        <v>-255   ( -4,2% )</v>
      </c>
      <c r="AA577" s="30"/>
      <c r="AB577" s="357">
        <f>Y577/Y$640</f>
        <v>1.1435359895707948E-2</v>
      </c>
      <c r="AC577" s="88">
        <f>SUM(AC578:AC582)</f>
        <v>6990</v>
      </c>
      <c r="AD577" s="348">
        <f>SUM(AD578:AD582)</f>
        <v>6262</v>
      </c>
      <c r="AE577" s="6" t="str">
        <f>ROUND((AD577-Y577),2)&amp;"   ( "&amp;(ROUND((AD577-Y577)/(IF(Y577=0,0.0001,Y577)),3)*100)&amp;"% )"</f>
        <v>437   ( 7,5% )</v>
      </c>
      <c r="AF577" s="30"/>
      <c r="AG577" s="357">
        <f>AD577/AD$640</f>
        <v>1.2434892801672497E-2</v>
      </c>
      <c r="AH577" s="88">
        <f>SUM(AH578:AH582)</f>
        <v>7100</v>
      </c>
      <c r="AI577" s="348">
        <f>SUM(AI578:AI582)</f>
        <v>6504</v>
      </c>
      <c r="AJ577" s="6" t="str">
        <f t="shared" ref="AJ577" si="444">ROUND(AI577-AD577,2) &amp; "   (" &amp; ROUND(100*(AI577-AD577)/AD577,1) &amp;"%)"</f>
        <v>242   (3,9%)</v>
      </c>
      <c r="AK577" s="30"/>
      <c r="AL577" s="357">
        <f>AI577/AI$640</f>
        <v>1.349758241987206E-2</v>
      </c>
      <c r="AM577" s="88"/>
      <c r="AN577" s="348">
        <f>SUM(AN578:AN582)</f>
        <v>4345</v>
      </c>
      <c r="AO577" s="35" t="str">
        <f t="shared" ref="AO577" si="445">ROUND(AN577-AI577,2) &amp; "   (" &amp; ROUND(100*(AN577-AI577)/AI577,1) &amp;"%)"</f>
        <v>-2159   (-33,2%)</v>
      </c>
      <c r="AP577" s="30"/>
      <c r="AQ577" s="357">
        <f>AN577/AN$640</f>
        <v>1.1713522554124832E-2</v>
      </c>
      <c r="AR577" s="88"/>
      <c r="AS577" s="338"/>
      <c r="AT577" s="35" t="str">
        <f t="shared" ref="AT577" si="446">ROUND(AS577-AN577,2) &amp; "   (" &amp; ROUND(100*(AS577-AN577)/AN577,1) &amp;"%)"</f>
        <v>-4345   (-100%)</v>
      </c>
      <c r="AU577" s="30"/>
      <c r="AV577" s="357" t="e">
        <f>AS577/AS$640</f>
        <v>#DIV/0!</v>
      </c>
    </row>
    <row r="578" spans="1:48" s="188" customFormat="1" hidden="1" outlineLevel="2" x14ac:dyDescent="0.3">
      <c r="A578" s="190" t="s">
        <v>527</v>
      </c>
      <c r="B578" s="381"/>
      <c r="E578" s="347" t="str">
        <f xml:space="preserve"> B119</f>
        <v>6430/01314  Taxes salaires C         (0360)</v>
      </c>
      <c r="F578" s="250">
        <f xml:space="preserve"> F119</f>
        <v>0</v>
      </c>
      <c r="G578" s="250">
        <f xml:space="preserve"> G119</f>
        <v>8628.18</v>
      </c>
      <c r="H578" s="250">
        <f xml:space="preserve"> H119</f>
        <v>6493.82</v>
      </c>
      <c r="I578" s="250">
        <f xml:space="preserve"> I119</f>
        <v>8041.98</v>
      </c>
      <c r="J578" s="250">
        <f xml:space="preserve"> J119</f>
        <v>3245.54</v>
      </c>
      <c r="K578" s="354">
        <f xml:space="preserve"> H119</f>
        <v>6493.82</v>
      </c>
      <c r="L578" s="250">
        <f xml:space="preserve"> L119</f>
        <v>0</v>
      </c>
      <c r="M578" s="354">
        <f xml:space="preserve"> J119</f>
        <v>3245.54</v>
      </c>
      <c r="N578" s="88"/>
      <c r="O578" s="250">
        <f xml:space="preserve"> O119</f>
        <v>0</v>
      </c>
      <c r="P578" s="354">
        <f xml:space="preserve"> M119</f>
        <v>0</v>
      </c>
      <c r="Q578" s="123"/>
      <c r="R578" s="357"/>
      <c r="S578" s="88"/>
      <c r="T578" s="250">
        <f xml:space="preserve"> T119</f>
        <v>0</v>
      </c>
      <c r="U578" s="354">
        <f xml:space="preserve"> P119</f>
        <v>0</v>
      </c>
      <c r="V578" s="123"/>
      <c r="W578" s="357"/>
      <c r="X578" s="340"/>
      <c r="Y578" s="250">
        <f xml:space="preserve"> Y119</f>
        <v>0</v>
      </c>
      <c r="Z578" s="354" t="str">
        <f xml:space="preserve"> W119</f>
        <v/>
      </c>
      <c r="AA578" s="30"/>
      <c r="AB578" s="357"/>
      <c r="AC578" s="88">
        <f xml:space="preserve"> AC119</f>
        <v>4490</v>
      </c>
      <c r="AD578" s="250">
        <f xml:space="preserve"> AD119</f>
        <v>0</v>
      </c>
      <c r="AE578" s="90" t="str">
        <f xml:space="preserve"> AB119</f>
        <v/>
      </c>
      <c r="AF578" s="30"/>
      <c r="AG578" s="357"/>
      <c r="AH578" s="88">
        <f xml:space="preserve"> AH119</f>
        <v>4560</v>
      </c>
      <c r="AI578" s="250">
        <f xml:space="preserve"> AI119</f>
        <v>0</v>
      </c>
      <c r="AJ578" s="90"/>
      <c r="AK578" s="30"/>
      <c r="AL578" s="357"/>
      <c r="AM578" s="88"/>
      <c r="AN578" s="250">
        <f xml:space="preserve"> AN119</f>
        <v>0</v>
      </c>
      <c r="AO578" s="29"/>
      <c r="AP578" s="30"/>
      <c r="AQ578" s="357"/>
      <c r="AR578" s="88"/>
      <c r="AS578" s="338"/>
      <c r="AT578" s="29"/>
      <c r="AU578" s="30"/>
      <c r="AV578" s="357"/>
    </row>
    <row r="579" spans="1:48" s="188" customFormat="1" hidden="1" outlineLevel="2" x14ac:dyDescent="0.3">
      <c r="A579" s="190" t="s">
        <v>528</v>
      </c>
      <c r="B579" s="381"/>
      <c r="E579" s="347"/>
      <c r="F579" s="250"/>
      <c r="G579" s="250"/>
      <c r="H579" s="250"/>
      <c r="I579" s="250"/>
      <c r="J579" s="250"/>
      <c r="K579" s="354"/>
      <c r="L579" s="250"/>
      <c r="M579" s="354"/>
      <c r="N579" s="88"/>
      <c r="O579" s="250"/>
      <c r="P579" s="354"/>
      <c r="Q579" s="123"/>
      <c r="R579" s="357"/>
      <c r="S579" s="88"/>
      <c r="T579" s="250"/>
      <c r="U579" s="354"/>
      <c r="V579" s="123"/>
      <c r="W579" s="357"/>
      <c r="X579" s="340"/>
      <c r="Y579" s="250"/>
      <c r="Z579" s="354"/>
      <c r="AA579" s="30"/>
      <c r="AB579" s="357"/>
      <c r="AC579" s="88"/>
      <c r="AD579" s="250"/>
      <c r="AE579" s="90"/>
      <c r="AF579" s="30"/>
      <c r="AG579" s="357"/>
      <c r="AH579" s="88"/>
      <c r="AI579" s="250"/>
      <c r="AJ579" s="90"/>
      <c r="AK579" s="30"/>
      <c r="AL579" s="357"/>
      <c r="AM579" s="88"/>
      <c r="AN579" s="250"/>
      <c r="AO579" s="29"/>
      <c r="AP579" s="30"/>
      <c r="AQ579" s="357"/>
      <c r="AR579" s="88"/>
      <c r="AS579" s="338"/>
      <c r="AT579" s="29"/>
      <c r="AU579" s="30"/>
      <c r="AV579" s="357"/>
    </row>
    <row r="580" spans="1:48" s="188" customFormat="1" hidden="1" outlineLevel="2" x14ac:dyDescent="0.3">
      <c r="A580" s="190" t="s">
        <v>529</v>
      </c>
      <c r="B580" s="381"/>
      <c r="E580" s="347" t="str">
        <f>B146</f>
        <v>6430/01376 Taxe Salaires Gard. 40%     (0610)</v>
      </c>
      <c r="F580" s="250">
        <f>F146</f>
        <v>0</v>
      </c>
      <c r="G580" s="250">
        <f>G146</f>
        <v>0</v>
      </c>
      <c r="H580" s="250">
        <f>H146</f>
        <v>0</v>
      </c>
      <c r="I580" s="250">
        <f>I146</f>
        <v>0</v>
      </c>
      <c r="J580" s="250">
        <f>J146</f>
        <v>0</v>
      </c>
      <c r="K580" s="354"/>
      <c r="L580" s="250">
        <f>L146</f>
        <v>2347.16</v>
      </c>
      <c r="M580" s="354"/>
      <c r="N580" s="88"/>
      <c r="O580" s="250">
        <f>O146</f>
        <v>4070.15</v>
      </c>
      <c r="P580" s="354"/>
      <c r="Q580" s="123"/>
      <c r="R580" s="357"/>
      <c r="S580" s="88"/>
      <c r="T580" s="250">
        <f>T146</f>
        <v>3545.42</v>
      </c>
      <c r="U580" s="354"/>
      <c r="V580" s="123"/>
      <c r="W580" s="357"/>
      <c r="X580" s="340"/>
      <c r="Y580" s="250">
        <f>Y146</f>
        <v>3374.49</v>
      </c>
      <c r="Z580" s="354"/>
      <c r="AA580" s="30"/>
      <c r="AB580" s="357"/>
      <c r="AC580" s="88">
        <f>AC146</f>
        <v>0</v>
      </c>
      <c r="AD580" s="250">
        <f>AD146</f>
        <v>3541.67</v>
      </c>
      <c r="AE580" s="90"/>
      <c r="AF580" s="30"/>
      <c r="AG580" s="357"/>
      <c r="AH580" s="88">
        <f>AH146</f>
        <v>0</v>
      </c>
      <c r="AI580" s="250">
        <f>AI146</f>
        <v>3050.68</v>
      </c>
      <c r="AJ580" s="90"/>
      <c r="AK580" s="30"/>
      <c r="AL580" s="357"/>
      <c r="AM580" s="88"/>
      <c r="AN580" s="250">
        <f>AN146</f>
        <v>2653</v>
      </c>
      <c r="AO580" s="29"/>
      <c r="AP580" s="30"/>
      <c r="AQ580" s="357"/>
      <c r="AR580" s="88"/>
      <c r="AS580" s="338"/>
      <c r="AT580" s="29"/>
      <c r="AU580" s="30"/>
      <c r="AV580" s="357"/>
    </row>
    <row r="581" spans="1:48" s="188" customFormat="1" hidden="1" outlineLevel="2" x14ac:dyDescent="0.3">
      <c r="A581" s="190" t="s">
        <v>530</v>
      </c>
      <c r="B581" s="381"/>
      <c r="E581" s="347" t="str">
        <f>B160</f>
        <v>6430/01396 Taxe Salares Gard. 0%       (0740)</v>
      </c>
      <c r="F581" s="250">
        <f>F160</f>
        <v>0</v>
      </c>
      <c r="G581" s="250">
        <f>G160</f>
        <v>0</v>
      </c>
      <c r="H581" s="250">
        <f>H160</f>
        <v>0</v>
      </c>
      <c r="I581" s="250">
        <f>I160</f>
        <v>0</v>
      </c>
      <c r="J581" s="250">
        <f>J160</f>
        <v>0</v>
      </c>
      <c r="K581" s="354">
        <f>H160</f>
        <v>0</v>
      </c>
      <c r="L581" s="250">
        <f>L160</f>
        <v>0</v>
      </c>
      <c r="M581" s="354">
        <f>J160</f>
        <v>0</v>
      </c>
      <c r="N581" s="88"/>
      <c r="O581" s="250">
        <f>O160</f>
        <v>83.04</v>
      </c>
      <c r="P581" s="354">
        <f>M160</f>
        <v>0</v>
      </c>
      <c r="Q581" s="123"/>
      <c r="R581" s="357"/>
      <c r="S581" s="88"/>
      <c r="T581" s="250">
        <f>T160</f>
        <v>0</v>
      </c>
      <c r="U581" s="354">
        <f>P160</f>
        <v>0</v>
      </c>
      <c r="V581" s="123"/>
      <c r="W581" s="357"/>
      <c r="X581" s="340"/>
      <c r="Y581" s="250">
        <f>Y160</f>
        <v>0</v>
      </c>
      <c r="Z581" s="354" t="str">
        <f>W160</f>
        <v/>
      </c>
      <c r="AA581" s="30"/>
      <c r="AB581" s="357"/>
      <c r="AC581" s="88">
        <f>AC160</f>
        <v>0</v>
      </c>
      <c r="AD581" s="250">
        <f>AD160</f>
        <v>0</v>
      </c>
      <c r="AE581" s="90" t="str">
        <f>AB160</f>
        <v/>
      </c>
      <c r="AF581" s="30"/>
      <c r="AG581" s="357"/>
      <c r="AH581" s="88">
        <f>AH160</f>
        <v>0</v>
      </c>
      <c r="AI581" s="250">
        <f>AI160</f>
        <v>0</v>
      </c>
      <c r="AJ581" s="90"/>
      <c r="AK581" s="30"/>
      <c r="AL581" s="357"/>
      <c r="AM581" s="88"/>
      <c r="AN581" s="250">
        <f>AN160</f>
        <v>0</v>
      </c>
      <c r="AO581" s="29"/>
      <c r="AP581" s="30"/>
      <c r="AQ581" s="357"/>
      <c r="AR581" s="88"/>
      <c r="AS581" s="338"/>
      <c r="AT581" s="29"/>
      <c r="AU581" s="30"/>
      <c r="AV581" s="357"/>
    </row>
    <row r="582" spans="1:48" s="188" customFormat="1" hidden="1" outlineLevel="2" x14ac:dyDescent="0.3">
      <c r="A582" s="190" t="s">
        <v>531</v>
      </c>
      <c r="B582" s="381"/>
      <c r="E582" s="347" t="str">
        <f>B127</f>
        <v>6430/00327 Taxes Salaires PE        (0440)</v>
      </c>
      <c r="F582" s="250">
        <f>F127</f>
        <v>9128</v>
      </c>
      <c r="G582" s="250">
        <f>G127</f>
        <v>1487.82</v>
      </c>
      <c r="H582" s="250">
        <f>H127</f>
        <v>2421.1799999999998</v>
      </c>
      <c r="I582" s="250">
        <f>I127</f>
        <v>1541.02</v>
      </c>
      <c r="J582" s="250">
        <f>J127</f>
        <v>2450.46</v>
      </c>
      <c r="K582" s="354"/>
      <c r="L582" s="250">
        <f>L127</f>
        <v>2544.5</v>
      </c>
      <c r="M582" s="354"/>
      <c r="N582" s="88"/>
      <c r="O582" s="250">
        <f>O127</f>
        <v>2274.85</v>
      </c>
      <c r="P582" s="354"/>
      <c r="Q582" s="123"/>
      <c r="R582" s="357"/>
      <c r="S582" s="88"/>
      <c r="T582" s="250">
        <f>T127</f>
        <v>2534.58</v>
      </c>
      <c r="U582" s="354"/>
      <c r="V582" s="123"/>
      <c r="W582" s="357"/>
      <c r="X582" s="340"/>
      <c r="Y582" s="250">
        <f>Y127</f>
        <v>2450.5100000000002</v>
      </c>
      <c r="Z582" s="354"/>
      <c r="AA582" s="30"/>
      <c r="AB582" s="357"/>
      <c r="AC582" s="88">
        <f>AC127</f>
        <v>2500</v>
      </c>
      <c r="AD582" s="250">
        <f>AD127</f>
        <v>2720.33</v>
      </c>
      <c r="AE582" s="90"/>
      <c r="AF582" s="30"/>
      <c r="AG582" s="357"/>
      <c r="AH582" s="88">
        <f>AH127</f>
        <v>2540</v>
      </c>
      <c r="AI582" s="250">
        <f>AI127</f>
        <v>3453.32</v>
      </c>
      <c r="AJ582" s="90"/>
      <c r="AK582" s="30"/>
      <c r="AL582" s="357"/>
      <c r="AM582" s="88"/>
      <c r="AN582" s="250">
        <f>AN127</f>
        <v>1692</v>
      </c>
      <c r="AO582" s="29"/>
      <c r="AP582" s="30"/>
      <c r="AQ582" s="357"/>
      <c r="AR582" s="88"/>
      <c r="AS582" s="338"/>
      <c r="AT582" s="29"/>
      <c r="AU582" s="30"/>
      <c r="AV582" s="357"/>
    </row>
    <row r="583" spans="1:48" s="62" customFormat="1" hidden="1" outlineLevel="1" collapsed="1" x14ac:dyDescent="0.3">
      <c r="A583" s="199" t="s">
        <v>532</v>
      </c>
      <c r="B583" s="336"/>
      <c r="C583" s="337"/>
      <c r="D583" s="337"/>
      <c r="E583" s="347"/>
      <c r="F583" s="348">
        <f>SUM(F584,F590,F593,F596,F597,F598,)</f>
        <v>755.65</v>
      </c>
      <c r="G583" s="348">
        <f>SUM(G584,G590,G593,G596,G597,G598,)</f>
        <v>756.72</v>
      </c>
      <c r="H583" s="348">
        <f>SUM(H584,H590,H593,H596,H597,H598,)</f>
        <v>769.3</v>
      </c>
      <c r="I583" s="348">
        <f>SUM(I584,I590,I593,I596,I597,I598,)</f>
        <v>801.64</v>
      </c>
      <c r="J583" s="348">
        <f>SUM(J584,J590,J593,J596,J597,J598,)</f>
        <v>874.05000000000007</v>
      </c>
      <c r="K583" s="349" t="str">
        <f>ROUND((J583-I583),2)&amp;"  ( "&amp;(ROUND((J583-I583)/(IF(I583=0,0.0001,I583)),3)*100)&amp;"% )"</f>
        <v>72,41  ( 9% )</v>
      </c>
      <c r="L583" s="348">
        <f>SUM(L584,L590,L593,L596,L597,L598,)</f>
        <v>908.75000000000023</v>
      </c>
      <c r="M583" s="349" t="str">
        <f>ROUND((L583-G583),2)&amp;"   ( "&amp;(ROUND((L583-G583)/(IF(G583=0,0.0001,G583)),3)*100)&amp;"% )"</f>
        <v>152,03   ( 20,1% )</v>
      </c>
      <c r="N583" s="88"/>
      <c r="O583" s="348">
        <f>SUM(O584,O590,O593,O596,O597,O598,)</f>
        <v>726.32000000000016</v>
      </c>
      <c r="P583" s="349" t="str">
        <f>ROUND((O583-J583),2)&amp;"   ( "&amp;(ROUND((O583-J583)/(IF(J583=0,0.0001,J583)),3)*100)&amp;"% )"</f>
        <v>-147,73   ( -16,9% )</v>
      </c>
      <c r="Q583" s="123"/>
      <c r="R583" s="357">
        <f>O583/O$640</f>
        <v>1.4496119346220071E-3</v>
      </c>
      <c r="S583" s="88"/>
      <c r="T583" s="348">
        <f>SUM(T584,T590,T593,T596,T597,T598,)</f>
        <v>-2028.1099999999997</v>
      </c>
      <c r="U583" s="349" t="str">
        <f>ROUND((T583-O583),2)&amp;"   ( "&amp;(ROUND((T583-O583)/(IF(O583=0,0.0001,O583)),3)*100)&amp;"% )"</f>
        <v>-2754,43   ( -379,2% )</v>
      </c>
      <c r="V583" s="123"/>
      <c r="W583" s="357">
        <f>T583/T$640</f>
        <v>-4.1468578725196619E-3</v>
      </c>
      <c r="X583" s="340"/>
      <c r="Y583" s="348">
        <f>SUM(Y584,Y590,Y593,Y596,Y597,Y598,)</f>
        <v>7342.44</v>
      </c>
      <c r="Z583" s="349" t="str">
        <f>ROUND((Y583-T583),2)&amp;"   ( "&amp;(ROUND((Y583-T583)/(IF(T583=0,0.0001,T583)),3)*100)&amp;"% )"</f>
        <v>9370,55   ( -462% )</v>
      </c>
      <c r="AA583" s="30"/>
      <c r="AB583" s="357">
        <f>Y583/Y$640</f>
        <v>1.4414325135217487E-2</v>
      </c>
      <c r="AC583" s="88">
        <f>SUM(AC584,AC590,AC593,AC596,AC597,AC598,)</f>
        <v>1690</v>
      </c>
      <c r="AD583" s="348">
        <f>SUM(AD584,AD590,AD593,AD596,AD597,AD598,)</f>
        <v>11590.99</v>
      </c>
      <c r="AE583" s="6" t="str">
        <f>ROUND((AD583-Y583),2)&amp;"   ( "&amp;(ROUND((AD583-Y583)/(IF(Y583=0,0.0001,Y583)),3)*100)&amp;"% )"</f>
        <v>4248,55   ( 57,9% )</v>
      </c>
      <c r="AF583" s="30"/>
      <c r="AG583" s="357">
        <f>AD583/AD$640</f>
        <v>2.3017042177460537E-2</v>
      </c>
      <c r="AH583" s="88">
        <f>SUM(AH584,AH590,AH593,AH596,AH597,AH598,)</f>
        <v>1750</v>
      </c>
      <c r="AI583" s="348">
        <f>SUM(AI584,AI590,AI593,AI596,AI597,AI598,)</f>
        <v>3091.8199999999997</v>
      </c>
      <c r="AJ583" s="6" t="str">
        <f t="shared" ref="AJ583" si="447">ROUND(AI583-AD583,2) &amp; "   (" &amp; ROUND(100*(AI583-AD583)/AD583,1) &amp;"%)"</f>
        <v>-8499,17   (-73,3%)</v>
      </c>
      <c r="AK583" s="30"/>
      <c r="AL583" s="357">
        <f>AI583/AI$640</f>
        <v>6.4163738126397337E-3</v>
      </c>
      <c r="AM583" s="88"/>
      <c r="AN583" s="348">
        <f>SUM(AN584,AN590,AN593,AN596,AN597,AN598,)</f>
        <v>6300.7699999999995</v>
      </c>
      <c r="AO583" s="35" t="str">
        <f t="shared" ref="AO583" si="448">ROUND(AN583-AI583,2) &amp; "   (" &amp; ROUND(100*(AN583-AI583)/AI583,1) &amp;"%)"</f>
        <v>3208,95   (103,8%)</v>
      </c>
      <c r="AP583" s="30"/>
      <c r="AQ583" s="357">
        <f>AN583/AN$640</f>
        <v>1.6986009551980003E-2</v>
      </c>
      <c r="AR583" s="88"/>
      <c r="AS583" s="338"/>
      <c r="AT583" s="35" t="str">
        <f t="shared" ref="AT583" si="449">ROUND(AS583-AN583,2) &amp; "   (" &amp; ROUND(100*(AS583-AN583)/AN583,1) &amp;"%)"</f>
        <v>-6300,77   (-100%)</v>
      </c>
      <c r="AU583" s="30"/>
      <c r="AV583" s="357" t="e">
        <f>AS583/AS$640</f>
        <v>#DIV/0!</v>
      </c>
    </row>
    <row r="584" spans="1:48" s="62" customFormat="1" hidden="1" outlineLevel="2" collapsed="1" x14ac:dyDescent="0.3">
      <c r="A584" s="188" t="s">
        <v>533</v>
      </c>
      <c r="B584" s="336"/>
      <c r="C584" s="337"/>
      <c r="D584" s="337"/>
      <c r="E584" s="347"/>
      <c r="F584" s="362">
        <f>SUM(F585:F589)</f>
        <v>249.84</v>
      </c>
      <c r="G584" s="362">
        <f>SUM(G585:G589)</f>
        <v>253.82999999999998</v>
      </c>
      <c r="H584" s="362">
        <f>SUM(H585:H589)</f>
        <v>253.82999999999998</v>
      </c>
      <c r="I584" s="362">
        <f>SUM(I585:I589)</f>
        <v>265.5</v>
      </c>
      <c r="J584" s="362">
        <f>SUM(J585:J589)</f>
        <v>266.39999999999998</v>
      </c>
      <c r="K584" s="354"/>
      <c r="L584" s="362">
        <f>SUM(L585:L589)</f>
        <v>1256.3399999999999</v>
      </c>
      <c r="M584" s="354"/>
      <c r="N584" s="88"/>
      <c r="O584" s="362">
        <f>SUM(O585:O589)</f>
        <v>277.20000000000005</v>
      </c>
      <c r="P584" s="354"/>
      <c r="Q584" s="123"/>
      <c r="R584" s="357"/>
      <c r="S584" s="88"/>
      <c r="T584" s="362">
        <f>SUM(T585:T589)</f>
        <v>280.79999999999995</v>
      </c>
      <c r="U584" s="354"/>
      <c r="V584" s="123"/>
      <c r="W584" s="357"/>
      <c r="X584" s="340"/>
      <c r="Y584" s="362">
        <f>SUM(Y585:Y589)</f>
        <v>288</v>
      </c>
      <c r="Z584" s="354"/>
      <c r="AA584" s="30"/>
      <c r="AB584" s="357"/>
      <c r="AC584" s="88">
        <f>SUM(AC585:AC589)</f>
        <v>490</v>
      </c>
      <c r="AD584" s="362">
        <f>SUM(AD585:AD589)</f>
        <v>288</v>
      </c>
      <c r="AE584" s="90"/>
      <c r="AF584" s="30"/>
      <c r="AG584" s="357"/>
      <c r="AH584" s="88">
        <f>SUM(AH585:AH589)</f>
        <v>520</v>
      </c>
      <c r="AI584" s="362">
        <f>SUM(AI585:AI589)</f>
        <v>302.39999999999998</v>
      </c>
      <c r="AJ584" s="90"/>
      <c r="AK584" s="30"/>
      <c r="AL584" s="357"/>
      <c r="AM584" s="88"/>
      <c r="AN584" s="362">
        <f>SUM(AN585:AN589)</f>
        <v>313.2</v>
      </c>
      <c r="AO584" s="29"/>
      <c r="AP584" s="30"/>
      <c r="AQ584" s="357"/>
      <c r="AR584" s="88"/>
      <c r="AS584" s="338"/>
      <c r="AT584" s="29"/>
      <c r="AU584" s="30"/>
      <c r="AV584" s="357"/>
    </row>
    <row r="585" spans="1:48" s="62" customFormat="1" hidden="1" outlineLevel="3" x14ac:dyDescent="0.3">
      <c r="A585" s="190" t="s">
        <v>534</v>
      </c>
      <c r="B585" s="336"/>
      <c r="C585" s="337"/>
      <c r="D585" s="337"/>
      <c r="E585" s="347" t="str">
        <f>B115</f>
        <v>6440/01305 Visite Med. Concierges   (0320)</v>
      </c>
      <c r="F585" s="250">
        <f>F115</f>
        <v>0</v>
      </c>
      <c r="G585" s="250">
        <f>G115</f>
        <v>169.22</v>
      </c>
      <c r="H585" s="250">
        <f>H115</f>
        <v>169.22</v>
      </c>
      <c r="I585" s="250">
        <f>I115</f>
        <v>177</v>
      </c>
      <c r="J585" s="250">
        <f>J115</f>
        <v>266.39999999999998</v>
      </c>
      <c r="K585" s="354"/>
      <c r="L585" s="250">
        <f>L115</f>
        <v>0</v>
      </c>
      <c r="M585" s="354"/>
      <c r="N585" s="88"/>
      <c r="O585" s="250">
        <f>O115</f>
        <v>184.8</v>
      </c>
      <c r="P585" s="354"/>
      <c r="Q585" s="123"/>
      <c r="R585" s="357"/>
      <c r="S585" s="88"/>
      <c r="T585" s="250">
        <f>T115</f>
        <v>187.2</v>
      </c>
      <c r="U585" s="354"/>
      <c r="V585" s="123"/>
      <c r="W585" s="357"/>
      <c r="X585" s="340"/>
      <c r="Y585" s="250">
        <f>Y115</f>
        <v>192</v>
      </c>
      <c r="Z585" s="354"/>
      <c r="AA585" s="30"/>
      <c r="AB585" s="357"/>
      <c r="AC585" s="88">
        <f>AC115</f>
        <v>270</v>
      </c>
      <c r="AD585" s="250">
        <f>AD115</f>
        <v>192</v>
      </c>
      <c r="AE585" s="90"/>
      <c r="AF585" s="30"/>
      <c r="AG585" s="357"/>
      <c r="AH585" s="88">
        <f>AH115</f>
        <v>280</v>
      </c>
      <c r="AI585" s="250">
        <f>AI115</f>
        <v>100.8</v>
      </c>
      <c r="AJ585" s="90"/>
      <c r="AK585" s="30"/>
      <c r="AL585" s="357"/>
      <c r="AM585" s="88"/>
      <c r="AN585" s="250">
        <f>AN115</f>
        <v>0</v>
      </c>
      <c r="AO585" s="29"/>
      <c r="AP585" s="30"/>
      <c r="AQ585" s="357"/>
      <c r="AR585" s="88"/>
      <c r="AS585" s="338"/>
      <c r="AT585" s="29"/>
      <c r="AU585" s="30"/>
      <c r="AV585" s="357"/>
    </row>
    <row r="586" spans="1:48" s="62" customFormat="1" hidden="1" outlineLevel="3" x14ac:dyDescent="0.3">
      <c r="A586" s="190" t="s">
        <v>535</v>
      </c>
      <c r="B586" s="336"/>
      <c r="C586" s="337"/>
      <c r="D586" s="337"/>
      <c r="E586" s="347" t="str">
        <f>B159</f>
        <v>6440/01395 Visites Med.Gardiens      (0730)</v>
      </c>
      <c r="F586" s="250">
        <f>F159</f>
        <v>0</v>
      </c>
      <c r="G586" s="250">
        <f>G159</f>
        <v>0</v>
      </c>
      <c r="H586" s="250">
        <f>H159</f>
        <v>0</v>
      </c>
      <c r="I586" s="250">
        <f>I159</f>
        <v>0</v>
      </c>
      <c r="J586" s="250">
        <f>J159</f>
        <v>0</v>
      </c>
      <c r="K586" s="354">
        <f>H159</f>
        <v>0</v>
      </c>
      <c r="L586" s="250">
        <f>L159</f>
        <v>1076.3399999999999</v>
      </c>
      <c r="M586" s="354">
        <f>J159</f>
        <v>0</v>
      </c>
      <c r="N586" s="88"/>
      <c r="O586" s="250">
        <f>O159</f>
        <v>0</v>
      </c>
      <c r="P586" s="354">
        <f>M159</f>
        <v>0</v>
      </c>
      <c r="Q586" s="123"/>
      <c r="R586" s="357"/>
      <c r="S586" s="88"/>
      <c r="T586" s="250">
        <f>T159</f>
        <v>0</v>
      </c>
      <c r="U586" s="354">
        <f>P159</f>
        <v>0</v>
      </c>
      <c r="V586" s="123"/>
      <c r="W586" s="357"/>
      <c r="X586" s="340"/>
      <c r="Y586" s="250">
        <f>Y159</f>
        <v>0</v>
      </c>
      <c r="Z586" s="354" t="str">
        <f>W159</f>
        <v/>
      </c>
      <c r="AA586" s="30"/>
      <c r="AB586" s="357"/>
      <c r="AC586" s="88">
        <f>AC159</f>
        <v>0</v>
      </c>
      <c r="AD586" s="250">
        <f>AD159</f>
        <v>0</v>
      </c>
      <c r="AE586" s="90" t="str">
        <f>AB159</f>
        <v/>
      </c>
      <c r="AF586" s="30"/>
      <c r="AG586" s="357"/>
      <c r="AH586" s="88">
        <f>AH159</f>
        <v>0</v>
      </c>
      <c r="AI586" s="250">
        <f>AI159</f>
        <v>0</v>
      </c>
      <c r="AJ586" s="90"/>
      <c r="AK586" s="30"/>
      <c r="AL586" s="357"/>
      <c r="AM586" s="88"/>
      <c r="AN586" s="250">
        <f>AN159</f>
        <v>0</v>
      </c>
      <c r="AO586" s="29"/>
      <c r="AP586" s="30"/>
      <c r="AQ586" s="357"/>
      <c r="AR586" s="88"/>
      <c r="AS586" s="338"/>
      <c r="AT586" s="29"/>
      <c r="AU586" s="30"/>
      <c r="AV586" s="357"/>
    </row>
    <row r="587" spans="1:48" s="62" customFormat="1" hidden="1" outlineLevel="3" x14ac:dyDescent="0.3">
      <c r="A587" s="190" t="s">
        <v>536</v>
      </c>
      <c r="B587" s="336"/>
      <c r="C587" s="337"/>
      <c r="D587" s="337"/>
      <c r="E587" s="347" t="str">
        <f>B145</f>
        <v>6440/01375 Visite Med. 40%           (0600)</v>
      </c>
      <c r="F587" s="250">
        <f>F145</f>
        <v>0</v>
      </c>
      <c r="G587" s="250">
        <f>G145</f>
        <v>0</v>
      </c>
      <c r="H587" s="250">
        <f>H145</f>
        <v>0</v>
      </c>
      <c r="I587" s="250">
        <f>I145</f>
        <v>0</v>
      </c>
      <c r="J587" s="250">
        <f>J145</f>
        <v>0</v>
      </c>
      <c r="K587" s="354">
        <f>H145</f>
        <v>0</v>
      </c>
      <c r="L587" s="250">
        <f>L145</f>
        <v>90</v>
      </c>
      <c r="M587" s="354">
        <f>J145</f>
        <v>0</v>
      </c>
      <c r="N587" s="88"/>
      <c r="O587" s="250">
        <f>O145</f>
        <v>0</v>
      </c>
      <c r="P587" s="354">
        <f>M145</f>
        <v>0</v>
      </c>
      <c r="Q587" s="123"/>
      <c r="R587" s="357"/>
      <c r="S587" s="88"/>
      <c r="T587" s="250">
        <f>T145</f>
        <v>0</v>
      </c>
      <c r="U587" s="354">
        <f>P145</f>
        <v>0</v>
      </c>
      <c r="V587" s="123"/>
      <c r="W587" s="357"/>
      <c r="X587" s="340"/>
      <c r="Y587" s="250">
        <f>Y145</f>
        <v>0</v>
      </c>
      <c r="Z587" s="354" t="str">
        <f>W145</f>
        <v/>
      </c>
      <c r="AA587" s="30"/>
      <c r="AB587" s="357"/>
      <c r="AC587" s="88">
        <f>AC145</f>
        <v>110</v>
      </c>
      <c r="AD587" s="250">
        <f>AD145</f>
        <v>0</v>
      </c>
      <c r="AE587" s="90" t="str">
        <f>AB145</f>
        <v/>
      </c>
      <c r="AF587" s="30"/>
      <c r="AG587" s="357"/>
      <c r="AH587" s="88">
        <f>AH145</f>
        <v>120</v>
      </c>
      <c r="AI587" s="250">
        <f>AI145</f>
        <v>0</v>
      </c>
      <c r="AJ587" s="90"/>
      <c r="AK587" s="30"/>
      <c r="AL587" s="357"/>
      <c r="AM587" s="88"/>
      <c r="AN587" s="250">
        <f>AN145</f>
        <v>0</v>
      </c>
      <c r="AO587" s="29"/>
      <c r="AP587" s="30"/>
      <c r="AQ587" s="357"/>
      <c r="AR587" s="88"/>
      <c r="AS587" s="338"/>
      <c r="AT587" s="29"/>
      <c r="AU587" s="30"/>
      <c r="AV587" s="357"/>
    </row>
    <row r="588" spans="1:48" s="62" customFormat="1" hidden="1" outlineLevel="3" x14ac:dyDescent="0.3">
      <c r="A588" s="190" t="s">
        <v>537</v>
      </c>
      <c r="B588" s="336"/>
      <c r="C588" s="337"/>
      <c r="D588" s="337"/>
      <c r="E588" s="347"/>
      <c r="F588" s="250"/>
      <c r="G588" s="250"/>
      <c r="H588" s="250"/>
      <c r="I588" s="250"/>
      <c r="J588" s="250"/>
      <c r="K588" s="354"/>
      <c r="L588" s="250"/>
      <c r="M588" s="354"/>
      <c r="N588" s="88"/>
      <c r="O588" s="250"/>
      <c r="P588" s="354"/>
      <c r="Q588" s="123"/>
      <c r="R588" s="357"/>
      <c r="S588" s="88"/>
      <c r="T588" s="250"/>
      <c r="U588" s="354"/>
      <c r="V588" s="123"/>
      <c r="W588" s="357"/>
      <c r="X588" s="340"/>
      <c r="Y588" s="250"/>
      <c r="Z588" s="354"/>
      <c r="AA588" s="30"/>
      <c r="AB588" s="357"/>
      <c r="AC588" s="88"/>
      <c r="AD588" s="250"/>
      <c r="AE588" s="90"/>
      <c r="AF588" s="30"/>
      <c r="AG588" s="357"/>
      <c r="AH588" s="88"/>
      <c r="AI588" s="250"/>
      <c r="AJ588" s="90"/>
      <c r="AK588" s="30"/>
      <c r="AL588" s="357"/>
      <c r="AM588" s="88"/>
      <c r="AN588" s="250"/>
      <c r="AO588" s="29"/>
      <c r="AP588" s="30"/>
      <c r="AQ588" s="357"/>
      <c r="AR588" s="88"/>
      <c r="AS588" s="338"/>
      <c r="AT588" s="29"/>
      <c r="AU588" s="30"/>
      <c r="AV588" s="357"/>
    </row>
    <row r="589" spans="1:48" s="62" customFormat="1" hidden="1" outlineLevel="3" x14ac:dyDescent="0.3">
      <c r="A589" s="190" t="s">
        <v>538</v>
      </c>
      <c r="B589" s="336"/>
      <c r="C589" s="337"/>
      <c r="D589" s="337"/>
      <c r="E589" s="347" t="str">
        <f>B125</f>
        <v>6440/00325 VisiteMed.Pers.Ent.        (0420)</v>
      </c>
      <c r="F589" s="250">
        <f>F125</f>
        <v>249.84</v>
      </c>
      <c r="G589" s="250">
        <f>G125</f>
        <v>84.61</v>
      </c>
      <c r="H589" s="250">
        <f>H125</f>
        <v>84.61</v>
      </c>
      <c r="I589" s="250">
        <f>I125</f>
        <v>88.5</v>
      </c>
      <c r="J589" s="250">
        <f>J125</f>
        <v>0</v>
      </c>
      <c r="K589" s="354"/>
      <c r="L589" s="250">
        <f>L125</f>
        <v>90</v>
      </c>
      <c r="M589" s="354"/>
      <c r="N589" s="88"/>
      <c r="O589" s="250">
        <f>O125</f>
        <v>92.4</v>
      </c>
      <c r="P589" s="354"/>
      <c r="Q589" s="123"/>
      <c r="R589" s="357"/>
      <c r="S589" s="88"/>
      <c r="T589" s="250">
        <f>T125</f>
        <v>93.6</v>
      </c>
      <c r="U589" s="354"/>
      <c r="V589" s="123"/>
      <c r="W589" s="357"/>
      <c r="X589" s="340"/>
      <c r="Y589" s="250">
        <f>Y125</f>
        <v>96</v>
      </c>
      <c r="Z589" s="354"/>
      <c r="AA589" s="30"/>
      <c r="AB589" s="357"/>
      <c r="AC589" s="88">
        <f>AC125</f>
        <v>110</v>
      </c>
      <c r="AD589" s="250">
        <f>AD125</f>
        <v>96</v>
      </c>
      <c r="AE589" s="90"/>
      <c r="AF589" s="30"/>
      <c r="AG589" s="357"/>
      <c r="AH589" s="88">
        <f>AH125</f>
        <v>120</v>
      </c>
      <c r="AI589" s="250">
        <f>AI125</f>
        <v>201.6</v>
      </c>
      <c r="AJ589" s="90"/>
      <c r="AK589" s="30"/>
      <c r="AL589" s="357"/>
      <c r="AM589" s="88"/>
      <c r="AN589" s="250">
        <f>AN125</f>
        <v>313.2</v>
      </c>
      <c r="AO589" s="29"/>
      <c r="AP589" s="30"/>
      <c r="AQ589" s="357"/>
      <c r="AR589" s="88"/>
      <c r="AS589" s="338"/>
      <c r="AT589" s="29"/>
      <c r="AU589" s="30"/>
      <c r="AV589" s="357"/>
    </row>
    <row r="590" spans="1:48" s="62" customFormat="1" hidden="1" outlineLevel="2" collapsed="1" x14ac:dyDescent="0.3">
      <c r="A590" s="188" t="s">
        <v>539</v>
      </c>
      <c r="B590" s="336"/>
      <c r="C590" s="337"/>
      <c r="D590" s="337"/>
      <c r="E590" s="347"/>
      <c r="F590" s="362">
        <f>SUM(F591:F591)</f>
        <v>0</v>
      </c>
      <c r="G590" s="362">
        <f>SUM(G591:G591)</f>
        <v>0</v>
      </c>
      <c r="H590" s="362">
        <f>SUM(H591:H591)</f>
        <v>0</v>
      </c>
      <c r="I590" s="362">
        <f>SUM(I591:I591)</f>
        <v>0</v>
      </c>
      <c r="J590" s="362">
        <f>SUM(J591:J591)</f>
        <v>0</v>
      </c>
      <c r="K590" s="354"/>
      <c r="L590" s="362">
        <f>SUM(L591:L591)</f>
        <v>649.39</v>
      </c>
      <c r="M590" s="354"/>
      <c r="N590" s="88"/>
      <c r="O590" s="362">
        <f>SUM(O591:O591)</f>
        <v>1448.19</v>
      </c>
      <c r="P590" s="354"/>
      <c r="Q590" s="123"/>
      <c r="R590" s="357"/>
      <c r="S590" s="88"/>
      <c r="T590" s="362">
        <f>SUM(T591:T591)</f>
        <v>1419.33</v>
      </c>
      <c r="U590" s="354"/>
      <c r="V590" s="123"/>
      <c r="W590" s="357"/>
      <c r="X590" s="340"/>
      <c r="Y590" s="362">
        <f>SUM(Y591:Y591)</f>
        <v>1251.5899999999999</v>
      </c>
      <c r="Z590" s="354"/>
      <c r="AA590" s="30"/>
      <c r="AB590" s="357"/>
      <c r="AC590" s="88">
        <f>SUM(AC591:AC592)</f>
        <v>0</v>
      </c>
      <c r="AD590" s="362">
        <f>SUM(AD591:AD592)</f>
        <v>1200.8500000000001</v>
      </c>
      <c r="AE590" s="90"/>
      <c r="AF590" s="30"/>
      <c r="AG590" s="357"/>
      <c r="AH590" s="88">
        <f>SUM(AH591:AH592)</f>
        <v>0</v>
      </c>
      <c r="AI590" s="362">
        <f>SUM(AI591:AI592)</f>
        <v>1336.69</v>
      </c>
      <c r="AJ590" s="90"/>
      <c r="AK590" s="30"/>
      <c r="AL590" s="357"/>
      <c r="AM590" s="88"/>
      <c r="AN590" s="362">
        <f>SUM(AN591:AN592)</f>
        <v>1140.45</v>
      </c>
      <c r="AO590" s="29"/>
      <c r="AP590" s="30"/>
      <c r="AQ590" s="357"/>
      <c r="AR590" s="88"/>
      <c r="AS590" s="338"/>
      <c r="AT590" s="29"/>
      <c r="AU590" s="30"/>
      <c r="AV590" s="357"/>
    </row>
    <row r="591" spans="1:48" s="62" customFormat="1" hidden="1" outlineLevel="3" x14ac:dyDescent="0.3">
      <c r="A591" s="190" t="s">
        <v>540</v>
      </c>
      <c r="B591" s="336"/>
      <c r="C591" s="337"/>
      <c r="D591" s="337"/>
      <c r="E591" s="347" t="str">
        <f>B130</f>
        <v>6440/01337 Cotis.Prev&amp;MutuelleGardiens     (0470)</v>
      </c>
      <c r="F591" s="250">
        <f>F130</f>
        <v>0</v>
      </c>
      <c r="G591" s="250">
        <f>G130</f>
        <v>0</v>
      </c>
      <c r="H591" s="250">
        <f>H130</f>
        <v>0</v>
      </c>
      <c r="I591" s="250">
        <f>I130</f>
        <v>0</v>
      </c>
      <c r="J591" s="250">
        <f>J130</f>
        <v>0</v>
      </c>
      <c r="K591" s="354"/>
      <c r="L591" s="250">
        <f>L130</f>
        <v>649.39</v>
      </c>
      <c r="M591" s="354"/>
      <c r="N591" s="88"/>
      <c r="O591" s="250">
        <f>O130</f>
        <v>1448.19</v>
      </c>
      <c r="P591" s="354"/>
      <c r="Q591" s="123"/>
      <c r="R591" s="357"/>
      <c r="S591" s="88"/>
      <c r="T591" s="250">
        <f>T130</f>
        <v>1419.33</v>
      </c>
      <c r="U591" s="354"/>
      <c r="V591" s="123"/>
      <c r="W591" s="357"/>
      <c r="X591" s="340"/>
      <c r="Y591" s="250">
        <f>Y130</f>
        <v>1251.5899999999999</v>
      </c>
      <c r="Z591" s="354"/>
      <c r="AA591" s="30"/>
      <c r="AB591" s="357"/>
      <c r="AC591" s="88">
        <f>AC130</f>
        <v>0</v>
      </c>
      <c r="AD591" s="250">
        <f>AD130</f>
        <v>508.79</v>
      </c>
      <c r="AE591" s="90"/>
      <c r="AF591" s="30"/>
      <c r="AG591" s="357"/>
      <c r="AH591" s="88">
        <f>AH130</f>
        <v>0</v>
      </c>
      <c r="AI591" s="250">
        <f>AI130</f>
        <v>0</v>
      </c>
      <c r="AJ591" s="90"/>
      <c r="AK591" s="30"/>
      <c r="AL591" s="357"/>
      <c r="AM591" s="88"/>
      <c r="AN591" s="250">
        <f>AN130</f>
        <v>0</v>
      </c>
      <c r="AO591" s="29"/>
      <c r="AP591" s="30"/>
      <c r="AQ591" s="357"/>
      <c r="AR591" s="88"/>
      <c r="AS591" s="338"/>
      <c r="AT591" s="29"/>
      <c r="AU591" s="30"/>
      <c r="AV591" s="357"/>
    </row>
    <row r="592" spans="1:48" s="62" customFormat="1" hidden="1" outlineLevel="3" x14ac:dyDescent="0.3">
      <c r="A592" s="190" t="s">
        <v>541</v>
      </c>
      <c r="B592" s="336"/>
      <c r="C592" s="337"/>
      <c r="D592" s="337"/>
      <c r="E592" s="347"/>
      <c r="F592" s="250"/>
      <c r="G592" s="250"/>
      <c r="H592" s="250"/>
      <c r="I592" s="250"/>
      <c r="J592" s="250"/>
      <c r="K592" s="354"/>
      <c r="L592" s="250"/>
      <c r="M592" s="354"/>
      <c r="N592" s="88"/>
      <c r="O592" s="250"/>
      <c r="P592" s="354"/>
      <c r="Q592" s="123"/>
      <c r="R592" s="357"/>
      <c r="S592" s="88"/>
      <c r="T592" s="250"/>
      <c r="U592" s="354"/>
      <c r="V592" s="123"/>
      <c r="W592" s="357"/>
      <c r="X592" s="340"/>
      <c r="Y592" s="250"/>
      <c r="Z592" s="354"/>
      <c r="AA592" s="30"/>
      <c r="AB592" s="357"/>
      <c r="AC592" s="88">
        <f>AC131</f>
        <v>0</v>
      </c>
      <c r="AD592" s="250">
        <f>AD131</f>
        <v>692.06000000000006</v>
      </c>
      <c r="AE592" s="90"/>
      <c r="AF592" s="30"/>
      <c r="AG592" s="357"/>
      <c r="AH592" s="88">
        <f>AH131</f>
        <v>0</v>
      </c>
      <c r="AI592" s="250">
        <f>AI131</f>
        <v>1336.69</v>
      </c>
      <c r="AJ592" s="90"/>
      <c r="AK592" s="30"/>
      <c r="AL592" s="357"/>
      <c r="AM592" s="88"/>
      <c r="AN592" s="250">
        <f>AN131</f>
        <v>1140.45</v>
      </c>
      <c r="AO592" s="29"/>
      <c r="AP592" s="30"/>
      <c r="AQ592" s="357"/>
      <c r="AR592" s="88"/>
      <c r="AS592" s="338"/>
      <c r="AT592" s="29"/>
      <c r="AU592" s="30"/>
      <c r="AV592" s="357"/>
    </row>
    <row r="593" spans="1:48" s="62" customFormat="1" hidden="1" outlineLevel="2" collapsed="1" x14ac:dyDescent="0.3">
      <c r="A593" s="188" t="s">
        <v>542</v>
      </c>
      <c r="B593" s="336"/>
      <c r="C593" s="337"/>
      <c r="D593" s="337"/>
      <c r="E593" s="347"/>
      <c r="F593" s="362">
        <f>SUM(F594:F595)</f>
        <v>505.81</v>
      </c>
      <c r="G593" s="362">
        <f>SUM(G594:G595)</f>
        <v>502.89</v>
      </c>
      <c r="H593" s="362">
        <f>SUM(H594:H595)</f>
        <v>515.47</v>
      </c>
      <c r="I593" s="362">
        <f>SUM(I594:I595)</f>
        <v>536.14</v>
      </c>
      <c r="J593" s="362">
        <f>SUM(J594:J595)</f>
        <v>607.65000000000009</v>
      </c>
      <c r="K593" s="354"/>
      <c r="L593" s="362">
        <f>SUM(L594:L595)</f>
        <v>446.8</v>
      </c>
      <c r="M593" s="354"/>
      <c r="N593" s="88"/>
      <c r="O593" s="362">
        <f>SUM(O594:O595)</f>
        <v>157</v>
      </c>
      <c r="P593" s="354"/>
      <c r="Q593" s="123"/>
      <c r="R593" s="357"/>
      <c r="S593" s="88"/>
      <c r="T593" s="362">
        <f>SUM(T594:T595)</f>
        <v>329.8</v>
      </c>
      <c r="U593" s="354"/>
      <c r="V593" s="123"/>
      <c r="W593" s="357"/>
      <c r="X593" s="340"/>
      <c r="Y593" s="362">
        <f>SUM(Y594:Y595)</f>
        <v>193.58</v>
      </c>
      <c r="Z593" s="354"/>
      <c r="AA593" s="30"/>
      <c r="AB593" s="357"/>
      <c r="AC593" s="88">
        <f>SUM(AC594:AC595)</f>
        <v>690</v>
      </c>
      <c r="AD593" s="362">
        <f>SUM(AD594:AD595)</f>
        <v>452.83000000000004</v>
      </c>
      <c r="AE593" s="90"/>
      <c r="AF593" s="30"/>
      <c r="AG593" s="357"/>
      <c r="AH593" s="88">
        <f>SUM(AH594:AH595)</f>
        <v>710</v>
      </c>
      <c r="AI593" s="362">
        <f>SUM(AI594:AI595)</f>
        <v>645.04</v>
      </c>
      <c r="AJ593" s="90"/>
      <c r="AK593" s="30"/>
      <c r="AL593" s="357"/>
      <c r="AM593" s="88"/>
      <c r="AN593" s="362">
        <f>SUM(AN594:AN595)</f>
        <v>0</v>
      </c>
      <c r="AO593" s="29"/>
      <c r="AP593" s="30"/>
      <c r="AQ593" s="357"/>
      <c r="AR593" s="88"/>
      <c r="AS593" s="338"/>
      <c r="AT593" s="29"/>
      <c r="AU593" s="30"/>
      <c r="AV593" s="357"/>
    </row>
    <row r="594" spans="1:48" s="62" customFormat="1" hidden="1" outlineLevel="3" x14ac:dyDescent="0.3">
      <c r="A594" s="190" t="s">
        <v>543</v>
      </c>
      <c r="B594" s="336"/>
      <c r="C594" s="337"/>
      <c r="D594" s="337"/>
      <c r="E594" s="347" t="str">
        <f>B118</f>
        <v>6420/01312  Formation Prof.C       (0350)</v>
      </c>
      <c r="F594" s="250">
        <f>F118</f>
        <v>0</v>
      </c>
      <c r="G594" s="250">
        <f>G118</f>
        <v>502.89</v>
      </c>
      <c r="H594" s="250">
        <f>H118</f>
        <v>366.89</v>
      </c>
      <c r="I594" s="250">
        <f>I118</f>
        <v>381.49</v>
      </c>
      <c r="J594" s="250">
        <f>J118</f>
        <v>448.91</v>
      </c>
      <c r="K594" s="354">
        <f>H118</f>
        <v>366.89</v>
      </c>
      <c r="L594" s="250">
        <f>L118</f>
        <v>0</v>
      </c>
      <c r="M594" s="354">
        <f>J118</f>
        <v>448.91</v>
      </c>
      <c r="N594" s="88"/>
      <c r="O594" s="250">
        <f>O118</f>
        <v>0</v>
      </c>
      <c r="P594" s="354">
        <f>M118</f>
        <v>0</v>
      </c>
      <c r="Q594" s="123"/>
      <c r="R594" s="357"/>
      <c r="S594" s="88"/>
      <c r="T594" s="250">
        <f>T118</f>
        <v>0</v>
      </c>
      <c r="U594" s="354">
        <f>P118</f>
        <v>0</v>
      </c>
      <c r="V594" s="123"/>
      <c r="W594" s="357"/>
      <c r="X594" s="340"/>
      <c r="Y594" s="250">
        <f>Y118</f>
        <v>0</v>
      </c>
      <c r="Z594" s="354" t="str">
        <f>W118</f>
        <v/>
      </c>
      <c r="AA594" s="30"/>
      <c r="AB594" s="357"/>
      <c r="AC594" s="88">
        <f>AC118</f>
        <v>510</v>
      </c>
      <c r="AD594" s="250">
        <f>AD118</f>
        <v>300</v>
      </c>
      <c r="AE594" s="90" t="str">
        <f>AB118</f>
        <v/>
      </c>
      <c r="AF594" s="30"/>
      <c r="AG594" s="357"/>
      <c r="AH594" s="88">
        <f>AH118</f>
        <v>520</v>
      </c>
      <c r="AI594" s="250">
        <f>AI118</f>
        <v>60</v>
      </c>
      <c r="AJ594" s="90"/>
      <c r="AK594" s="30"/>
      <c r="AL594" s="357"/>
      <c r="AM594" s="88"/>
      <c r="AN594" s="250">
        <f>AN118</f>
        <v>0</v>
      </c>
      <c r="AO594" s="29"/>
      <c r="AP594" s="30"/>
      <c r="AQ594" s="357"/>
      <c r="AR594" s="88"/>
      <c r="AS594" s="338"/>
      <c r="AT594" s="29"/>
      <c r="AU594" s="30"/>
      <c r="AV594" s="357"/>
    </row>
    <row r="595" spans="1:48" s="62" customFormat="1" hidden="1" outlineLevel="3" x14ac:dyDescent="0.3">
      <c r="A595" s="190" t="s">
        <v>544</v>
      </c>
      <c r="B595" s="336"/>
      <c r="C595" s="337"/>
      <c r="D595" s="337"/>
      <c r="E595" s="347" t="str">
        <f>B128</f>
        <v>6440/00328 Form.Profess.P.E.          (0450)</v>
      </c>
      <c r="F595" s="250">
        <f>F128</f>
        <v>505.81</v>
      </c>
      <c r="G595" s="250">
        <f>G128</f>
        <v>0</v>
      </c>
      <c r="H595" s="250">
        <f>H128</f>
        <v>148.58000000000001</v>
      </c>
      <c r="I595" s="250">
        <f>I128</f>
        <v>154.65</v>
      </c>
      <c r="J595" s="250">
        <f>J128</f>
        <v>158.74</v>
      </c>
      <c r="K595" s="354"/>
      <c r="L595" s="250">
        <f>L128</f>
        <v>446.8</v>
      </c>
      <c r="M595" s="354"/>
      <c r="N595" s="88"/>
      <c r="O595" s="250">
        <f>O128</f>
        <v>157</v>
      </c>
      <c r="P595" s="354"/>
      <c r="Q595" s="123"/>
      <c r="R595" s="357"/>
      <c r="S595" s="88"/>
      <c r="T595" s="250">
        <f>T128</f>
        <v>329.8</v>
      </c>
      <c r="U595" s="354"/>
      <c r="V595" s="123"/>
      <c r="W595" s="357"/>
      <c r="X595" s="340"/>
      <c r="Y595" s="250">
        <f>Y128</f>
        <v>193.58</v>
      </c>
      <c r="Z595" s="354"/>
      <c r="AA595" s="30"/>
      <c r="AB595" s="357"/>
      <c r="AC595" s="88">
        <f>AC128</f>
        <v>180</v>
      </c>
      <c r="AD595" s="250">
        <f>AD128</f>
        <v>152.83000000000001</v>
      </c>
      <c r="AE595" s="90"/>
      <c r="AF595" s="30"/>
      <c r="AG595" s="357"/>
      <c r="AH595" s="88">
        <f>AH128</f>
        <v>190</v>
      </c>
      <c r="AI595" s="250">
        <f>AI128</f>
        <v>585.04</v>
      </c>
      <c r="AJ595" s="90"/>
      <c r="AK595" s="30"/>
      <c r="AL595" s="357"/>
      <c r="AM595" s="88"/>
      <c r="AN595" s="250">
        <f>AN128</f>
        <v>0</v>
      </c>
      <c r="AO595" s="29"/>
      <c r="AP595" s="30"/>
      <c r="AQ595" s="357"/>
      <c r="AR595" s="88"/>
      <c r="AS595" s="338"/>
      <c r="AT595" s="29"/>
      <c r="AU595" s="30"/>
      <c r="AV595" s="357"/>
    </row>
    <row r="596" spans="1:48" s="62" customFormat="1" hidden="1" outlineLevel="2" x14ac:dyDescent="0.3">
      <c r="A596" s="188" t="s">
        <v>545</v>
      </c>
      <c r="B596" s="336"/>
      <c r="C596" s="337"/>
      <c r="D596" s="337"/>
      <c r="E596" s="347" t="str">
        <f>B116</f>
        <v>6410/01307 Indemn.SecSoc.           (0330)</v>
      </c>
      <c r="F596" s="368">
        <f>F116</f>
        <v>0</v>
      </c>
      <c r="G596" s="368">
        <f>G116</f>
        <v>0</v>
      </c>
      <c r="H596" s="368">
        <f>H116</f>
        <v>0</v>
      </c>
      <c r="I596" s="368">
        <f>I116</f>
        <v>0</v>
      </c>
      <c r="J596" s="368">
        <f>J116</f>
        <v>0</v>
      </c>
      <c r="K596" s="354">
        <f>H116</f>
        <v>0</v>
      </c>
      <c r="L596" s="368">
        <f>L116</f>
        <v>0</v>
      </c>
      <c r="M596" s="354">
        <f>J116</f>
        <v>0</v>
      </c>
      <c r="N596" s="88"/>
      <c r="O596" s="368">
        <f>O116</f>
        <v>0</v>
      </c>
      <c r="P596" s="354">
        <f>M116</f>
        <v>0</v>
      </c>
      <c r="Q596" s="123"/>
      <c r="R596" s="357"/>
      <c r="S596" s="88"/>
      <c r="T596" s="368">
        <f>T116</f>
        <v>-4184.8999999999996</v>
      </c>
      <c r="U596" s="354">
        <f>P116</f>
        <v>0</v>
      </c>
      <c r="V596" s="123"/>
      <c r="W596" s="357"/>
      <c r="X596" s="340"/>
      <c r="Y596" s="368">
        <f>Y116</f>
        <v>-2476.59</v>
      </c>
      <c r="Z596" s="354" t="str">
        <f>W116</f>
        <v/>
      </c>
      <c r="AA596" s="30"/>
      <c r="AB596" s="357"/>
      <c r="AC596" s="88">
        <f>AC116</f>
        <v>0</v>
      </c>
      <c r="AD596" s="368">
        <f>AD116</f>
        <v>0</v>
      </c>
      <c r="AE596" s="90" t="str">
        <f>AB116</f>
        <v/>
      </c>
      <c r="AF596" s="30"/>
      <c r="AG596" s="357"/>
      <c r="AH596" s="88">
        <f>AH116</f>
        <v>0</v>
      </c>
      <c r="AI596" s="368">
        <f>AI116</f>
        <v>-7124.7</v>
      </c>
      <c r="AJ596" s="90"/>
      <c r="AK596" s="30"/>
      <c r="AL596" s="357"/>
      <c r="AM596" s="88"/>
      <c r="AN596" s="368">
        <f>AN116</f>
        <v>-1569.04</v>
      </c>
      <c r="AO596" s="29"/>
      <c r="AP596" s="30"/>
      <c r="AQ596" s="357"/>
      <c r="AR596" s="88"/>
      <c r="AS596" s="338"/>
      <c r="AT596" s="29"/>
      <c r="AU596" s="30"/>
      <c r="AV596" s="357"/>
    </row>
    <row r="597" spans="1:48" s="62" customFormat="1" hidden="1" outlineLevel="2" x14ac:dyDescent="0.3">
      <c r="A597" s="188" t="s">
        <v>546</v>
      </c>
      <c r="B597" s="336"/>
      <c r="C597" s="337"/>
      <c r="D597" s="337"/>
      <c r="E597" s="347" t="str">
        <f>B132</f>
        <v>6410/01338 Avantages Nature           (0480)</v>
      </c>
      <c r="F597" s="368">
        <f>F132</f>
        <v>0</v>
      </c>
      <c r="G597" s="368">
        <f>G132</f>
        <v>0</v>
      </c>
      <c r="H597" s="368">
        <f>H132</f>
        <v>0</v>
      </c>
      <c r="I597" s="368">
        <f>I132</f>
        <v>0</v>
      </c>
      <c r="J597" s="368">
        <f>J132</f>
        <v>0</v>
      </c>
      <c r="K597" s="354">
        <f>H132</f>
        <v>0</v>
      </c>
      <c r="L597" s="368">
        <f>L132</f>
        <v>-1912.98</v>
      </c>
      <c r="M597" s="354">
        <f>J132</f>
        <v>0</v>
      </c>
      <c r="N597" s="88"/>
      <c r="O597" s="368">
        <f>O132</f>
        <v>-1931.27</v>
      </c>
      <c r="P597" s="354">
        <f>M132</f>
        <v>0</v>
      </c>
      <c r="Q597" s="123"/>
      <c r="R597" s="357"/>
      <c r="S597" s="88"/>
      <c r="T597" s="368">
        <f>T132</f>
        <v>-1973.84</v>
      </c>
      <c r="U597" s="354">
        <f>P132</f>
        <v>9.5609990695145596E-3</v>
      </c>
      <c r="V597" s="123"/>
      <c r="W597" s="357"/>
      <c r="X597" s="340"/>
      <c r="Y597" s="368">
        <f>Y132</f>
        <v>-1807.98</v>
      </c>
      <c r="Z597" s="354" t="str">
        <f>W132</f>
        <v/>
      </c>
      <c r="AA597" s="30"/>
      <c r="AB597" s="357"/>
      <c r="AC597" s="88">
        <f>AC132</f>
        <v>0</v>
      </c>
      <c r="AD597" s="368">
        <f>AD132</f>
        <v>-2022.86</v>
      </c>
      <c r="AE597" s="90" t="str">
        <f>AB132</f>
        <v/>
      </c>
      <c r="AF597" s="30"/>
      <c r="AG597" s="357"/>
      <c r="AH597" s="88">
        <f>AH132</f>
        <v>0</v>
      </c>
      <c r="AI597" s="368">
        <f>AI132</f>
        <v>-1883.19</v>
      </c>
      <c r="AJ597" s="90"/>
      <c r="AK597" s="30"/>
      <c r="AL597" s="357"/>
      <c r="AM597" s="88"/>
      <c r="AN597" s="368">
        <f>AN132</f>
        <v>-1317.03</v>
      </c>
      <c r="AO597" s="29"/>
      <c r="AP597" s="30"/>
      <c r="AQ597" s="357"/>
      <c r="AR597" s="88"/>
      <c r="AS597" s="338"/>
      <c r="AT597" s="29"/>
      <c r="AU597" s="30"/>
      <c r="AV597" s="357"/>
    </row>
    <row r="598" spans="1:48" s="62" customFormat="1" hidden="1" outlineLevel="2" collapsed="1" x14ac:dyDescent="0.3">
      <c r="A598" s="188" t="s">
        <v>547</v>
      </c>
      <c r="B598" s="336"/>
      <c r="C598" s="337"/>
      <c r="D598" s="337"/>
      <c r="E598" s="347"/>
      <c r="F598" s="362">
        <f>SUM(F599:F601)</f>
        <v>0</v>
      </c>
      <c r="G598" s="362">
        <f>SUM(G599:G601)</f>
        <v>0</v>
      </c>
      <c r="H598" s="362">
        <f>SUM(H599:H601)</f>
        <v>0</v>
      </c>
      <c r="I598" s="362">
        <f>SUM(I599:I601)</f>
        <v>0</v>
      </c>
      <c r="J598" s="362">
        <f>SUM(J599:J601)</f>
        <v>0</v>
      </c>
      <c r="K598" s="354"/>
      <c r="L598" s="362">
        <f>SUM(L599:L601)</f>
        <v>469.2</v>
      </c>
      <c r="M598" s="354"/>
      <c r="N598" s="88"/>
      <c r="O598" s="362">
        <f>SUM(O599:O601)</f>
        <v>775.2</v>
      </c>
      <c r="P598" s="354"/>
      <c r="Q598" s="123"/>
      <c r="R598" s="357"/>
      <c r="S598" s="88"/>
      <c r="T598" s="362">
        <f>SUM(T599:T601)</f>
        <v>2100.6999999999998</v>
      </c>
      <c r="U598" s="354"/>
      <c r="V598" s="123"/>
      <c r="W598" s="357"/>
      <c r="X598" s="340"/>
      <c r="Y598" s="362">
        <f>SUM(Y599:Y601)</f>
        <v>9893.84</v>
      </c>
      <c r="Z598" s="354"/>
      <c r="AA598" s="30"/>
      <c r="AB598" s="357"/>
      <c r="AC598" s="88">
        <f>SUM(AC599:AC601)</f>
        <v>510</v>
      </c>
      <c r="AD598" s="362">
        <f>SUM(AD599:AD601)</f>
        <v>11672.17</v>
      </c>
      <c r="AE598" s="90"/>
      <c r="AF598" s="30"/>
      <c r="AG598" s="357"/>
      <c r="AH598" s="88">
        <f>SUM(AH599:AH601)</f>
        <v>520</v>
      </c>
      <c r="AI598" s="362">
        <f>SUM(AI599:AI601)</f>
        <v>9815.58</v>
      </c>
      <c r="AJ598" s="90"/>
      <c r="AK598" s="30"/>
      <c r="AL598" s="357"/>
      <c r="AM598" s="88"/>
      <c r="AN598" s="362">
        <f>SUM(AN599:AN601)</f>
        <v>7733.19</v>
      </c>
      <c r="AO598" s="29"/>
      <c r="AP598" s="30"/>
      <c r="AQ598" s="357"/>
      <c r="AR598" s="88"/>
      <c r="AS598" s="338"/>
      <c r="AT598" s="29"/>
      <c r="AU598" s="30"/>
      <c r="AV598" s="357"/>
    </row>
    <row r="599" spans="1:48" s="62" customFormat="1" hidden="1" outlineLevel="3" x14ac:dyDescent="0.3">
      <c r="A599" s="190" t="s">
        <v>548</v>
      </c>
      <c r="B599" s="336"/>
      <c r="C599" s="337"/>
      <c r="D599" s="337"/>
      <c r="E599" s="347" t="str">
        <f>B154</f>
        <v>6440/01389 AutresFrais Pers.           (0680)</v>
      </c>
      <c r="F599" s="250">
        <f>F154</f>
        <v>0</v>
      </c>
      <c r="G599" s="250">
        <f>G154</f>
        <v>0</v>
      </c>
      <c r="H599" s="250">
        <f>H154</f>
        <v>0</v>
      </c>
      <c r="I599" s="250">
        <f>I154</f>
        <v>0</v>
      </c>
      <c r="J599" s="250">
        <f>J154</f>
        <v>0</v>
      </c>
      <c r="K599" s="354"/>
      <c r="L599" s="250">
        <f>L154</f>
        <v>469.2</v>
      </c>
      <c r="M599" s="354"/>
      <c r="N599" s="88"/>
      <c r="O599" s="250">
        <f>O154</f>
        <v>469.2</v>
      </c>
      <c r="P599" s="354"/>
      <c r="Q599" s="123"/>
      <c r="R599" s="357">
        <f>O599/O$640</f>
        <v>9.3644388110563606E-4</v>
      </c>
      <c r="S599" s="88"/>
      <c r="T599" s="250">
        <f>T154</f>
        <v>505.7</v>
      </c>
      <c r="U599" s="354"/>
      <c r="V599" s="123"/>
      <c r="W599" s="357">
        <f>T599/T$640</f>
        <v>1.0340001410836658E-3</v>
      </c>
      <c r="X599" s="340"/>
      <c r="Y599" s="250">
        <f>Y154</f>
        <v>469.2</v>
      </c>
      <c r="Z599" s="354"/>
      <c r="AA599" s="30"/>
      <c r="AB599" s="357">
        <f>Y599/Y$640</f>
        <v>9.2111087777959982E-4</v>
      </c>
      <c r="AC599" s="88">
        <f>AC154</f>
        <v>510</v>
      </c>
      <c r="AD599" s="250">
        <f>AD154</f>
        <v>469.2</v>
      </c>
      <c r="AE599" s="90"/>
      <c r="AF599" s="30"/>
      <c r="AG599" s="357">
        <f>AD599/AD$640</f>
        <v>9.3172336354914323E-4</v>
      </c>
      <c r="AH599" s="88">
        <f>AH154</f>
        <v>520</v>
      </c>
      <c r="AI599" s="250">
        <f>AI154</f>
        <v>469.2</v>
      </c>
      <c r="AJ599" s="90"/>
      <c r="AK599" s="30"/>
      <c r="AL599" s="357">
        <f>AI599/AI$640</f>
        <v>9.7371858416420208E-4</v>
      </c>
      <c r="AM599" s="88"/>
      <c r="AN599" s="250">
        <f>AN154</f>
        <v>350.4</v>
      </c>
      <c r="AO599" s="29"/>
      <c r="AP599" s="30"/>
      <c r="AQ599" s="357">
        <f>AN599/AN$640</f>
        <v>9.4463021932458932E-4</v>
      </c>
      <c r="AR599" s="88"/>
      <c r="AS599" s="338"/>
      <c r="AT599" s="29"/>
      <c r="AU599" s="30"/>
      <c r="AV599" s="357" t="e">
        <f>AS599/AS$640</f>
        <v>#DIV/0!</v>
      </c>
    </row>
    <row r="600" spans="1:48" s="62" customFormat="1" hidden="1" outlineLevel="3" x14ac:dyDescent="0.3">
      <c r="A600" s="190" t="s">
        <v>549</v>
      </c>
      <c r="B600" s="336"/>
      <c r="C600" s="337"/>
      <c r="D600" s="337"/>
      <c r="E600" s="347" t="str">
        <f>B133</f>
        <v>6150/01342  Interv.Supp.Gardien           (0490)</v>
      </c>
      <c r="F600" s="250">
        <f>F133</f>
        <v>0</v>
      </c>
      <c r="G600" s="250">
        <f>G133</f>
        <v>0</v>
      </c>
      <c r="H600" s="250">
        <f>H133</f>
        <v>0</v>
      </c>
      <c r="I600" s="250">
        <f>I133</f>
        <v>0</v>
      </c>
      <c r="J600" s="382">
        <f>J133</f>
        <v>0</v>
      </c>
      <c r="K600" s="354"/>
      <c r="L600" s="382">
        <f>L133</f>
        <v>0</v>
      </c>
      <c r="M600" s="354"/>
      <c r="N600" s="88"/>
      <c r="O600" s="382">
        <f>O133</f>
        <v>0</v>
      </c>
      <c r="P600" s="354"/>
      <c r="Q600" s="123"/>
      <c r="R600" s="357">
        <f>O600/O$640</f>
        <v>0</v>
      </c>
      <c r="S600" s="88"/>
      <c r="T600" s="382">
        <f>T133</f>
        <v>1595</v>
      </c>
      <c r="U600" s="354"/>
      <c r="V600" s="123"/>
      <c r="W600" s="357">
        <f>T600/T$640</f>
        <v>3.2612818371137967E-3</v>
      </c>
      <c r="X600" s="340"/>
      <c r="Y600" s="382">
        <f>Y133</f>
        <v>9118.64</v>
      </c>
      <c r="Z600" s="354"/>
      <c r="AA600" s="30"/>
      <c r="AB600" s="357">
        <f>Y600/Y$640</f>
        <v>1.7901275563845204E-2</v>
      </c>
      <c r="AC600" s="88">
        <f>AC133</f>
        <v>0</v>
      </c>
      <c r="AD600" s="382">
        <f>AD133</f>
        <v>11202.97</v>
      </c>
      <c r="AE600" s="90"/>
      <c r="AF600" s="30"/>
      <c r="AG600" s="357">
        <f>AD600/AD$640</f>
        <v>2.2246523636274818E-2</v>
      </c>
      <c r="AH600" s="88">
        <f>AH133</f>
        <v>0</v>
      </c>
      <c r="AI600" s="382">
        <f>AI133</f>
        <v>8704.3799999999992</v>
      </c>
      <c r="AJ600" s="90"/>
      <c r="AK600" s="30"/>
      <c r="AL600" s="357">
        <f>AI600/AI$640</f>
        <v>1.8063973933561801E-2</v>
      </c>
      <c r="AM600" s="88"/>
      <c r="AN600" s="382">
        <f>AN133</f>
        <v>7382.79</v>
      </c>
      <c r="AO600" s="29"/>
      <c r="AP600" s="30"/>
      <c r="AQ600" s="357">
        <f>AN600/AN$640</f>
        <v>1.9902986692144364E-2</v>
      </c>
      <c r="AR600" s="88"/>
      <c r="AS600" s="338"/>
      <c r="AT600" s="29"/>
      <c r="AU600" s="30"/>
      <c r="AV600" s="357" t="e">
        <f>AS600/AS$640</f>
        <v>#DIV/0!</v>
      </c>
    </row>
    <row r="601" spans="1:48" s="62" customFormat="1" hidden="1" outlineLevel="3" x14ac:dyDescent="0.3">
      <c r="A601" s="190" t="s">
        <v>550</v>
      </c>
      <c r="B601" s="336"/>
      <c r="C601" s="337"/>
      <c r="D601" s="337"/>
      <c r="E601" s="347" t="str">
        <f>B141</f>
        <v>6140/01369 Diagnostics RisquesPro.   (0560)</v>
      </c>
      <c r="F601" s="250">
        <f>F141</f>
        <v>0</v>
      </c>
      <c r="G601" s="250">
        <f>G141</f>
        <v>0</v>
      </c>
      <c r="H601" s="250">
        <f>H141</f>
        <v>0</v>
      </c>
      <c r="I601" s="250">
        <f>I141</f>
        <v>0</v>
      </c>
      <c r="J601" s="382">
        <f>J141</f>
        <v>0</v>
      </c>
      <c r="K601" s="354">
        <f>H141</f>
        <v>0</v>
      </c>
      <c r="L601" s="382">
        <f>L141</f>
        <v>0</v>
      </c>
      <c r="M601" s="354">
        <f>J141</f>
        <v>0</v>
      </c>
      <c r="N601" s="88"/>
      <c r="O601" s="382">
        <f>O141</f>
        <v>306</v>
      </c>
      <c r="P601" s="354">
        <f>M141</f>
        <v>0</v>
      </c>
      <c r="Q601" s="123"/>
      <c r="R601" s="357">
        <f>O601/O$640</f>
        <v>6.1072427028628434E-4</v>
      </c>
      <c r="S601" s="88"/>
      <c r="T601" s="382">
        <f>T141</f>
        <v>0</v>
      </c>
      <c r="U601" s="354">
        <f>P141</f>
        <v>0</v>
      </c>
      <c r="V601" s="123"/>
      <c r="W601" s="357">
        <f>T601/T$640</f>
        <v>0</v>
      </c>
      <c r="X601" s="340"/>
      <c r="Y601" s="382">
        <f>Y141</f>
        <v>306</v>
      </c>
      <c r="Z601" s="354" t="str">
        <f>W141</f>
        <v/>
      </c>
      <c r="AA601" s="30"/>
      <c r="AB601" s="357">
        <f>Y601/Y$640</f>
        <v>6.0072448550843463E-4</v>
      </c>
      <c r="AC601" s="88">
        <f>AC141</f>
        <v>0</v>
      </c>
      <c r="AD601" s="382">
        <f>AD141</f>
        <v>0</v>
      </c>
      <c r="AE601" s="90">
        <f>AB141</f>
        <v>9.8431589128790669E-4</v>
      </c>
      <c r="AF601" s="30"/>
      <c r="AG601" s="357">
        <f>AD601/AD$640</f>
        <v>0</v>
      </c>
      <c r="AH601" s="88">
        <f>AH141</f>
        <v>0</v>
      </c>
      <c r="AI601" s="382">
        <f>AI141</f>
        <v>642</v>
      </c>
      <c r="AJ601" s="90"/>
      <c r="AK601" s="30"/>
      <c r="AL601" s="357">
        <f>AI601/AI$640</f>
        <v>1.3323259399689211E-3</v>
      </c>
      <c r="AM601" s="88"/>
      <c r="AN601" s="382">
        <f>AN141</f>
        <v>0</v>
      </c>
      <c r="AO601" s="29"/>
      <c r="AP601" s="30"/>
      <c r="AQ601" s="357">
        <f>AN601/AN$640</f>
        <v>0</v>
      </c>
      <c r="AR601" s="88"/>
      <c r="AS601" s="338"/>
      <c r="AT601" s="29"/>
      <c r="AU601" s="30"/>
      <c r="AV601" s="357" t="e">
        <f>AS601/AS$640</f>
        <v>#DIV/0!</v>
      </c>
    </row>
    <row r="602" spans="1:48" s="62" customFormat="1" collapsed="1" x14ac:dyDescent="0.3">
      <c r="A602" s="342" t="s">
        <v>551</v>
      </c>
      <c r="B602" s="336"/>
      <c r="C602" s="337"/>
      <c r="D602" s="337"/>
      <c r="E602" s="372">
        <f>Y602-Y349</f>
        <v>0</v>
      </c>
      <c r="F602" s="344">
        <f>SUM(F603,F604,)</f>
        <v>0</v>
      </c>
      <c r="G602" s="344">
        <f>SUM(G603,G604,)</f>
        <v>0</v>
      </c>
      <c r="H602" s="344">
        <f>SUM(H603,H604,)</f>
        <v>0</v>
      </c>
      <c r="I602" s="344">
        <f>SUM(I603,I604,)</f>
        <v>0</v>
      </c>
      <c r="J602" s="344">
        <f>SUM(J603,J604,)</f>
        <v>156.71</v>
      </c>
      <c r="K602" s="345" t="str">
        <f>ROUND((J602-I602),2)&amp;"  ( "&amp;(ROUND((J602-I602)/(IF(I602=0,0.0001,I602)),3)*100)&amp;"% )"</f>
        <v>156,71  ( 156710000% )</v>
      </c>
      <c r="L602" s="344">
        <f>SUM(L603,L604,)</f>
        <v>81.12</v>
      </c>
      <c r="M602" s="345" t="str">
        <f>ROUND((L602-G602),2)&amp;"   ( "&amp;(ROUND((L602-G602)/(IF(G602=0,0.0001,G602)),3)*100)&amp;"% )"</f>
        <v>81,12   ( 81120000% )</v>
      </c>
      <c r="N602" s="88"/>
      <c r="O602" s="344">
        <f>SUM(O603,O604,)</f>
        <v>34.32</v>
      </c>
      <c r="P602" s="345" t="str">
        <f>ROUND((O602-J602),2)&amp;"   ( "&amp;(ROUND((O602-J602)/(IF(J602=0,0.0001,J602)),3)*100)&amp;"% )"</f>
        <v>-122,39   ( -78,1% )</v>
      </c>
      <c r="Q602" s="123"/>
      <c r="R602" s="346">
        <f>O602/O$640</f>
        <v>6.8496918157598958E-5</v>
      </c>
      <c r="S602" s="88"/>
      <c r="T602" s="344">
        <f>SUM(T603,T604,)</f>
        <v>0</v>
      </c>
      <c r="U602" s="345" t="str">
        <f>ROUND((T602-O602),2)&amp;"   ( "&amp;(ROUND((T602-O602)/(IF(O602=0,0.0001,O602)),3)*100)&amp;"% )"</f>
        <v>-34,32   ( -100% )</v>
      </c>
      <c r="V602" s="123"/>
      <c r="W602" s="346">
        <f>T602/T$640</f>
        <v>0</v>
      </c>
      <c r="X602" s="340"/>
      <c r="Y602" s="344">
        <f>SUM(Y603,Y604,)</f>
        <v>117.47</v>
      </c>
      <c r="Z602" s="345" t="str">
        <f>ROUND((Y602-T602),2)&amp;"   ( "&amp;(ROUND((Y602-T602)/(IF(T602=0,0.0001,T602)),3)*100)&amp;"% )"</f>
        <v>117,47   ( 117470000% )</v>
      </c>
      <c r="AA602" s="30"/>
      <c r="AB602" s="346">
        <f>Y602/Y$640</f>
        <v>2.3061145527018243E-4</v>
      </c>
      <c r="AC602" s="88">
        <f>SUM(AC603,AC604,)</f>
        <v>100</v>
      </c>
      <c r="AD602" s="344">
        <f>SUM(AD603,AD604,)</f>
        <v>97.92</v>
      </c>
      <c r="AE602" s="6" t="str">
        <f>ROUND((AD602-Y602),2)&amp;"   ( "&amp;(ROUND((AD602-Y602)/(IF(Y602=0,0.0001,Y602)),3)*100)&amp;"% )"</f>
        <v>-19,55   ( -16,6% )</v>
      </c>
      <c r="AF602" s="30"/>
      <c r="AG602" s="346">
        <f>AD602/AD$640</f>
        <v>1.9444661500156034E-4</v>
      </c>
      <c r="AH602" s="88">
        <f>SUM(AH603,AH604,)</f>
        <v>110</v>
      </c>
      <c r="AI602" s="344">
        <f>SUM(AI603,AI604,)</f>
        <v>97.92</v>
      </c>
      <c r="AJ602" s="6" t="str">
        <f t="shared" ref="AJ602:AJ604" si="450">ROUND(AI602-AD602,2) &amp; "   (" &amp; ROUND(100*(AI602-AD602)/AD602,1) &amp;"%)"</f>
        <v>0   (0%)</v>
      </c>
      <c r="AK602" s="30"/>
      <c r="AL602" s="346">
        <f>AI602/AI$640</f>
        <v>2.0321083495600741E-4</v>
      </c>
      <c r="AM602" s="88"/>
      <c r="AN602" s="344">
        <f>SUM(AN603,AN604,)</f>
        <v>73.44</v>
      </c>
      <c r="AO602" s="35" t="str">
        <f t="shared" ref="AO602:AO604" si="451">ROUND(AN602-AI602,2) &amp; "   (" &amp; ROUND(100*(AN602-AI602)/AI602,1) &amp;"%)"</f>
        <v>-24,48   (-25%)</v>
      </c>
      <c r="AP602" s="30"/>
      <c r="AQ602" s="346">
        <f>AN602/AN$640</f>
        <v>1.9798414185844134E-4</v>
      </c>
      <c r="AR602" s="88"/>
      <c r="AS602" s="338"/>
      <c r="AT602" s="35" t="str">
        <f t="shared" ref="AT602:AT604" si="452">ROUND(AS602-AN602,2) &amp; "   (" &amp; ROUND(100*(AS602-AN602)/AN602,1) &amp;"%)"</f>
        <v>-73,44   (-100%)</v>
      </c>
      <c r="AU602" s="30"/>
      <c r="AV602" s="346" t="e">
        <f>AS602/AS$640</f>
        <v>#DIV/0!</v>
      </c>
    </row>
    <row r="603" spans="1:48" s="62" customFormat="1" hidden="1" outlineLevel="1" x14ac:dyDescent="0.3">
      <c r="A603" s="199" t="s">
        <v>552</v>
      </c>
      <c r="B603" s="336"/>
      <c r="C603" s="337"/>
      <c r="D603" s="337"/>
      <c r="E603" s="347"/>
      <c r="F603" s="27"/>
      <c r="G603" s="27"/>
      <c r="H603" s="27"/>
      <c r="I603" s="27"/>
      <c r="J603" s="27"/>
      <c r="K603" s="354"/>
      <c r="L603" s="27"/>
      <c r="M603" s="354"/>
      <c r="N603" s="88"/>
      <c r="O603" s="27"/>
      <c r="P603" s="354"/>
      <c r="Q603" s="123"/>
      <c r="R603" s="357"/>
      <c r="S603" s="88"/>
      <c r="T603" s="27"/>
      <c r="U603" s="354"/>
      <c r="V603" s="123"/>
      <c r="W603" s="357"/>
      <c r="X603" s="340"/>
      <c r="Y603" s="27"/>
      <c r="Z603" s="354"/>
      <c r="AA603" s="30"/>
      <c r="AB603" s="357"/>
      <c r="AC603" s="88"/>
      <c r="AD603" s="27"/>
      <c r="AE603" s="6"/>
      <c r="AF603" s="30"/>
      <c r="AG603" s="357"/>
      <c r="AH603" s="88"/>
      <c r="AI603" s="27"/>
      <c r="AJ603" s="6" t="e">
        <f t="shared" si="450"/>
        <v>#DIV/0!</v>
      </c>
      <c r="AK603" s="30"/>
      <c r="AL603" s="357"/>
      <c r="AM603" s="88"/>
      <c r="AN603" s="27"/>
      <c r="AO603" s="35" t="e">
        <f t="shared" si="451"/>
        <v>#DIV/0!</v>
      </c>
      <c r="AP603" s="30"/>
      <c r="AQ603" s="357"/>
      <c r="AR603" s="88"/>
      <c r="AS603" s="338"/>
      <c r="AT603" s="35" t="e">
        <f t="shared" si="452"/>
        <v>#DIV/0!</v>
      </c>
      <c r="AU603" s="30"/>
      <c r="AV603" s="357"/>
    </row>
    <row r="604" spans="1:48" s="62" customFormat="1" hidden="1" outlineLevel="1" collapsed="1" x14ac:dyDescent="0.3">
      <c r="A604" s="199" t="s">
        <v>553</v>
      </c>
      <c r="B604" s="336"/>
      <c r="C604" s="337"/>
      <c r="D604" s="337"/>
      <c r="E604" s="347">
        <f>Y604-Y349</f>
        <v>0</v>
      </c>
      <c r="F604" s="348">
        <f>SUM(F605:F605)</f>
        <v>0</v>
      </c>
      <c r="G604" s="348">
        <f>SUM(G605:G605)</f>
        <v>0</v>
      </c>
      <c r="H604" s="348">
        <f>SUM(H605:H605)</f>
        <v>0</v>
      </c>
      <c r="I604" s="348">
        <f>SUM(I605:I605)</f>
        <v>0</v>
      </c>
      <c r="J604" s="348">
        <f>SUM(J605:J605)</f>
        <v>156.71</v>
      </c>
      <c r="K604" s="349" t="str">
        <f>ROUND((J604-I604),2)&amp;"  ( "&amp;(ROUND((J604-I604)/(IF(I604=0,0.0001,I604)),3)*100)&amp;"% )"</f>
        <v>156,71  ( 156710000% )</v>
      </c>
      <c r="L604" s="348">
        <f>SUM(L605:L605)</f>
        <v>81.12</v>
      </c>
      <c r="M604" s="349" t="str">
        <f>ROUND((L604-G604),2)&amp;"   ( "&amp;(ROUND((L604-G604)/(IF(G604=0,0.0001,G604)),3)*100)&amp;"% )"</f>
        <v>81,12   ( 81120000% )</v>
      </c>
      <c r="N604" s="88"/>
      <c r="O604" s="348">
        <f>SUM(O605:O605)</f>
        <v>34.32</v>
      </c>
      <c r="P604" s="349" t="str">
        <f>ROUND((O604-J604),2)&amp;"   ( "&amp;(ROUND((O604-J604)/(IF(J604=0,0.0001,J604)),3)*100)&amp;"% )"</f>
        <v>-122,39   ( -78,1% )</v>
      </c>
      <c r="Q604" s="123"/>
      <c r="R604" s="357"/>
      <c r="S604" s="88"/>
      <c r="T604" s="348">
        <f>SUM(T605:T605)</f>
        <v>0</v>
      </c>
      <c r="U604" s="349" t="str">
        <f>ROUND((T604-O604),2)&amp;"   ( "&amp;(ROUND((T604-O604)/(IF(O604=0,0.0001,O604)),3)*100)&amp;"% )"</f>
        <v>-34,32   ( -100% )</v>
      </c>
      <c r="V604" s="123"/>
      <c r="W604" s="357"/>
      <c r="X604" s="340"/>
      <c r="Y604" s="348">
        <f>SUM(Y605:Y605)</f>
        <v>117.47</v>
      </c>
      <c r="Z604" s="349" t="str">
        <f>ROUND((Y604-T604),2)&amp;"   ( "&amp;(ROUND((Y604-T604)/(IF(T604=0,0.0001,T604)),3)*100)&amp;"% )"</f>
        <v>117,47   ( 117470000% )</v>
      </c>
      <c r="AA604" s="30"/>
      <c r="AB604" s="357"/>
      <c r="AC604" s="88">
        <f>SUM(AC605:AC605)</f>
        <v>100</v>
      </c>
      <c r="AD604" s="348">
        <f>SUM(AD605:AD605)</f>
        <v>97.92</v>
      </c>
      <c r="AE604" s="6" t="str">
        <f>ROUND((AD604-Y604),2)&amp;"   ( "&amp;(ROUND((AD604-Y604)/(IF(Y604=0,0.0001,Y604)),3)*100)&amp;"% )"</f>
        <v>-19,55   ( -16,6% )</v>
      </c>
      <c r="AF604" s="30"/>
      <c r="AG604" s="357"/>
      <c r="AH604" s="88">
        <f>SUM(AH605:AH605)</f>
        <v>110</v>
      </c>
      <c r="AI604" s="348">
        <f>SUM(AI605:AI605)</f>
        <v>97.92</v>
      </c>
      <c r="AJ604" s="6" t="str">
        <f t="shared" si="450"/>
        <v>0   (0%)</v>
      </c>
      <c r="AK604" s="30"/>
      <c r="AL604" s="357"/>
      <c r="AM604" s="88"/>
      <c r="AN604" s="348">
        <f>SUM(AN605:AN605)</f>
        <v>73.44</v>
      </c>
      <c r="AO604" s="35" t="str">
        <f t="shared" si="451"/>
        <v>-24,48   (-25%)</v>
      </c>
      <c r="AP604" s="30"/>
      <c r="AQ604" s="357"/>
      <c r="AR604" s="88"/>
      <c r="AS604" s="338"/>
      <c r="AT604" s="35" t="str">
        <f t="shared" si="452"/>
        <v>-73,44   (-100%)</v>
      </c>
      <c r="AU604" s="30"/>
      <c r="AV604" s="357"/>
    </row>
    <row r="605" spans="1:48" s="62" customFormat="1" hidden="1" outlineLevel="2" x14ac:dyDescent="0.3">
      <c r="A605" s="188" t="s">
        <v>554</v>
      </c>
      <c r="B605" s="336"/>
      <c r="C605" s="337"/>
      <c r="D605" s="337"/>
      <c r="E605" s="347" t="str">
        <f>B137</f>
        <v>6620/01356 Frais bancaires           (0524)</v>
      </c>
      <c r="F605" s="368">
        <f>F137</f>
        <v>0</v>
      </c>
      <c r="G605" s="368">
        <f>G137</f>
        <v>0</v>
      </c>
      <c r="H605" s="368">
        <f>H137</f>
        <v>0</v>
      </c>
      <c r="I605" s="368">
        <f>I137</f>
        <v>0</v>
      </c>
      <c r="J605" s="368">
        <f>J137</f>
        <v>156.71</v>
      </c>
      <c r="K605" s="354">
        <f>H137</f>
        <v>0</v>
      </c>
      <c r="L605" s="368">
        <f>L137</f>
        <v>81.12</v>
      </c>
      <c r="M605" s="354">
        <f>J137</f>
        <v>156.71</v>
      </c>
      <c r="N605" s="88"/>
      <c r="O605" s="368">
        <f>O137</f>
        <v>34.32</v>
      </c>
      <c r="P605" s="354">
        <f>M137</f>
        <v>-0.48235594410056792</v>
      </c>
      <c r="Q605" s="123"/>
      <c r="R605" s="357"/>
      <c r="S605" s="88"/>
      <c r="T605" s="368">
        <f>T137</f>
        <v>0</v>
      </c>
      <c r="U605" s="354">
        <f>P137</f>
        <v>-0.57692307692307698</v>
      </c>
      <c r="V605" s="123"/>
      <c r="W605" s="357"/>
      <c r="X605" s="340"/>
      <c r="Y605" s="368">
        <f>Y137</f>
        <v>117.47</v>
      </c>
      <c r="Z605" s="354" t="str">
        <f>W137</f>
        <v/>
      </c>
      <c r="AA605" s="30"/>
      <c r="AB605" s="357"/>
      <c r="AC605" s="88">
        <f>AC137</f>
        <v>100</v>
      </c>
      <c r="AD605" s="368">
        <f>AD137</f>
        <v>97.92</v>
      </c>
      <c r="AE605" s="90">
        <f>AB137</f>
        <v>3.7786793382219084E-4</v>
      </c>
      <c r="AF605" s="30"/>
      <c r="AG605" s="357"/>
      <c r="AH605" s="88">
        <f>AH137</f>
        <v>110</v>
      </c>
      <c r="AI605" s="368">
        <f>AI137</f>
        <v>97.92</v>
      </c>
      <c r="AJ605" s="90"/>
      <c r="AK605" s="30"/>
      <c r="AL605" s="357"/>
      <c r="AM605" s="88"/>
      <c r="AN605" s="368">
        <f>AN137</f>
        <v>73.44</v>
      </c>
      <c r="AO605" s="29"/>
      <c r="AP605" s="30"/>
      <c r="AQ605" s="357"/>
      <c r="AR605" s="88"/>
      <c r="AS605" s="338"/>
      <c r="AT605" s="29"/>
      <c r="AU605" s="30"/>
      <c r="AV605" s="357"/>
    </row>
    <row r="606" spans="1:48" s="62" customFormat="1" hidden="1" outlineLevel="2" x14ac:dyDescent="0.3">
      <c r="A606" s="188"/>
      <c r="B606" s="336"/>
      <c r="C606" s="337"/>
      <c r="D606" s="337"/>
      <c r="E606" s="347"/>
      <c r="F606" s="368"/>
      <c r="G606" s="368"/>
      <c r="H606" s="368"/>
      <c r="I606" s="368"/>
      <c r="J606" s="368"/>
      <c r="K606" s="354"/>
      <c r="L606" s="368"/>
      <c r="M606" s="354"/>
      <c r="N606" s="88"/>
      <c r="O606" s="368"/>
      <c r="P606" s="354"/>
      <c r="Q606" s="123"/>
      <c r="R606" s="357"/>
      <c r="S606" s="88"/>
      <c r="T606" s="368"/>
      <c r="U606" s="354"/>
      <c r="V606" s="123"/>
      <c r="W606" s="357"/>
      <c r="X606" s="340"/>
      <c r="Y606" s="368"/>
      <c r="Z606" s="354"/>
      <c r="AA606" s="30"/>
      <c r="AB606" s="357"/>
      <c r="AC606" s="88"/>
      <c r="AD606" s="368"/>
      <c r="AE606" s="90"/>
      <c r="AF606" s="30"/>
      <c r="AG606" s="357"/>
      <c r="AH606" s="88"/>
      <c r="AI606" s="368"/>
      <c r="AJ606" s="90"/>
      <c r="AK606" s="30"/>
      <c r="AL606" s="357"/>
      <c r="AM606" s="88"/>
      <c r="AN606" s="368"/>
      <c r="AO606" s="29"/>
      <c r="AP606" s="30"/>
      <c r="AQ606" s="357"/>
      <c r="AR606" s="88"/>
      <c r="AS606" s="338"/>
      <c r="AT606" s="29"/>
      <c r="AU606" s="30"/>
      <c r="AV606" s="357"/>
    </row>
    <row r="607" spans="1:48" s="62" customFormat="1" collapsed="1" x14ac:dyDescent="0.3">
      <c r="A607" s="342" t="s">
        <v>555</v>
      </c>
      <c r="B607" s="336"/>
      <c r="C607" s="337"/>
      <c r="D607" s="337"/>
      <c r="E607" s="372">
        <f>Y607-SUM(Y350:Y351)</f>
        <v>0</v>
      </c>
      <c r="F607" s="344">
        <f>SUM(F608,F609,F610,F614:F615)</f>
        <v>729.91000000000008</v>
      </c>
      <c r="G607" s="344">
        <f>SUM(G608,G609,G610,G614:G615)</f>
        <v>9358.5400000000009</v>
      </c>
      <c r="H607" s="344">
        <f>SUM(H608,H609,H610,H614:H615)</f>
        <v>11662.619999999999</v>
      </c>
      <c r="I607" s="344">
        <f>SUM(I608,I609,I610,I614:I615)</f>
        <v>4142.0600000000004</v>
      </c>
      <c r="J607" s="344">
        <f>SUM(J608,J609,J610,J614:J615)</f>
        <v>3104.3599999999997</v>
      </c>
      <c r="K607" s="345" t="str">
        <f>ROUND((J607-I607),2)&amp;"  ( "&amp;(ROUND((J607-I607)/(IF(I607=0,0.0001,I607)),3)*100)&amp;"% )"</f>
        <v>-1037,7  ( -25,1% )</v>
      </c>
      <c r="L607" s="344">
        <f>SUM(L608,L609,L610,L614:L615)</f>
        <v>887.91</v>
      </c>
      <c r="M607" s="345" t="str">
        <f>ROUND((L607-G607),2)&amp;"   ( "&amp;(ROUND((L607-G607)/(IF(G607=0,0.0001,G607)),3)*100)&amp;"% )"</f>
        <v>-8470,63   ( -90,5% )</v>
      </c>
      <c r="N607" s="88"/>
      <c r="O607" s="344">
        <f>SUM(O608,O609,O610,O614:O615)</f>
        <v>5226.08</v>
      </c>
      <c r="P607" s="345" t="str">
        <f>ROUND((O607-J607),2)&amp;"   ( "&amp;(ROUND((O607-J607)/(IF(J607=0,0.0001,J607)),3)*100)&amp;"% )"</f>
        <v>2121,72   ( 68,3% )</v>
      </c>
      <c r="Q607" s="123"/>
      <c r="R607" s="346">
        <f>O607/O$640</f>
        <v>1.0430372204110278E-2</v>
      </c>
      <c r="S607" s="88"/>
      <c r="T607" s="344">
        <f>SUM(T608,T609,T610,T614:T615)</f>
        <v>5867.24</v>
      </c>
      <c r="U607" s="345" t="str">
        <f>ROUND((T607-O607),2)&amp;"   ( "&amp;(ROUND((T607-O607)/(IF(O607=0,0.0001,O607)),3)*100)&amp;"% )"</f>
        <v>641,16   ( 12,3% )</v>
      </c>
      <c r="V607" s="123"/>
      <c r="W607" s="346">
        <f>T607/T$640</f>
        <v>1.1996691690274328E-2</v>
      </c>
      <c r="X607" s="340"/>
      <c r="Y607" s="344">
        <f>SUM(Y608,Y609,Y610,Y614:Y615)</f>
        <v>26577.100000000002</v>
      </c>
      <c r="Z607" s="345" t="str">
        <f>ROUND((Y607-T607),2)&amp;"   ( "&amp;(ROUND((Y607-T607)/(IF(T607=0,0.0001,T607)),3)*100)&amp;"% )"</f>
        <v>20709,86   ( 353% )</v>
      </c>
      <c r="AA607" s="30"/>
      <c r="AB607" s="346">
        <f>Y607/Y$640</f>
        <v>5.2174884718320984E-2</v>
      </c>
      <c r="AC607" s="88">
        <f>SUM(AC608,AC609,AC610,AC614:AC615)</f>
        <v>0</v>
      </c>
      <c r="AD607" s="344">
        <f>SUM(AD608,AD609,AD610,AD614:AD615)</f>
        <v>764.69</v>
      </c>
      <c r="AE607" s="6" t="str">
        <f>ROUND((AD607-Y607),2)&amp;"   ( "&amp;(ROUND((AD607-Y607)/(IF(Y607=0,0.0001,Y607)),3)*100)&amp;"% )"</f>
        <v>-25812,41   ( -97,1% )</v>
      </c>
      <c r="AF607" s="30"/>
      <c r="AG607" s="346">
        <f>AD607/AD$640</f>
        <v>1.5184985909471322E-3</v>
      </c>
      <c r="AH607" s="88">
        <f>SUM(AH608,AH609,AH610,AH614:AH615)</f>
        <v>0</v>
      </c>
      <c r="AI607" s="344">
        <f>SUM(AI608,AI609,AI610,AI614:AI615)</f>
        <v>-6.41</v>
      </c>
      <c r="AJ607" s="6" t="str">
        <f t="shared" ref="AJ607:AJ610" si="453">ROUND(AI607-AD607,2) &amp; "   (" &amp; ROUND(100*(AI607-AD607)/AD607,1) &amp;"%)"</f>
        <v>-771,1   (-100,8%)</v>
      </c>
      <c r="AK607" s="30"/>
      <c r="AL607" s="346">
        <f>AI607/AI$640</f>
        <v>-1.3302506659191253E-5</v>
      </c>
      <c r="AM607" s="88"/>
      <c r="AN607" s="344">
        <f>SUM(AN608,AN609,AN610,AN614:AN615)</f>
        <v>1433.86</v>
      </c>
      <c r="AO607" s="35" t="str">
        <f t="shared" ref="AO607:AO610" si="454">ROUND(AN607-AI607,2) &amp; "   (" &amp; ROUND(100*(AN607-AI607)/AI607,1) &amp;"%)"</f>
        <v>1440,27   (-22469,1%)</v>
      </c>
      <c r="AP607" s="30"/>
      <c r="AQ607" s="346">
        <f>AN607/AN$640</f>
        <v>3.8654894014861748E-3</v>
      </c>
      <c r="AR607" s="88"/>
      <c r="AS607" s="338"/>
      <c r="AT607" s="35" t="str">
        <f t="shared" ref="AT607:AT610" si="455">ROUND(AS607-AN607,2) &amp; "   (" &amp; ROUND(100*(AS607-AN607)/AN607,1) &amp;"%)"</f>
        <v>-1433,86   (-100%)</v>
      </c>
      <c r="AU607" s="30"/>
      <c r="AV607" s="346" t="e">
        <f>AS607/AS$640</f>
        <v>#DIV/0!</v>
      </c>
    </row>
    <row r="608" spans="1:48" s="62" customFormat="1" hidden="1" outlineLevel="1" x14ac:dyDescent="0.3">
      <c r="A608" s="199" t="s">
        <v>556</v>
      </c>
      <c r="B608" s="336"/>
      <c r="C608" s="337"/>
      <c r="D608" s="337"/>
      <c r="E608" s="347"/>
      <c r="F608" s="348">
        <v>0</v>
      </c>
      <c r="G608" s="348">
        <v>0</v>
      </c>
      <c r="H608" s="348">
        <v>0</v>
      </c>
      <c r="I608" s="348">
        <v>0</v>
      </c>
      <c r="J608" s="348">
        <v>0</v>
      </c>
      <c r="K608" s="354"/>
      <c r="L608" s="348">
        <v>0</v>
      </c>
      <c r="M608" s="354"/>
      <c r="N608" s="88"/>
      <c r="O608" s="348">
        <v>0</v>
      </c>
      <c r="P608" s="349" t="str">
        <f>ROUND((O608-J608),2)&amp;"   ( "&amp;(ROUND((O608-J608)/(IF(J608=0,0.0001,J608)),3)*100)&amp;"% )"</f>
        <v>0   ( 0% )</v>
      </c>
      <c r="Q608" s="123"/>
      <c r="R608" s="357"/>
      <c r="S608" s="88"/>
      <c r="T608" s="348">
        <v>0</v>
      </c>
      <c r="U608" s="354"/>
      <c r="V608" s="123"/>
      <c r="W608" s="357"/>
      <c r="X608" s="340"/>
      <c r="Y608" s="348">
        <v>0</v>
      </c>
      <c r="Z608" s="349" t="str">
        <f>ROUND((Y608-T608),2)&amp;"   ( "&amp;(ROUND((Y608-T608)/(IF(T608=0,0.0001,T608)),3)*100)&amp;"% )"</f>
        <v>0   ( 0% )</v>
      </c>
      <c r="AA608" s="30"/>
      <c r="AB608" s="357"/>
      <c r="AC608" s="88">
        <v>0</v>
      </c>
      <c r="AD608" s="348">
        <v>0</v>
      </c>
      <c r="AE608" s="6" t="str">
        <f>ROUND((AD608-Y608),2)&amp;"   ( "&amp;(ROUND((AD608-Y608)/(IF(Y608=0,0.0001,Y608)),3)*100)&amp;"% )"</f>
        <v>0   ( 0% )</v>
      </c>
      <c r="AF608" s="30"/>
      <c r="AG608" s="357"/>
      <c r="AH608" s="88">
        <v>0</v>
      </c>
      <c r="AI608" s="348">
        <v>0</v>
      </c>
      <c r="AJ608" s="6" t="e">
        <f t="shared" si="453"/>
        <v>#DIV/0!</v>
      </c>
      <c r="AK608" s="30"/>
      <c r="AL608" s="357"/>
      <c r="AM608" s="88"/>
      <c r="AN608" s="348">
        <v>0</v>
      </c>
      <c r="AO608" s="35" t="e">
        <f t="shared" si="454"/>
        <v>#DIV/0!</v>
      </c>
      <c r="AP608" s="30"/>
      <c r="AQ608" s="357"/>
      <c r="AR608" s="88"/>
      <c r="AS608" s="338"/>
      <c r="AT608" s="35" t="e">
        <f t="shared" si="455"/>
        <v>#DIV/0!</v>
      </c>
      <c r="AU608" s="30"/>
      <c r="AV608" s="357"/>
    </row>
    <row r="609" spans="1:48" s="62" customFormat="1" hidden="1" outlineLevel="1" x14ac:dyDescent="0.3">
      <c r="A609" s="199" t="s">
        <v>557</v>
      </c>
      <c r="B609" s="336"/>
      <c r="C609" s="337"/>
      <c r="D609" s="337"/>
      <c r="E609" s="347"/>
      <c r="F609" s="348">
        <v>0</v>
      </c>
      <c r="G609" s="348">
        <v>0</v>
      </c>
      <c r="H609" s="348">
        <v>0</v>
      </c>
      <c r="I609" s="348">
        <v>0</v>
      </c>
      <c r="J609" s="348">
        <v>0</v>
      </c>
      <c r="K609" s="354"/>
      <c r="L609" s="348">
        <v>0</v>
      </c>
      <c r="M609" s="354"/>
      <c r="N609" s="88"/>
      <c r="O609" s="348">
        <v>0</v>
      </c>
      <c r="P609" s="349" t="str">
        <f>ROUND((O609-J609),2)&amp;"   ( "&amp;(ROUND((O609-J609)/(IF(J609=0,0.0001,J609)),3)*100)&amp;"% )"</f>
        <v>0   ( 0% )</v>
      </c>
      <c r="Q609" s="123"/>
      <c r="R609" s="357"/>
      <c r="S609" s="88"/>
      <c r="T609" s="348">
        <v>0</v>
      </c>
      <c r="U609" s="354"/>
      <c r="V609" s="123"/>
      <c r="W609" s="357"/>
      <c r="X609" s="340"/>
      <c r="Y609" s="348">
        <v>0</v>
      </c>
      <c r="Z609" s="349" t="str">
        <f>ROUND((Y609-T609),2)&amp;"   ( "&amp;(ROUND((Y609-T609)/(IF(T609=0,0.0001,T609)),3)*100)&amp;"% )"</f>
        <v>0   ( 0% )</v>
      </c>
      <c r="AA609" s="30"/>
      <c r="AB609" s="357"/>
      <c r="AC609" s="88">
        <v>0</v>
      </c>
      <c r="AD609" s="348">
        <v>0</v>
      </c>
      <c r="AE609" s="6" t="str">
        <f>ROUND((AD609-Y609),2)&amp;"   ( "&amp;(ROUND((AD609-Y609)/(IF(Y609=0,0.0001,Y609)),3)*100)&amp;"% )"</f>
        <v>0   ( 0% )</v>
      </c>
      <c r="AF609" s="30"/>
      <c r="AG609" s="357"/>
      <c r="AH609" s="88">
        <v>0</v>
      </c>
      <c r="AI609" s="348">
        <v>0</v>
      </c>
      <c r="AJ609" s="6" t="e">
        <f t="shared" si="453"/>
        <v>#DIV/0!</v>
      </c>
      <c r="AK609" s="30"/>
      <c r="AL609" s="357"/>
      <c r="AM609" s="88"/>
      <c r="AN609" s="348">
        <v>0</v>
      </c>
      <c r="AO609" s="35" t="e">
        <f t="shared" si="454"/>
        <v>#DIV/0!</v>
      </c>
      <c r="AP609" s="30"/>
      <c r="AQ609" s="357"/>
      <c r="AR609" s="88"/>
      <c r="AS609" s="338"/>
      <c r="AT609" s="35" t="e">
        <f t="shared" si="455"/>
        <v>#DIV/0!</v>
      </c>
      <c r="AU609" s="30"/>
      <c r="AV609" s="357"/>
    </row>
    <row r="610" spans="1:48" s="62" customFormat="1" hidden="1" outlineLevel="1" collapsed="1" x14ac:dyDescent="0.3">
      <c r="A610" s="199" t="s">
        <v>558</v>
      </c>
      <c r="B610" s="336"/>
      <c r="C610" s="337"/>
      <c r="D610" s="337"/>
      <c r="E610" s="347">
        <f>Y610-Y350</f>
        <v>0</v>
      </c>
      <c r="F610" s="348">
        <f>SUM(F611:F613)</f>
        <v>418.6</v>
      </c>
      <c r="G610" s="348">
        <f>SUM(G611:G613)</f>
        <v>2637.5</v>
      </c>
      <c r="H610" s="348">
        <f>SUM(H611:H613)</f>
        <v>4784</v>
      </c>
      <c r="I610" s="348">
        <f>SUM(I611:I613)</f>
        <v>705.64</v>
      </c>
      <c r="J610" s="348">
        <f>SUM(J611:J613)</f>
        <v>0</v>
      </c>
      <c r="K610" s="349" t="str">
        <f>ROUND((J610-I610),2)&amp;"  ( "&amp;(ROUND((J610-I610)/(IF(I610=0,0.0001,I610)),3)*100)&amp;"% )"</f>
        <v>-705,64  ( -100% )</v>
      </c>
      <c r="L610" s="348">
        <f>SUM(L611:L613)</f>
        <v>894</v>
      </c>
      <c r="M610" s="349" t="str">
        <f>ROUND((L610-G610),2)&amp;"   ( "&amp;(ROUND((L610-G610)/(IF(G610=0,0.0001,G610)),3)*100)&amp;"% )"</f>
        <v>-1743,5   ( -66,1% )</v>
      </c>
      <c r="N610" s="88"/>
      <c r="O610" s="348">
        <f>SUM(O611:O613)</f>
        <v>0</v>
      </c>
      <c r="P610" s="349" t="str">
        <f>ROUND((O610-J610),2)&amp;"   ( "&amp;(ROUND((O610-J610)/(IF(J610=0,0.0001,J610)),3)*100)&amp;"% )"</f>
        <v>0   ( 0% )</v>
      </c>
      <c r="Q610" s="123"/>
      <c r="R610" s="357"/>
      <c r="S610" s="88"/>
      <c r="T610" s="348">
        <f>SUM(T611:T613)</f>
        <v>0</v>
      </c>
      <c r="U610" s="349" t="str">
        <f>ROUND((T610-O610),2)&amp;"   ( "&amp;(ROUND((T610-O610)/(IF(O610=0,0.0001,O610)),3)*100)&amp;"% )"</f>
        <v>0   ( 0% )</v>
      </c>
      <c r="V610" s="123"/>
      <c r="W610" s="357"/>
      <c r="X610" s="340"/>
      <c r="Y610" s="348">
        <f>SUM(Y611:Y613)</f>
        <v>0</v>
      </c>
      <c r="Z610" s="349" t="str">
        <f>ROUND((Y610-T610),2)&amp;"   ( "&amp;(ROUND((Y610-T610)/(IF(T610=0,0.0001,T610)),3)*100)&amp;"% )"</f>
        <v>0   ( 0% )</v>
      </c>
      <c r="AA610" s="30"/>
      <c r="AB610" s="357"/>
      <c r="AC610" s="88">
        <f>SUM(AC611:AC613)</f>
        <v>0</v>
      </c>
      <c r="AD610" s="348">
        <f>SUM(AD611:AD613)</f>
        <v>0</v>
      </c>
      <c r="AE610" s="6" t="str">
        <f>ROUND((AD610-Y610),2)&amp;"   ( "&amp;(ROUND((AD610-Y610)/(IF(Y610=0,0.0001,Y610)),3)*100)&amp;"% )"</f>
        <v>0   ( 0% )</v>
      </c>
      <c r="AF610" s="30"/>
      <c r="AG610" s="357"/>
      <c r="AH610" s="88">
        <f>SUM(AH611:AH613)</f>
        <v>0</v>
      </c>
      <c r="AI610" s="348">
        <f>SUM(AI611:AI613)</f>
        <v>0</v>
      </c>
      <c r="AJ610" s="6" t="e">
        <f t="shared" si="453"/>
        <v>#DIV/0!</v>
      </c>
      <c r="AK610" s="30"/>
      <c r="AL610" s="357"/>
      <c r="AM610" s="88"/>
      <c r="AN610" s="348">
        <f>SUM(AN611:AN613)</f>
        <v>1434</v>
      </c>
      <c r="AO610" s="35" t="e">
        <f t="shared" si="454"/>
        <v>#DIV/0!</v>
      </c>
      <c r="AP610" s="30"/>
      <c r="AQ610" s="357"/>
      <c r="AR610" s="88"/>
      <c r="AS610" s="338"/>
      <c r="AT610" s="35" t="str">
        <f t="shared" si="455"/>
        <v>-1434   (-100%)</v>
      </c>
      <c r="AU610" s="30"/>
      <c r="AV610" s="357"/>
    </row>
    <row r="611" spans="1:48" s="62" customFormat="1" hidden="1" outlineLevel="2" x14ac:dyDescent="0.3">
      <c r="A611" s="188" t="s">
        <v>559</v>
      </c>
      <c r="B611" s="336"/>
      <c r="C611" s="337"/>
      <c r="D611" s="337"/>
      <c r="E611" s="347" t="str">
        <f>B140</f>
        <v>6730/00368 Etudes Diag.Consult.           (0550)</v>
      </c>
      <c r="F611" s="368">
        <f>F140</f>
        <v>0</v>
      </c>
      <c r="G611" s="368">
        <f>G140</f>
        <v>0</v>
      </c>
      <c r="H611" s="368">
        <f>H140</f>
        <v>0</v>
      </c>
      <c r="I611" s="368">
        <f>I140</f>
        <v>705.64</v>
      </c>
      <c r="J611" s="368">
        <f>J140</f>
        <v>0</v>
      </c>
      <c r="K611" s="354">
        <f>H140</f>
        <v>0</v>
      </c>
      <c r="L611" s="368">
        <f>L140</f>
        <v>894</v>
      </c>
      <c r="M611" s="354">
        <f>J140</f>
        <v>0</v>
      </c>
      <c r="N611" s="88"/>
      <c r="O611" s="368">
        <f>O140</f>
        <v>0</v>
      </c>
      <c r="P611" s="354">
        <f>M140</f>
        <v>0</v>
      </c>
      <c r="Q611" s="123"/>
      <c r="R611" s="357"/>
      <c r="S611" s="88"/>
      <c r="T611" s="368">
        <f>T140</f>
        <v>0</v>
      </c>
      <c r="U611" s="354">
        <f>P140</f>
        <v>0</v>
      </c>
      <c r="V611" s="123"/>
      <c r="W611" s="357"/>
      <c r="X611" s="340"/>
      <c r="Y611" s="368">
        <f>Y140</f>
        <v>0</v>
      </c>
      <c r="Z611" s="354" t="str">
        <f>W140</f>
        <v/>
      </c>
      <c r="AA611" s="30"/>
      <c r="AB611" s="357"/>
      <c r="AC611" s="88">
        <f>AC140</f>
        <v>0</v>
      </c>
      <c r="AD611" s="368">
        <f>AD140</f>
        <v>0</v>
      </c>
      <c r="AE611" s="90" t="str">
        <f>AB140</f>
        <v/>
      </c>
      <c r="AF611" s="30"/>
      <c r="AG611" s="357"/>
      <c r="AH611" s="88">
        <f>AH140</f>
        <v>0</v>
      </c>
      <c r="AI611" s="368">
        <f>AI140</f>
        <v>0</v>
      </c>
      <c r="AJ611" s="90"/>
      <c r="AK611" s="30"/>
      <c r="AL611" s="357"/>
      <c r="AM611" s="88"/>
      <c r="AN611" s="368">
        <f>AN140</f>
        <v>1434</v>
      </c>
      <c r="AO611" s="29"/>
      <c r="AP611" s="30"/>
      <c r="AQ611" s="357"/>
      <c r="AR611" s="88"/>
      <c r="AS611" s="338"/>
      <c r="AT611" s="29"/>
      <c r="AU611" s="30"/>
      <c r="AV611" s="357"/>
    </row>
    <row r="612" spans="1:48" s="62" customFormat="1" hidden="1" outlineLevel="2" x14ac:dyDescent="0.3">
      <c r="A612" s="188" t="s">
        <v>560</v>
      </c>
      <c r="B612" s="336"/>
      <c r="C612" s="337"/>
      <c r="D612" s="337"/>
      <c r="E612" s="347" t="str">
        <f>B293</f>
        <v>6730/40368/600 Etudes Techn.Asc.</v>
      </c>
      <c r="F612" s="368">
        <f>F293</f>
        <v>418.6</v>
      </c>
      <c r="G612" s="368">
        <f>G293</f>
        <v>2637.5</v>
      </c>
      <c r="H612" s="368">
        <f>H293</f>
        <v>0</v>
      </c>
      <c r="I612" s="368">
        <f>I293</f>
        <v>0</v>
      </c>
      <c r="J612" s="368">
        <f>J293</f>
        <v>0</v>
      </c>
      <c r="K612" s="354"/>
      <c r="L612" s="368">
        <f>L293</f>
        <v>0</v>
      </c>
      <c r="M612" s="354"/>
      <c r="N612" s="88"/>
      <c r="O612" s="368">
        <f>O293</f>
        <v>0</v>
      </c>
      <c r="P612" s="354"/>
      <c r="Q612" s="123"/>
      <c r="R612" s="357"/>
      <c r="S612" s="88"/>
      <c r="T612" s="368">
        <f>T293</f>
        <v>0</v>
      </c>
      <c r="U612" s="354"/>
      <c r="V612" s="123"/>
      <c r="W612" s="357"/>
      <c r="X612" s="340"/>
      <c r="Y612" s="368">
        <f>Y293</f>
        <v>0</v>
      </c>
      <c r="Z612" s="354"/>
      <c r="AA612" s="30"/>
      <c r="AB612" s="357"/>
      <c r="AC612" s="88">
        <f>AC293</f>
        <v>0</v>
      </c>
      <c r="AD612" s="368">
        <f>AD293</f>
        <v>0</v>
      </c>
      <c r="AE612" s="90"/>
      <c r="AF612" s="30"/>
      <c r="AG612" s="357"/>
      <c r="AH612" s="88">
        <f>AH293</f>
        <v>0</v>
      </c>
      <c r="AI612" s="368">
        <f>SUM(AI291,AI293)</f>
        <v>0</v>
      </c>
      <c r="AJ612" s="90"/>
      <c r="AK612" s="30"/>
      <c r="AL612" s="357"/>
      <c r="AM612" s="88"/>
      <c r="AN612" s="368">
        <f>SUM(AN291,AN293)</f>
        <v>0</v>
      </c>
      <c r="AO612" s="29"/>
      <c r="AP612" s="30"/>
      <c r="AQ612" s="357"/>
      <c r="AR612" s="88"/>
      <c r="AS612" s="338"/>
      <c r="AT612" s="29"/>
      <c r="AU612" s="30"/>
      <c r="AV612" s="357"/>
    </row>
    <row r="613" spans="1:48" s="62" customFormat="1" hidden="1" outlineLevel="2" x14ac:dyDescent="0.3">
      <c r="A613" s="188" t="s">
        <v>561</v>
      </c>
      <c r="B613" s="336"/>
      <c r="C613" s="337"/>
      <c r="D613" s="337"/>
      <c r="E613" s="347" t="str">
        <f>B308</f>
        <v>6730/65367/601 Etudes Techniques Chauffage</v>
      </c>
      <c r="F613" s="368">
        <f>F307</f>
        <v>0</v>
      </c>
      <c r="G613" s="368">
        <f>G307</f>
        <v>0</v>
      </c>
      <c r="H613" s="368">
        <f>H307</f>
        <v>4784</v>
      </c>
      <c r="I613" s="368">
        <f>I307</f>
        <v>0</v>
      </c>
      <c r="J613" s="368">
        <f>J307</f>
        <v>0</v>
      </c>
      <c r="K613" s="354"/>
      <c r="L613" s="368">
        <f>L307</f>
        <v>0</v>
      </c>
      <c r="M613" s="354"/>
      <c r="N613" s="88"/>
      <c r="O613" s="368">
        <f>O307</f>
        <v>0</v>
      </c>
      <c r="P613" s="354"/>
      <c r="Q613" s="123"/>
      <c r="R613" s="357"/>
      <c r="S613" s="88"/>
      <c r="T613" s="368">
        <f>T307</f>
        <v>0</v>
      </c>
      <c r="U613" s="354"/>
      <c r="V613" s="123"/>
      <c r="W613" s="357"/>
      <c r="X613" s="340"/>
      <c r="Y613" s="368">
        <f>Y307</f>
        <v>0</v>
      </c>
      <c r="Z613" s="354"/>
      <c r="AA613" s="30"/>
      <c r="AB613" s="357"/>
      <c r="AC613" s="88">
        <f>AC307</f>
        <v>0</v>
      </c>
      <c r="AD613" s="368">
        <f>AD307</f>
        <v>0</v>
      </c>
      <c r="AE613" s="90"/>
      <c r="AF613" s="30"/>
      <c r="AG613" s="357"/>
      <c r="AH613" s="88">
        <f>AH307</f>
        <v>0</v>
      </c>
      <c r="AI613" s="368">
        <f>AI307</f>
        <v>0</v>
      </c>
      <c r="AJ613" s="90"/>
      <c r="AK613" s="30"/>
      <c r="AL613" s="357"/>
      <c r="AM613" s="88"/>
      <c r="AN613" s="368">
        <f>AN307</f>
        <v>0</v>
      </c>
      <c r="AO613" s="29"/>
      <c r="AP613" s="30"/>
      <c r="AQ613" s="357"/>
      <c r="AR613" s="88"/>
      <c r="AS613" s="338"/>
      <c r="AT613" s="29"/>
      <c r="AU613" s="30"/>
      <c r="AV613" s="357"/>
    </row>
    <row r="614" spans="1:48" s="62" customFormat="1" hidden="1" outlineLevel="1" x14ac:dyDescent="0.3">
      <c r="A614" s="199" t="s">
        <v>562</v>
      </c>
      <c r="B614" s="336"/>
      <c r="C614" s="337"/>
      <c r="D614" s="337"/>
      <c r="E614" s="347"/>
      <c r="F614" s="27"/>
      <c r="G614" s="27"/>
      <c r="H614" s="27"/>
      <c r="I614" s="27"/>
      <c r="J614" s="27"/>
      <c r="K614" s="354"/>
      <c r="L614" s="27"/>
      <c r="M614" s="354"/>
      <c r="N614" s="88"/>
      <c r="O614" s="27"/>
      <c r="P614" s="349" t="str">
        <f>ROUND((O614-J614),2)&amp;"   ( "&amp;(ROUND((O614-J614)/(IF(J614=0,0.0001,J614)),3)*100)&amp;"% )"</f>
        <v>0   ( 0% )</v>
      </c>
      <c r="Q614" s="123"/>
      <c r="R614" s="357"/>
      <c r="S614" s="88"/>
      <c r="T614" s="27"/>
      <c r="U614" s="354"/>
      <c r="V614" s="123"/>
      <c r="W614" s="357"/>
      <c r="X614" s="340"/>
      <c r="Y614" s="27"/>
      <c r="Z614" s="354"/>
      <c r="AA614" s="30"/>
      <c r="AB614" s="357"/>
      <c r="AC614" s="88"/>
      <c r="AD614" s="27"/>
      <c r="AE614" s="90"/>
      <c r="AF614" s="30"/>
      <c r="AG614" s="357"/>
      <c r="AH614" s="88"/>
      <c r="AI614" s="27"/>
      <c r="AJ614" s="90"/>
      <c r="AK614" s="30"/>
      <c r="AL614" s="357"/>
      <c r="AM614" s="88"/>
      <c r="AN614" s="27"/>
      <c r="AO614" s="29"/>
      <c r="AP614" s="30"/>
      <c r="AQ614" s="357"/>
      <c r="AR614" s="88"/>
      <c r="AS614" s="338"/>
      <c r="AT614" s="29"/>
      <c r="AU614" s="30"/>
      <c r="AV614" s="357"/>
    </row>
    <row r="615" spans="1:48" s="62" customFormat="1" hidden="1" outlineLevel="1" collapsed="1" x14ac:dyDescent="0.3">
      <c r="A615" s="199" t="s">
        <v>563</v>
      </c>
      <c r="B615" s="336"/>
      <c r="C615" s="337"/>
      <c r="D615" s="337"/>
      <c r="E615" s="347"/>
      <c r="F615" s="348">
        <f>SUM(F616,F620:F621)</f>
        <v>311.31</v>
      </c>
      <c r="G615" s="348">
        <f>SUM(G616,G620:G621)</f>
        <v>6721.0400000000009</v>
      </c>
      <c r="H615" s="348">
        <f>SUM(H616,H620:H621)</f>
        <v>6878.62</v>
      </c>
      <c r="I615" s="348">
        <f>SUM(I616,I620:I621)</f>
        <v>3436.42</v>
      </c>
      <c r="J615" s="348">
        <f>SUM(J616,J620:J621)</f>
        <v>3104.3599999999997</v>
      </c>
      <c r="K615" s="349" t="str">
        <f>ROUND((J615-I615),2)&amp;"  ( "&amp;(ROUND((J615-I615)/(IF(I615=0,0.0001,I615)),3)*100)&amp;"% )"</f>
        <v>-332,06  ( -9,7% )</v>
      </c>
      <c r="L615" s="348">
        <f>SUM(L616,L620:L621)</f>
        <v>-6.09</v>
      </c>
      <c r="M615" s="349" t="str">
        <f>ROUND((L615-G615),2)&amp;"   ( "&amp;(ROUND((L615-G615)/(IF(G615=0,0.0001,G615)),3)*100)&amp;"% )"</f>
        <v>-6727,13   ( -100,1% )</v>
      </c>
      <c r="N615" s="88"/>
      <c r="O615" s="348">
        <f>SUM(O616,O620:O621)</f>
        <v>5226.08</v>
      </c>
      <c r="P615" s="349" t="str">
        <f>ROUND((O615-J615),2)&amp;"   ( "&amp;(ROUND((O615-J615)/(IF(J615=0,0.0001,J615)),3)*100)&amp;"% )"</f>
        <v>2121,72   ( 68,3% )</v>
      </c>
      <c r="Q615" s="123"/>
      <c r="R615" s="357">
        <f>O615/O$640</f>
        <v>1.0430372204110278E-2</v>
      </c>
      <c r="S615" s="88"/>
      <c r="T615" s="348">
        <f>SUM(T616,T620:T621)</f>
        <v>5867.24</v>
      </c>
      <c r="U615" s="349" t="str">
        <f>ROUND((T615-O615),2)&amp;"   ( "&amp;(ROUND((T615-O615)/(IF(O615=0,0.0001,O615)),3)*100)&amp;"% )"</f>
        <v>641,16   ( 12,3% )</v>
      </c>
      <c r="V615" s="123"/>
      <c r="W615" s="357">
        <f>T615/T$640</f>
        <v>1.1996691690274328E-2</v>
      </c>
      <c r="X615" s="340"/>
      <c r="Y615" s="348">
        <f>SUM(Y616,Y620:Y621)</f>
        <v>26577.100000000002</v>
      </c>
      <c r="Z615" s="349" t="str">
        <f>ROUND((Y615-T615),2)&amp;"   ( "&amp;(ROUND((Y615-T615)/(IF(T615=0,0.0001,T615)),3)*100)&amp;"% )"</f>
        <v>20709,86   ( 353% )</v>
      </c>
      <c r="AA615" s="30"/>
      <c r="AB615" s="357">
        <f>Y615/Y$640</f>
        <v>5.2174884718320984E-2</v>
      </c>
      <c r="AC615" s="88">
        <f>SUM(AC616,AC620:AC621)</f>
        <v>0</v>
      </c>
      <c r="AD615" s="348">
        <f>SUM(AD616,AD620:AD621)</f>
        <v>764.69</v>
      </c>
      <c r="AE615" s="6" t="str">
        <f>ROUND((AD615-Y615),2)&amp;"   ( "&amp;(ROUND((AD615-Y615)/(IF(Y615=0,0.0001,Y615)),3)*100)&amp;"% )"</f>
        <v>-25812,41   ( -97,1% )</v>
      </c>
      <c r="AF615" s="30"/>
      <c r="AG615" s="357">
        <f>AD615/AD$640</f>
        <v>1.5184985909471322E-3</v>
      </c>
      <c r="AH615" s="88">
        <f>SUM(AH616,AH620:AH621)</f>
        <v>0</v>
      </c>
      <c r="AI615" s="348">
        <f>SUM(AI616,AI620:AI621)</f>
        <v>-6.41</v>
      </c>
      <c r="AJ615" s="6" t="str">
        <f t="shared" ref="AJ615" si="456">ROUND(AI615-AD615,2) &amp; "   (" &amp; ROUND(100*(AI615-AD615)/AD615,1) &amp;"%)"</f>
        <v>-771,1   (-100,8%)</v>
      </c>
      <c r="AK615" s="30"/>
      <c r="AL615" s="357">
        <f>AI615/AI$640</f>
        <v>-1.3302506659191253E-5</v>
      </c>
      <c r="AM615" s="88"/>
      <c r="AN615" s="348">
        <f>SUM(AN616,AN620:AN621)</f>
        <v>-0.14000000000000001</v>
      </c>
      <c r="AO615" s="35" t="str">
        <f t="shared" ref="AO615" si="457">ROUND(AN615-AI615,2) &amp; "   (" &amp; ROUND(100*(AN615-AI615)/AI615,1) &amp;"%)"</f>
        <v>6,27   (-97,8%)</v>
      </c>
      <c r="AP615" s="30"/>
      <c r="AQ615" s="357">
        <f>AN615/AN$640</f>
        <v>-3.7742074973014422E-7</v>
      </c>
      <c r="AR615" s="88"/>
      <c r="AS615" s="338"/>
      <c r="AT615" s="35" t="str">
        <f t="shared" ref="AT615" si="458">ROUND(AS615-AN615,2) &amp; "   (" &amp; ROUND(100*(AS615-AN615)/AN615,1) &amp;"%)"</f>
        <v>0,14   (-100%)</v>
      </c>
      <c r="AU615" s="30"/>
      <c r="AV615" s="357" t="e">
        <f>AS615/AS$640</f>
        <v>#DIV/0!</v>
      </c>
    </row>
    <row r="616" spans="1:48" s="62" customFormat="1" hidden="1" outlineLevel="2" collapsed="1" x14ac:dyDescent="0.3">
      <c r="A616" s="188" t="s">
        <v>564</v>
      </c>
      <c r="B616" s="336"/>
      <c r="C616" s="337"/>
      <c r="D616" s="337"/>
      <c r="E616" s="347"/>
      <c r="F616" s="362">
        <f>SUM(F617:F619)</f>
        <v>0</v>
      </c>
      <c r="G616" s="362">
        <f>SUM(G617:G619)</f>
        <v>5049.8600000000006</v>
      </c>
      <c r="H616" s="362">
        <f>SUM(H617:H619)</f>
        <v>6880.43</v>
      </c>
      <c r="I616" s="362">
        <f>SUM(I617:I619)</f>
        <v>3419.7400000000002</v>
      </c>
      <c r="J616" s="362">
        <f>SUM(J617:J619)</f>
        <v>3105.2799999999997</v>
      </c>
      <c r="K616" s="354"/>
      <c r="L616" s="362">
        <f>SUM(L617:L619)</f>
        <v>0</v>
      </c>
      <c r="M616" s="354"/>
      <c r="N616" s="88"/>
      <c r="O616" s="362">
        <f>SUM(O617:O619)</f>
        <v>5225.33</v>
      </c>
      <c r="P616" s="354"/>
      <c r="Q616" s="123"/>
      <c r="R616" s="357"/>
      <c r="S616" s="88"/>
      <c r="T616" s="362">
        <f>SUM(T617:T619)</f>
        <v>5871.65</v>
      </c>
      <c r="U616" s="354"/>
      <c r="V616" s="123"/>
      <c r="W616" s="357"/>
      <c r="X616" s="340"/>
      <c r="Y616" s="362">
        <f>SUM(Y617:Y619)</f>
        <v>26576.86</v>
      </c>
      <c r="Z616" s="354"/>
      <c r="AA616" s="30"/>
      <c r="AB616" s="357"/>
      <c r="AC616" s="88">
        <f>SUM(AC617:AC619)</f>
        <v>0</v>
      </c>
      <c r="AD616" s="362">
        <f>SUM(AD617:AD619)</f>
        <v>757.94</v>
      </c>
      <c r="AE616" s="90"/>
      <c r="AF616" s="30"/>
      <c r="AG616" s="357"/>
      <c r="AH616" s="88">
        <f>SUM(AH617:AH619)</f>
        <v>0</v>
      </c>
      <c r="AI616" s="362">
        <f>SUM(AI617:AI619)</f>
        <v>0</v>
      </c>
      <c r="AJ616" s="90"/>
      <c r="AK616" s="30"/>
      <c r="AL616" s="357"/>
      <c r="AM616" s="88"/>
      <c r="AN616" s="362">
        <f>SUM(AN617:AN619)</f>
        <v>0</v>
      </c>
      <c r="AO616" s="29"/>
      <c r="AP616" s="30"/>
      <c r="AQ616" s="357"/>
      <c r="AR616" s="88"/>
      <c r="AS616" s="338"/>
      <c r="AT616" s="29"/>
      <c r="AU616" s="30"/>
      <c r="AV616" s="357"/>
    </row>
    <row r="617" spans="1:48" s="62" customFormat="1" hidden="1" outlineLevel="3" x14ac:dyDescent="0.3">
      <c r="A617" s="190" t="s">
        <v>565</v>
      </c>
      <c r="B617" s="336"/>
      <c r="C617" s="337"/>
      <c r="D617" s="337"/>
      <c r="E617" s="347" t="str">
        <f>B171</f>
        <v>6780/01461 SinistresDégatsEau         (0840)</v>
      </c>
      <c r="F617" s="250">
        <f t="shared" ref="F617:J618" si="459">F171</f>
        <v>0</v>
      </c>
      <c r="G617" s="250">
        <f t="shared" si="459"/>
        <v>2586.81</v>
      </c>
      <c r="H617" s="250">
        <f t="shared" si="459"/>
        <v>6880.43</v>
      </c>
      <c r="I617" s="250">
        <f t="shared" si="459"/>
        <v>2864.11</v>
      </c>
      <c r="J617" s="250">
        <f t="shared" si="459"/>
        <v>1812.03</v>
      </c>
      <c r="K617" s="354"/>
      <c r="L617" s="250">
        <f>L171</f>
        <v>0</v>
      </c>
      <c r="M617" s="354"/>
      <c r="N617" s="88"/>
      <c r="O617" s="250">
        <f>O171</f>
        <v>4958.1099999999997</v>
      </c>
      <c r="P617" s="354"/>
      <c r="Q617" s="123"/>
      <c r="R617" s="357"/>
      <c r="S617" s="88"/>
      <c r="T617" s="250">
        <f>T171</f>
        <v>5871.65</v>
      </c>
      <c r="U617" s="354"/>
      <c r="V617" s="123"/>
      <c r="W617" s="357"/>
      <c r="X617" s="340"/>
      <c r="Y617" s="250">
        <f>Y171</f>
        <v>26576.86</v>
      </c>
      <c r="Z617" s="354"/>
      <c r="AA617" s="30"/>
      <c r="AB617" s="357"/>
      <c r="AC617" s="88">
        <f>AC171</f>
        <v>0</v>
      </c>
      <c r="AD617" s="250">
        <f>AD171</f>
        <v>757.94</v>
      </c>
      <c r="AE617" s="90"/>
      <c r="AF617" s="30"/>
      <c r="AG617" s="357"/>
      <c r="AH617" s="88">
        <f>AH171</f>
        <v>0</v>
      </c>
      <c r="AI617" s="250">
        <f>AI171</f>
        <v>0</v>
      </c>
      <c r="AJ617" s="90"/>
      <c r="AK617" s="30"/>
      <c r="AL617" s="357"/>
      <c r="AM617" s="88"/>
      <c r="AN617" s="250">
        <f>AN171</f>
        <v>0</v>
      </c>
      <c r="AO617" s="29"/>
      <c r="AP617" s="30"/>
      <c r="AQ617" s="357"/>
      <c r="AR617" s="88"/>
      <c r="AS617" s="338"/>
      <c r="AT617" s="29"/>
      <c r="AU617" s="30"/>
      <c r="AV617" s="357"/>
    </row>
    <row r="618" spans="1:48" s="62" customFormat="1" hidden="1" outlineLevel="3" x14ac:dyDescent="0.3">
      <c r="A618" s="190" t="s">
        <v>566</v>
      </c>
      <c r="B618" s="336"/>
      <c r="C618" s="337"/>
      <c r="D618" s="337"/>
      <c r="E618" s="347" t="str">
        <f>B172</f>
        <v>6780/01462 Sinistres Bris Glaces           (0850)</v>
      </c>
      <c r="F618" s="250">
        <f t="shared" si="459"/>
        <v>0</v>
      </c>
      <c r="G618" s="250">
        <f t="shared" si="459"/>
        <v>2463.0500000000002</v>
      </c>
      <c r="H618" s="250">
        <f t="shared" si="459"/>
        <v>0</v>
      </c>
      <c r="I618" s="250">
        <f t="shared" si="459"/>
        <v>555.63</v>
      </c>
      <c r="J618" s="250">
        <f t="shared" si="459"/>
        <v>1293.25</v>
      </c>
      <c r="K618" s="354">
        <f>H172</f>
        <v>0</v>
      </c>
      <c r="L618" s="250">
        <f>L172</f>
        <v>0</v>
      </c>
      <c r="M618" s="354">
        <f>J172</f>
        <v>1293.25</v>
      </c>
      <c r="N618" s="88"/>
      <c r="O618" s="250">
        <f>O172</f>
        <v>267.22000000000003</v>
      </c>
      <c r="P618" s="354">
        <f>M172</f>
        <v>-1</v>
      </c>
      <c r="Q618" s="123"/>
      <c r="R618" s="357"/>
      <c r="S618" s="88"/>
      <c r="T618" s="250">
        <f>T172</f>
        <v>0</v>
      </c>
      <c r="U618" s="354">
        <f>P172</f>
        <v>0</v>
      </c>
      <c r="V618" s="123"/>
      <c r="W618" s="357"/>
      <c r="X618" s="340"/>
      <c r="Y618" s="250">
        <f>Y172</f>
        <v>0</v>
      </c>
      <c r="Z618" s="354" t="str">
        <f>W172</f>
        <v/>
      </c>
      <c r="AA618" s="30"/>
      <c r="AB618" s="357"/>
      <c r="AC618" s="88">
        <f>AC172</f>
        <v>0</v>
      </c>
      <c r="AD618" s="250">
        <f>AD172</f>
        <v>0</v>
      </c>
      <c r="AE618" s="90" t="str">
        <f>AB172</f>
        <v/>
      </c>
      <c r="AF618" s="30"/>
      <c r="AG618" s="357"/>
      <c r="AH618" s="88">
        <f>AH172</f>
        <v>0</v>
      </c>
      <c r="AI618" s="250">
        <f>AI172</f>
        <v>0</v>
      </c>
      <c r="AJ618" s="90"/>
      <c r="AK618" s="30"/>
      <c r="AL618" s="357"/>
      <c r="AM618" s="88"/>
      <c r="AN618" s="250">
        <f>AN172</f>
        <v>0</v>
      </c>
      <c r="AO618" s="29"/>
      <c r="AP618" s="30"/>
      <c r="AQ618" s="357"/>
      <c r="AR618" s="88"/>
      <c r="AS618" s="338"/>
      <c r="AT618" s="29"/>
      <c r="AU618" s="30"/>
      <c r="AV618" s="357"/>
    </row>
    <row r="619" spans="1:48" s="62" customFormat="1" hidden="1" outlineLevel="3" x14ac:dyDescent="0.3">
      <c r="A619" s="190" t="s">
        <v>567</v>
      </c>
      <c r="B619" s="336"/>
      <c r="C619" s="337"/>
      <c r="D619" s="337"/>
      <c r="E619" s="347"/>
      <c r="F619" s="27"/>
      <c r="G619" s="27"/>
      <c r="H619" s="27"/>
      <c r="I619" s="27"/>
      <c r="J619" s="27"/>
      <c r="K619" s="354"/>
      <c r="L619" s="27"/>
      <c r="M619" s="354"/>
      <c r="N619" s="88"/>
      <c r="O619" s="27"/>
      <c r="P619" s="354"/>
      <c r="Q619" s="123"/>
      <c r="R619" s="357"/>
      <c r="S619" s="88"/>
      <c r="T619" s="27"/>
      <c r="U619" s="354"/>
      <c r="V619" s="123"/>
      <c r="W619" s="357"/>
      <c r="X619" s="340"/>
      <c r="Y619" s="27"/>
      <c r="Z619" s="354"/>
      <c r="AA619" s="30"/>
      <c r="AB619" s="357"/>
      <c r="AC619" s="88"/>
      <c r="AD619" s="27"/>
      <c r="AE619" s="90"/>
      <c r="AF619" s="30"/>
      <c r="AG619" s="357"/>
      <c r="AH619" s="88"/>
      <c r="AI619" s="27"/>
      <c r="AJ619" s="90"/>
      <c r="AK619" s="30"/>
      <c r="AL619" s="357"/>
      <c r="AM619" s="88"/>
      <c r="AN619" s="27"/>
      <c r="AO619" s="29"/>
      <c r="AP619" s="30"/>
      <c r="AQ619" s="357"/>
      <c r="AR619" s="88"/>
      <c r="AS619" s="338"/>
      <c r="AT619" s="29"/>
      <c r="AU619" s="30"/>
      <c r="AV619" s="357"/>
    </row>
    <row r="620" spans="1:48" s="62" customFormat="1" hidden="1" outlineLevel="2" x14ac:dyDescent="0.3">
      <c r="A620" s="188" t="s">
        <v>568</v>
      </c>
      <c r="B620" s="336"/>
      <c r="C620" s="337"/>
      <c r="D620" s="337"/>
      <c r="E620" s="347" t="str">
        <f>B217</f>
        <v>6780/00988 Rompus Arrondis         (1250)</v>
      </c>
      <c r="F620" s="368">
        <f>F217</f>
        <v>311.31</v>
      </c>
      <c r="G620" s="368">
        <f>G217</f>
        <v>2.25</v>
      </c>
      <c r="H620" s="368">
        <f>H217</f>
        <v>-1.81</v>
      </c>
      <c r="I620" s="368">
        <f>I217</f>
        <v>16.68</v>
      </c>
      <c r="J620" s="368">
        <f>J217</f>
        <v>-0.92</v>
      </c>
      <c r="K620" s="354">
        <f>H217</f>
        <v>-1.81</v>
      </c>
      <c r="L620" s="368">
        <f>L217</f>
        <v>-6.09</v>
      </c>
      <c r="M620" s="354">
        <f>J217</f>
        <v>-0.92</v>
      </c>
      <c r="N620" s="88"/>
      <c r="O620" s="368">
        <f>O217</f>
        <v>0.75</v>
      </c>
      <c r="P620" s="354">
        <f>M217</f>
        <v>0</v>
      </c>
      <c r="Q620" s="123"/>
      <c r="R620" s="357"/>
      <c r="S620" s="88"/>
      <c r="T620" s="368">
        <f>T217</f>
        <v>-4.41</v>
      </c>
      <c r="U620" s="354">
        <f>P217</f>
        <v>-1.1231527093596059</v>
      </c>
      <c r="V620" s="123"/>
      <c r="W620" s="357"/>
      <c r="X620" s="340"/>
      <c r="Y620" s="368">
        <f>Y217</f>
        <v>0.24</v>
      </c>
      <c r="Z620" s="354" t="str">
        <f>W217</f>
        <v/>
      </c>
      <c r="AA620" s="30"/>
      <c r="AB620" s="357"/>
      <c r="AC620" s="88">
        <f>AC217</f>
        <v>0</v>
      </c>
      <c r="AD620" s="368">
        <f>AD217</f>
        <v>6.75</v>
      </c>
      <c r="AE620" s="90">
        <f>AB217</f>
        <v>7.7201246375522091E-7</v>
      </c>
      <c r="AF620" s="30"/>
      <c r="AG620" s="357"/>
      <c r="AH620" s="88">
        <f>AH217</f>
        <v>0</v>
      </c>
      <c r="AI620" s="368">
        <f>AI217</f>
        <v>-6.41</v>
      </c>
      <c r="AJ620" s="90"/>
      <c r="AK620" s="30"/>
      <c r="AL620" s="357"/>
      <c r="AM620" s="88"/>
      <c r="AN620" s="368">
        <f>AN217</f>
        <v>-0.14000000000000001</v>
      </c>
      <c r="AO620" s="29"/>
      <c r="AP620" s="30"/>
      <c r="AQ620" s="357"/>
      <c r="AR620" s="88"/>
      <c r="AS620" s="338"/>
      <c r="AT620" s="29"/>
      <c r="AU620" s="30"/>
      <c r="AV620" s="357"/>
    </row>
    <row r="621" spans="1:48" s="62" customFormat="1" hidden="1" outlineLevel="2" x14ac:dyDescent="0.3">
      <c r="A621" s="188" t="s">
        <v>569</v>
      </c>
      <c r="B621" s="336"/>
      <c r="C621" s="337"/>
      <c r="D621" s="337"/>
      <c r="E621" s="347" t="str">
        <f>B82</f>
        <v>6780/0009  Régularisation Comptable  (0005)</v>
      </c>
      <c r="F621" s="368">
        <f>F82</f>
        <v>0</v>
      </c>
      <c r="G621" s="368">
        <f>G82</f>
        <v>1668.93</v>
      </c>
      <c r="H621" s="368">
        <f>H82</f>
        <v>0</v>
      </c>
      <c r="I621" s="368">
        <f>I82</f>
        <v>0</v>
      </c>
      <c r="J621" s="368">
        <f>J82</f>
        <v>0</v>
      </c>
      <c r="K621" s="354"/>
      <c r="L621" s="368">
        <f>L82</f>
        <v>0</v>
      </c>
      <c r="M621" s="354"/>
      <c r="N621" s="88"/>
      <c r="O621" s="368">
        <f>O82</f>
        <v>0</v>
      </c>
      <c r="P621" s="354"/>
      <c r="Q621" s="123"/>
      <c r="R621" s="357"/>
      <c r="S621" s="88"/>
      <c r="T621" s="368">
        <f>T82</f>
        <v>0</v>
      </c>
      <c r="U621" s="354"/>
      <c r="V621" s="123"/>
      <c r="W621" s="357"/>
      <c r="X621" s="340"/>
      <c r="Y621" s="368">
        <f>Y82</f>
        <v>0</v>
      </c>
      <c r="Z621" s="354"/>
      <c r="AA621" s="30"/>
      <c r="AB621" s="357"/>
      <c r="AC621" s="88">
        <f>AC82</f>
        <v>0</v>
      </c>
      <c r="AD621" s="368">
        <f>AD82</f>
        <v>0</v>
      </c>
      <c r="AE621" s="90"/>
      <c r="AF621" s="30"/>
      <c r="AG621" s="357"/>
      <c r="AH621" s="88">
        <f>AH82</f>
        <v>0</v>
      </c>
      <c r="AI621" s="368">
        <f>AI82</f>
        <v>0</v>
      </c>
      <c r="AJ621" s="90"/>
      <c r="AK621" s="30"/>
      <c r="AL621" s="357"/>
      <c r="AM621" s="88"/>
      <c r="AN621" s="368">
        <f>AN82</f>
        <v>0</v>
      </c>
      <c r="AO621" s="29"/>
      <c r="AP621" s="30"/>
      <c r="AQ621" s="357"/>
      <c r="AR621" s="88"/>
      <c r="AS621" s="338"/>
      <c r="AT621" s="29"/>
      <c r="AU621" s="30"/>
      <c r="AV621" s="357"/>
    </row>
    <row r="622" spans="1:48" s="62" customFormat="1" collapsed="1" x14ac:dyDescent="0.3">
      <c r="A622" s="342" t="s">
        <v>570</v>
      </c>
      <c r="B622" s="336"/>
      <c r="C622" s="337"/>
      <c r="D622" s="337"/>
      <c r="E622" s="372">
        <f>Y622-SUM(Y353:Y356)</f>
        <v>0</v>
      </c>
      <c r="F622" s="344">
        <f>SUM(F623,F626,F634,F637)</f>
        <v>-2663.69</v>
      </c>
      <c r="G622" s="344">
        <f>SUM(G623,G626,G634,G637)</f>
        <v>-5448.75</v>
      </c>
      <c r="H622" s="344">
        <f>SUM(H623,H626,H634,H637)</f>
        <v>-8474.36</v>
      </c>
      <c r="I622" s="344">
        <f>SUM(I623,I626,I634,I637)</f>
        <v>-4864.5199999999995</v>
      </c>
      <c r="J622" s="344">
        <f>SUM(J623,J626,J634,J637)</f>
        <v>-7580.07</v>
      </c>
      <c r="K622" s="345" t="str">
        <f>ROUND((J622-I622),2)&amp;"  ( "&amp;(ROUND((J622-I622)/(IF(I622=0,0.0001,I622)),3)*100)&amp;"% )"</f>
        <v>-2715,55  ( 55,8% )</v>
      </c>
      <c r="L622" s="344">
        <f>SUM(L623,L626,L634,L637)</f>
        <v>-2948.98</v>
      </c>
      <c r="M622" s="345" t="str">
        <f>ROUND((L622-G622),2)&amp;"   ( "&amp;(ROUND((L622-G622)/(IF(G622=0,0.0001,G622)),3)*100)&amp;"% )"</f>
        <v>2499,77   ( -45,9% )</v>
      </c>
      <c r="N622" s="88"/>
      <c r="O622" s="344">
        <f>SUM(O623,O626,O634,O637)</f>
        <v>-10602.03</v>
      </c>
      <c r="P622" s="345" t="str">
        <f>ROUND((O622-J622),2)&amp;"   ( "&amp;(ROUND((O622-J622)/(IF(J622=0,0.0001,J622)),3)*100)&amp;"% )"</f>
        <v>-3021,96   ( 39,9% )</v>
      </c>
      <c r="Q622" s="123"/>
      <c r="R622" s="346">
        <f>O622/O$640</f>
        <v>-2.1159859592494432E-2</v>
      </c>
      <c r="S622" s="88"/>
      <c r="T622" s="344">
        <f>SUM(T623,T626,T634,T637)</f>
        <v>-7556.0199999999995</v>
      </c>
      <c r="U622" s="345" t="str">
        <f>ROUND((T622-O622),2)&amp;"   ( "&amp;(ROUND((T622-O622)/(IF(O622=0,0.0001,O622)),3)*100)&amp;"% )"</f>
        <v>3046,01   ( -28,7% )</v>
      </c>
      <c r="V622" s="123"/>
      <c r="W622" s="346">
        <f>T622/T$640</f>
        <v>-1.5449724631265573E-2</v>
      </c>
      <c r="X622" s="340"/>
      <c r="Y622" s="344">
        <f>SUM(Y623,Y626,Y634,Y637)</f>
        <v>-33387.340000000004</v>
      </c>
      <c r="Z622" s="345" t="str">
        <f>ROUND((Y622-T622),2)&amp;"   ( "&amp;(ROUND((Y622-T622)/(IF(T622=0,0.0001,T622)),3)*100)&amp;"% )"</f>
        <v>-25831,32   ( 341,9% )</v>
      </c>
      <c r="AA622" s="30"/>
      <c r="AB622" s="346">
        <f>Y622/Y$640</f>
        <v>-6.5544420405213022E-2</v>
      </c>
      <c r="AC622" s="88">
        <f>SUM(AC623,AC626,AC634,AC637)</f>
        <v>0</v>
      </c>
      <c r="AD622" s="344">
        <f>SUM(AD623,AD626,AD634,AD637)</f>
        <v>-1797.27</v>
      </c>
      <c r="AE622" s="6" t="str">
        <f>ROUND((AD622-Y622),2)&amp;"   ( "&amp;(ROUND((AD622-Y622)/(IF(Y622=0,0.0001,Y622)),3)*100)&amp;"% )"</f>
        <v>31590,07   ( -94,6% )</v>
      </c>
      <c r="AF622" s="30"/>
      <c r="AG622" s="346">
        <f>AD622/AD$640</f>
        <v>-3.5689651526128914E-3</v>
      </c>
      <c r="AH622" s="88">
        <f>SUM(AH623,AH626,AH634,AH637)</f>
        <v>0</v>
      </c>
      <c r="AI622" s="344">
        <f>SUM(AI623,AI626,AI634,AI637)</f>
        <v>-3774.67</v>
      </c>
      <c r="AJ622" s="6" t="str">
        <f t="shared" ref="AJ622:AJ623" si="460">ROUND(AI622-AD622,2) &amp; "   (" &amp; ROUND(100*(AI622-AD622)/AD622,1) &amp;"%)"</f>
        <v>-1977,4   (110%)</v>
      </c>
      <c r="AK622" s="30"/>
      <c r="AL622" s="346">
        <f>AI622/AI$640</f>
        <v>-7.8334746975428152E-3</v>
      </c>
      <c r="AM622" s="88"/>
      <c r="AN622" s="344">
        <f>SUM(AN623,AN626,AN634,AN637)</f>
        <v>-1159.1400000000001</v>
      </c>
      <c r="AO622" s="35" t="str">
        <f t="shared" ref="AO622:AO623" si="461">ROUND(AN622-AI622,2) &amp; "   (" &amp; ROUND(100*(AN622-AI622)/AI622,1) &amp;"%)"</f>
        <v>2615,53   (-69,3%)</v>
      </c>
      <c r="AP622" s="30"/>
      <c r="AQ622" s="346">
        <f>AN622/AN$640</f>
        <v>-3.1248820560157097E-3</v>
      </c>
      <c r="AR622" s="88"/>
      <c r="AS622" s="338"/>
      <c r="AT622" s="35" t="str">
        <f t="shared" ref="AT622:AT623" si="462">ROUND(AS622-AN622,2) &amp; "   (" &amp; ROUND(100*(AS622-AN622)/AN622,1) &amp;"%)"</f>
        <v>1159,14   (-100%)</v>
      </c>
      <c r="AU622" s="30"/>
      <c r="AV622" s="346" t="e">
        <f>AS622/AS$640</f>
        <v>#DIV/0!</v>
      </c>
    </row>
    <row r="623" spans="1:48" s="62" customFormat="1" hidden="1" outlineLevel="1" collapsed="1" x14ac:dyDescent="0.3">
      <c r="A623" s="199" t="s">
        <v>571</v>
      </c>
      <c r="B623" s="336"/>
      <c r="C623" s="337"/>
      <c r="D623" s="337"/>
      <c r="E623" s="373">
        <f>Y623-Y353</f>
        <v>0</v>
      </c>
      <c r="F623" s="348">
        <f>SUM(F624:F624)</f>
        <v>-265.58</v>
      </c>
      <c r="G623" s="348">
        <f>SUM(G624:G624)</f>
        <v>-3511.78</v>
      </c>
      <c r="H623" s="348">
        <f>SUM(H624:H624)</f>
        <v>-7101.32</v>
      </c>
      <c r="I623" s="348">
        <f>SUM(I624:I624)</f>
        <v>-3419.74</v>
      </c>
      <c r="J623" s="348">
        <f>SUM(J624:J624)</f>
        <v>-6029.23</v>
      </c>
      <c r="K623" s="349" t="str">
        <f>ROUND((J623-I623),2)&amp;"  ( "&amp;(ROUND((J623-I623)/(IF(I623=0,0.0001,I623)),3)*100)&amp;"% )"</f>
        <v>-2609,49  ( 76,3% )</v>
      </c>
      <c r="L623" s="348">
        <f>SUM(L624:L624)</f>
        <v>-1284.04</v>
      </c>
      <c r="M623" s="349" t="str">
        <f>ROUND((L623-G623),2)&amp;"   ( "&amp;(ROUND((L623-G623)/(IF(G623=0,0.0001,G623)),3)*100)&amp;"% )"</f>
        <v>2227,74   ( -63,4% )</v>
      </c>
      <c r="N623" s="88"/>
      <c r="O623" s="348">
        <f>SUM(O624:O624)</f>
        <v>-5350.55</v>
      </c>
      <c r="P623" s="349" t="str">
        <f>ROUND((O623-J623),2)&amp;"   ( "&amp;(ROUND((O623-J623)/(IF(J623=0,0.0001,J623)),3)*100)&amp;"% )"</f>
        <v>678,68   ( -11,3% )</v>
      </c>
      <c r="Q623" s="123"/>
      <c r="R623" s="357">
        <f>O623/O$640</f>
        <v>-1.0678793282288494E-2</v>
      </c>
      <c r="S623" s="88"/>
      <c r="T623" s="348">
        <f>SUM(T624:T624)</f>
        <v>-5871.65</v>
      </c>
      <c r="U623" s="349" t="str">
        <f>ROUND((T623-O623),2)&amp;"   ( "&amp;(ROUND((T623-O623)/(IF(O623=0,0.0001,O623)),3)*100)&amp;"% )"</f>
        <v>-521,1   ( 9,7% )</v>
      </c>
      <c r="V623" s="123"/>
      <c r="W623" s="357">
        <f>T623/T$640</f>
        <v>-1.2005708776733055E-2</v>
      </c>
      <c r="X623" s="340"/>
      <c r="Y623" s="348">
        <f>SUM(Y624:Y624)</f>
        <v>-30443.29</v>
      </c>
      <c r="Z623" s="349" t="str">
        <f>ROUND((Y623-T623),2)&amp;"   ( "&amp;(ROUND((Y623-T623)/(IF(T623=0,0.0001,T623)),3)*100)&amp;"% )"</f>
        <v>-24571,64   ( 418,5% )</v>
      </c>
      <c r="AA623" s="30"/>
      <c r="AB623" s="357">
        <f>Y623/Y$640</f>
        <v>-5.9764803014490442E-2</v>
      </c>
      <c r="AC623" s="88">
        <f>SUM(AC624:AC624)</f>
        <v>0</v>
      </c>
      <c r="AD623" s="348">
        <f>SUM(AD624:AD624)</f>
        <v>-757.94</v>
      </c>
      <c r="AE623" s="6" t="str">
        <f>ROUND((AD623-Y623),2)&amp;"   ( "&amp;(ROUND((AD623-Y623)/(IF(Y623=0,0.0001,Y623)),3)*100)&amp;"% )"</f>
        <v>29685,35   ( -97,5% )</v>
      </c>
      <c r="AF623" s="30"/>
      <c r="AG623" s="357">
        <f>AD623/AD$640</f>
        <v>-1.5050946423027232E-3</v>
      </c>
      <c r="AH623" s="88">
        <f>SUM(AH624:AH624)</f>
        <v>0</v>
      </c>
      <c r="AI623" s="348">
        <f>SUM(AI624:AI624)</f>
        <v>-2112</v>
      </c>
      <c r="AJ623" s="6" t="str">
        <f t="shared" si="460"/>
        <v>-1354,06   (178,7%)</v>
      </c>
      <c r="AK623" s="30"/>
      <c r="AL623" s="357">
        <f>AI623/AI$640</f>
        <v>-4.3829787931687868E-3</v>
      </c>
      <c r="AM623" s="88"/>
      <c r="AN623" s="348">
        <f>SUM(AN624:AN624)</f>
        <v>0</v>
      </c>
      <c r="AO623" s="35" t="str">
        <f t="shared" si="461"/>
        <v>2112   (-100%)</v>
      </c>
      <c r="AP623" s="30"/>
      <c r="AQ623" s="357">
        <f>AN623/AN$640</f>
        <v>0</v>
      </c>
      <c r="AR623" s="88"/>
      <c r="AS623" s="338"/>
      <c r="AT623" s="35" t="e">
        <f t="shared" si="462"/>
        <v>#DIV/0!</v>
      </c>
      <c r="AU623" s="30"/>
      <c r="AV623" s="357" t="e">
        <f>AS623/AS$640</f>
        <v>#DIV/0!</v>
      </c>
    </row>
    <row r="624" spans="1:48" s="62" customFormat="1" hidden="1" outlineLevel="2" x14ac:dyDescent="0.3">
      <c r="A624" s="188" t="s">
        <v>572</v>
      </c>
      <c r="B624" s="336"/>
      <c r="C624" s="337"/>
      <c r="D624" s="337"/>
      <c r="E624" s="373" t="str">
        <f>B211</f>
        <v>7130/00952 Indemnités Assur.           (1190)</v>
      </c>
      <c r="F624" s="368">
        <f>F211</f>
        <v>-265.58</v>
      </c>
      <c r="G624" s="368">
        <f>G211</f>
        <v>-3511.78</v>
      </c>
      <c r="H624" s="368">
        <f>H211</f>
        <v>-7101.32</v>
      </c>
      <c r="I624" s="368">
        <f>I211</f>
        <v>-3419.74</v>
      </c>
      <c r="J624" s="368">
        <f>J211</f>
        <v>-6029.23</v>
      </c>
      <c r="K624" s="375">
        <f>H211</f>
        <v>-7101.32</v>
      </c>
      <c r="L624" s="368">
        <f>L211</f>
        <v>-1284.04</v>
      </c>
      <c r="M624" s="375">
        <f>J211</f>
        <v>-6029.23</v>
      </c>
      <c r="N624" s="88"/>
      <c r="O624" s="368">
        <f>O211</f>
        <v>-5350.55</v>
      </c>
      <c r="P624" s="375">
        <f>M211</f>
        <v>0</v>
      </c>
      <c r="Q624" s="123"/>
      <c r="R624" s="357"/>
      <c r="S624" s="88"/>
      <c r="T624" s="368">
        <f>T211</f>
        <v>-5871.65</v>
      </c>
      <c r="U624" s="375">
        <f>P211</f>
        <v>3.166965203576213</v>
      </c>
      <c r="V624" s="123"/>
      <c r="W624" s="357"/>
      <c r="X624" s="340"/>
      <c r="Y624" s="368">
        <f>Y211</f>
        <v>-30443.29</v>
      </c>
      <c r="Z624" s="375" t="str">
        <f>W211</f>
        <v/>
      </c>
      <c r="AA624" s="30"/>
      <c r="AB624" s="357"/>
      <c r="AC624" s="88">
        <f>AC211</f>
        <v>0</v>
      </c>
      <c r="AD624" s="368">
        <f>AD211</f>
        <v>-757.94</v>
      </c>
      <c r="AE624" s="90" t="str">
        <f>AB211</f>
        <v/>
      </c>
      <c r="AF624" s="30"/>
      <c r="AG624" s="357"/>
      <c r="AH624" s="88">
        <f>AH211</f>
        <v>0</v>
      </c>
      <c r="AI624" s="368">
        <f>AI211</f>
        <v>-2112</v>
      </c>
      <c r="AJ624" s="90"/>
      <c r="AK624" s="30"/>
      <c r="AL624" s="357"/>
      <c r="AM624" s="88"/>
      <c r="AN624" s="368">
        <f>AN211</f>
        <v>0</v>
      </c>
      <c r="AO624" s="29"/>
      <c r="AP624" s="30"/>
      <c r="AQ624" s="357"/>
      <c r="AR624" s="88"/>
      <c r="AS624" s="338"/>
      <c r="AT624" s="29"/>
      <c r="AU624" s="30"/>
      <c r="AV624" s="357"/>
    </row>
    <row r="625" spans="1:48" s="62" customFormat="1" hidden="1" outlineLevel="2" x14ac:dyDescent="0.3">
      <c r="A625" s="188"/>
      <c r="B625" s="336"/>
      <c r="C625" s="337"/>
      <c r="D625" s="337"/>
      <c r="E625" s="373"/>
      <c r="F625" s="368"/>
      <c r="G625" s="368"/>
      <c r="H625" s="368"/>
      <c r="I625" s="368"/>
      <c r="J625" s="368"/>
      <c r="K625" s="375"/>
      <c r="L625" s="368"/>
      <c r="M625" s="375"/>
      <c r="N625" s="88"/>
      <c r="O625" s="368"/>
      <c r="P625" s="375"/>
      <c r="Q625" s="123"/>
      <c r="R625" s="357"/>
      <c r="S625" s="88"/>
      <c r="T625" s="368"/>
      <c r="U625" s="375"/>
      <c r="V625" s="123"/>
      <c r="W625" s="357"/>
      <c r="X625" s="340"/>
      <c r="Y625" s="368"/>
      <c r="Z625" s="375"/>
      <c r="AA625" s="30"/>
      <c r="AB625" s="357"/>
      <c r="AC625" s="88"/>
      <c r="AD625" s="368"/>
      <c r="AE625" s="90"/>
      <c r="AF625" s="30"/>
      <c r="AG625" s="357"/>
      <c r="AH625" s="88"/>
      <c r="AI625" s="368"/>
      <c r="AJ625" s="90"/>
      <c r="AK625" s="30"/>
      <c r="AL625" s="357"/>
      <c r="AM625" s="88"/>
      <c r="AN625" s="368"/>
      <c r="AO625" s="29"/>
      <c r="AP625" s="30"/>
      <c r="AQ625" s="357"/>
      <c r="AR625" s="88"/>
      <c r="AS625" s="338"/>
      <c r="AT625" s="29"/>
      <c r="AU625" s="30"/>
      <c r="AV625" s="357"/>
    </row>
    <row r="626" spans="1:48" s="62" customFormat="1" hidden="1" outlineLevel="1" collapsed="1" x14ac:dyDescent="0.3">
      <c r="A626" s="199" t="s">
        <v>573</v>
      </c>
      <c r="B626" s="336"/>
      <c r="C626" s="337"/>
      <c r="D626" s="337"/>
      <c r="E626" s="373"/>
      <c r="F626" s="348">
        <f>SUM(F627:F629)</f>
        <v>-2398.11</v>
      </c>
      <c r="G626" s="348">
        <f>SUM(G627:G629)</f>
        <v>-1936.97</v>
      </c>
      <c r="H626" s="348">
        <f>SUM(H627:H629)</f>
        <v>-1373.04</v>
      </c>
      <c r="I626" s="348">
        <f>SUM(I627:I629)</f>
        <v>-1444.78</v>
      </c>
      <c r="J626" s="348">
        <f>SUM(J627:J629)</f>
        <v>-1550.84</v>
      </c>
      <c r="K626" s="349" t="str">
        <f>ROUND((J626-I626),2)&amp;"  ( "&amp;(ROUND((J626-I626)/(IF(I626=0,0.0001,I626)),3)*100)&amp;"% )"</f>
        <v>-106,06  ( 7,3% )</v>
      </c>
      <c r="L626" s="348">
        <f>SUM(L627:L629)</f>
        <v>-1664.94</v>
      </c>
      <c r="M626" s="349" t="str">
        <f>ROUND((L626-G626),2)&amp;"   ( "&amp;(ROUND((L626-G626)/(IF(G626=0,0.0001,G626)),3)*100)&amp;"% )"</f>
        <v>272,03   ( -14% )</v>
      </c>
      <c r="N626" s="88"/>
      <c r="O626" s="348">
        <f>SUM(O627:O629)</f>
        <v>-3951.48</v>
      </c>
      <c r="P626" s="349" t="str">
        <f>ROUND((O626-J626),2)&amp;"   ( "&amp;(ROUND((O626-J626)/(IF(J626=0,0.0001,J626)),3)*100)&amp;"% )"</f>
        <v>-2400,64   ( 154,8% )</v>
      </c>
      <c r="Q626" s="123"/>
      <c r="R626" s="357">
        <f>O626/O$640</f>
        <v>-7.8864860769635517E-3</v>
      </c>
      <c r="S626" s="88"/>
      <c r="T626" s="348">
        <f>SUM(T627:T629)</f>
        <v>-1684.37</v>
      </c>
      <c r="U626" s="349" t="str">
        <f>ROUND((T626-O626),2)&amp;"   ( "&amp;(ROUND((T626-O626)/(IF(O626=0,0.0001,O626)),3)*100)&amp;"% )"</f>
        <v>2267,11   ( -57,4% )</v>
      </c>
      <c r="V626" s="123"/>
      <c r="W626" s="357">
        <f>T626/T$640</f>
        <v>-3.4440158545325176E-3</v>
      </c>
      <c r="X626" s="340"/>
      <c r="Y626" s="348">
        <f>SUM(Y627:Y629)</f>
        <v>-2444.0500000000002</v>
      </c>
      <c r="Z626" s="349" t="str">
        <f>ROUND((Y626-T626),2)&amp;"   ( "&amp;(ROUND((Y626-T626)/(IF(T626=0,0.0001,T626)),3)*100)&amp;"% )"</f>
        <v>-759,68   ( 45,1% )</v>
      </c>
      <c r="AA626" s="30"/>
      <c r="AB626" s="357">
        <f>Y626/Y$640</f>
        <v>-4.7980414340094441E-3</v>
      </c>
      <c r="AC626" s="88">
        <f>SUM(AC627:AC629)</f>
        <v>0</v>
      </c>
      <c r="AD626" s="348">
        <f>SUM(AD627:AD629)</f>
        <v>-1039.33</v>
      </c>
      <c r="AE626" s="6" t="str">
        <f>ROUND((AD626-Y626),2)&amp;"   ( "&amp;(ROUND((AD626-Y626)/(IF(Y626=0,0.0001,Y626)),3)*100)&amp;"% )"</f>
        <v>1404,72   ( -57,5% )</v>
      </c>
      <c r="AF626" s="30"/>
      <c r="AG626" s="357">
        <f>AD626/AD$640</f>
        <v>-2.0638705103101685E-3</v>
      </c>
      <c r="AH626" s="88">
        <f>SUM(AH627:AH629)</f>
        <v>0</v>
      </c>
      <c r="AI626" s="348">
        <f>SUM(AI627:AI629)</f>
        <v>-1662.67</v>
      </c>
      <c r="AJ626" s="6" t="str">
        <f t="shared" ref="AJ626" si="463">ROUND(AI626-AD626,2) &amp; "   (" &amp; ROUND(100*(AI626-AD626)/AD626,1) &amp;"%)"</f>
        <v>-623,34   (60%)</v>
      </c>
      <c r="AK626" s="30"/>
      <c r="AL626" s="357">
        <f>AI626/AI$640</f>
        <v>-3.4504959043740284E-3</v>
      </c>
      <c r="AM626" s="88"/>
      <c r="AN626" s="348">
        <f>SUM(AN627:AN629)</f>
        <v>-1159.1400000000001</v>
      </c>
      <c r="AO626" s="35" t="str">
        <f t="shared" ref="AO626" si="464">ROUND(AN626-AI626,2) &amp; "   (" &amp; ROUND(100*(AN626-AI626)/AI626,1) &amp;"%)"</f>
        <v>503,53   (-30,3%)</v>
      </c>
      <c r="AP626" s="30"/>
      <c r="AQ626" s="357">
        <f>AN626/AN$640</f>
        <v>-3.1248820560157097E-3</v>
      </c>
      <c r="AR626" s="88"/>
      <c r="AS626" s="338"/>
      <c r="AT626" s="35" t="str">
        <f t="shared" ref="AT626" si="465">ROUND(AS626-AN626,2) &amp; "   (" &amp; ROUND(100*(AS626-AN626)/AN626,1) &amp;"%)"</f>
        <v>1159,14   (-100%)</v>
      </c>
      <c r="AU626" s="30"/>
      <c r="AV626" s="357" t="e">
        <f>AS626/AS$640</f>
        <v>#DIV/0!</v>
      </c>
    </row>
    <row r="627" spans="1:48" s="62" customFormat="1" hidden="1" outlineLevel="2" x14ac:dyDescent="0.3">
      <c r="A627" s="188" t="s">
        <v>574</v>
      </c>
      <c r="B627" s="336"/>
      <c r="C627" s="337"/>
      <c r="D627" s="337"/>
      <c r="E627" s="373" t="str">
        <f>B215</f>
        <v>7140/01960 RecettesDiv.NonDeclarées  (1235)</v>
      </c>
      <c r="F627" s="368">
        <f>F215</f>
        <v>-2376.77</v>
      </c>
      <c r="G627" s="368">
        <f>G215</f>
        <v>-1936.97</v>
      </c>
      <c r="H627" s="368">
        <f>H215</f>
        <v>-1373.04</v>
      </c>
      <c r="I627" s="368">
        <f>I215</f>
        <v>-1216.44</v>
      </c>
      <c r="J627" s="368">
        <f>J215</f>
        <v>-1550.84</v>
      </c>
      <c r="K627" s="375"/>
      <c r="L627" s="368">
        <f>L215</f>
        <v>0</v>
      </c>
      <c r="M627" s="375"/>
      <c r="N627" s="88"/>
      <c r="O627" s="368">
        <f>O215</f>
        <v>0</v>
      </c>
      <c r="P627" s="375"/>
      <c r="Q627" s="123"/>
      <c r="R627" s="357"/>
      <c r="S627" s="88"/>
      <c r="T627" s="368">
        <f>T215</f>
        <v>0</v>
      </c>
      <c r="U627" s="375"/>
      <c r="V627" s="123"/>
      <c r="W627" s="357"/>
      <c r="X627" s="340"/>
      <c r="Y627" s="368">
        <f>Y215</f>
        <v>0</v>
      </c>
      <c r="Z627" s="375"/>
      <c r="AA627" s="30"/>
      <c r="AB627" s="357"/>
      <c r="AC627" s="88">
        <f>AC215</f>
        <v>0</v>
      </c>
      <c r="AD627" s="368">
        <f>AD215</f>
        <v>0</v>
      </c>
      <c r="AE627" s="90"/>
      <c r="AF627" s="30"/>
      <c r="AG627" s="357"/>
      <c r="AH627" s="88">
        <f>AH215</f>
        <v>0</v>
      </c>
      <c r="AI627" s="368">
        <f>AI215</f>
        <v>0</v>
      </c>
      <c r="AJ627" s="90"/>
      <c r="AK627" s="30"/>
      <c r="AL627" s="357"/>
      <c r="AM627" s="88"/>
      <c r="AN627" s="368">
        <f>AN215</f>
        <v>0</v>
      </c>
      <c r="AO627" s="29"/>
      <c r="AP627" s="30"/>
      <c r="AQ627" s="357"/>
      <c r="AR627" s="88"/>
      <c r="AS627" s="338"/>
      <c r="AT627" s="29"/>
      <c r="AU627" s="30"/>
      <c r="AV627" s="357"/>
    </row>
    <row r="628" spans="1:48" s="62" customFormat="1" hidden="1" outlineLevel="2" x14ac:dyDescent="0.3">
      <c r="A628" s="188" t="s">
        <v>575</v>
      </c>
      <c r="B628" s="336"/>
      <c r="C628" s="337"/>
      <c r="D628" s="337"/>
      <c r="E628" s="373" t="str">
        <f>B212</f>
        <v>7140/01953 Indemnités Art.700         (1200)</v>
      </c>
      <c r="F628" s="368">
        <f>F212</f>
        <v>0</v>
      </c>
      <c r="G628" s="368">
        <f>G212</f>
        <v>0</v>
      </c>
      <c r="H628" s="368">
        <f>H212</f>
        <v>0</v>
      </c>
      <c r="I628" s="368">
        <f>I212</f>
        <v>0</v>
      </c>
      <c r="J628" s="368">
        <f>J212</f>
        <v>0</v>
      </c>
      <c r="K628" s="375">
        <f>H212</f>
        <v>0</v>
      </c>
      <c r="L628" s="368">
        <f>L212</f>
        <v>0</v>
      </c>
      <c r="M628" s="375">
        <f>J212</f>
        <v>0</v>
      </c>
      <c r="N628" s="88"/>
      <c r="O628" s="368">
        <f>O212</f>
        <v>-2200</v>
      </c>
      <c r="P628" s="375">
        <f>M212</f>
        <v>0</v>
      </c>
      <c r="Q628" s="123"/>
      <c r="R628" s="357"/>
      <c r="S628" s="88"/>
      <c r="T628" s="368">
        <f>T212</f>
        <v>0</v>
      </c>
      <c r="U628" s="375">
        <f>P212</f>
        <v>0</v>
      </c>
      <c r="V628" s="123"/>
      <c r="W628" s="357"/>
      <c r="X628" s="340"/>
      <c r="Y628" s="368">
        <f>Y212</f>
        <v>-1000</v>
      </c>
      <c r="Z628" s="375" t="str">
        <f>W212</f>
        <v/>
      </c>
      <c r="AA628" s="30"/>
      <c r="AB628" s="357"/>
      <c r="AC628" s="88">
        <f>AC212</f>
        <v>0</v>
      </c>
      <c r="AD628" s="368">
        <f>AD212</f>
        <v>0</v>
      </c>
      <c r="AE628" s="90" t="str">
        <f>AB212</f>
        <v/>
      </c>
      <c r="AF628" s="30"/>
      <c r="AG628" s="357"/>
      <c r="AH628" s="88">
        <f>AH212</f>
        <v>0</v>
      </c>
      <c r="AI628" s="368">
        <f>AI212</f>
        <v>0</v>
      </c>
      <c r="AJ628" s="90"/>
      <c r="AK628" s="30"/>
      <c r="AL628" s="357"/>
      <c r="AM628" s="88"/>
      <c r="AN628" s="368">
        <f>AN212</f>
        <v>0</v>
      </c>
      <c r="AO628" s="29"/>
      <c r="AP628" s="30"/>
      <c r="AQ628" s="357"/>
      <c r="AR628" s="88"/>
      <c r="AS628" s="338"/>
      <c r="AT628" s="29"/>
      <c r="AU628" s="30"/>
      <c r="AV628" s="357"/>
    </row>
    <row r="629" spans="1:48" s="62" customFormat="1" hidden="1" outlineLevel="2" collapsed="1" x14ac:dyDescent="0.3">
      <c r="A629" s="188" t="s">
        <v>576</v>
      </c>
      <c r="B629" s="336"/>
      <c r="C629" s="337"/>
      <c r="D629" s="337"/>
      <c r="E629" s="373"/>
      <c r="F629" s="362">
        <f>SUM(F630,F633)</f>
        <v>-21.34</v>
      </c>
      <c r="G629" s="362">
        <f>SUM(G630,G633)</f>
        <v>0</v>
      </c>
      <c r="H629" s="362">
        <f>SUM(H630,H633)</f>
        <v>0</v>
      </c>
      <c r="I629" s="362">
        <f>SUM(I630,I633)</f>
        <v>-228.34</v>
      </c>
      <c r="J629" s="362">
        <f>SUM(J630,J633)</f>
        <v>0</v>
      </c>
      <c r="K629" s="375"/>
      <c r="L629" s="362">
        <f>SUM(L630,L633)</f>
        <v>-1664.94</v>
      </c>
      <c r="M629" s="375"/>
      <c r="N629" s="88"/>
      <c r="O629" s="362">
        <f>SUM(O630,O633)</f>
        <v>-1751.48</v>
      </c>
      <c r="P629" s="375"/>
      <c r="Q629" s="123"/>
      <c r="R629" s="357">
        <f>O629/O$640</f>
        <v>-3.4956579899379785E-3</v>
      </c>
      <c r="S629" s="88"/>
      <c r="T629" s="362">
        <f>SUM(T630,T633)</f>
        <v>-1684.37</v>
      </c>
      <c r="U629" s="375"/>
      <c r="V629" s="123"/>
      <c r="W629" s="357">
        <f>T629/T$640</f>
        <v>-3.4440158545325176E-3</v>
      </c>
      <c r="X629" s="340"/>
      <c r="Y629" s="362">
        <f>SUM(Y630,Y633)</f>
        <v>-1444.05</v>
      </c>
      <c r="Z629" s="375"/>
      <c r="AA629" s="30"/>
      <c r="AB629" s="357">
        <f>Y629/Y$640</f>
        <v>-2.8348895205831865E-3</v>
      </c>
      <c r="AC629" s="88">
        <f>SUM(AC630,AC633)</f>
        <v>0</v>
      </c>
      <c r="AD629" s="362">
        <f>SUM(AD630,AD633)</f>
        <v>-1039.33</v>
      </c>
      <c r="AE629" s="90"/>
      <c r="AF629" s="30"/>
      <c r="AG629" s="357">
        <f>AD629/AD$640</f>
        <v>-2.0638705103101685E-3</v>
      </c>
      <c r="AH629" s="88">
        <f>SUM(AH630,AH633)</f>
        <v>0</v>
      </c>
      <c r="AI629" s="362">
        <f>SUM(AI630,AI633)</f>
        <v>-1662.67</v>
      </c>
      <c r="AJ629" s="90"/>
      <c r="AK629" s="30"/>
      <c r="AL629" s="357">
        <f>AI629/AI$640</f>
        <v>-3.4504959043740284E-3</v>
      </c>
      <c r="AM629" s="88"/>
      <c r="AN629" s="362">
        <f>SUM(AN630,AN633)</f>
        <v>-1159.1400000000001</v>
      </c>
      <c r="AO629" s="29"/>
      <c r="AP629" s="30"/>
      <c r="AQ629" s="357">
        <f>AN629/AN$640</f>
        <v>-3.1248820560157097E-3</v>
      </c>
      <c r="AR629" s="88"/>
      <c r="AS629" s="338"/>
      <c r="AT629" s="29"/>
      <c r="AU629" s="30"/>
      <c r="AV629" s="357" t="e">
        <f>AS629/AS$640</f>
        <v>#DIV/0!</v>
      </c>
    </row>
    <row r="630" spans="1:48" s="62" customFormat="1" hidden="1" outlineLevel="3" collapsed="1" x14ac:dyDescent="0.3">
      <c r="A630" s="190" t="s">
        <v>577</v>
      </c>
      <c r="B630" s="336"/>
      <c r="C630" s="337"/>
      <c r="D630" s="337"/>
      <c r="E630" s="347" t="str">
        <f>B214</f>
        <v>7140/01959 Recettes Diverses           (1230)</v>
      </c>
      <c r="F630" s="383">
        <f>SUM(F631:F632)</f>
        <v>-21.34</v>
      </c>
      <c r="G630" s="383">
        <f>SUM(G631:G632)</f>
        <v>0</v>
      </c>
      <c r="H630" s="383">
        <f>SUM(H631:H632)</f>
        <v>0</v>
      </c>
      <c r="I630" s="383">
        <f>SUM(I631:I632)</f>
        <v>0</v>
      </c>
      <c r="J630" s="383">
        <f>SUM(J631:J632)</f>
        <v>0</v>
      </c>
      <c r="K630" s="354">
        <f>H214</f>
        <v>0</v>
      </c>
      <c r="L630" s="383">
        <f>SUM(L631:L632)</f>
        <v>-1664.94</v>
      </c>
      <c r="M630" s="354">
        <f>J214</f>
        <v>0</v>
      </c>
      <c r="N630" s="88"/>
      <c r="O630" s="383">
        <f>SUM(O631:O632)</f>
        <v>-1751.48</v>
      </c>
      <c r="P630" s="354">
        <f>M214</f>
        <v>0</v>
      </c>
      <c r="Q630" s="123"/>
      <c r="R630" s="357"/>
      <c r="S630" s="88"/>
      <c r="T630" s="383">
        <f>SUM(T631:T632)</f>
        <v>-1684.37</v>
      </c>
      <c r="U630" s="354">
        <f>P214</f>
        <v>5.1977849051617453E-2</v>
      </c>
      <c r="V630" s="123"/>
      <c r="W630" s="357"/>
      <c r="X630" s="340"/>
      <c r="Y630" s="383">
        <f>SUM(Y631:Y632)</f>
        <v>-1444.05</v>
      </c>
      <c r="Z630" s="354" t="str">
        <f>W214</f>
        <v/>
      </c>
      <c r="AA630" s="30"/>
      <c r="AB630" s="357"/>
      <c r="AC630" s="88">
        <f>SUM(AC631:AC632)</f>
        <v>0</v>
      </c>
      <c r="AD630" s="383">
        <f>SUM(AD631:AD632)</f>
        <v>-1039.33</v>
      </c>
      <c r="AE630" s="90" t="str">
        <f>AB214</f>
        <v/>
      </c>
      <c r="AF630" s="30"/>
      <c r="AG630" s="357"/>
      <c r="AH630" s="88">
        <f>SUM(AH631:AH632)</f>
        <v>0</v>
      </c>
      <c r="AI630" s="383">
        <f>SUM(AI631:AI632)</f>
        <v>-1662.67</v>
      </c>
      <c r="AJ630" s="90"/>
      <c r="AK630" s="30"/>
      <c r="AL630" s="357"/>
      <c r="AM630" s="88"/>
      <c r="AN630" s="383">
        <f>SUM(AN631:AN632)</f>
        <v>-1159.1400000000001</v>
      </c>
      <c r="AO630" s="29"/>
      <c r="AP630" s="30"/>
      <c r="AQ630" s="357"/>
      <c r="AR630" s="88"/>
      <c r="AS630" s="338"/>
      <c r="AT630" s="29"/>
      <c r="AU630" s="30"/>
      <c r="AV630" s="357"/>
    </row>
    <row r="631" spans="1:48" s="62" customFormat="1" hidden="1" outlineLevel="4" x14ac:dyDescent="0.3">
      <c r="A631" s="196" t="s">
        <v>578</v>
      </c>
      <c r="B631" s="336"/>
      <c r="C631" s="337"/>
      <c r="D631" s="337"/>
      <c r="E631" s="347"/>
      <c r="F631" s="367"/>
      <c r="G631" s="367"/>
      <c r="H631" s="367"/>
      <c r="I631" s="367"/>
      <c r="J631" s="367"/>
      <c r="K631" s="354"/>
      <c r="L631" s="367"/>
      <c r="M631" s="354"/>
      <c r="N631" s="88"/>
      <c r="O631" s="367"/>
      <c r="P631" s="354"/>
      <c r="Q631" s="123"/>
      <c r="R631" s="357"/>
      <c r="S631" s="88"/>
      <c r="T631" s="367"/>
      <c r="U631" s="354"/>
      <c r="V631" s="123"/>
      <c r="W631" s="357"/>
      <c r="X631" s="340"/>
      <c r="Y631" s="367"/>
      <c r="Z631" s="354"/>
      <c r="AA631" s="30"/>
      <c r="AB631" s="357"/>
      <c r="AC631" s="88"/>
      <c r="AD631" s="367"/>
      <c r="AE631" s="90"/>
      <c r="AF631" s="30"/>
      <c r="AG631" s="357"/>
      <c r="AH631" s="88"/>
      <c r="AI631" s="367"/>
      <c r="AJ631" s="90"/>
      <c r="AK631" s="30"/>
      <c r="AL631" s="357"/>
      <c r="AM631" s="88"/>
      <c r="AN631" s="367"/>
      <c r="AO631" s="29"/>
      <c r="AP631" s="30"/>
      <c r="AQ631" s="357"/>
      <c r="AR631" s="88"/>
      <c r="AS631" s="338"/>
      <c r="AT631" s="29"/>
      <c r="AU631" s="30"/>
      <c r="AV631" s="357"/>
    </row>
    <row r="632" spans="1:48" s="62" customFormat="1" hidden="1" outlineLevel="4" x14ac:dyDescent="0.3">
      <c r="A632" s="196" t="s">
        <v>579</v>
      </c>
      <c r="B632" s="336"/>
      <c r="C632" s="337"/>
      <c r="D632" s="337"/>
      <c r="E632" s="347"/>
      <c r="F632" s="367">
        <f>F214</f>
        <v>-21.34</v>
      </c>
      <c r="G632" s="367">
        <f>G214</f>
        <v>0</v>
      </c>
      <c r="H632" s="367">
        <f>H214</f>
        <v>0</v>
      </c>
      <c r="I632" s="367">
        <f>I214</f>
        <v>0</v>
      </c>
      <c r="J632" s="367">
        <f>J214</f>
        <v>0</v>
      </c>
      <c r="K632" s="354"/>
      <c r="L632" s="367">
        <f>L214</f>
        <v>-1664.94</v>
      </c>
      <c r="M632" s="354"/>
      <c r="N632" s="88"/>
      <c r="O632" s="367">
        <f>O214</f>
        <v>-1751.48</v>
      </c>
      <c r="P632" s="354"/>
      <c r="Q632" s="123"/>
      <c r="R632" s="357"/>
      <c r="S632" s="88"/>
      <c r="T632" s="367">
        <f>T214</f>
        <v>-1684.37</v>
      </c>
      <c r="U632" s="354"/>
      <c r="V632" s="123"/>
      <c r="W632" s="357"/>
      <c r="X632" s="340"/>
      <c r="Y632" s="367">
        <f>Y214</f>
        <v>-1444.05</v>
      </c>
      <c r="Z632" s="354"/>
      <c r="AA632" s="30"/>
      <c r="AB632" s="357"/>
      <c r="AC632" s="88">
        <f>AC214</f>
        <v>0</v>
      </c>
      <c r="AD632" s="367">
        <f>AD214</f>
        <v>-1039.33</v>
      </c>
      <c r="AE632" s="90"/>
      <c r="AF632" s="30"/>
      <c r="AG632" s="357"/>
      <c r="AH632" s="88">
        <f>AH214</f>
        <v>0</v>
      </c>
      <c r="AI632" s="367">
        <f>AI214</f>
        <v>-1662.67</v>
      </c>
      <c r="AJ632" s="90"/>
      <c r="AK632" s="30"/>
      <c r="AL632" s="357"/>
      <c r="AM632" s="88"/>
      <c r="AN632" s="367">
        <f>AN214</f>
        <v>-1159.1400000000001</v>
      </c>
      <c r="AO632" s="29"/>
      <c r="AP632" s="30"/>
      <c r="AQ632" s="357"/>
      <c r="AR632" s="88"/>
      <c r="AS632" s="338"/>
      <c r="AT632" s="29"/>
      <c r="AU632" s="30"/>
      <c r="AV632" s="357"/>
    </row>
    <row r="633" spans="1:48" s="62" customFormat="1" hidden="1" outlineLevel="3" x14ac:dyDescent="0.3">
      <c r="A633" s="190" t="s">
        <v>580</v>
      </c>
      <c r="B633" s="336"/>
      <c r="C633" s="337"/>
      <c r="D633" s="337"/>
      <c r="E633" s="347" t="str">
        <f>B309</f>
        <v>7140/65959 Recettes Diverses Chauff.</v>
      </c>
      <c r="F633" s="250">
        <f>F309</f>
        <v>0</v>
      </c>
      <c r="G633" s="250">
        <f>G309</f>
        <v>0</v>
      </c>
      <c r="H633" s="250">
        <f>H309</f>
        <v>0</v>
      </c>
      <c r="I633" s="250">
        <f>I309</f>
        <v>-228.34</v>
      </c>
      <c r="J633" s="250">
        <f>J309</f>
        <v>0</v>
      </c>
      <c r="K633" s="354"/>
      <c r="L633" s="250">
        <f>L309</f>
        <v>0</v>
      </c>
      <c r="M633" s="354"/>
      <c r="N633" s="88"/>
      <c r="O633" s="250">
        <f>O309</f>
        <v>0</v>
      </c>
      <c r="P633" s="354"/>
      <c r="Q633" s="123"/>
      <c r="R633" s="357"/>
      <c r="S633" s="88"/>
      <c r="T633" s="250">
        <f>T309</f>
        <v>0</v>
      </c>
      <c r="U633" s="354"/>
      <c r="V633" s="123"/>
      <c r="W633" s="357"/>
      <c r="X633" s="340"/>
      <c r="Y633" s="250">
        <f>Y309</f>
        <v>0</v>
      </c>
      <c r="Z633" s="354"/>
      <c r="AA633" s="30"/>
      <c r="AB633" s="357"/>
      <c r="AC633" s="88">
        <f>AC309</f>
        <v>0</v>
      </c>
      <c r="AD633" s="250">
        <f>AD309</f>
        <v>0</v>
      </c>
      <c r="AE633" s="90"/>
      <c r="AF633" s="30"/>
      <c r="AG633" s="357"/>
      <c r="AH633" s="88">
        <f>AH309</f>
        <v>0</v>
      </c>
      <c r="AI633" s="250">
        <f>AI309</f>
        <v>0</v>
      </c>
      <c r="AJ633" s="90"/>
      <c r="AK633" s="30"/>
      <c r="AL633" s="357"/>
      <c r="AM633" s="88"/>
      <c r="AN633" s="250">
        <f>AN309</f>
        <v>0</v>
      </c>
      <c r="AO633" s="29"/>
      <c r="AP633" s="30"/>
      <c r="AQ633" s="357"/>
      <c r="AR633" s="88"/>
      <c r="AS633" s="338"/>
      <c r="AT633" s="29"/>
      <c r="AU633" s="30"/>
      <c r="AV633" s="357"/>
    </row>
    <row r="634" spans="1:48" s="62" customFormat="1" hidden="1" outlineLevel="1" collapsed="1" x14ac:dyDescent="0.3">
      <c r="A634" s="199" t="s">
        <v>581</v>
      </c>
      <c r="B634" s="336"/>
      <c r="C634" s="337"/>
      <c r="D634" s="337"/>
      <c r="E634" s="373"/>
      <c r="F634" s="348">
        <f>SUM(F635:F636)</f>
        <v>0</v>
      </c>
      <c r="G634" s="348">
        <f>SUM(G635:G636)</f>
        <v>0</v>
      </c>
      <c r="H634" s="348">
        <f>SUM(H635:H636)</f>
        <v>0</v>
      </c>
      <c r="I634" s="348">
        <f>SUM(I635:I636)</f>
        <v>0</v>
      </c>
      <c r="J634" s="348">
        <f>SUM(J635:J636)</f>
        <v>0</v>
      </c>
      <c r="K634" s="349" t="str">
        <f>ROUND((J634-I634),2)&amp;"  ( "&amp;(ROUND((J634-I634)/(IF(I634=0,0.0001,I634)),3)*100)&amp;"% )"</f>
        <v>0  ( 0% )</v>
      </c>
      <c r="L634" s="348">
        <f>SUM(L635:L636)</f>
        <v>0</v>
      </c>
      <c r="M634" s="349" t="str">
        <f>ROUND((L634-G634),2)&amp;"   ( "&amp;(ROUND((L634-G634)/(IF(G634=0,0.0001,G634)),3)*100)&amp;"% )"</f>
        <v>0   ( 0% )</v>
      </c>
      <c r="N634" s="88"/>
      <c r="O634" s="348">
        <f>SUM(O635:O636)</f>
        <v>0</v>
      </c>
      <c r="P634" s="349" t="str">
        <f>ROUND((O634-J634),2)&amp;"   ( "&amp;(ROUND((O634-J634)/(IF(J634=0,0.0001,J634)),3)*100)&amp;"% )"</f>
        <v>0   ( 0% )</v>
      </c>
      <c r="Q634" s="123"/>
      <c r="R634" s="357"/>
      <c r="S634" s="88"/>
      <c r="T634" s="348">
        <f>SUM(T635:T636)</f>
        <v>0</v>
      </c>
      <c r="U634" s="349" t="str">
        <f>ROUND((T634-O634),2)&amp;"   ( "&amp;(ROUND((T634-O634)/(IF(O634=0,0.0001,O634)),3)*100)&amp;"% )"</f>
        <v>0   ( 0% )</v>
      </c>
      <c r="V634" s="123"/>
      <c r="W634" s="357"/>
      <c r="X634" s="340"/>
      <c r="Y634" s="348">
        <f>SUM(Y635:Y636)</f>
        <v>0</v>
      </c>
      <c r="Z634" s="349" t="str">
        <f>ROUND((Y634-T634),2)&amp;"   ( "&amp;(ROUND((Y634-T634)/(IF(T634=0,0.0001,T634)),3)*100)&amp;"% )"</f>
        <v>0   ( 0% )</v>
      </c>
      <c r="AA634" s="30"/>
      <c r="AB634" s="357"/>
      <c r="AC634" s="88">
        <f>SUM(AC635:AC636)</f>
        <v>0</v>
      </c>
      <c r="AD634" s="348">
        <f>SUM(AD635:AD636)</f>
        <v>0</v>
      </c>
      <c r="AE634" s="6" t="str">
        <f>ROUND((AD634-Y634),2)&amp;"   ( "&amp;(ROUND((AD634-Y634)/(IF(Y634=0,0.0001,Y634)),3)*100)&amp;"% )"</f>
        <v>0   ( 0% )</v>
      </c>
      <c r="AF634" s="30"/>
      <c r="AG634" s="357"/>
      <c r="AH634" s="88">
        <f>SUM(AH635:AH636)</f>
        <v>0</v>
      </c>
      <c r="AI634" s="348">
        <f>SUM(AI635:AI636)</f>
        <v>0</v>
      </c>
      <c r="AJ634" s="6" t="e">
        <f t="shared" ref="AJ634" si="466">ROUND(AI634-AD634,2) &amp; "   (" &amp; ROUND(100*(AI634-AD634)/AD634,1) &amp;"%)"</f>
        <v>#DIV/0!</v>
      </c>
      <c r="AK634" s="30"/>
      <c r="AL634" s="357"/>
      <c r="AM634" s="88"/>
      <c r="AN634" s="348">
        <f>SUM(AN635:AN636)</f>
        <v>0</v>
      </c>
      <c r="AO634" s="35" t="e">
        <f t="shared" ref="AO634" si="467">ROUND(AN634-AI634,2) &amp; "   (" &amp; ROUND(100*(AN634-AI634)/AI634,1) &amp;"%)"</f>
        <v>#DIV/0!</v>
      </c>
      <c r="AP634" s="30"/>
      <c r="AQ634" s="357"/>
      <c r="AR634" s="88"/>
      <c r="AS634" s="338"/>
      <c r="AT634" s="35" t="e">
        <f t="shared" ref="AT634" si="468">ROUND(AS634-AN634,2) &amp; "   (" &amp; ROUND(100*(AS634-AN634)/AN634,1) &amp;"%)"</f>
        <v>#DIV/0!</v>
      </c>
      <c r="AU634" s="30"/>
      <c r="AV634" s="357"/>
    </row>
    <row r="635" spans="1:48" s="62" customFormat="1" hidden="1" outlineLevel="2" x14ac:dyDescent="0.3">
      <c r="A635" s="188" t="s">
        <v>582</v>
      </c>
      <c r="B635" s="336"/>
      <c r="C635" s="337"/>
      <c r="D635" s="337"/>
      <c r="E635" s="373"/>
      <c r="F635" s="368"/>
      <c r="G635" s="368"/>
      <c r="H635" s="368"/>
      <c r="I635" s="368"/>
      <c r="J635" s="368"/>
      <c r="K635" s="375"/>
      <c r="L635" s="368"/>
      <c r="M635" s="375"/>
      <c r="N635" s="88"/>
      <c r="O635" s="368"/>
      <c r="P635" s="375"/>
      <c r="Q635" s="123"/>
      <c r="R635" s="357"/>
      <c r="S635" s="88"/>
      <c r="T635" s="368"/>
      <c r="U635" s="375"/>
      <c r="V635" s="123"/>
      <c r="W635" s="357"/>
      <c r="X635" s="340"/>
      <c r="Y635" s="368"/>
      <c r="Z635" s="375"/>
      <c r="AA635" s="30"/>
      <c r="AB635" s="357"/>
      <c r="AC635" s="88"/>
      <c r="AD635" s="368"/>
      <c r="AE635" s="90"/>
      <c r="AF635" s="30"/>
      <c r="AG635" s="357"/>
      <c r="AH635" s="88"/>
      <c r="AI635" s="368"/>
      <c r="AJ635" s="90"/>
      <c r="AK635" s="30"/>
      <c r="AL635" s="357"/>
      <c r="AM635" s="88"/>
      <c r="AN635" s="368"/>
      <c r="AO635" s="29"/>
      <c r="AP635" s="30"/>
      <c r="AQ635" s="357"/>
      <c r="AR635" s="88"/>
      <c r="AS635" s="338"/>
      <c r="AT635" s="29"/>
      <c r="AU635" s="30"/>
      <c r="AV635" s="357"/>
    </row>
    <row r="636" spans="1:48" s="62" customFormat="1" hidden="1" outlineLevel="2" x14ac:dyDescent="0.3">
      <c r="A636" s="188" t="s">
        <v>583</v>
      </c>
      <c r="B636" s="336"/>
      <c r="C636" s="337"/>
      <c r="D636" s="337"/>
      <c r="E636" s="373" t="str">
        <f>B216</f>
        <v>7160/02000 Recettes Diverses       (1237)</v>
      </c>
      <c r="F636" s="250">
        <f>F216</f>
        <v>0</v>
      </c>
      <c r="G636" s="250">
        <f>G216</f>
        <v>0</v>
      </c>
      <c r="H636" s="250">
        <f>H216</f>
        <v>0</v>
      </c>
      <c r="I636" s="250">
        <f>I216</f>
        <v>0</v>
      </c>
      <c r="J636" s="250">
        <f>J216</f>
        <v>0</v>
      </c>
      <c r="K636" s="375"/>
      <c r="L636" s="250">
        <f>L216</f>
        <v>0</v>
      </c>
      <c r="M636" s="375"/>
      <c r="N636" s="88"/>
      <c r="O636" s="250">
        <f>O216</f>
        <v>0</v>
      </c>
      <c r="P636" s="375"/>
      <c r="Q636" s="123"/>
      <c r="R636" s="357"/>
      <c r="S636" s="88"/>
      <c r="T636" s="250">
        <f>T216</f>
        <v>0</v>
      </c>
      <c r="U636" s="375"/>
      <c r="V636" s="123"/>
      <c r="W636" s="357"/>
      <c r="X636" s="340"/>
      <c r="Y636" s="250">
        <f>Y216</f>
        <v>0</v>
      </c>
      <c r="Z636" s="375"/>
      <c r="AA636" s="30"/>
      <c r="AB636" s="357"/>
      <c r="AC636" s="88">
        <f>AC216</f>
        <v>0</v>
      </c>
      <c r="AD636" s="250">
        <f>AD216</f>
        <v>0</v>
      </c>
      <c r="AE636" s="90"/>
      <c r="AF636" s="30"/>
      <c r="AG636" s="357"/>
      <c r="AH636" s="88">
        <f>AH216</f>
        <v>0</v>
      </c>
      <c r="AI636" s="250">
        <f>AI216</f>
        <v>0</v>
      </c>
      <c r="AJ636" s="90"/>
      <c r="AK636" s="30"/>
      <c r="AL636" s="357"/>
      <c r="AM636" s="88"/>
      <c r="AN636" s="250">
        <f>AN216</f>
        <v>0</v>
      </c>
      <c r="AO636" s="29"/>
      <c r="AP636" s="30"/>
      <c r="AQ636" s="357"/>
      <c r="AR636" s="88"/>
      <c r="AS636" s="338"/>
      <c r="AT636" s="29"/>
      <c r="AU636" s="30"/>
      <c r="AV636" s="357"/>
    </row>
    <row r="637" spans="1:48" s="62" customFormat="1" hidden="1" outlineLevel="1" collapsed="1" x14ac:dyDescent="0.3">
      <c r="A637" s="199" t="s">
        <v>584</v>
      </c>
      <c r="B637" s="336"/>
      <c r="C637" s="337"/>
      <c r="D637" s="337"/>
      <c r="E637" s="373"/>
      <c r="F637" s="348">
        <f>SUM(F638:F638)</f>
        <v>0</v>
      </c>
      <c r="G637" s="348">
        <f>SUM(G638:G638)</f>
        <v>0</v>
      </c>
      <c r="H637" s="348">
        <f>SUM(H638:H638)</f>
        <v>0</v>
      </c>
      <c r="I637" s="348">
        <f>SUM(I638:I638)</f>
        <v>0</v>
      </c>
      <c r="J637" s="348">
        <f>SUM(J638:J638)</f>
        <v>0</v>
      </c>
      <c r="K637" s="349" t="str">
        <f>ROUND((J637-I637),2)&amp;"  ( "&amp;(ROUND((J637-I637)/(IF(I637=0,0.0001,I637)),3)*100)&amp;"% )"</f>
        <v>0  ( 0% )</v>
      </c>
      <c r="L637" s="348">
        <f>SUM(L638:L638)</f>
        <v>0</v>
      </c>
      <c r="M637" s="349" t="str">
        <f>ROUND((L637-G637),2)&amp;"   ( "&amp;(ROUND((L637-G637)/(IF(G637=0,0.0001,G637)),3)*100)&amp;"% )"</f>
        <v>0   ( 0% )</v>
      </c>
      <c r="N637" s="88"/>
      <c r="O637" s="348">
        <f>SUM(O638:O638)</f>
        <v>-1300</v>
      </c>
      <c r="P637" s="384"/>
      <c r="Q637" s="123"/>
      <c r="R637" s="357"/>
      <c r="S637" s="88"/>
      <c r="T637" s="348">
        <f>SUM(T638:T638)</f>
        <v>0</v>
      </c>
      <c r="U637" s="349" t="str">
        <f>ROUND((T637-O637),2)&amp;"   ( "&amp;(ROUND((T637-O637)/(IF(O637=0,0.0001,O637)),3)*100)&amp;"% )"</f>
        <v>1300   ( -100% )</v>
      </c>
      <c r="V637" s="123"/>
      <c r="W637" s="357"/>
      <c r="X637" s="340"/>
      <c r="Y637" s="348">
        <f>SUM(Y638:Y638)</f>
        <v>-500</v>
      </c>
      <c r="Z637" s="349" t="str">
        <f>ROUND((Y637-T637),2)&amp;"   ( "&amp;(ROUND((Y637-T637)/(IF(T637=0,0.0001,T637)),3)*100)&amp;"% )"</f>
        <v>-500   ( -500000000% )</v>
      </c>
      <c r="AA637" s="30"/>
      <c r="AB637" s="357"/>
      <c r="AC637" s="88">
        <f>SUM(AC638:AC638)</f>
        <v>0</v>
      </c>
      <c r="AD637" s="348">
        <f>SUM(AD638:AD638)</f>
        <v>0</v>
      </c>
      <c r="AE637" s="6" t="str">
        <f>ROUND((AD637-Y637),2)&amp;"   ( "&amp;(ROUND((AD637-Y637)/(IF(Y637=0,0.0001,Y637)),3)*100)&amp;"% )"</f>
        <v>500   ( -100% )</v>
      </c>
      <c r="AF637" s="30"/>
      <c r="AG637" s="357"/>
      <c r="AH637" s="88">
        <f>SUM(AH638:AH638)</f>
        <v>0</v>
      </c>
      <c r="AI637" s="348">
        <f>SUM(AI638:AI638)</f>
        <v>0</v>
      </c>
      <c r="AJ637" s="6" t="e">
        <f t="shared" ref="AJ637" si="469">ROUND(AI637-AD637,2) &amp; "   (" &amp; ROUND(100*(AI637-AD637)/AD637,1) &amp;"%)"</f>
        <v>#DIV/0!</v>
      </c>
      <c r="AK637" s="30"/>
      <c r="AL637" s="357"/>
      <c r="AM637" s="88"/>
      <c r="AN637" s="348">
        <f>SUM(AN638:AN638)</f>
        <v>0</v>
      </c>
      <c r="AO637" s="35" t="e">
        <f t="shared" ref="AO637" si="470">ROUND(AN637-AI637,2) &amp; "   (" &amp; ROUND(100*(AN637-AI637)/AI637,1) &amp;"%)"</f>
        <v>#DIV/0!</v>
      </c>
      <c r="AP637" s="30"/>
      <c r="AQ637" s="357"/>
      <c r="AR637" s="88"/>
      <c r="AS637" s="338"/>
      <c r="AT637" s="35" t="e">
        <f t="shared" ref="AT637" si="471">ROUND(AS637-AN637,2) &amp; "   (" &amp; ROUND(100*(AS637-AN637)/AN637,1) &amp;"%)"</f>
        <v>#DIV/0!</v>
      </c>
      <c r="AU637" s="30"/>
      <c r="AV637" s="357"/>
    </row>
    <row r="638" spans="1:48" s="62" customFormat="1" hidden="1" outlineLevel="2" x14ac:dyDescent="0.3">
      <c r="A638" s="385" t="s">
        <v>585</v>
      </c>
      <c r="B638" s="336"/>
      <c r="C638" s="337"/>
      <c r="D638" s="337"/>
      <c r="E638" s="386" t="str">
        <f>B213</f>
        <v>7180/01954 RecettesDommagesIntérets (1220)</v>
      </c>
      <c r="F638" s="368">
        <f>F213</f>
        <v>0</v>
      </c>
      <c r="G638" s="368">
        <f>G213</f>
        <v>0</v>
      </c>
      <c r="H638" s="368">
        <f>H213</f>
        <v>0</v>
      </c>
      <c r="I638" s="368">
        <f>I213</f>
        <v>0</v>
      </c>
      <c r="J638" s="368">
        <f>J213</f>
        <v>0</v>
      </c>
      <c r="K638" s="387">
        <f>H213</f>
        <v>0</v>
      </c>
      <c r="L638" s="368">
        <f>L213</f>
        <v>0</v>
      </c>
      <c r="M638" s="387">
        <f>J213</f>
        <v>0</v>
      </c>
      <c r="N638" s="88"/>
      <c r="O638" s="368">
        <f>O213</f>
        <v>-1300</v>
      </c>
      <c r="P638" s="387">
        <f>M213</f>
        <v>0</v>
      </c>
      <c r="Q638" s="123"/>
      <c r="R638" s="357"/>
      <c r="S638" s="88"/>
      <c r="T638" s="368">
        <f>T213</f>
        <v>0</v>
      </c>
      <c r="U638" s="387">
        <f>P213</f>
        <v>0</v>
      </c>
      <c r="V638" s="123"/>
      <c r="W638" s="357"/>
      <c r="X638" s="340"/>
      <c r="Y638" s="368">
        <f>Y213</f>
        <v>-500</v>
      </c>
      <c r="Z638" s="387" t="str">
        <f>W213</f>
        <v/>
      </c>
      <c r="AA638" s="30"/>
      <c r="AB638" s="357"/>
      <c r="AC638" s="88">
        <f>AC213</f>
        <v>0</v>
      </c>
      <c r="AD638" s="368">
        <f>AD213</f>
        <v>0</v>
      </c>
      <c r="AE638" s="90" t="str">
        <f>AB213</f>
        <v/>
      </c>
      <c r="AF638" s="30"/>
      <c r="AG638" s="357"/>
      <c r="AH638" s="88">
        <f>AH213</f>
        <v>0</v>
      </c>
      <c r="AI638" s="368">
        <f>AI213</f>
        <v>0</v>
      </c>
      <c r="AJ638" s="90"/>
      <c r="AK638" s="30"/>
      <c r="AL638" s="357"/>
      <c r="AM638" s="88"/>
      <c r="AN638" s="368">
        <f>AN213</f>
        <v>0</v>
      </c>
      <c r="AO638" s="29"/>
      <c r="AP638" s="30"/>
      <c r="AQ638" s="357"/>
      <c r="AR638" s="88"/>
      <c r="AS638" s="338"/>
      <c r="AT638" s="29"/>
      <c r="AU638" s="30"/>
      <c r="AV638" s="357"/>
    </row>
    <row r="639" spans="1:48" s="62" customFormat="1" ht="18" hidden="1" outlineLevel="2" thickBot="1" x14ac:dyDescent="0.35">
      <c r="A639" s="188"/>
      <c r="B639" s="336"/>
      <c r="C639" s="337"/>
      <c r="D639" s="337"/>
      <c r="E639" s="373"/>
      <c r="F639" s="388"/>
      <c r="G639" s="388"/>
      <c r="H639" s="388"/>
      <c r="I639" s="388"/>
      <c r="J639" s="388"/>
      <c r="K639" s="389"/>
      <c r="L639" s="388"/>
      <c r="M639" s="387"/>
      <c r="N639" s="88"/>
      <c r="O639" s="388"/>
      <c r="P639" s="389"/>
      <c r="Q639" s="123"/>
      <c r="R639" s="357"/>
      <c r="S639" s="88"/>
      <c r="T639" s="388"/>
      <c r="U639" s="389"/>
      <c r="V639" s="123"/>
      <c r="W639" s="357"/>
      <c r="X639" s="340"/>
      <c r="Y639" s="388"/>
      <c r="Z639" s="389"/>
      <c r="AA639" s="30"/>
      <c r="AB639" s="357"/>
      <c r="AC639" s="88"/>
      <c r="AD639" s="388"/>
      <c r="AE639" s="90"/>
      <c r="AF639" s="30"/>
      <c r="AG639" s="357"/>
      <c r="AH639" s="88"/>
      <c r="AI639" s="388"/>
      <c r="AJ639" s="90"/>
      <c r="AK639" s="30"/>
      <c r="AL639" s="357"/>
      <c r="AM639" s="88"/>
      <c r="AN639" s="388"/>
      <c r="AO639" s="29"/>
      <c r="AP639" s="30"/>
      <c r="AQ639" s="357"/>
      <c r="AR639" s="88"/>
      <c r="AS639" s="338"/>
      <c r="AT639" s="29"/>
      <c r="AU639" s="30"/>
      <c r="AV639" s="357"/>
    </row>
    <row r="640" spans="1:48" s="62" customFormat="1" x14ac:dyDescent="0.3">
      <c r="A640" s="52"/>
      <c r="B640" s="336"/>
      <c r="C640" s="337"/>
      <c r="D640" s="337"/>
      <c r="E640" s="337"/>
      <c r="F640" s="338">
        <f>SUM(F362,F394,F501,F531,F537,F602,F607,F622)</f>
        <v>474030.5199999999</v>
      </c>
      <c r="G640" s="338">
        <f>SUM(G362,G394,G501,G531,G537,G602,G607,G622)</f>
        <v>483537.50999999995</v>
      </c>
      <c r="H640" s="338">
        <f>SUM(H362,H394,H501,H531,H537,H602,H607,H622)</f>
        <v>495645.57999999996</v>
      </c>
      <c r="I640" s="338">
        <f>SUM(I362,I394,I501,I531,I537,I602,I607,I622)</f>
        <v>495744.05</v>
      </c>
      <c r="J640" s="338">
        <f>SUM(J362,J394,J501,J531,J537,J602,J607,J622)</f>
        <v>448889.31000000006</v>
      </c>
      <c r="K640" s="345" t="str">
        <f>ROUND((J640-I640),2)&amp;"  ( "&amp;(ROUND((J640-I640)/(IF(I640=0,0.0001,I640)),3)*100)&amp;"% )"</f>
        <v>-46854,74  ( -9,5% )</v>
      </c>
      <c r="L640" s="338">
        <f>SUM(L362,L394,L501,L531,L537,L602,L607,L622)</f>
        <v>480474.63999999996</v>
      </c>
      <c r="M640" s="345" t="str">
        <f>ROUND((L640-G640),2)&amp;"   ( "&amp;(ROUND((L640-G640)/(IF(G640=0,0.0001,G640)),3)*100)&amp;"% )"</f>
        <v>-3062,87   ( -0,6% )</v>
      </c>
      <c r="N640" s="88"/>
      <c r="O640" s="338">
        <f>SUM(O362,O394,O501,O531,O537,O602,O607,O622)</f>
        <v>501044.44</v>
      </c>
      <c r="P640" s="345" t="str">
        <f>ROUND((O640-J640),2)&amp;"   ( "&amp;(ROUND((O640-J640)/(IF(J640=0,0.0001,J640)),3)*100)&amp;"% )"</f>
        <v>52155,13   ( 11,6% )</v>
      </c>
      <c r="Q640" s="123"/>
      <c r="R640" s="390">
        <f>O640/O$640</f>
        <v>1</v>
      </c>
      <c r="S640" s="88"/>
      <c r="T640" s="338">
        <f>SUM(T362,T394,T501,T531,T537,T602,T607,T622)</f>
        <v>489071.49999999994</v>
      </c>
      <c r="U640" s="345" t="str">
        <f>ROUND((T640-O640),2)&amp;"   ( "&amp;(ROUND((T640-O640)/(IF(O640=0,0.0001,O640)),3)*100)&amp;"% )"</f>
        <v>-11972,94   ( -2,4% )</v>
      </c>
      <c r="V640" s="123"/>
      <c r="W640" s="390">
        <f>T640/T$640</f>
        <v>1</v>
      </c>
      <c r="X640" s="340"/>
      <c r="Y640" s="338">
        <f>SUM(Y362,Y394,Y501,Y531,Y537,Y602,Y607,Y622)</f>
        <v>509384.93</v>
      </c>
      <c r="Z640" s="345" t="str">
        <f>ROUND((Y640-T640),2)&amp;"   ( "&amp;(ROUND((Y640-T640)/(IF(T640=0,0.0001,T640)),3)*100)&amp;"% )"</f>
        <v>20313,43   ( 4,2% )</v>
      </c>
      <c r="AA640" s="30"/>
      <c r="AB640" s="390">
        <f>Y640/Y$640</f>
        <v>1</v>
      </c>
      <c r="AC640" s="88">
        <f>SUM(AC362,AC394,AC501,AC531,AC537,AC602,AC607,AC622)</f>
        <v>509100.00099999999</v>
      </c>
      <c r="AD640" s="338">
        <f>SUM(AD362,AD394,AD501,AD531,AD537,AD602,AD607,AD622)</f>
        <v>503582.94999999995</v>
      </c>
      <c r="AE640" s="6" t="str">
        <f>ROUND((AD640-Y640),2)&amp;"   ( "&amp;(ROUND((AD640-Y640)/(IF(Y640=0,0.0001,Y640)),3)*100)&amp;"% )"</f>
        <v>-5801,98   ( -1,1% )</v>
      </c>
      <c r="AF640" s="30"/>
      <c r="AG640" s="390">
        <f>AD640/AD$640</f>
        <v>1</v>
      </c>
      <c r="AH640" s="88">
        <f>SUM(AH362,AH394,AH501,AH531,AH537,AH602,AH607,AH622)</f>
        <v>516520</v>
      </c>
      <c r="AI640" s="338">
        <f>SUM(AI362,AI394,AI501,AI531,AI537,AI602,AI607,AI622)</f>
        <v>481864.07</v>
      </c>
      <c r="AJ640" s="6" t="str">
        <f t="shared" ref="AJ640" si="472">ROUND(AI640-AD640,2) &amp; "   (" &amp; ROUND(100*(AI640-AD640)/AD640,1) &amp;"%)"</f>
        <v>-21718,88   (-4,3%)</v>
      </c>
      <c r="AK640" s="30"/>
      <c r="AL640" s="390">
        <f>AI640/AI$640</f>
        <v>1</v>
      </c>
      <c r="AM640" s="88"/>
      <c r="AN640" s="338">
        <f>SUM(AN362,AN394,AN501,AN531,AN537,AN602,AN607,AN622)</f>
        <v>370938.8</v>
      </c>
      <c r="AO640" s="35" t="str">
        <f t="shared" ref="AO640" si="473">ROUND(AN640-AI640,2) &amp; "   (" &amp; ROUND(100*(AN640-AI640)/AI640,1) &amp;"%)"</f>
        <v>-110925,27   (-23%)</v>
      </c>
      <c r="AP640" s="30"/>
      <c r="AQ640" s="390">
        <f>AN640/AN$640</f>
        <v>1</v>
      </c>
      <c r="AR640" s="88"/>
      <c r="AS640" s="338"/>
      <c r="AT640" s="35" t="str">
        <f t="shared" ref="AT640" si="474">ROUND(AS640-AN640,2) &amp; "   (" &amp; ROUND(100*(AS640-AN640)/AN640,1) &amp;"%)"</f>
        <v>-370938,8   (-100%)</v>
      </c>
      <c r="AU640" s="30"/>
      <c r="AV640" s="390" t="e">
        <f>AS640/AS$640</f>
        <v>#DIV/0!</v>
      </c>
    </row>
    <row r="641" spans="1:48" s="228" customFormat="1" x14ac:dyDescent="0.3">
      <c r="A641" s="223"/>
      <c r="B641" s="391"/>
      <c r="C641" s="392"/>
      <c r="D641" s="392"/>
      <c r="E641" s="392"/>
      <c r="F641" s="393">
        <f>F640-F317</f>
        <v>0</v>
      </c>
      <c r="G641" s="393">
        <f>G640-G317</f>
        <v>0</v>
      </c>
      <c r="H641" s="393">
        <f>H640-H317</f>
        <v>0</v>
      </c>
      <c r="I641" s="393">
        <f>I640-I317</f>
        <v>0</v>
      </c>
      <c r="J641" s="393">
        <f>J640-J317</f>
        <v>0</v>
      </c>
      <c r="K641" s="394"/>
      <c r="L641" s="393">
        <f>L640-L317</f>
        <v>0</v>
      </c>
      <c r="M641" s="394"/>
      <c r="N641" s="289"/>
      <c r="O641" s="393">
        <f>O640-O317</f>
        <v>778.76000000000931</v>
      </c>
      <c r="P641" s="394"/>
      <c r="Q641" s="395"/>
      <c r="R641" s="124"/>
      <c r="S641" s="289"/>
      <c r="T641" s="393">
        <f>T640-T317</f>
        <v>0</v>
      </c>
      <c r="U641" s="394"/>
      <c r="V641" s="395"/>
      <c r="W641" s="124"/>
      <c r="X641" s="396"/>
      <c r="Y641" s="393">
        <f>Y640-Y317</f>
        <v>0</v>
      </c>
      <c r="Z641" s="394"/>
      <c r="AA641" s="356"/>
      <c r="AB641" s="124"/>
      <c r="AC641" s="289">
        <f>AC640-AC317</f>
        <v>9.9999998928979039E-4</v>
      </c>
      <c r="AD641" s="393">
        <f>AD640-AD317</f>
        <v>0</v>
      </c>
      <c r="AE641" s="397"/>
      <c r="AF641" s="356"/>
      <c r="AG641" s="124"/>
      <c r="AH641" s="289">
        <f>AH640-AH317</f>
        <v>0</v>
      </c>
      <c r="AI641" s="393">
        <f>AI640-AI317</f>
        <v>0</v>
      </c>
      <c r="AJ641" s="90"/>
      <c r="AK641" s="356"/>
      <c r="AL641" s="124"/>
      <c r="AM641" s="289"/>
      <c r="AN641" s="393">
        <f>AN640-AN317</f>
        <v>0</v>
      </c>
      <c r="AO641" s="29"/>
      <c r="AP641" s="356"/>
      <c r="AQ641" s="124"/>
      <c r="AR641" s="289"/>
      <c r="AS641" s="393"/>
      <c r="AT641" s="29"/>
      <c r="AU641" s="356"/>
      <c r="AV641" s="124"/>
    </row>
    <row r="642" spans="1:48" s="62" customFormat="1" x14ac:dyDescent="0.3">
      <c r="A642" s="52"/>
      <c r="B642" s="336"/>
      <c r="C642" s="337"/>
      <c r="D642" s="337"/>
      <c r="E642" s="337"/>
      <c r="F642" s="338"/>
      <c r="G642" s="338"/>
      <c r="H642" s="338"/>
      <c r="I642" s="338"/>
      <c r="J642" s="338"/>
      <c r="K642" s="339"/>
      <c r="L642" s="338"/>
      <c r="M642" s="339"/>
      <c r="N642" s="88"/>
      <c r="O642" s="338"/>
      <c r="P642" s="339"/>
      <c r="Q642" s="123"/>
      <c r="R642" s="124"/>
      <c r="S642" s="88"/>
      <c r="T642" s="338"/>
      <c r="U642" s="339"/>
      <c r="V642" s="123"/>
      <c r="W642" s="124"/>
      <c r="X642" s="340"/>
      <c r="Y642" s="338"/>
      <c r="Z642" s="339"/>
      <c r="AA642" s="30"/>
      <c r="AB642" s="124"/>
      <c r="AC642" s="88"/>
      <c r="AD642" s="338"/>
      <c r="AE642" s="341"/>
      <c r="AF642" s="30"/>
      <c r="AG642" s="124"/>
      <c r="AH642" s="88"/>
      <c r="AI642" s="338"/>
      <c r="AJ642" s="29"/>
      <c r="AK642" s="30"/>
      <c r="AL642" s="124"/>
      <c r="AM642" s="88"/>
      <c r="AN642" s="338"/>
      <c r="AO642" s="29"/>
      <c r="AP642" s="30"/>
      <c r="AQ642" s="124"/>
      <c r="AR642" s="88"/>
      <c r="AS642" s="338"/>
      <c r="AT642" s="29"/>
      <c r="AU642" s="30"/>
      <c r="AV642" s="124"/>
    </row>
    <row r="643" spans="1:48" s="62" customFormat="1" x14ac:dyDescent="0.3">
      <c r="A643" s="52"/>
      <c r="B643" s="336"/>
      <c r="C643" s="337"/>
      <c r="D643" s="337"/>
      <c r="E643" s="337"/>
      <c r="F643" s="338"/>
      <c r="G643" s="338"/>
      <c r="H643" s="338"/>
      <c r="I643" s="338"/>
      <c r="J643" s="338"/>
      <c r="K643" s="339"/>
      <c r="L643" s="338"/>
      <c r="M643" s="339"/>
      <c r="N643" s="88"/>
      <c r="O643" s="338"/>
      <c r="P643" s="339"/>
      <c r="Q643" s="123"/>
      <c r="R643" s="124"/>
      <c r="S643" s="88"/>
      <c r="T643" s="338"/>
      <c r="U643" s="339"/>
      <c r="V643" s="123"/>
      <c r="W643" s="124"/>
      <c r="X643" s="340"/>
      <c r="Y643" s="338"/>
      <c r="Z643" s="339"/>
      <c r="AA643" s="30"/>
      <c r="AB643" s="124"/>
      <c r="AC643" s="88"/>
      <c r="AD643" s="338"/>
      <c r="AE643" s="341"/>
      <c r="AF643" s="30"/>
      <c r="AG643" s="124"/>
      <c r="AH643" s="88"/>
      <c r="AI643" s="338"/>
      <c r="AJ643" s="29"/>
      <c r="AK643" s="30"/>
      <c r="AL643" s="124"/>
      <c r="AM643" s="88"/>
      <c r="AN643" s="338"/>
      <c r="AO643" s="29"/>
      <c r="AP643" s="30"/>
      <c r="AQ643" s="124"/>
      <c r="AR643" s="88"/>
      <c r="AS643" s="338"/>
      <c r="AT643" s="29"/>
      <c r="AU643" s="30"/>
      <c r="AV643" s="124"/>
    </row>
    <row r="644" spans="1:48" s="62" customFormat="1" x14ac:dyDescent="0.3">
      <c r="A644" s="342" t="s">
        <v>586</v>
      </c>
      <c r="B644" s="342"/>
      <c r="C644" s="337"/>
      <c r="D644" s="337"/>
      <c r="E644" s="337"/>
      <c r="F644" s="338"/>
      <c r="G644" s="338"/>
      <c r="H644" s="338"/>
      <c r="I644" s="338"/>
      <c r="J644" s="338"/>
      <c r="K644" s="339"/>
      <c r="L644" s="338"/>
      <c r="M644" s="339"/>
      <c r="N644" s="88"/>
      <c r="O644" s="338"/>
      <c r="P644" s="339"/>
      <c r="Q644" s="123"/>
      <c r="R644" s="124"/>
      <c r="S644" s="88"/>
      <c r="T644" s="338"/>
      <c r="U644" s="339"/>
      <c r="V644" s="123"/>
      <c r="W644" s="124"/>
      <c r="X644" s="340"/>
      <c r="Y644" s="338"/>
      <c r="Z644" s="339"/>
      <c r="AA644" s="30"/>
      <c r="AB644" s="124"/>
      <c r="AC644" s="88"/>
      <c r="AD644" s="338"/>
      <c r="AE644" s="341"/>
      <c r="AF644" s="30"/>
      <c r="AG644" s="124"/>
      <c r="AH644" s="88"/>
      <c r="AI644" s="338"/>
      <c r="AJ644" s="29"/>
      <c r="AK644" s="30"/>
      <c r="AL644" s="124"/>
      <c r="AM644" s="88"/>
      <c r="AN644" s="338"/>
      <c r="AO644" s="29"/>
      <c r="AP644" s="30"/>
      <c r="AQ644" s="124"/>
      <c r="AR644" s="88"/>
      <c r="AS644" s="338"/>
      <c r="AT644" s="29"/>
      <c r="AU644" s="30"/>
      <c r="AV644" s="124"/>
    </row>
    <row r="645" spans="1:48" s="62" customFormat="1" ht="18" x14ac:dyDescent="0.3">
      <c r="A645" s="398" t="s">
        <v>587</v>
      </c>
      <c r="C645" s="337"/>
      <c r="D645" s="337"/>
      <c r="E645" s="337"/>
      <c r="F645" s="338"/>
      <c r="G645" s="338"/>
      <c r="H645" s="338"/>
      <c r="I645" s="338"/>
      <c r="J645" s="338"/>
      <c r="K645" s="339"/>
      <c r="L645" s="338"/>
      <c r="M645" s="339"/>
      <c r="N645" s="88"/>
      <c r="O645" s="338"/>
      <c r="P645" s="339"/>
      <c r="Q645" s="123"/>
      <c r="R645" s="124"/>
      <c r="S645" s="88"/>
      <c r="T645" s="338"/>
      <c r="U645" s="339"/>
      <c r="V645" s="123"/>
      <c r="W645" s="124"/>
      <c r="X645" s="340"/>
      <c r="Y645" s="338"/>
      <c r="Z645" s="339"/>
      <c r="AA645" s="30"/>
      <c r="AB645" s="124"/>
      <c r="AC645" s="88"/>
      <c r="AD645" s="338"/>
      <c r="AE645" s="341"/>
      <c r="AF645" s="30"/>
      <c r="AG645" s="124"/>
      <c r="AH645" s="88"/>
      <c r="AI645" s="338"/>
      <c r="AJ645" s="29"/>
      <c r="AK645" s="30"/>
      <c r="AL645" s="124"/>
      <c r="AM645" s="88"/>
      <c r="AN645" s="338"/>
      <c r="AO645" s="29"/>
      <c r="AP645" s="30"/>
      <c r="AQ645" s="124"/>
      <c r="AR645" s="88"/>
      <c r="AS645" s="338"/>
      <c r="AT645" s="29"/>
      <c r="AU645" s="30"/>
      <c r="AV645" s="124"/>
    </row>
    <row r="646" spans="1:48" s="62" customFormat="1" x14ac:dyDescent="0.3">
      <c r="A646" s="188" t="s">
        <v>360</v>
      </c>
      <c r="C646" s="337"/>
      <c r="D646" s="337"/>
      <c r="E646" s="337"/>
      <c r="F646" s="338"/>
      <c r="G646" s="338"/>
      <c r="H646" s="338"/>
      <c r="I646" s="338"/>
      <c r="J646" s="338"/>
      <c r="K646" s="339"/>
      <c r="L646" s="338"/>
      <c r="M646" s="339"/>
      <c r="N646" s="88"/>
      <c r="O646" s="338"/>
      <c r="P646" s="339"/>
      <c r="Q646" s="123"/>
      <c r="R646" s="124"/>
      <c r="S646" s="88"/>
      <c r="T646" s="338"/>
      <c r="U646" s="339"/>
      <c r="V646" s="123"/>
      <c r="W646" s="124"/>
      <c r="X646" s="340"/>
      <c r="Y646" s="338"/>
      <c r="Z646" s="339"/>
      <c r="AA646" s="30"/>
      <c r="AB646" s="124"/>
      <c r="AC646" s="88"/>
      <c r="AD646" s="338"/>
      <c r="AE646" s="341"/>
      <c r="AF646" s="30"/>
      <c r="AG646" s="124"/>
      <c r="AH646" s="88"/>
      <c r="AI646" s="338"/>
      <c r="AJ646" s="29"/>
      <c r="AK646" s="30"/>
      <c r="AL646" s="124"/>
      <c r="AM646" s="88"/>
      <c r="AN646" s="338"/>
      <c r="AO646" s="29"/>
      <c r="AP646" s="30"/>
      <c r="AQ646" s="124"/>
      <c r="AR646" s="88"/>
      <c r="AS646" s="338"/>
      <c r="AT646" s="29"/>
      <c r="AU646" s="30"/>
      <c r="AV646" s="124"/>
    </row>
    <row r="647" spans="1:48" s="62" customFormat="1" x14ac:dyDescent="0.3">
      <c r="A647" s="190" t="s">
        <v>361</v>
      </c>
      <c r="C647" s="337"/>
      <c r="D647" s="337"/>
      <c r="E647" s="337"/>
      <c r="F647" s="338"/>
      <c r="G647" s="338"/>
      <c r="H647" s="338"/>
      <c r="I647" s="338"/>
      <c r="J647" s="338"/>
      <c r="K647" s="339"/>
      <c r="L647" s="338"/>
      <c r="M647" s="339"/>
      <c r="N647" s="88"/>
      <c r="O647" s="338"/>
      <c r="P647" s="339"/>
      <c r="Q647" s="123"/>
      <c r="R647" s="124"/>
      <c r="S647" s="88"/>
      <c r="T647" s="338"/>
      <c r="U647" s="339"/>
      <c r="V647" s="123"/>
      <c r="W647" s="124"/>
      <c r="X647" s="340"/>
      <c r="Y647" s="338"/>
      <c r="Z647" s="339"/>
      <c r="AA647" s="30"/>
      <c r="AB647" s="124"/>
      <c r="AC647" s="88"/>
      <c r="AD647" s="338"/>
      <c r="AE647" s="341"/>
      <c r="AF647" s="30"/>
      <c r="AG647" s="124"/>
      <c r="AH647" s="88"/>
      <c r="AI647" s="338"/>
      <c r="AJ647" s="29"/>
      <c r="AK647" s="30"/>
      <c r="AL647" s="124"/>
      <c r="AM647" s="88"/>
      <c r="AN647" s="338"/>
      <c r="AO647" s="29"/>
      <c r="AP647" s="30"/>
      <c r="AQ647" s="124"/>
      <c r="AR647" s="88"/>
      <c r="AS647" s="338"/>
      <c r="AT647" s="29"/>
      <c r="AU647" s="30"/>
      <c r="AV647" s="124"/>
    </row>
    <row r="648" spans="1:48" s="62" customFormat="1" x14ac:dyDescent="0.3">
      <c r="A648" s="190" t="s">
        <v>362</v>
      </c>
      <c r="C648" s="337"/>
      <c r="D648" s="337"/>
      <c r="E648" s="337"/>
      <c r="F648" s="338"/>
      <c r="G648" s="338"/>
      <c r="H648" s="338"/>
      <c r="I648" s="338"/>
      <c r="J648" s="338"/>
      <c r="K648" s="339"/>
      <c r="L648" s="338"/>
      <c r="M648" s="339"/>
      <c r="N648" s="88"/>
      <c r="O648" s="338"/>
      <c r="P648" s="339"/>
      <c r="Q648" s="123"/>
      <c r="R648" s="124"/>
      <c r="S648" s="88"/>
      <c r="T648" s="338"/>
      <c r="U648" s="339"/>
      <c r="V648" s="123"/>
      <c r="W648" s="124"/>
      <c r="X648" s="340"/>
      <c r="Y648" s="338"/>
      <c r="Z648" s="339"/>
      <c r="AA648" s="30"/>
      <c r="AB648" s="124"/>
      <c r="AC648" s="88"/>
      <c r="AD648" s="338"/>
      <c r="AE648" s="341"/>
      <c r="AF648" s="30"/>
      <c r="AG648" s="124"/>
      <c r="AH648" s="88"/>
      <c r="AI648" s="338"/>
      <c r="AJ648" s="29"/>
      <c r="AK648" s="30"/>
      <c r="AL648" s="124"/>
      <c r="AM648" s="88"/>
      <c r="AN648" s="338"/>
      <c r="AO648" s="29"/>
      <c r="AP648" s="30"/>
      <c r="AQ648" s="124"/>
      <c r="AR648" s="88"/>
      <c r="AS648" s="338"/>
      <c r="AT648" s="29"/>
      <c r="AU648" s="30"/>
      <c r="AV648" s="124"/>
    </row>
    <row r="649" spans="1:48" s="62" customFormat="1" x14ac:dyDescent="0.3">
      <c r="A649" s="188" t="s">
        <v>396</v>
      </c>
      <c r="C649" s="337"/>
      <c r="D649" s="337"/>
      <c r="E649" s="337"/>
      <c r="F649" s="338"/>
      <c r="G649" s="338"/>
      <c r="H649" s="338"/>
      <c r="I649" s="338"/>
      <c r="J649" s="338"/>
      <c r="K649" s="339"/>
      <c r="L649" s="338"/>
      <c r="M649" s="339"/>
      <c r="N649" s="88"/>
      <c r="O649" s="338"/>
      <c r="P649" s="339"/>
      <c r="Q649" s="123"/>
      <c r="R649" s="124"/>
      <c r="S649" s="88"/>
      <c r="T649" s="338"/>
      <c r="U649" s="339"/>
      <c r="V649" s="123"/>
      <c r="W649" s="124"/>
      <c r="X649" s="340"/>
      <c r="Y649" s="338"/>
      <c r="Z649" s="339"/>
      <c r="AA649" s="30"/>
      <c r="AB649" s="124"/>
      <c r="AC649" s="88"/>
      <c r="AD649" s="338"/>
      <c r="AE649" s="341"/>
      <c r="AF649" s="30"/>
      <c r="AG649" s="124"/>
      <c r="AH649" s="88"/>
      <c r="AI649" s="338"/>
      <c r="AJ649" s="29"/>
      <c r="AK649" s="30"/>
      <c r="AL649" s="124"/>
      <c r="AM649" s="88"/>
      <c r="AN649" s="338"/>
      <c r="AO649" s="29"/>
      <c r="AP649" s="30"/>
      <c r="AQ649" s="124"/>
      <c r="AR649" s="88"/>
      <c r="AS649" s="338"/>
      <c r="AT649" s="29"/>
      <c r="AU649" s="30"/>
      <c r="AV649" s="124"/>
    </row>
    <row r="650" spans="1:48" s="62" customFormat="1" x14ac:dyDescent="0.3">
      <c r="A650" s="190" t="s">
        <v>397</v>
      </c>
      <c r="C650" s="337"/>
      <c r="D650" s="337"/>
      <c r="E650" s="337"/>
      <c r="F650" s="338"/>
      <c r="G650" s="338"/>
      <c r="H650" s="338"/>
      <c r="I650" s="338"/>
      <c r="J650" s="338"/>
      <c r="K650" s="339"/>
      <c r="L650" s="338"/>
      <c r="M650" s="339"/>
      <c r="N650" s="88"/>
      <c r="O650" s="338"/>
      <c r="P650" s="339"/>
      <c r="Q650" s="123"/>
      <c r="R650" s="124"/>
      <c r="S650" s="88"/>
      <c r="T650" s="338"/>
      <c r="U650" s="339"/>
      <c r="V650" s="123"/>
      <c r="W650" s="124"/>
      <c r="X650" s="340"/>
      <c r="Y650" s="338"/>
      <c r="Z650" s="339"/>
      <c r="AA650" s="30"/>
      <c r="AB650" s="124"/>
      <c r="AC650" s="88"/>
      <c r="AD650" s="338"/>
      <c r="AE650" s="341"/>
      <c r="AF650" s="30"/>
      <c r="AG650" s="124"/>
      <c r="AH650" s="88"/>
      <c r="AI650" s="338"/>
      <c r="AJ650" s="29"/>
      <c r="AK650" s="30"/>
      <c r="AL650" s="124"/>
      <c r="AM650" s="88"/>
      <c r="AN650" s="338"/>
      <c r="AO650" s="29"/>
      <c r="AP650" s="30"/>
      <c r="AQ650" s="124"/>
      <c r="AR650" s="88"/>
      <c r="AS650" s="338"/>
      <c r="AT650" s="29"/>
      <c r="AU650" s="30"/>
      <c r="AV650" s="124"/>
    </row>
    <row r="651" spans="1:48" s="62" customFormat="1" x14ac:dyDescent="0.3">
      <c r="A651" s="190" t="s">
        <v>398</v>
      </c>
      <c r="C651" s="337"/>
      <c r="D651" s="337"/>
      <c r="E651" s="337"/>
      <c r="F651" s="338"/>
      <c r="G651" s="338"/>
      <c r="H651" s="338"/>
      <c r="I651" s="338"/>
      <c r="J651" s="338"/>
      <c r="K651" s="339"/>
      <c r="L651" s="338"/>
      <c r="M651" s="339"/>
      <c r="N651" s="88"/>
      <c r="O651" s="338"/>
      <c r="P651" s="339"/>
      <c r="Q651" s="123"/>
      <c r="R651" s="124"/>
      <c r="S651" s="88"/>
      <c r="T651" s="338"/>
      <c r="U651" s="339"/>
      <c r="V651" s="123"/>
      <c r="W651" s="124"/>
      <c r="X651" s="340"/>
      <c r="Y651" s="338"/>
      <c r="Z651" s="339"/>
      <c r="AA651" s="30"/>
      <c r="AB651" s="124"/>
      <c r="AC651" s="88"/>
      <c r="AD651" s="338"/>
      <c r="AE651" s="341"/>
      <c r="AF651" s="30"/>
      <c r="AG651" s="124"/>
      <c r="AH651" s="88"/>
      <c r="AI651" s="338"/>
      <c r="AJ651" s="29"/>
      <c r="AK651" s="30"/>
      <c r="AL651" s="124"/>
      <c r="AM651" s="88"/>
      <c r="AN651" s="338"/>
      <c r="AO651" s="29"/>
      <c r="AP651" s="30"/>
      <c r="AQ651" s="124"/>
      <c r="AR651" s="88"/>
      <c r="AS651" s="338"/>
      <c r="AT651" s="29"/>
      <c r="AU651" s="30"/>
      <c r="AV651" s="124"/>
    </row>
    <row r="652" spans="1:48" s="62" customFormat="1" x14ac:dyDescent="0.3">
      <c r="A652" s="190"/>
      <c r="C652" s="337"/>
      <c r="D652" s="337"/>
      <c r="E652" s="337"/>
      <c r="F652" s="338"/>
      <c r="G652" s="338"/>
      <c r="H652" s="338"/>
      <c r="I652" s="338"/>
      <c r="J652" s="338"/>
      <c r="K652" s="339"/>
      <c r="L652" s="338"/>
      <c r="M652" s="339"/>
      <c r="N652" s="88"/>
      <c r="O652" s="338"/>
      <c r="P652" s="339"/>
      <c r="Q652" s="123"/>
      <c r="R652" s="124"/>
      <c r="S652" s="88"/>
      <c r="T652" s="338"/>
      <c r="U652" s="339"/>
      <c r="V652" s="123"/>
      <c r="W652" s="124"/>
      <c r="X652" s="340"/>
      <c r="Y652" s="338"/>
      <c r="Z652" s="339"/>
      <c r="AA652" s="30"/>
      <c r="AB652" s="124"/>
      <c r="AC652" s="88"/>
      <c r="AD652" s="338"/>
      <c r="AE652" s="341"/>
      <c r="AF652" s="30"/>
      <c r="AG652" s="124"/>
      <c r="AH652" s="88"/>
      <c r="AI652" s="338"/>
      <c r="AJ652" s="29"/>
      <c r="AK652" s="30"/>
      <c r="AL652" s="124"/>
      <c r="AM652" s="88"/>
      <c r="AN652" s="338"/>
      <c r="AO652" s="29"/>
      <c r="AP652" s="30"/>
      <c r="AQ652" s="124"/>
      <c r="AR652" s="88"/>
      <c r="AS652" s="338"/>
      <c r="AT652" s="29"/>
      <c r="AU652" s="30"/>
      <c r="AV652" s="124"/>
    </row>
    <row r="653" spans="1:48" s="62" customFormat="1" ht="18" x14ac:dyDescent="0.3">
      <c r="A653" s="398" t="s">
        <v>588</v>
      </c>
      <c r="C653" s="337"/>
      <c r="D653" s="337"/>
      <c r="E653" s="337"/>
      <c r="F653" s="338"/>
      <c r="G653" s="338"/>
      <c r="H653" s="338"/>
      <c r="I653" s="338"/>
      <c r="J653" s="338"/>
      <c r="K653" s="339"/>
      <c r="L653" s="338"/>
      <c r="M653" s="339"/>
      <c r="N653" s="88"/>
      <c r="O653" s="338"/>
      <c r="P653" s="339"/>
      <c r="Q653" s="123"/>
      <c r="R653" s="124"/>
      <c r="S653" s="88"/>
      <c r="T653" s="338"/>
      <c r="U653" s="339"/>
      <c r="V653" s="123"/>
      <c r="W653" s="124"/>
      <c r="X653" s="340"/>
      <c r="Y653" s="338"/>
      <c r="Z653" s="339"/>
      <c r="AA653" s="30"/>
      <c r="AB653" s="124"/>
      <c r="AC653" s="88"/>
      <c r="AD653" s="338">
        <f>SUM(AD656:AD659)</f>
        <v>2280.3000000000002</v>
      </c>
      <c r="AE653" s="341"/>
      <c r="AF653" s="30"/>
      <c r="AG653" s="124"/>
      <c r="AH653" s="88"/>
      <c r="AI653" s="338"/>
      <c r="AJ653" s="29"/>
      <c r="AK653" s="30"/>
      <c r="AL653" s="124"/>
      <c r="AM653" s="88"/>
      <c r="AN653" s="338"/>
      <c r="AO653" s="29"/>
      <c r="AP653" s="30"/>
      <c r="AQ653" s="124"/>
      <c r="AR653" s="88"/>
      <c r="AS653" s="338"/>
      <c r="AT653" s="29"/>
      <c r="AU653" s="30"/>
      <c r="AV653" s="124"/>
    </row>
    <row r="654" spans="1:48" s="62" customFormat="1" ht="18" x14ac:dyDescent="0.3">
      <c r="A654" s="398" t="s">
        <v>589</v>
      </c>
      <c r="C654" s="337"/>
      <c r="D654" s="337"/>
      <c r="E654" s="337"/>
      <c r="F654" s="338"/>
      <c r="G654" s="338"/>
      <c r="H654" s="338"/>
      <c r="I654" s="338"/>
      <c r="J654" s="338"/>
      <c r="K654" s="339"/>
      <c r="L654" s="338"/>
      <c r="M654" s="339"/>
      <c r="N654" s="88"/>
      <c r="O654" s="338"/>
      <c r="P654" s="339"/>
      <c r="Q654" s="123"/>
      <c r="R654" s="124"/>
      <c r="S654" s="88"/>
      <c r="T654" s="338"/>
      <c r="U654" s="339"/>
      <c r="V654" s="123"/>
      <c r="W654" s="124"/>
      <c r="X654" s="340"/>
      <c r="Y654" s="338"/>
      <c r="Z654" s="339"/>
      <c r="AA654" s="30"/>
      <c r="AB654" s="124"/>
      <c r="AC654" s="88"/>
      <c r="AD654" s="338"/>
      <c r="AE654" s="341"/>
      <c r="AF654" s="30"/>
      <c r="AG654" s="124"/>
      <c r="AH654" s="88"/>
      <c r="AI654" s="338"/>
      <c r="AJ654" s="29"/>
      <c r="AK654" s="30"/>
      <c r="AL654" s="124"/>
      <c r="AM654" s="88"/>
      <c r="AN654" s="338"/>
      <c r="AO654" s="29"/>
      <c r="AP654" s="30"/>
      <c r="AQ654" s="124"/>
      <c r="AR654" s="88"/>
      <c r="AS654" s="338"/>
      <c r="AT654" s="29"/>
      <c r="AU654" s="30"/>
      <c r="AV654" s="124"/>
    </row>
    <row r="655" spans="1:48" s="62" customFormat="1" x14ac:dyDescent="0.3">
      <c r="A655" s="188" t="s">
        <v>323</v>
      </c>
      <c r="C655" s="337"/>
      <c r="D655" s="337"/>
      <c r="E655" s="337"/>
      <c r="F655" s="338"/>
      <c r="G655" s="338"/>
      <c r="H655" s="338"/>
      <c r="I655" s="338"/>
      <c r="J655" s="338"/>
      <c r="K655" s="339"/>
      <c r="L655" s="338"/>
      <c r="M655" s="339"/>
      <c r="N655" s="88"/>
      <c r="O655" s="338"/>
      <c r="P655" s="339"/>
      <c r="Q655" s="123"/>
      <c r="R655" s="124"/>
      <c r="S655" s="88"/>
      <c r="T655" s="338"/>
      <c r="U655" s="339"/>
      <c r="V655" s="123"/>
      <c r="W655" s="124"/>
      <c r="X655" s="340"/>
      <c r="Y655" s="338"/>
      <c r="Z655" s="339"/>
      <c r="AA655" s="30"/>
      <c r="AB655" s="124"/>
      <c r="AC655" s="88"/>
      <c r="AD655" s="338"/>
      <c r="AE655" s="341"/>
      <c r="AF655" s="30"/>
      <c r="AG655" s="124"/>
      <c r="AH655" s="88"/>
      <c r="AI655" s="338"/>
      <c r="AJ655" s="29"/>
      <c r="AK655" s="30"/>
      <c r="AL655" s="124"/>
      <c r="AM655" s="88"/>
      <c r="AN655" s="338"/>
      <c r="AO655" s="29"/>
      <c r="AP655" s="30"/>
      <c r="AQ655" s="124"/>
      <c r="AR655" s="88"/>
      <c r="AS655" s="338"/>
      <c r="AT655" s="29"/>
      <c r="AU655" s="30"/>
      <c r="AV655" s="124"/>
    </row>
    <row r="656" spans="1:48" s="62" customFormat="1" x14ac:dyDescent="0.3">
      <c r="A656" s="188" t="s">
        <v>336</v>
      </c>
      <c r="C656" s="337"/>
      <c r="D656" s="337"/>
      <c r="E656" s="337"/>
      <c r="F656" s="338"/>
      <c r="G656" s="338"/>
      <c r="H656" s="338"/>
      <c r="I656" s="338"/>
      <c r="J656" s="338"/>
      <c r="K656" s="339"/>
      <c r="L656" s="338"/>
      <c r="M656" s="339"/>
      <c r="N656" s="88"/>
      <c r="O656" s="338"/>
      <c r="P656" s="339"/>
      <c r="Q656" s="123"/>
      <c r="R656" s="124"/>
      <c r="S656" s="88"/>
      <c r="T656" s="338"/>
      <c r="U656" s="339"/>
      <c r="V656" s="123"/>
      <c r="W656" s="124"/>
      <c r="X656" s="340"/>
      <c r="Y656" s="338"/>
      <c r="Z656" s="339"/>
      <c r="AA656" s="30"/>
      <c r="AB656" s="124"/>
      <c r="AC656" s="88"/>
      <c r="AD656" s="338">
        <f>AD378</f>
        <v>0</v>
      </c>
      <c r="AE656" s="341"/>
      <c r="AF656" s="30"/>
      <c r="AG656" s="124"/>
      <c r="AH656" s="88"/>
      <c r="AI656" s="338"/>
      <c r="AJ656" s="29"/>
      <c r="AK656" s="30"/>
      <c r="AL656" s="124"/>
      <c r="AM656" s="88"/>
      <c r="AN656" s="338"/>
      <c r="AO656" s="29"/>
      <c r="AP656" s="30"/>
      <c r="AQ656" s="124"/>
      <c r="AR656" s="88"/>
      <c r="AS656" s="338"/>
      <c r="AT656" s="29"/>
      <c r="AU656" s="30"/>
      <c r="AV656" s="124"/>
    </row>
    <row r="657" spans="1:48" s="62" customFormat="1" x14ac:dyDescent="0.3">
      <c r="A657" s="188" t="s">
        <v>345</v>
      </c>
      <c r="C657" s="337"/>
      <c r="D657" s="337"/>
      <c r="E657" s="337"/>
      <c r="F657" s="338"/>
      <c r="G657" s="338"/>
      <c r="H657" s="338"/>
      <c r="I657" s="338"/>
      <c r="J657" s="338"/>
      <c r="K657" s="339"/>
      <c r="L657" s="338"/>
      <c r="M657" s="339"/>
      <c r="N657" s="88"/>
      <c r="O657" s="338"/>
      <c r="P657" s="339"/>
      <c r="Q657" s="123"/>
      <c r="R657" s="124"/>
      <c r="S657" s="88"/>
      <c r="T657" s="338"/>
      <c r="U657" s="339"/>
      <c r="V657" s="123"/>
      <c r="W657" s="124"/>
      <c r="X657" s="340"/>
      <c r="Y657" s="338"/>
      <c r="Z657" s="339"/>
      <c r="AA657" s="30"/>
      <c r="AB657" s="124"/>
      <c r="AC657" s="88"/>
      <c r="AD657" s="338">
        <f>AD387</f>
        <v>2016.3</v>
      </c>
      <c r="AE657" s="341"/>
      <c r="AF657" s="30"/>
      <c r="AG657" s="124"/>
      <c r="AH657" s="88"/>
      <c r="AI657" s="338"/>
      <c r="AJ657" s="29"/>
      <c r="AK657" s="30"/>
      <c r="AL657" s="124"/>
      <c r="AM657" s="88"/>
      <c r="AN657" s="338"/>
      <c r="AO657" s="29"/>
      <c r="AP657" s="30"/>
      <c r="AQ657" s="124"/>
      <c r="AR657" s="88"/>
      <c r="AS657" s="338"/>
      <c r="AT657" s="29"/>
      <c r="AU657" s="30"/>
      <c r="AV657" s="124"/>
    </row>
    <row r="658" spans="1:48" s="62" customFormat="1" x14ac:dyDescent="0.3">
      <c r="A658" s="188" t="s">
        <v>590</v>
      </c>
      <c r="C658" s="337"/>
      <c r="D658" s="337"/>
      <c r="E658" s="337"/>
      <c r="F658" s="338"/>
      <c r="G658" s="338"/>
      <c r="H658" s="338"/>
      <c r="I658" s="338"/>
      <c r="J658" s="338"/>
      <c r="K658" s="339"/>
      <c r="L658" s="338"/>
      <c r="M658" s="339"/>
      <c r="N658" s="88"/>
      <c r="O658" s="338"/>
      <c r="P658" s="339"/>
      <c r="Q658" s="123"/>
      <c r="R658" s="124"/>
      <c r="S658" s="88"/>
      <c r="T658" s="338"/>
      <c r="U658" s="339"/>
      <c r="V658" s="123"/>
      <c r="W658" s="124"/>
      <c r="X658" s="340"/>
      <c r="Y658" s="338"/>
      <c r="Z658" s="339"/>
      <c r="AA658" s="30"/>
      <c r="AB658" s="124"/>
      <c r="AC658" s="88"/>
      <c r="AD658" s="338">
        <f>AD406</f>
        <v>0</v>
      </c>
      <c r="AE658" s="341"/>
      <c r="AF658" s="30"/>
      <c r="AG658" s="124"/>
      <c r="AH658" s="88"/>
      <c r="AI658" s="338"/>
      <c r="AJ658" s="29"/>
      <c r="AK658" s="30"/>
      <c r="AL658" s="124"/>
      <c r="AM658" s="88"/>
      <c r="AN658" s="338"/>
      <c r="AO658" s="29"/>
      <c r="AP658" s="30"/>
      <c r="AQ658" s="124"/>
      <c r="AR658" s="88"/>
      <c r="AS658" s="338"/>
      <c r="AT658" s="29"/>
      <c r="AU658" s="30"/>
      <c r="AV658" s="124"/>
    </row>
    <row r="659" spans="1:48" s="62" customFormat="1" x14ac:dyDescent="0.3">
      <c r="A659" s="188" t="s">
        <v>591</v>
      </c>
      <c r="C659" s="337"/>
      <c r="D659" s="337"/>
      <c r="E659" s="337"/>
      <c r="F659" s="338"/>
      <c r="G659" s="338"/>
      <c r="H659" s="338"/>
      <c r="I659" s="338"/>
      <c r="J659" s="338"/>
      <c r="K659" s="339"/>
      <c r="L659" s="338"/>
      <c r="M659" s="339"/>
      <c r="N659" s="88"/>
      <c r="O659" s="338"/>
      <c r="P659" s="339"/>
      <c r="Q659" s="123"/>
      <c r="R659" s="124"/>
      <c r="S659" s="88"/>
      <c r="T659" s="338"/>
      <c r="U659" s="339"/>
      <c r="V659" s="123"/>
      <c r="W659" s="124"/>
      <c r="X659" s="340"/>
      <c r="Y659" s="338"/>
      <c r="Z659" s="339"/>
      <c r="AA659" s="30"/>
      <c r="AB659" s="124"/>
      <c r="AC659" s="88"/>
      <c r="AD659" s="338">
        <f>AD442</f>
        <v>264</v>
      </c>
      <c r="AE659" s="341"/>
      <c r="AF659" s="30"/>
      <c r="AG659" s="124"/>
      <c r="AH659" s="88"/>
      <c r="AI659" s="338"/>
      <c r="AJ659" s="29"/>
      <c r="AK659" s="30"/>
      <c r="AL659" s="124"/>
      <c r="AM659" s="88"/>
      <c r="AN659" s="338"/>
      <c r="AO659" s="29"/>
      <c r="AP659" s="30"/>
      <c r="AQ659" s="124"/>
      <c r="AR659" s="88"/>
      <c r="AS659" s="338"/>
      <c r="AT659" s="29"/>
      <c r="AU659" s="30"/>
      <c r="AV659" s="124"/>
    </row>
    <row r="660" spans="1:48" s="62" customFormat="1" ht="18" x14ac:dyDescent="0.3">
      <c r="A660" s="398"/>
      <c r="C660" s="337"/>
      <c r="D660" s="337"/>
      <c r="E660" s="337"/>
      <c r="F660" s="338"/>
      <c r="G660" s="338"/>
      <c r="H660" s="338"/>
      <c r="I660" s="338"/>
      <c r="J660" s="338"/>
      <c r="K660" s="339"/>
      <c r="L660" s="338"/>
      <c r="M660" s="339"/>
      <c r="N660" s="88"/>
      <c r="O660" s="338"/>
      <c r="P660" s="339"/>
      <c r="Q660" s="123"/>
      <c r="R660" s="124"/>
      <c r="S660" s="88"/>
      <c r="T660" s="338"/>
      <c r="U660" s="339"/>
      <c r="V660" s="123"/>
      <c r="W660" s="124"/>
      <c r="X660" s="340"/>
      <c r="Y660" s="338"/>
      <c r="Z660" s="339"/>
      <c r="AA660" s="30"/>
      <c r="AB660" s="124"/>
      <c r="AC660" s="88"/>
      <c r="AD660" s="338"/>
      <c r="AE660" s="341"/>
      <c r="AF660" s="30"/>
      <c r="AG660" s="124"/>
      <c r="AH660" s="88"/>
      <c r="AI660" s="338"/>
      <c r="AJ660" s="29"/>
      <c r="AK660" s="30"/>
      <c r="AL660" s="124"/>
      <c r="AM660" s="88"/>
      <c r="AN660" s="338"/>
      <c r="AO660" s="29"/>
      <c r="AP660" s="30"/>
      <c r="AQ660" s="124"/>
      <c r="AR660" s="88"/>
      <c r="AS660" s="338"/>
      <c r="AT660" s="29"/>
      <c r="AU660" s="30"/>
      <c r="AV660" s="124"/>
    </row>
    <row r="661" spans="1:48" s="62" customFormat="1" ht="18" x14ac:dyDescent="0.3">
      <c r="A661" s="398" t="s">
        <v>267</v>
      </c>
      <c r="C661" s="337"/>
      <c r="D661" s="337"/>
      <c r="E661" s="337"/>
      <c r="F661" s="338"/>
      <c r="G661" s="338"/>
      <c r="H661" s="338"/>
      <c r="I661" s="338"/>
      <c r="J661" s="338"/>
      <c r="K661" s="339"/>
      <c r="L661" s="338"/>
      <c r="M661" s="339"/>
      <c r="N661" s="88"/>
      <c r="O661" s="338"/>
      <c r="P661" s="339"/>
      <c r="Q661" s="123"/>
      <c r="R661" s="124"/>
      <c r="S661" s="88"/>
      <c r="T661" s="338"/>
      <c r="U661" s="339"/>
      <c r="V661" s="123"/>
      <c r="W661" s="124"/>
      <c r="X661" s="340"/>
      <c r="Y661" s="338"/>
      <c r="Z661" s="339"/>
      <c r="AA661" s="30"/>
      <c r="AB661" s="124"/>
      <c r="AC661" s="88"/>
      <c r="AD661" s="338">
        <f>AD310</f>
        <v>185530.90000000002</v>
      </c>
      <c r="AE661" s="341"/>
      <c r="AF661" s="30"/>
      <c r="AG661" s="124"/>
      <c r="AH661" s="88"/>
      <c r="AI661" s="338"/>
      <c r="AJ661" s="29"/>
      <c r="AK661" s="30"/>
      <c r="AL661" s="124"/>
      <c r="AM661" s="88"/>
      <c r="AN661" s="338"/>
      <c r="AO661" s="29"/>
      <c r="AP661" s="30"/>
      <c r="AQ661" s="124"/>
      <c r="AR661" s="88"/>
      <c r="AS661" s="338"/>
      <c r="AT661" s="29"/>
      <c r="AU661" s="30"/>
      <c r="AV661" s="124"/>
    </row>
    <row r="662" spans="1:48" s="62" customFormat="1" x14ac:dyDescent="0.3">
      <c r="A662" s="188" t="s">
        <v>325</v>
      </c>
      <c r="C662" s="337"/>
      <c r="D662" s="337"/>
      <c r="E662" s="337"/>
      <c r="F662" s="338"/>
      <c r="G662" s="338"/>
      <c r="H662" s="338"/>
      <c r="I662" s="338"/>
      <c r="J662" s="338"/>
      <c r="K662" s="339"/>
      <c r="L662" s="338"/>
      <c r="M662" s="339"/>
      <c r="N662" s="88"/>
      <c r="O662" s="338"/>
      <c r="P662" s="339"/>
      <c r="Q662" s="123"/>
      <c r="R662" s="124"/>
      <c r="S662" s="88"/>
      <c r="T662" s="338"/>
      <c r="U662" s="339"/>
      <c r="V662" s="123"/>
      <c r="W662" s="124"/>
      <c r="X662" s="340"/>
      <c r="Y662" s="338"/>
      <c r="Z662" s="339"/>
      <c r="AA662" s="30"/>
      <c r="AB662" s="124"/>
      <c r="AC662" s="88"/>
      <c r="AD662" s="338"/>
      <c r="AE662" s="341"/>
      <c r="AF662" s="30"/>
      <c r="AG662" s="124"/>
      <c r="AH662" s="88"/>
      <c r="AI662" s="338"/>
      <c r="AJ662" s="29"/>
      <c r="AK662" s="30"/>
      <c r="AL662" s="124"/>
      <c r="AM662" s="88"/>
      <c r="AN662" s="338"/>
      <c r="AO662" s="29"/>
      <c r="AP662" s="30"/>
      <c r="AQ662" s="124"/>
      <c r="AR662" s="88"/>
      <c r="AS662" s="338"/>
      <c r="AT662" s="29"/>
      <c r="AU662" s="30"/>
      <c r="AV662" s="124"/>
    </row>
    <row r="663" spans="1:48" s="62" customFormat="1" x14ac:dyDescent="0.3">
      <c r="A663" s="188" t="s">
        <v>331</v>
      </c>
      <c r="C663" s="337"/>
      <c r="D663" s="337"/>
      <c r="E663" s="337"/>
      <c r="F663" s="338"/>
      <c r="G663" s="338"/>
      <c r="H663" s="338"/>
      <c r="I663" s="338"/>
      <c r="J663" s="338"/>
      <c r="K663" s="339"/>
      <c r="L663" s="338"/>
      <c r="M663" s="339"/>
      <c r="N663" s="88"/>
      <c r="O663" s="338"/>
      <c r="P663" s="339"/>
      <c r="Q663" s="123"/>
      <c r="R663" s="124"/>
      <c r="S663" s="88"/>
      <c r="T663" s="338"/>
      <c r="U663" s="339"/>
      <c r="V663" s="123"/>
      <c r="W663" s="124"/>
      <c r="X663" s="340"/>
      <c r="Y663" s="338"/>
      <c r="Z663" s="339"/>
      <c r="AA663" s="30"/>
      <c r="AB663" s="124"/>
      <c r="AC663" s="88"/>
      <c r="AD663" s="338"/>
      <c r="AE663" s="341"/>
      <c r="AF663" s="30"/>
      <c r="AG663" s="124"/>
      <c r="AH663" s="88"/>
      <c r="AI663" s="338"/>
      <c r="AJ663" s="29"/>
      <c r="AK663" s="30"/>
      <c r="AL663" s="124"/>
      <c r="AM663" s="88"/>
      <c r="AN663" s="338"/>
      <c r="AO663" s="29"/>
      <c r="AP663" s="30"/>
      <c r="AQ663" s="124"/>
      <c r="AR663" s="88"/>
      <c r="AS663" s="338"/>
      <c r="AT663" s="29"/>
      <c r="AU663" s="30"/>
      <c r="AV663" s="124"/>
    </row>
    <row r="664" spans="1:48" s="62" customFormat="1" x14ac:dyDescent="0.3">
      <c r="A664" s="188" t="s">
        <v>364</v>
      </c>
      <c r="C664" s="337"/>
      <c r="D664" s="337"/>
      <c r="E664" s="337"/>
      <c r="F664" s="338"/>
      <c r="G664" s="338"/>
      <c r="H664" s="338"/>
      <c r="I664" s="338"/>
      <c r="J664" s="338"/>
      <c r="K664" s="339"/>
      <c r="L664" s="338"/>
      <c r="M664" s="339"/>
      <c r="N664" s="88"/>
      <c r="O664" s="338"/>
      <c r="P664" s="339"/>
      <c r="Q664" s="123"/>
      <c r="R664" s="124"/>
      <c r="S664" s="88"/>
      <c r="T664" s="338"/>
      <c r="U664" s="339"/>
      <c r="V664" s="123"/>
      <c r="W664" s="124"/>
      <c r="X664" s="340"/>
      <c r="Y664" s="338"/>
      <c r="Z664" s="339"/>
      <c r="AA664" s="30"/>
      <c r="AB664" s="124"/>
      <c r="AC664" s="88"/>
      <c r="AD664" s="338"/>
      <c r="AE664" s="341"/>
      <c r="AF664" s="30"/>
      <c r="AG664" s="124"/>
      <c r="AH664" s="88"/>
      <c r="AI664" s="338"/>
      <c r="AJ664" s="29"/>
      <c r="AK664" s="30"/>
      <c r="AL664" s="124"/>
      <c r="AM664" s="88"/>
      <c r="AN664" s="338"/>
      <c r="AO664" s="29"/>
      <c r="AP664" s="30"/>
      <c r="AQ664" s="124"/>
      <c r="AR664" s="88"/>
      <c r="AS664" s="338"/>
      <c r="AT664" s="29"/>
      <c r="AU664" s="30"/>
      <c r="AV664" s="124"/>
    </row>
    <row r="665" spans="1:48" s="62" customFormat="1" x14ac:dyDescent="0.3">
      <c r="A665" s="190" t="s">
        <v>365</v>
      </c>
      <c r="C665" s="337"/>
      <c r="D665" s="337"/>
      <c r="E665" s="337"/>
      <c r="F665" s="338"/>
      <c r="G665" s="338"/>
      <c r="H665" s="338"/>
      <c r="I665" s="338"/>
      <c r="J665" s="338"/>
      <c r="K665" s="339"/>
      <c r="L665" s="338"/>
      <c r="M665" s="339"/>
      <c r="N665" s="88"/>
      <c r="O665" s="338"/>
      <c r="P665" s="339"/>
      <c r="Q665" s="123"/>
      <c r="R665" s="124"/>
      <c r="S665" s="88"/>
      <c r="T665" s="338"/>
      <c r="U665" s="339"/>
      <c r="V665" s="123"/>
      <c r="W665" s="124"/>
      <c r="X665" s="340"/>
      <c r="Y665" s="338"/>
      <c r="Z665" s="339"/>
      <c r="AA665" s="30"/>
      <c r="AB665" s="124"/>
      <c r="AC665" s="88"/>
      <c r="AD665" s="338"/>
      <c r="AE665" s="341"/>
      <c r="AF665" s="30"/>
      <c r="AG665" s="124"/>
      <c r="AH665" s="88"/>
      <c r="AI665" s="338"/>
      <c r="AJ665" s="29"/>
      <c r="AK665" s="30"/>
      <c r="AL665" s="124"/>
      <c r="AM665" s="88"/>
      <c r="AN665" s="338"/>
      <c r="AO665" s="29"/>
      <c r="AP665" s="30"/>
      <c r="AQ665" s="124"/>
      <c r="AR665" s="88"/>
      <c r="AS665" s="338"/>
      <c r="AT665" s="29"/>
      <c r="AU665" s="30"/>
      <c r="AV665" s="124"/>
    </row>
    <row r="666" spans="1:48" s="62" customFormat="1" x14ac:dyDescent="0.3">
      <c r="A666" s="190" t="s">
        <v>366</v>
      </c>
      <c r="C666" s="337"/>
      <c r="D666" s="337"/>
      <c r="E666" s="337"/>
      <c r="F666" s="338"/>
      <c r="G666" s="338"/>
      <c r="H666" s="338"/>
      <c r="I666" s="338"/>
      <c r="J666" s="338"/>
      <c r="K666" s="339"/>
      <c r="L666" s="338"/>
      <c r="M666" s="339"/>
      <c r="N666" s="88"/>
      <c r="O666" s="338"/>
      <c r="P666" s="339"/>
      <c r="Q666" s="123"/>
      <c r="R666" s="124"/>
      <c r="S666" s="88"/>
      <c r="T666" s="338"/>
      <c r="U666" s="339"/>
      <c r="V666" s="123"/>
      <c r="W666" s="124"/>
      <c r="X666" s="340"/>
      <c r="Y666" s="338"/>
      <c r="Z666" s="339"/>
      <c r="AA666" s="30"/>
      <c r="AB666" s="124"/>
      <c r="AC666" s="88"/>
      <c r="AD666" s="338"/>
      <c r="AE666" s="341"/>
      <c r="AF666" s="30"/>
      <c r="AG666" s="124"/>
      <c r="AH666" s="88"/>
      <c r="AI666" s="338"/>
      <c r="AJ666" s="29"/>
      <c r="AK666" s="30"/>
      <c r="AL666" s="124"/>
      <c r="AM666" s="88"/>
      <c r="AN666" s="338"/>
      <c r="AO666" s="29"/>
      <c r="AP666" s="30"/>
      <c r="AQ666" s="124"/>
      <c r="AR666" s="88"/>
      <c r="AS666" s="338"/>
      <c r="AT666" s="29"/>
      <c r="AU666" s="30"/>
      <c r="AV666" s="124"/>
    </row>
    <row r="667" spans="1:48" s="62" customFormat="1" x14ac:dyDescent="0.3">
      <c r="A667" s="188" t="s">
        <v>400</v>
      </c>
      <c r="C667" s="337"/>
      <c r="D667" s="337"/>
      <c r="E667" s="337"/>
      <c r="F667" s="338"/>
      <c r="G667" s="338"/>
      <c r="H667" s="338"/>
      <c r="I667" s="338"/>
      <c r="J667" s="338"/>
      <c r="K667" s="339"/>
      <c r="L667" s="338"/>
      <c r="M667" s="339"/>
      <c r="N667" s="88"/>
      <c r="O667" s="338"/>
      <c r="P667" s="339"/>
      <c r="Q667" s="123"/>
      <c r="R667" s="124"/>
      <c r="S667" s="88"/>
      <c r="T667" s="338"/>
      <c r="U667" s="339"/>
      <c r="V667" s="123"/>
      <c r="W667" s="124"/>
      <c r="X667" s="340"/>
      <c r="Y667" s="338"/>
      <c r="Z667" s="339"/>
      <c r="AA667" s="30"/>
      <c r="AB667" s="124"/>
      <c r="AC667" s="88"/>
      <c r="AD667" s="338"/>
      <c r="AE667" s="341"/>
      <c r="AF667" s="30"/>
      <c r="AG667" s="124"/>
      <c r="AH667" s="88"/>
      <c r="AI667" s="338"/>
      <c r="AJ667" s="29"/>
      <c r="AK667" s="30"/>
      <c r="AL667" s="124"/>
      <c r="AM667" s="88"/>
      <c r="AN667" s="338"/>
      <c r="AO667" s="29"/>
      <c r="AP667" s="30"/>
      <c r="AQ667" s="124"/>
      <c r="AR667" s="88"/>
      <c r="AS667" s="338"/>
      <c r="AT667" s="29"/>
      <c r="AU667" s="30"/>
      <c r="AV667" s="124"/>
    </row>
    <row r="668" spans="1:48" s="62" customFormat="1" x14ac:dyDescent="0.3">
      <c r="A668" s="190" t="s">
        <v>401</v>
      </c>
      <c r="C668" s="337"/>
      <c r="D668" s="337"/>
      <c r="E668" s="337"/>
      <c r="F668" s="338"/>
      <c r="G668" s="338"/>
      <c r="H668" s="338"/>
      <c r="I668" s="338"/>
      <c r="J668" s="338"/>
      <c r="K668" s="339"/>
      <c r="L668" s="338"/>
      <c r="M668" s="339"/>
      <c r="N668" s="88"/>
      <c r="O668" s="338"/>
      <c r="P668" s="339"/>
      <c r="Q668" s="123"/>
      <c r="R668" s="124"/>
      <c r="S668" s="88"/>
      <c r="T668" s="338"/>
      <c r="U668" s="339"/>
      <c r="V668" s="123"/>
      <c r="W668" s="124"/>
      <c r="X668" s="340"/>
      <c r="Y668" s="338"/>
      <c r="Z668" s="339"/>
      <c r="AA668" s="30"/>
      <c r="AB668" s="124"/>
      <c r="AC668" s="88"/>
      <c r="AD668" s="338"/>
      <c r="AE668" s="341"/>
      <c r="AF668" s="30"/>
      <c r="AG668" s="124"/>
      <c r="AH668" s="88"/>
      <c r="AI668" s="338"/>
      <c r="AJ668" s="29"/>
      <c r="AK668" s="30"/>
      <c r="AL668" s="124"/>
      <c r="AM668" s="88"/>
      <c r="AN668" s="338"/>
      <c r="AO668" s="29"/>
      <c r="AP668" s="30"/>
      <c r="AQ668" s="124"/>
      <c r="AR668" s="88"/>
      <c r="AS668" s="338"/>
      <c r="AT668" s="29"/>
      <c r="AU668" s="30"/>
      <c r="AV668" s="124"/>
    </row>
    <row r="669" spans="1:48" s="62" customFormat="1" x14ac:dyDescent="0.3">
      <c r="A669" s="190" t="s">
        <v>402</v>
      </c>
      <c r="C669" s="337"/>
      <c r="D669" s="337"/>
      <c r="E669" s="337"/>
      <c r="F669" s="338"/>
      <c r="G669" s="338"/>
      <c r="H669" s="338"/>
      <c r="I669" s="338"/>
      <c r="J669" s="338"/>
      <c r="K669" s="339"/>
      <c r="L669" s="338"/>
      <c r="M669" s="339"/>
      <c r="N669" s="88"/>
      <c r="O669" s="338"/>
      <c r="P669" s="339"/>
      <c r="Q669" s="123"/>
      <c r="R669" s="124"/>
      <c r="S669" s="88"/>
      <c r="T669" s="338"/>
      <c r="U669" s="339"/>
      <c r="V669" s="123"/>
      <c r="W669" s="124"/>
      <c r="X669" s="340"/>
      <c r="Y669" s="338"/>
      <c r="Z669" s="339"/>
      <c r="AA669" s="30"/>
      <c r="AB669" s="124"/>
      <c r="AC669" s="88"/>
      <c r="AD669" s="338"/>
      <c r="AE669" s="341"/>
      <c r="AF669" s="30"/>
      <c r="AG669" s="124"/>
      <c r="AH669" s="88"/>
      <c r="AI669" s="338"/>
      <c r="AJ669" s="29"/>
      <c r="AK669" s="30"/>
      <c r="AL669" s="124"/>
      <c r="AM669" s="88"/>
      <c r="AN669" s="338"/>
      <c r="AO669" s="29"/>
      <c r="AP669" s="30"/>
      <c r="AQ669" s="124"/>
      <c r="AR669" s="88"/>
      <c r="AS669" s="338"/>
      <c r="AT669" s="29"/>
      <c r="AU669" s="30"/>
      <c r="AV669" s="124"/>
    </row>
    <row r="670" spans="1:48" s="62" customFormat="1" x14ac:dyDescent="0.3">
      <c r="A670" s="190" t="s">
        <v>403</v>
      </c>
      <c r="C670" s="337"/>
      <c r="D670" s="337"/>
      <c r="E670" s="337"/>
      <c r="F670" s="338"/>
      <c r="G670" s="338"/>
      <c r="H670" s="338"/>
      <c r="I670" s="338"/>
      <c r="J670" s="338"/>
      <c r="K670" s="339"/>
      <c r="L670" s="338"/>
      <c r="M670" s="339"/>
      <c r="N670" s="88"/>
      <c r="O670" s="338"/>
      <c r="P670" s="339"/>
      <c r="Q670" s="123"/>
      <c r="R670" s="124"/>
      <c r="S670" s="88"/>
      <c r="T670" s="338"/>
      <c r="U670" s="339"/>
      <c r="V670" s="123"/>
      <c r="W670" s="124"/>
      <c r="X670" s="340"/>
      <c r="Y670" s="338"/>
      <c r="Z670" s="339"/>
      <c r="AA670" s="30"/>
      <c r="AB670" s="124"/>
      <c r="AC670" s="88"/>
      <c r="AD670" s="338"/>
      <c r="AE670" s="341"/>
      <c r="AF670" s="30"/>
      <c r="AG670" s="124"/>
      <c r="AH670" s="88"/>
      <c r="AI670" s="338"/>
      <c r="AJ670" s="29"/>
      <c r="AK670" s="30"/>
      <c r="AL670" s="124"/>
      <c r="AM670" s="88"/>
      <c r="AN670" s="338"/>
      <c r="AO670" s="29"/>
      <c r="AP670" s="30"/>
      <c r="AQ670" s="124"/>
      <c r="AR670" s="88"/>
      <c r="AS670" s="338"/>
      <c r="AT670" s="29"/>
      <c r="AU670" s="30"/>
      <c r="AV670" s="124"/>
    </row>
    <row r="671" spans="1:48" s="62" customFormat="1" x14ac:dyDescent="0.3">
      <c r="A671" s="190" t="s">
        <v>404</v>
      </c>
      <c r="C671" s="337"/>
      <c r="D671" s="337"/>
      <c r="E671" s="337"/>
      <c r="F671" s="338"/>
      <c r="G671" s="338"/>
      <c r="H671" s="338"/>
      <c r="I671" s="338"/>
      <c r="J671" s="338"/>
      <c r="K671" s="339"/>
      <c r="L671" s="338"/>
      <c r="M671" s="339"/>
      <c r="N671" s="88"/>
      <c r="O671" s="338"/>
      <c r="P671" s="339"/>
      <c r="Q671" s="123"/>
      <c r="R671" s="124"/>
      <c r="S671" s="88"/>
      <c r="T671" s="338"/>
      <c r="U671" s="339"/>
      <c r="V671" s="123"/>
      <c r="W671" s="124"/>
      <c r="X671" s="340"/>
      <c r="Y671" s="338"/>
      <c r="Z671" s="339"/>
      <c r="AA671" s="30"/>
      <c r="AB671" s="124"/>
      <c r="AC671" s="88"/>
      <c r="AD671" s="338"/>
      <c r="AE671" s="341"/>
      <c r="AF671" s="30"/>
      <c r="AG671" s="124"/>
      <c r="AH671" s="88"/>
      <c r="AI671" s="338"/>
      <c r="AJ671" s="29"/>
      <c r="AK671" s="30"/>
      <c r="AL671" s="124"/>
      <c r="AM671" s="88"/>
      <c r="AN671" s="338"/>
      <c r="AO671" s="29"/>
      <c r="AP671" s="30"/>
      <c r="AQ671" s="124"/>
      <c r="AR671" s="88"/>
      <c r="AS671" s="338"/>
      <c r="AT671" s="29"/>
      <c r="AU671" s="30"/>
      <c r="AV671" s="124"/>
    </row>
    <row r="672" spans="1:48" s="62" customFormat="1" x14ac:dyDescent="0.3">
      <c r="A672" s="190"/>
      <c r="C672" s="337"/>
      <c r="D672" s="337"/>
      <c r="E672" s="337"/>
      <c r="F672" s="338"/>
      <c r="G672" s="338"/>
      <c r="H672" s="338"/>
      <c r="I672" s="338"/>
      <c r="J672" s="338"/>
      <c r="K672" s="339"/>
      <c r="L672" s="338"/>
      <c r="M672" s="339"/>
      <c r="N672" s="88"/>
      <c r="O672" s="338"/>
      <c r="P672" s="339"/>
      <c r="Q672" s="123"/>
      <c r="R672" s="124"/>
      <c r="S672" s="88"/>
      <c r="T672" s="338"/>
      <c r="U672" s="339"/>
      <c r="V672" s="123"/>
      <c r="W672" s="124"/>
      <c r="X672" s="340"/>
      <c r="Y672" s="338"/>
      <c r="Z672" s="339"/>
      <c r="AA672" s="30"/>
      <c r="AB672" s="124"/>
      <c r="AC672" s="88"/>
      <c r="AD672" s="338"/>
      <c r="AE672" s="341"/>
      <c r="AF672" s="30"/>
      <c r="AG672" s="124"/>
      <c r="AH672" s="88"/>
      <c r="AI672" s="338"/>
      <c r="AJ672" s="29"/>
      <c r="AK672" s="30"/>
      <c r="AL672" s="124"/>
      <c r="AM672" s="88"/>
      <c r="AN672" s="338"/>
      <c r="AO672" s="29"/>
      <c r="AP672" s="30"/>
      <c r="AQ672" s="124"/>
      <c r="AR672" s="88"/>
      <c r="AS672" s="338"/>
      <c r="AT672" s="29"/>
      <c r="AU672" s="30"/>
      <c r="AV672" s="124"/>
    </row>
    <row r="673" spans="1:48" s="62" customFormat="1" ht="18" x14ac:dyDescent="0.3">
      <c r="A673" s="399" t="s">
        <v>592</v>
      </c>
      <c r="C673" s="337"/>
      <c r="D673" s="337"/>
      <c r="E673" s="337"/>
      <c r="F673" s="338"/>
      <c r="G673" s="338"/>
      <c r="H673" s="338"/>
      <c r="I673" s="338"/>
      <c r="J673" s="338"/>
      <c r="K673" s="339"/>
      <c r="L673" s="338"/>
      <c r="M673" s="339"/>
      <c r="N673" s="88"/>
      <c r="O673" s="338"/>
      <c r="P673" s="339"/>
      <c r="Q673" s="123"/>
      <c r="R673" s="124"/>
      <c r="S673" s="88"/>
      <c r="T673" s="338"/>
      <c r="U673" s="339"/>
      <c r="V673" s="123"/>
      <c r="W673" s="124"/>
      <c r="X673" s="340"/>
      <c r="Y673" s="338"/>
      <c r="Z673" s="339"/>
      <c r="AA673" s="30"/>
      <c r="AB673" s="124"/>
      <c r="AC673" s="88"/>
      <c r="AD673" s="338">
        <f>AD294</f>
        <v>19540.830000000002</v>
      </c>
      <c r="AE673" s="341"/>
      <c r="AF673" s="30"/>
      <c r="AG673" s="124"/>
      <c r="AH673" s="88"/>
      <c r="AI673" s="338"/>
      <c r="AJ673" s="29"/>
      <c r="AK673" s="30"/>
      <c r="AL673" s="124"/>
      <c r="AM673" s="88"/>
      <c r="AN673" s="338"/>
      <c r="AO673" s="29"/>
      <c r="AP673" s="30"/>
      <c r="AQ673" s="124"/>
      <c r="AR673" s="88"/>
      <c r="AS673" s="338"/>
      <c r="AT673" s="29"/>
      <c r="AU673" s="30"/>
      <c r="AV673" s="124"/>
    </row>
    <row r="674" spans="1:48" s="62" customFormat="1" x14ac:dyDescent="0.3">
      <c r="A674" s="188" t="s">
        <v>324</v>
      </c>
      <c r="C674" s="337"/>
      <c r="D674" s="337"/>
      <c r="E674" s="337"/>
      <c r="F674" s="338"/>
      <c r="G674" s="338"/>
      <c r="H674" s="338"/>
      <c r="I674" s="338"/>
      <c r="J674" s="338"/>
      <c r="K674" s="339"/>
      <c r="L674" s="338"/>
      <c r="M674" s="339"/>
      <c r="N674" s="88"/>
      <c r="O674" s="338"/>
      <c r="P674" s="339"/>
      <c r="Q674" s="123"/>
      <c r="R674" s="124"/>
      <c r="S674" s="88"/>
      <c r="T674" s="338"/>
      <c r="U674" s="339"/>
      <c r="V674" s="123"/>
      <c r="W674" s="124"/>
      <c r="X674" s="340"/>
      <c r="Y674" s="338"/>
      <c r="Z674" s="339"/>
      <c r="AA674" s="30"/>
      <c r="AB674" s="124"/>
      <c r="AC674" s="88"/>
      <c r="AD674" s="338"/>
      <c r="AE674" s="341"/>
      <c r="AF674" s="30"/>
      <c r="AG674" s="124"/>
      <c r="AH674" s="88"/>
      <c r="AI674" s="338"/>
      <c r="AJ674" s="29"/>
      <c r="AK674" s="30"/>
      <c r="AL674" s="124"/>
      <c r="AM674" s="88"/>
      <c r="AN674" s="338"/>
      <c r="AO674" s="29"/>
      <c r="AP674" s="30"/>
      <c r="AQ674" s="124"/>
      <c r="AR674" s="88"/>
      <c r="AS674" s="338"/>
      <c r="AT674" s="29"/>
      <c r="AU674" s="30"/>
      <c r="AV674" s="124"/>
    </row>
    <row r="675" spans="1:48" s="62" customFormat="1" x14ac:dyDescent="0.3">
      <c r="A675" s="188" t="s">
        <v>367</v>
      </c>
      <c r="C675" s="337"/>
      <c r="D675" s="337"/>
      <c r="E675" s="337"/>
      <c r="F675" s="338"/>
      <c r="G675" s="338"/>
      <c r="H675" s="338"/>
      <c r="I675" s="338"/>
      <c r="J675" s="338"/>
      <c r="K675" s="339"/>
      <c r="L675" s="338"/>
      <c r="M675" s="339"/>
      <c r="N675" s="88"/>
      <c r="O675" s="338"/>
      <c r="P675" s="339"/>
      <c r="Q675" s="123"/>
      <c r="R675" s="124"/>
      <c r="S675" s="88"/>
      <c r="T675" s="338"/>
      <c r="U675" s="339"/>
      <c r="V675" s="123"/>
      <c r="W675" s="124"/>
      <c r="X675" s="340"/>
      <c r="Y675" s="338"/>
      <c r="Z675" s="339"/>
      <c r="AA675" s="30"/>
      <c r="AB675" s="124"/>
      <c r="AC675" s="88"/>
      <c r="AD675" s="338"/>
      <c r="AE675" s="341"/>
      <c r="AF675" s="30"/>
      <c r="AG675" s="124"/>
      <c r="AH675" s="88"/>
      <c r="AI675" s="338"/>
      <c r="AJ675" s="29"/>
      <c r="AK675" s="30"/>
      <c r="AL675" s="124"/>
      <c r="AM675" s="88"/>
      <c r="AN675" s="338"/>
      <c r="AO675" s="29"/>
      <c r="AP675" s="30"/>
      <c r="AQ675" s="124"/>
      <c r="AR675" s="88"/>
      <c r="AS675" s="338"/>
      <c r="AT675" s="29"/>
      <c r="AU675" s="30"/>
      <c r="AV675" s="124"/>
    </row>
    <row r="676" spans="1:48" s="62" customFormat="1" x14ac:dyDescent="0.3">
      <c r="A676" s="188" t="s">
        <v>405</v>
      </c>
      <c r="C676" s="337"/>
      <c r="D676" s="337"/>
      <c r="E676" s="337"/>
      <c r="F676" s="338"/>
      <c r="G676" s="338"/>
      <c r="H676" s="338"/>
      <c r="I676" s="338"/>
      <c r="J676" s="338"/>
      <c r="K676" s="339"/>
      <c r="L676" s="338"/>
      <c r="M676" s="339"/>
      <c r="N676" s="88"/>
      <c r="O676" s="338"/>
      <c r="P676" s="339"/>
      <c r="Q676" s="123"/>
      <c r="R676" s="124"/>
      <c r="S676" s="88"/>
      <c r="T676" s="338"/>
      <c r="U676" s="339"/>
      <c r="V676" s="123"/>
      <c r="W676" s="124"/>
      <c r="X676" s="340"/>
      <c r="Y676" s="338"/>
      <c r="Z676" s="339"/>
      <c r="AA676" s="30"/>
      <c r="AB676" s="124"/>
      <c r="AC676" s="88"/>
      <c r="AD676" s="338"/>
      <c r="AE676" s="341"/>
      <c r="AF676" s="30"/>
      <c r="AG676" s="124"/>
      <c r="AH676" s="88"/>
      <c r="AI676" s="338"/>
      <c r="AJ676" s="29"/>
      <c r="AK676" s="30"/>
      <c r="AL676" s="124"/>
      <c r="AM676" s="88"/>
      <c r="AN676" s="338"/>
      <c r="AO676" s="29"/>
      <c r="AP676" s="30"/>
      <c r="AQ676" s="124"/>
      <c r="AR676" s="88"/>
      <c r="AS676" s="338"/>
      <c r="AT676" s="29"/>
      <c r="AU676" s="30"/>
      <c r="AV676" s="124"/>
    </row>
    <row r="677" spans="1:48" s="62" customFormat="1" x14ac:dyDescent="0.3">
      <c r="A677" s="190" t="s">
        <v>406</v>
      </c>
      <c r="C677" s="337"/>
      <c r="D677" s="337"/>
      <c r="E677" s="337"/>
      <c r="F677" s="338"/>
      <c r="G677" s="338"/>
      <c r="H677" s="338"/>
      <c r="I677" s="338"/>
      <c r="J677" s="338"/>
      <c r="K677" s="339"/>
      <c r="L677" s="338"/>
      <c r="M677" s="339"/>
      <c r="N677" s="88"/>
      <c r="O677" s="338"/>
      <c r="P677" s="339"/>
      <c r="Q677" s="123"/>
      <c r="R677" s="124"/>
      <c r="S677" s="88"/>
      <c r="T677" s="338"/>
      <c r="U677" s="339"/>
      <c r="V677" s="123"/>
      <c r="W677" s="124"/>
      <c r="X677" s="340"/>
      <c r="Y677" s="338"/>
      <c r="Z677" s="339"/>
      <c r="AA677" s="30"/>
      <c r="AB677" s="124"/>
      <c r="AC677" s="88"/>
      <c r="AD677" s="338"/>
      <c r="AE677" s="341"/>
      <c r="AF677" s="30"/>
      <c r="AG677" s="124"/>
      <c r="AH677" s="88"/>
      <c r="AI677" s="338"/>
      <c r="AJ677" s="29"/>
      <c r="AK677" s="30"/>
      <c r="AL677" s="124"/>
      <c r="AM677" s="88"/>
      <c r="AN677" s="338"/>
      <c r="AO677" s="29"/>
      <c r="AP677" s="30"/>
      <c r="AQ677" s="124"/>
      <c r="AR677" s="88"/>
      <c r="AS677" s="338"/>
      <c r="AT677" s="29"/>
      <c r="AU677" s="30"/>
      <c r="AV677" s="124"/>
    </row>
    <row r="678" spans="1:48" s="62" customFormat="1" x14ac:dyDescent="0.3">
      <c r="A678" s="190" t="s">
        <v>407</v>
      </c>
      <c r="C678" s="337"/>
      <c r="D678" s="337"/>
      <c r="E678" s="337"/>
      <c r="F678" s="338"/>
      <c r="G678" s="338"/>
      <c r="H678" s="338"/>
      <c r="I678" s="338"/>
      <c r="J678" s="338"/>
      <c r="K678" s="339"/>
      <c r="L678" s="338"/>
      <c r="M678" s="339"/>
      <c r="N678" s="88"/>
      <c r="O678" s="338"/>
      <c r="P678" s="339"/>
      <c r="Q678" s="123"/>
      <c r="R678" s="124"/>
      <c r="S678" s="88"/>
      <c r="T678" s="338"/>
      <c r="U678" s="339"/>
      <c r="V678" s="123"/>
      <c r="W678" s="124"/>
      <c r="X678" s="340"/>
      <c r="Y678" s="338"/>
      <c r="Z678" s="339"/>
      <c r="AA678" s="30"/>
      <c r="AB678" s="124"/>
      <c r="AC678" s="88"/>
      <c r="AD678" s="338"/>
      <c r="AE678" s="341"/>
      <c r="AF678" s="30"/>
      <c r="AG678" s="124"/>
      <c r="AH678" s="88"/>
      <c r="AI678" s="338"/>
      <c r="AJ678" s="29"/>
      <c r="AK678" s="30"/>
      <c r="AL678" s="124"/>
      <c r="AM678" s="88"/>
      <c r="AN678" s="338"/>
      <c r="AO678" s="29"/>
      <c r="AP678" s="30"/>
      <c r="AQ678" s="124"/>
      <c r="AR678" s="88"/>
      <c r="AS678" s="338"/>
      <c r="AT678" s="29"/>
      <c r="AU678" s="30"/>
      <c r="AV678" s="124"/>
    </row>
    <row r="679" spans="1:48" s="62" customFormat="1" ht="18" x14ac:dyDescent="0.3">
      <c r="A679" s="400"/>
      <c r="C679" s="337"/>
      <c r="D679" s="337"/>
      <c r="E679" s="337"/>
      <c r="F679" s="338"/>
      <c r="G679" s="338"/>
      <c r="H679" s="338"/>
      <c r="I679" s="338"/>
      <c r="J679" s="338"/>
      <c r="K679" s="339"/>
      <c r="L679" s="338"/>
      <c r="M679" s="339"/>
      <c r="N679" s="88"/>
      <c r="O679" s="338"/>
      <c r="P679" s="339"/>
      <c r="Q679" s="123"/>
      <c r="R679" s="124"/>
      <c r="S679" s="88"/>
      <c r="T679" s="338"/>
      <c r="U679" s="339"/>
      <c r="V679" s="123"/>
      <c r="W679" s="124"/>
      <c r="X679" s="340"/>
      <c r="Y679" s="338"/>
      <c r="Z679" s="339"/>
      <c r="AA679" s="30"/>
      <c r="AB679" s="124"/>
      <c r="AC679" s="88"/>
      <c r="AD679" s="338"/>
      <c r="AE679" s="341"/>
      <c r="AF679" s="30"/>
      <c r="AG679" s="124"/>
      <c r="AH679" s="88"/>
      <c r="AI679" s="338"/>
      <c r="AJ679" s="29"/>
      <c r="AK679" s="30"/>
      <c r="AL679" s="124"/>
      <c r="AM679" s="88"/>
      <c r="AN679" s="338"/>
      <c r="AO679" s="29"/>
      <c r="AP679" s="30"/>
      <c r="AQ679" s="124"/>
      <c r="AR679" s="88"/>
      <c r="AS679" s="338"/>
      <c r="AT679" s="29"/>
      <c r="AU679" s="30"/>
      <c r="AV679" s="124"/>
    </row>
    <row r="680" spans="1:48" s="62" customFormat="1" ht="18" x14ac:dyDescent="0.3">
      <c r="A680" s="400"/>
      <c r="C680" s="337"/>
      <c r="D680" s="337"/>
      <c r="E680" s="337"/>
      <c r="F680" s="338"/>
      <c r="G680" s="338"/>
      <c r="H680" s="338"/>
      <c r="I680" s="338"/>
      <c r="J680" s="338"/>
      <c r="K680" s="339"/>
      <c r="L680" s="338"/>
      <c r="M680" s="339"/>
      <c r="N680" s="88"/>
      <c r="O680" s="338"/>
      <c r="P680" s="339"/>
      <c r="Q680" s="123"/>
      <c r="R680" s="124"/>
      <c r="S680" s="88"/>
      <c r="T680" s="338"/>
      <c r="U680" s="339"/>
      <c r="V680" s="123"/>
      <c r="W680" s="124"/>
      <c r="X680" s="340"/>
      <c r="Y680" s="338"/>
      <c r="Z680" s="339"/>
      <c r="AA680" s="30"/>
      <c r="AB680" s="124"/>
      <c r="AC680" s="88"/>
      <c r="AD680" s="338"/>
      <c r="AE680" s="341"/>
      <c r="AF680" s="30"/>
      <c r="AG680" s="124"/>
      <c r="AH680" s="88"/>
      <c r="AI680" s="338"/>
      <c r="AJ680" s="29"/>
      <c r="AK680" s="30"/>
      <c r="AL680" s="124"/>
      <c r="AM680" s="88"/>
      <c r="AN680" s="338"/>
      <c r="AO680" s="29"/>
      <c r="AP680" s="30"/>
      <c r="AQ680" s="124"/>
      <c r="AR680" s="88"/>
      <c r="AS680" s="338"/>
      <c r="AT680" s="29"/>
      <c r="AU680" s="30"/>
      <c r="AV680" s="124"/>
    </row>
    <row r="681" spans="1:48" s="62" customFormat="1" ht="18" x14ac:dyDescent="0.3">
      <c r="A681" s="400"/>
      <c r="C681" s="337"/>
      <c r="D681" s="337"/>
      <c r="E681" s="337"/>
      <c r="F681" s="338"/>
      <c r="G681" s="338"/>
      <c r="H681" s="338"/>
      <c r="I681" s="338"/>
      <c r="J681" s="338"/>
      <c r="K681" s="339"/>
      <c r="L681" s="338"/>
      <c r="M681" s="339"/>
      <c r="N681" s="88"/>
      <c r="O681" s="338"/>
      <c r="P681" s="339"/>
      <c r="Q681" s="123"/>
      <c r="R681" s="124"/>
      <c r="S681" s="88"/>
      <c r="T681" s="338"/>
      <c r="U681" s="339"/>
      <c r="V681" s="123"/>
      <c r="W681" s="124"/>
      <c r="X681" s="340"/>
      <c r="Y681" s="338"/>
      <c r="Z681" s="339"/>
      <c r="AA681" s="30"/>
      <c r="AB681" s="124"/>
      <c r="AC681" s="88"/>
      <c r="AD681" s="338"/>
      <c r="AE681" s="341"/>
      <c r="AF681" s="30"/>
      <c r="AG681" s="124"/>
      <c r="AH681" s="88"/>
      <c r="AI681" s="338"/>
      <c r="AJ681" s="29"/>
      <c r="AK681" s="30"/>
      <c r="AL681" s="124"/>
      <c r="AM681" s="88"/>
      <c r="AN681" s="338"/>
      <c r="AO681" s="29"/>
      <c r="AP681" s="30"/>
      <c r="AQ681" s="124"/>
      <c r="AR681" s="88"/>
      <c r="AS681" s="338"/>
      <c r="AT681" s="29"/>
      <c r="AU681" s="30"/>
      <c r="AV681" s="124"/>
    </row>
    <row r="682" spans="1:48" s="62" customFormat="1" ht="18" x14ac:dyDescent="0.3">
      <c r="A682" s="400"/>
      <c r="C682" s="337"/>
      <c r="D682" s="337"/>
      <c r="E682" s="337"/>
      <c r="F682" s="338"/>
      <c r="G682" s="338"/>
      <c r="H682" s="338"/>
      <c r="I682" s="338"/>
      <c r="J682" s="338"/>
      <c r="K682" s="339"/>
      <c r="L682" s="338"/>
      <c r="M682" s="339"/>
      <c r="N682" s="88"/>
      <c r="O682" s="338"/>
      <c r="P682" s="339"/>
      <c r="Q682" s="123"/>
      <c r="R682" s="124"/>
      <c r="S682" s="88"/>
      <c r="T682" s="338"/>
      <c r="U682" s="339"/>
      <c r="V682" s="123"/>
      <c r="W682" s="124"/>
      <c r="X682" s="340"/>
      <c r="Y682" s="338"/>
      <c r="Z682" s="339"/>
      <c r="AA682" s="30"/>
      <c r="AB682" s="124"/>
      <c r="AC682" s="88"/>
      <c r="AD682" s="338"/>
      <c r="AE682" s="341"/>
      <c r="AF682" s="30"/>
      <c r="AG682" s="124"/>
      <c r="AH682" s="88"/>
      <c r="AI682" s="338"/>
      <c r="AJ682" s="29"/>
      <c r="AK682" s="30"/>
      <c r="AL682" s="124"/>
      <c r="AM682" s="88"/>
      <c r="AN682" s="338"/>
      <c r="AO682" s="29"/>
      <c r="AP682" s="30"/>
      <c r="AQ682" s="124"/>
      <c r="AR682" s="88"/>
      <c r="AS682" s="338"/>
      <c r="AT682" s="29"/>
      <c r="AU682" s="30"/>
      <c r="AV682" s="124"/>
    </row>
    <row r="683" spans="1:48" s="62" customFormat="1" x14ac:dyDescent="0.3">
      <c r="A683" s="190"/>
      <c r="C683" s="337"/>
      <c r="D683" s="337"/>
      <c r="E683" s="337"/>
      <c r="F683" s="338"/>
      <c r="G683" s="338"/>
      <c r="H683" s="338"/>
      <c r="I683" s="338"/>
      <c r="J683" s="338"/>
      <c r="K683" s="339"/>
      <c r="L683" s="338"/>
      <c r="M683" s="339"/>
      <c r="N683" s="88"/>
      <c r="O683" s="338"/>
      <c r="P683" s="339"/>
      <c r="Q683" s="123"/>
      <c r="R683" s="124"/>
      <c r="S683" s="88"/>
      <c r="T683" s="338"/>
      <c r="U683" s="339"/>
      <c r="V683" s="123"/>
      <c r="W683" s="124"/>
      <c r="X683" s="340"/>
      <c r="Y683" s="338"/>
      <c r="Z683" s="339"/>
      <c r="AA683" s="30"/>
      <c r="AB683" s="124"/>
      <c r="AC683" s="88"/>
      <c r="AD683" s="338"/>
      <c r="AE683" s="341"/>
      <c r="AF683" s="30"/>
      <c r="AG683" s="124"/>
      <c r="AH683" s="88"/>
      <c r="AI683" s="338"/>
      <c r="AJ683" s="29"/>
      <c r="AK683" s="30"/>
      <c r="AL683" s="124"/>
      <c r="AM683" s="88"/>
      <c r="AN683" s="338"/>
      <c r="AO683" s="29"/>
      <c r="AP683" s="30"/>
      <c r="AQ683" s="124"/>
      <c r="AR683" s="88"/>
      <c r="AS683" s="338"/>
      <c r="AT683" s="29"/>
      <c r="AU683" s="30"/>
      <c r="AV683" s="124"/>
    </row>
    <row r="684" spans="1:48" s="62" customFormat="1" ht="18" x14ac:dyDescent="0.3">
      <c r="A684" s="400" t="s">
        <v>593</v>
      </c>
      <c r="C684" s="337"/>
      <c r="D684" s="337"/>
      <c r="E684" s="337"/>
      <c r="F684" s="338"/>
      <c r="G684" s="338"/>
      <c r="H684" s="338"/>
      <c r="I684" s="338"/>
      <c r="J684" s="338"/>
      <c r="K684" s="339"/>
      <c r="L684" s="338"/>
      <c r="M684" s="339"/>
      <c r="N684" s="88"/>
      <c r="O684" s="338"/>
      <c r="P684" s="339"/>
      <c r="Q684" s="123"/>
      <c r="R684" s="124"/>
      <c r="S684" s="88"/>
      <c r="T684" s="338"/>
      <c r="U684" s="339"/>
      <c r="V684" s="123"/>
      <c r="W684" s="124"/>
      <c r="X684" s="340"/>
      <c r="Y684" s="338"/>
      <c r="Z684" s="339"/>
      <c r="AA684" s="30"/>
      <c r="AB684" s="124"/>
      <c r="AC684" s="88"/>
      <c r="AD684" s="338">
        <f>SUM(AD685:AD688)</f>
        <v>44901.04</v>
      </c>
      <c r="AE684" s="341"/>
      <c r="AF684" s="30"/>
      <c r="AG684" s="124"/>
      <c r="AH684" s="88"/>
      <c r="AI684" s="338"/>
      <c r="AJ684" s="29"/>
      <c r="AK684" s="30"/>
      <c r="AL684" s="124"/>
      <c r="AM684" s="88"/>
      <c r="AN684" s="338"/>
      <c r="AO684" s="29"/>
      <c r="AP684" s="30"/>
      <c r="AQ684" s="124"/>
      <c r="AR684" s="88"/>
      <c r="AS684" s="338"/>
      <c r="AT684" s="29"/>
      <c r="AU684" s="30"/>
      <c r="AV684" s="124"/>
    </row>
    <row r="685" spans="1:48" s="62" customFormat="1" outlineLevel="1" x14ac:dyDescent="0.3">
      <c r="A685" s="188" t="s">
        <v>332</v>
      </c>
      <c r="C685" s="337"/>
      <c r="D685" s="337"/>
      <c r="E685" s="337"/>
      <c r="F685" s="338"/>
      <c r="G685" s="338"/>
      <c r="H685" s="338"/>
      <c r="I685" s="338"/>
      <c r="J685" s="338"/>
      <c r="K685" s="339"/>
      <c r="L685" s="338"/>
      <c r="M685" s="339"/>
      <c r="N685" s="88"/>
      <c r="O685" s="338"/>
      <c r="P685" s="339"/>
      <c r="Q685" s="123"/>
      <c r="R685" s="124"/>
      <c r="S685" s="88"/>
      <c r="T685" s="338"/>
      <c r="U685" s="339"/>
      <c r="V685" s="123"/>
      <c r="W685" s="124"/>
      <c r="X685" s="340"/>
      <c r="Y685" s="338"/>
      <c r="Z685" s="339"/>
      <c r="AA685" s="30"/>
      <c r="AB685" s="124"/>
      <c r="AC685" s="88"/>
      <c r="AD685" s="338">
        <f>AD374</f>
        <v>4478.3599999999997</v>
      </c>
      <c r="AE685" s="341"/>
      <c r="AF685" s="30"/>
      <c r="AG685" s="124"/>
      <c r="AH685" s="88"/>
      <c r="AI685" s="338"/>
      <c r="AJ685" s="29"/>
      <c r="AK685" s="30"/>
      <c r="AL685" s="124"/>
      <c r="AM685" s="88"/>
      <c r="AN685" s="338"/>
      <c r="AO685" s="29"/>
      <c r="AP685" s="30"/>
      <c r="AQ685" s="124"/>
      <c r="AR685" s="88"/>
      <c r="AS685" s="338"/>
      <c r="AT685" s="29"/>
      <c r="AU685" s="30"/>
      <c r="AV685" s="124"/>
    </row>
    <row r="686" spans="1:48" s="62" customFormat="1" outlineLevel="1" x14ac:dyDescent="0.3">
      <c r="A686" s="188" t="s">
        <v>337</v>
      </c>
      <c r="C686" s="337"/>
      <c r="D686" s="337"/>
      <c r="E686" s="337"/>
      <c r="F686" s="338"/>
      <c r="G686" s="338"/>
      <c r="H686" s="338"/>
      <c r="I686" s="338"/>
      <c r="J686" s="338"/>
      <c r="K686" s="339"/>
      <c r="L686" s="338"/>
      <c r="M686" s="339"/>
      <c r="N686" s="88"/>
      <c r="O686" s="338"/>
      <c r="P686" s="339"/>
      <c r="Q686" s="123"/>
      <c r="R686" s="124"/>
      <c r="S686" s="88"/>
      <c r="T686" s="338"/>
      <c r="U686" s="339"/>
      <c r="V686" s="123"/>
      <c r="W686" s="124"/>
      <c r="X686" s="340"/>
      <c r="Y686" s="338"/>
      <c r="Z686" s="339"/>
      <c r="AA686" s="30"/>
      <c r="AB686" s="124"/>
      <c r="AC686" s="88"/>
      <c r="AD686" s="338">
        <f>AD379</f>
        <v>0</v>
      </c>
      <c r="AE686" s="341"/>
      <c r="AF686" s="30"/>
      <c r="AG686" s="124"/>
      <c r="AH686" s="88"/>
      <c r="AI686" s="338"/>
      <c r="AJ686" s="29"/>
      <c r="AK686" s="30"/>
      <c r="AL686" s="124"/>
      <c r="AM686" s="88"/>
      <c r="AN686" s="338"/>
      <c r="AO686" s="29"/>
      <c r="AP686" s="30"/>
      <c r="AQ686" s="124"/>
      <c r="AR686" s="88"/>
      <c r="AS686" s="338"/>
      <c r="AT686" s="29"/>
      <c r="AU686" s="30"/>
      <c r="AV686" s="124"/>
    </row>
    <row r="687" spans="1:48" s="62" customFormat="1" outlineLevel="1" x14ac:dyDescent="0.3">
      <c r="A687" s="401" t="s">
        <v>594</v>
      </c>
      <c r="C687" s="337"/>
      <c r="D687" s="337"/>
      <c r="E687" s="337"/>
      <c r="F687" s="338"/>
      <c r="G687" s="338"/>
      <c r="H687" s="338"/>
      <c r="I687" s="338"/>
      <c r="J687" s="338"/>
      <c r="K687" s="339"/>
      <c r="L687" s="338"/>
      <c r="M687" s="339"/>
      <c r="N687" s="88"/>
      <c r="O687" s="338"/>
      <c r="P687" s="339"/>
      <c r="Q687" s="123"/>
      <c r="R687" s="124"/>
      <c r="S687" s="88"/>
      <c r="T687" s="338"/>
      <c r="U687" s="339"/>
      <c r="V687" s="123"/>
      <c r="W687" s="124"/>
      <c r="X687" s="340"/>
      <c r="Y687" s="338"/>
      <c r="Z687" s="339"/>
      <c r="AA687" s="30"/>
      <c r="AB687" s="124"/>
      <c r="AC687" s="88"/>
      <c r="AD687" s="338">
        <f>AD395</f>
        <v>0</v>
      </c>
      <c r="AE687" s="341"/>
      <c r="AF687" s="30"/>
      <c r="AG687" s="124"/>
      <c r="AH687" s="88"/>
      <c r="AI687" s="338"/>
      <c r="AJ687" s="29"/>
      <c r="AK687" s="30"/>
      <c r="AL687" s="124"/>
      <c r="AM687" s="88"/>
      <c r="AN687" s="338"/>
      <c r="AO687" s="29"/>
      <c r="AP687" s="30"/>
      <c r="AQ687" s="124"/>
      <c r="AR687" s="88"/>
      <c r="AS687" s="338"/>
      <c r="AT687" s="29"/>
      <c r="AU687" s="30"/>
      <c r="AV687" s="124"/>
    </row>
    <row r="688" spans="1:48" s="62" customFormat="1" outlineLevel="1" x14ac:dyDescent="0.3">
      <c r="A688" s="401" t="s">
        <v>595</v>
      </c>
      <c r="C688" s="337"/>
      <c r="D688" s="337"/>
      <c r="E688" s="337"/>
      <c r="F688" s="338"/>
      <c r="G688" s="338"/>
      <c r="H688" s="338"/>
      <c r="I688" s="338"/>
      <c r="J688" s="338"/>
      <c r="K688" s="339"/>
      <c r="L688" s="338"/>
      <c r="M688" s="339"/>
      <c r="N688" s="88"/>
      <c r="O688" s="338"/>
      <c r="P688" s="339"/>
      <c r="Q688" s="123"/>
      <c r="R688" s="124"/>
      <c r="S688" s="88"/>
      <c r="T688" s="338"/>
      <c r="U688" s="339"/>
      <c r="V688" s="123"/>
      <c r="W688" s="124"/>
      <c r="X688" s="340"/>
      <c r="Y688" s="338"/>
      <c r="Z688" s="339"/>
      <c r="AA688" s="30"/>
      <c r="AB688" s="124"/>
      <c r="AC688" s="88"/>
      <c r="AD688" s="338">
        <f>SUM(AD689:AD697)</f>
        <v>40422.68</v>
      </c>
      <c r="AE688" s="341"/>
      <c r="AF688" s="30"/>
      <c r="AG688" s="124"/>
      <c r="AH688" s="88"/>
      <c r="AI688" s="338"/>
      <c r="AJ688" s="29"/>
      <c r="AK688" s="30"/>
      <c r="AL688" s="124"/>
      <c r="AM688" s="88"/>
      <c r="AN688" s="338"/>
      <c r="AO688" s="29"/>
      <c r="AP688" s="30"/>
      <c r="AQ688" s="124"/>
      <c r="AR688" s="88"/>
      <c r="AS688" s="338"/>
      <c r="AT688" s="29"/>
      <c r="AU688" s="30"/>
      <c r="AV688" s="124"/>
    </row>
    <row r="689" spans="1:48" s="62" customFormat="1" outlineLevel="4" x14ac:dyDescent="0.3">
      <c r="A689" s="401" t="s">
        <v>492</v>
      </c>
      <c r="C689" s="337"/>
      <c r="D689" s="337"/>
      <c r="E689" s="337"/>
      <c r="F689" s="338"/>
      <c r="G689" s="338"/>
      <c r="H689" s="338"/>
      <c r="I689" s="338"/>
      <c r="J689" s="338"/>
      <c r="K689" s="339"/>
      <c r="L689" s="338"/>
      <c r="M689" s="339"/>
      <c r="N689" s="88"/>
      <c r="O689" s="338"/>
      <c r="P689" s="339"/>
      <c r="Q689" s="123"/>
      <c r="R689" s="124"/>
      <c r="S689" s="88"/>
      <c r="T689" s="338"/>
      <c r="U689" s="339"/>
      <c r="V689" s="123"/>
      <c r="W689" s="124"/>
      <c r="X689" s="340"/>
      <c r="Y689" s="338"/>
      <c r="Z689" s="339"/>
      <c r="AA689" s="30"/>
      <c r="AB689" s="124"/>
      <c r="AC689" s="88"/>
      <c r="AD689" s="338">
        <f>AD543</f>
        <v>27788.400000000001</v>
      </c>
      <c r="AE689" s="341"/>
      <c r="AF689" s="30"/>
      <c r="AG689" s="124"/>
      <c r="AH689" s="88"/>
      <c r="AI689" s="338"/>
      <c r="AJ689" s="29"/>
      <c r="AK689" s="30"/>
      <c r="AL689" s="124"/>
      <c r="AM689" s="88"/>
      <c r="AN689" s="338"/>
      <c r="AO689" s="29"/>
      <c r="AP689" s="30"/>
      <c r="AQ689" s="124"/>
      <c r="AR689" s="88"/>
      <c r="AS689" s="338"/>
      <c r="AT689" s="29"/>
      <c r="AU689" s="30"/>
      <c r="AV689" s="124"/>
    </row>
    <row r="690" spans="1:48" s="62" customFormat="1" outlineLevel="4" x14ac:dyDescent="0.3">
      <c r="A690" s="401" t="s">
        <v>499</v>
      </c>
      <c r="C690" s="337"/>
      <c r="D690" s="337"/>
      <c r="E690" s="337"/>
      <c r="F690" s="338"/>
      <c r="G690" s="338"/>
      <c r="H690" s="338"/>
      <c r="I690" s="338"/>
      <c r="J690" s="338"/>
      <c r="K690" s="339"/>
      <c r="L690" s="338"/>
      <c r="M690" s="339"/>
      <c r="N690" s="88"/>
      <c r="O690" s="338"/>
      <c r="P690" s="339"/>
      <c r="Q690" s="123"/>
      <c r="R690" s="124"/>
      <c r="S690" s="88"/>
      <c r="T690" s="338"/>
      <c r="U690" s="339"/>
      <c r="V690" s="123"/>
      <c r="W690" s="124"/>
      <c r="X690" s="340"/>
      <c r="Y690" s="338"/>
      <c r="Z690" s="339"/>
      <c r="AA690" s="30"/>
      <c r="AB690" s="124"/>
      <c r="AC690" s="88"/>
      <c r="AD690" s="338">
        <f>AD550</f>
        <v>0</v>
      </c>
      <c r="AE690" s="341"/>
      <c r="AF690" s="30"/>
      <c r="AG690" s="124"/>
      <c r="AH690" s="88"/>
      <c r="AI690" s="338"/>
      <c r="AJ690" s="29"/>
      <c r="AK690" s="30"/>
      <c r="AL690" s="124"/>
      <c r="AM690" s="88"/>
      <c r="AN690" s="338"/>
      <c r="AO690" s="29"/>
      <c r="AP690" s="30"/>
      <c r="AQ690" s="124"/>
      <c r="AR690" s="88"/>
      <c r="AS690" s="338"/>
      <c r="AT690" s="29"/>
      <c r="AU690" s="30"/>
      <c r="AV690" s="124"/>
    </row>
    <row r="691" spans="1:48" s="62" customFormat="1" outlineLevel="4" x14ac:dyDescent="0.3">
      <c r="A691" s="401" t="s">
        <v>505</v>
      </c>
      <c r="C691" s="337"/>
      <c r="D691" s="337"/>
      <c r="E691" s="337"/>
      <c r="F691" s="338"/>
      <c r="G691" s="338"/>
      <c r="H691" s="338"/>
      <c r="I691" s="338"/>
      <c r="J691" s="338"/>
      <c r="K691" s="339"/>
      <c r="L691" s="338"/>
      <c r="M691" s="339"/>
      <c r="N691" s="88"/>
      <c r="O691" s="338"/>
      <c r="P691" s="339"/>
      <c r="Q691" s="123"/>
      <c r="R691" s="124"/>
      <c r="S691" s="88"/>
      <c r="T691" s="338"/>
      <c r="U691" s="339"/>
      <c r="V691" s="123"/>
      <c r="W691" s="124"/>
      <c r="X691" s="340"/>
      <c r="Y691" s="338"/>
      <c r="Z691" s="339"/>
      <c r="AA691" s="30"/>
      <c r="AB691" s="124"/>
      <c r="AC691" s="88"/>
      <c r="AD691" s="338">
        <f>AD556</f>
        <v>7380.29</v>
      </c>
      <c r="AE691" s="341"/>
      <c r="AF691" s="30"/>
      <c r="AG691" s="124"/>
      <c r="AH691" s="88"/>
      <c r="AI691" s="338"/>
      <c r="AJ691" s="29"/>
      <c r="AK691" s="30"/>
      <c r="AL691" s="124"/>
      <c r="AM691" s="88"/>
      <c r="AN691" s="338"/>
      <c r="AO691" s="29"/>
      <c r="AP691" s="30"/>
      <c r="AQ691" s="124"/>
      <c r="AR691" s="88"/>
      <c r="AS691" s="338"/>
      <c r="AT691" s="29"/>
      <c r="AU691" s="30"/>
      <c r="AV691" s="124"/>
    </row>
    <row r="692" spans="1:48" s="62" customFormat="1" outlineLevel="4" x14ac:dyDescent="0.3">
      <c r="A692" s="401" t="s">
        <v>511</v>
      </c>
      <c r="C692" s="337"/>
      <c r="D692" s="337"/>
      <c r="E692" s="337"/>
      <c r="F692" s="338"/>
      <c r="G692" s="338"/>
      <c r="H692" s="338"/>
      <c r="I692" s="338"/>
      <c r="J692" s="338"/>
      <c r="K692" s="339"/>
      <c r="L692" s="338"/>
      <c r="M692" s="339"/>
      <c r="N692" s="88"/>
      <c r="O692" s="338"/>
      <c r="P692" s="339"/>
      <c r="Q692" s="123"/>
      <c r="R692" s="124"/>
      <c r="S692" s="88"/>
      <c r="T692" s="338"/>
      <c r="U692" s="339"/>
      <c r="V692" s="123"/>
      <c r="W692" s="124"/>
      <c r="X692" s="340"/>
      <c r="Y692" s="338"/>
      <c r="Z692" s="339"/>
      <c r="AA692" s="30"/>
      <c r="AB692" s="124"/>
      <c r="AC692" s="88"/>
      <c r="AD692" s="338">
        <f>AD562</f>
        <v>1745.6</v>
      </c>
      <c r="AE692" s="341"/>
      <c r="AF692" s="30"/>
      <c r="AG692" s="124"/>
      <c r="AH692" s="88"/>
      <c r="AI692" s="338"/>
      <c r="AJ692" s="29"/>
      <c r="AK692" s="30"/>
      <c r="AL692" s="124"/>
      <c r="AM692" s="88"/>
      <c r="AN692" s="338"/>
      <c r="AO692" s="29"/>
      <c r="AP692" s="30"/>
      <c r="AQ692" s="124"/>
      <c r="AR692" s="88"/>
      <c r="AS692" s="338"/>
      <c r="AT692" s="29"/>
      <c r="AU692" s="30"/>
      <c r="AV692" s="124"/>
    </row>
    <row r="693" spans="1:48" s="62" customFormat="1" outlineLevel="4" x14ac:dyDescent="0.3">
      <c r="A693" s="401" t="s">
        <v>517</v>
      </c>
      <c r="C693" s="337"/>
      <c r="D693" s="337"/>
      <c r="E693" s="337"/>
      <c r="F693" s="338"/>
      <c r="G693" s="338"/>
      <c r="H693" s="338"/>
      <c r="I693" s="338"/>
      <c r="J693" s="338"/>
      <c r="K693" s="339"/>
      <c r="L693" s="338"/>
      <c r="M693" s="339"/>
      <c r="N693" s="88"/>
      <c r="O693" s="338"/>
      <c r="P693" s="339"/>
      <c r="Q693" s="123"/>
      <c r="R693" s="124"/>
      <c r="S693" s="88"/>
      <c r="T693" s="338"/>
      <c r="U693" s="339"/>
      <c r="V693" s="123"/>
      <c r="W693" s="124"/>
      <c r="X693" s="340"/>
      <c r="Y693" s="338"/>
      <c r="Z693" s="339"/>
      <c r="AA693" s="30"/>
      <c r="AB693" s="124"/>
      <c r="AC693" s="88"/>
      <c r="AD693" s="338">
        <f>AD568</f>
        <v>0</v>
      </c>
      <c r="AE693" s="341"/>
      <c r="AF693" s="30"/>
      <c r="AG693" s="124"/>
      <c r="AH693" s="88"/>
      <c r="AI693" s="338"/>
      <c r="AJ693" s="29"/>
      <c r="AK693" s="30"/>
      <c r="AL693" s="124"/>
      <c r="AM693" s="88"/>
      <c r="AN693" s="338"/>
      <c r="AO693" s="29"/>
      <c r="AP693" s="30"/>
      <c r="AQ693" s="124"/>
      <c r="AR693" s="88"/>
      <c r="AS693" s="338"/>
      <c r="AT693" s="29"/>
      <c r="AU693" s="30"/>
      <c r="AV693" s="124"/>
    </row>
    <row r="694" spans="1:48" s="62" customFormat="1" outlineLevel="4" x14ac:dyDescent="0.3">
      <c r="A694" s="401" t="s">
        <v>596</v>
      </c>
      <c r="C694" s="337"/>
      <c r="D694" s="337"/>
      <c r="E694" s="337"/>
      <c r="F694" s="338"/>
      <c r="G694" s="338"/>
      <c r="H694" s="338"/>
      <c r="I694" s="338"/>
      <c r="J694" s="338"/>
      <c r="K694" s="339"/>
      <c r="L694" s="338"/>
      <c r="M694" s="339"/>
      <c r="N694" s="88"/>
      <c r="O694" s="338"/>
      <c r="P694" s="339"/>
      <c r="Q694" s="123"/>
      <c r="R694" s="124"/>
      <c r="S694" s="88"/>
      <c r="T694" s="338"/>
      <c r="U694" s="339"/>
      <c r="V694" s="123"/>
      <c r="W694" s="124"/>
      <c r="X694" s="340"/>
      <c r="Y694" s="338"/>
      <c r="Z694" s="339"/>
      <c r="AA694" s="30"/>
      <c r="AB694" s="124"/>
      <c r="AC694" s="88"/>
      <c r="AD694" s="338">
        <f>AD575</f>
        <v>0</v>
      </c>
      <c r="AE694" s="341"/>
      <c r="AF694" s="30"/>
      <c r="AG694" s="124"/>
      <c r="AH694" s="88"/>
      <c r="AI694" s="338"/>
      <c r="AJ694" s="29"/>
      <c r="AK694" s="30"/>
      <c r="AL694" s="124"/>
      <c r="AM694" s="88"/>
      <c r="AN694" s="338"/>
      <c r="AO694" s="29"/>
      <c r="AP694" s="30"/>
      <c r="AQ694" s="124"/>
      <c r="AR694" s="88"/>
      <c r="AS694" s="338"/>
      <c r="AT694" s="29"/>
      <c r="AU694" s="30"/>
      <c r="AV694" s="124"/>
    </row>
    <row r="695" spans="1:48" s="62" customFormat="1" outlineLevel="4" x14ac:dyDescent="0.3">
      <c r="A695" s="401" t="s">
        <v>531</v>
      </c>
      <c r="C695" s="337"/>
      <c r="D695" s="337"/>
      <c r="E695" s="337"/>
      <c r="F695" s="338"/>
      <c r="G695" s="338"/>
      <c r="H695" s="338"/>
      <c r="I695" s="338"/>
      <c r="J695" s="338"/>
      <c r="K695" s="339"/>
      <c r="L695" s="338"/>
      <c r="M695" s="339"/>
      <c r="N695" s="88"/>
      <c r="O695" s="338"/>
      <c r="P695" s="339"/>
      <c r="Q695" s="123"/>
      <c r="R695" s="124"/>
      <c r="S695" s="88"/>
      <c r="T695" s="338"/>
      <c r="U695" s="339"/>
      <c r="V695" s="123"/>
      <c r="W695" s="124"/>
      <c r="X695" s="340"/>
      <c r="Y695" s="338"/>
      <c r="Z695" s="339"/>
      <c r="AA695" s="30"/>
      <c r="AB695" s="124"/>
      <c r="AC695" s="88"/>
      <c r="AD695" s="338">
        <f>AD582</f>
        <v>2720.33</v>
      </c>
      <c r="AE695" s="341"/>
      <c r="AF695" s="30"/>
      <c r="AG695" s="124"/>
      <c r="AH695" s="88"/>
      <c r="AI695" s="338"/>
      <c r="AJ695" s="29"/>
      <c r="AK695" s="30"/>
      <c r="AL695" s="124"/>
      <c r="AM695" s="88"/>
      <c r="AN695" s="338"/>
      <c r="AO695" s="29"/>
      <c r="AP695" s="30"/>
      <c r="AQ695" s="124"/>
      <c r="AR695" s="88"/>
      <c r="AS695" s="338"/>
      <c r="AT695" s="29"/>
      <c r="AU695" s="30"/>
      <c r="AV695" s="124"/>
    </row>
    <row r="696" spans="1:48" s="62" customFormat="1" outlineLevel="4" x14ac:dyDescent="0.3">
      <c r="A696" s="401" t="s">
        <v>538</v>
      </c>
      <c r="C696" s="337"/>
      <c r="D696" s="337"/>
      <c r="E696" s="337"/>
      <c r="F696" s="338"/>
      <c r="G696" s="338"/>
      <c r="H696" s="338"/>
      <c r="I696" s="338"/>
      <c r="J696" s="338"/>
      <c r="K696" s="339"/>
      <c r="L696" s="338"/>
      <c r="M696" s="339"/>
      <c r="N696" s="88"/>
      <c r="O696" s="338"/>
      <c r="P696" s="339"/>
      <c r="Q696" s="123"/>
      <c r="R696" s="124"/>
      <c r="S696" s="88"/>
      <c r="T696" s="338"/>
      <c r="U696" s="339"/>
      <c r="V696" s="123"/>
      <c r="W696" s="124"/>
      <c r="X696" s="340"/>
      <c r="Y696" s="338"/>
      <c r="Z696" s="339"/>
      <c r="AA696" s="30"/>
      <c r="AB696" s="124"/>
      <c r="AC696" s="88"/>
      <c r="AD696" s="338">
        <f>AD589</f>
        <v>96</v>
      </c>
      <c r="AE696" s="341"/>
      <c r="AF696" s="30"/>
      <c r="AG696" s="124"/>
      <c r="AH696" s="88"/>
      <c r="AI696" s="338"/>
      <c r="AJ696" s="29"/>
      <c r="AK696" s="30"/>
      <c r="AL696" s="124"/>
      <c r="AM696" s="88"/>
      <c r="AN696" s="338"/>
      <c r="AO696" s="29"/>
      <c r="AP696" s="30"/>
      <c r="AQ696" s="124"/>
      <c r="AR696" s="88"/>
      <c r="AS696" s="338"/>
      <c r="AT696" s="29"/>
      <c r="AU696" s="30"/>
      <c r="AV696" s="124"/>
    </row>
    <row r="697" spans="1:48" s="62" customFormat="1" outlineLevel="4" x14ac:dyDescent="0.3">
      <c r="A697" s="401" t="s">
        <v>541</v>
      </c>
      <c r="C697" s="337"/>
      <c r="D697" s="337"/>
      <c r="E697" s="337"/>
      <c r="F697" s="338"/>
      <c r="G697" s="338"/>
      <c r="H697" s="338"/>
      <c r="I697" s="338"/>
      <c r="J697" s="338"/>
      <c r="K697" s="339"/>
      <c r="L697" s="338"/>
      <c r="M697" s="339"/>
      <c r="N697" s="88"/>
      <c r="O697" s="338"/>
      <c r="P697" s="339"/>
      <c r="Q697" s="123"/>
      <c r="R697" s="124"/>
      <c r="S697" s="88"/>
      <c r="T697" s="338"/>
      <c r="U697" s="339"/>
      <c r="V697" s="123"/>
      <c r="W697" s="124"/>
      <c r="X697" s="340"/>
      <c r="Y697" s="338"/>
      <c r="Z697" s="339"/>
      <c r="AA697" s="30"/>
      <c r="AB697" s="124"/>
      <c r="AC697" s="88"/>
      <c r="AD697" s="338">
        <f>AD592</f>
        <v>692.06000000000006</v>
      </c>
      <c r="AE697" s="341"/>
      <c r="AF697" s="30"/>
      <c r="AG697" s="124"/>
      <c r="AH697" s="88"/>
      <c r="AI697" s="338"/>
      <c r="AJ697" s="29"/>
      <c r="AK697" s="30"/>
      <c r="AL697" s="124"/>
      <c r="AM697" s="88"/>
      <c r="AN697" s="338"/>
      <c r="AO697" s="29"/>
      <c r="AP697" s="30"/>
      <c r="AQ697" s="124"/>
      <c r="AR697" s="88"/>
      <c r="AS697" s="338"/>
      <c r="AT697" s="29"/>
      <c r="AU697" s="30"/>
      <c r="AV697" s="124"/>
    </row>
    <row r="698" spans="1:48" s="62" customFormat="1" outlineLevel="2" x14ac:dyDescent="0.3">
      <c r="A698" s="401" t="s">
        <v>544</v>
      </c>
      <c r="C698" s="337"/>
      <c r="D698" s="337"/>
      <c r="E698" s="337"/>
      <c r="F698" s="338"/>
      <c r="G698" s="338"/>
      <c r="H698" s="338"/>
      <c r="I698" s="338"/>
      <c r="J698" s="338"/>
      <c r="K698" s="339"/>
      <c r="L698" s="338"/>
      <c r="M698" s="339"/>
      <c r="N698" s="88"/>
      <c r="O698" s="338"/>
      <c r="P698" s="339"/>
      <c r="Q698" s="123"/>
      <c r="R698" s="124"/>
      <c r="S698" s="88"/>
      <c r="T698" s="338"/>
      <c r="U698" s="339"/>
      <c r="V698" s="123"/>
      <c r="W698" s="124"/>
      <c r="X698" s="340"/>
      <c r="Y698" s="338"/>
      <c r="Z698" s="339"/>
      <c r="AA698" s="30"/>
      <c r="AB698" s="124"/>
      <c r="AC698" s="88"/>
      <c r="AD698" s="338">
        <f>AD595</f>
        <v>152.83000000000001</v>
      </c>
      <c r="AE698" s="341"/>
      <c r="AF698" s="30"/>
      <c r="AG698" s="124"/>
      <c r="AH698" s="88"/>
      <c r="AI698" s="338"/>
      <c r="AJ698" s="29"/>
      <c r="AK698" s="30"/>
      <c r="AL698" s="124"/>
      <c r="AM698" s="88"/>
      <c r="AN698" s="338"/>
      <c r="AO698" s="29"/>
      <c r="AP698" s="30"/>
      <c r="AQ698" s="124"/>
      <c r="AR698" s="88"/>
      <c r="AS698" s="338"/>
      <c r="AT698" s="29"/>
      <c r="AU698" s="30"/>
      <c r="AV698" s="124"/>
    </row>
    <row r="699" spans="1:48" s="62" customFormat="1" x14ac:dyDescent="0.3">
      <c r="A699" s="190"/>
      <c r="C699" s="337"/>
      <c r="D699" s="337"/>
      <c r="E699" s="337"/>
      <c r="F699" s="338"/>
      <c r="G699" s="338"/>
      <c r="H699" s="338"/>
      <c r="I699" s="338"/>
      <c r="J699" s="338"/>
      <c r="K699" s="339"/>
      <c r="L699" s="338"/>
      <c r="M699" s="339"/>
      <c r="N699" s="88"/>
      <c r="O699" s="338"/>
      <c r="P699" s="339"/>
      <c r="Q699" s="123"/>
      <c r="R699" s="124"/>
      <c r="S699" s="88"/>
      <c r="T699" s="338"/>
      <c r="U699" s="339"/>
      <c r="V699" s="123"/>
      <c r="W699" s="124"/>
      <c r="X699" s="340"/>
      <c r="Y699" s="338"/>
      <c r="Z699" s="339"/>
      <c r="AA699" s="30"/>
      <c r="AB699" s="124"/>
      <c r="AC699" s="88"/>
      <c r="AD699" s="338"/>
      <c r="AE699" s="341"/>
      <c r="AF699" s="30"/>
      <c r="AG699" s="124"/>
      <c r="AH699" s="88"/>
      <c r="AI699" s="338"/>
      <c r="AJ699" s="29"/>
      <c r="AK699" s="30"/>
      <c r="AL699" s="124"/>
      <c r="AM699" s="88"/>
      <c r="AN699" s="338"/>
      <c r="AO699" s="29"/>
      <c r="AP699" s="30"/>
      <c r="AQ699" s="124"/>
      <c r="AR699" s="88"/>
      <c r="AS699" s="338"/>
      <c r="AT699" s="29"/>
      <c r="AU699" s="30"/>
      <c r="AV699" s="124"/>
    </row>
    <row r="700" spans="1:48" s="62" customFormat="1" ht="18" x14ac:dyDescent="0.3">
      <c r="A700" s="398"/>
      <c r="C700" s="337"/>
      <c r="D700" s="337"/>
      <c r="E700" s="337"/>
      <c r="F700" s="338"/>
      <c r="G700" s="338"/>
      <c r="H700" s="338"/>
      <c r="I700" s="338"/>
      <c r="J700" s="338"/>
      <c r="K700" s="339"/>
      <c r="L700" s="338"/>
      <c r="M700" s="339"/>
      <c r="N700" s="88"/>
      <c r="O700" s="338"/>
      <c r="P700" s="339"/>
      <c r="Q700" s="123"/>
      <c r="R700" s="124"/>
      <c r="S700" s="88"/>
      <c r="T700" s="338"/>
      <c r="U700" s="339"/>
      <c r="V700" s="123"/>
      <c r="W700" s="124"/>
      <c r="X700" s="340"/>
      <c r="Y700" s="338"/>
      <c r="Z700" s="339"/>
      <c r="AA700" s="30"/>
      <c r="AB700" s="124"/>
      <c r="AC700" s="88"/>
      <c r="AD700" s="338"/>
      <c r="AE700" s="341"/>
      <c r="AF700" s="30"/>
      <c r="AG700" s="124"/>
      <c r="AH700" s="88"/>
      <c r="AI700" s="338"/>
      <c r="AJ700" s="29"/>
      <c r="AK700" s="30"/>
      <c r="AL700" s="124"/>
      <c r="AM700" s="88"/>
      <c r="AN700" s="338"/>
      <c r="AO700" s="29"/>
      <c r="AP700" s="30"/>
      <c r="AQ700" s="124"/>
      <c r="AR700" s="88"/>
      <c r="AS700" s="338"/>
      <c r="AT700" s="29"/>
      <c r="AU700" s="30"/>
      <c r="AV700" s="124"/>
    </row>
    <row r="701" spans="1:48" s="62" customFormat="1" ht="18" x14ac:dyDescent="0.3">
      <c r="A701" s="398"/>
      <c r="C701" s="337"/>
      <c r="D701" s="337"/>
      <c r="E701" s="337"/>
      <c r="F701" s="338"/>
      <c r="G701" s="338"/>
      <c r="H701" s="338"/>
      <c r="I701" s="338"/>
      <c r="J701" s="338"/>
      <c r="K701" s="339"/>
      <c r="L701" s="338"/>
      <c r="M701" s="339"/>
      <c r="N701" s="88"/>
      <c r="O701" s="338"/>
      <c r="P701" s="339"/>
      <c r="Q701" s="123"/>
      <c r="R701" s="124"/>
      <c r="S701" s="88"/>
      <c r="T701" s="338"/>
      <c r="U701" s="339"/>
      <c r="V701" s="123"/>
      <c r="W701" s="124"/>
      <c r="X701" s="340"/>
      <c r="Y701" s="338"/>
      <c r="Z701" s="339"/>
      <c r="AA701" s="30"/>
      <c r="AB701" s="124"/>
      <c r="AC701" s="88"/>
      <c r="AD701" s="338"/>
      <c r="AE701" s="341"/>
      <c r="AF701" s="30"/>
      <c r="AG701" s="124"/>
      <c r="AH701" s="88"/>
      <c r="AI701" s="338"/>
      <c r="AJ701" s="29"/>
      <c r="AK701" s="30"/>
      <c r="AL701" s="124"/>
      <c r="AM701" s="88"/>
      <c r="AN701" s="338"/>
      <c r="AO701" s="29"/>
      <c r="AP701" s="30"/>
      <c r="AQ701" s="124"/>
      <c r="AR701" s="88"/>
      <c r="AS701" s="338"/>
      <c r="AT701" s="29"/>
      <c r="AU701" s="30"/>
      <c r="AV701" s="124"/>
    </row>
    <row r="702" spans="1:48" s="62" customFormat="1" x14ac:dyDescent="0.3">
      <c r="A702" s="342"/>
      <c r="B702" s="342"/>
      <c r="C702" s="337"/>
      <c r="D702" s="337"/>
      <c r="E702" s="337"/>
      <c r="F702" s="338"/>
      <c r="G702" s="338"/>
      <c r="H702" s="338"/>
      <c r="I702" s="338"/>
      <c r="J702" s="338"/>
      <c r="K702" s="339"/>
      <c r="L702" s="338"/>
      <c r="M702" s="339"/>
      <c r="N702" s="88"/>
      <c r="O702" s="338"/>
      <c r="P702" s="339"/>
      <c r="Q702" s="123"/>
      <c r="R702" s="124"/>
      <c r="S702" s="88"/>
      <c r="T702" s="338"/>
      <c r="U702" s="339"/>
      <c r="V702" s="123"/>
      <c r="W702" s="124"/>
      <c r="X702" s="340"/>
      <c r="Y702" s="338"/>
      <c r="Z702" s="339"/>
      <c r="AA702" s="30"/>
      <c r="AB702" s="124"/>
      <c r="AC702" s="88"/>
      <c r="AD702" s="338"/>
      <c r="AE702" s="341"/>
      <c r="AF702" s="30"/>
      <c r="AG702" s="124"/>
      <c r="AH702" s="88"/>
      <c r="AI702" s="338"/>
      <c r="AJ702" s="29"/>
      <c r="AK702" s="30"/>
      <c r="AL702" s="124"/>
      <c r="AM702" s="88"/>
      <c r="AN702" s="338"/>
      <c r="AO702" s="29"/>
      <c r="AP702" s="30"/>
      <c r="AQ702" s="124"/>
      <c r="AR702" s="88"/>
      <c r="AS702" s="338"/>
      <c r="AT702" s="29"/>
      <c r="AU702" s="30"/>
      <c r="AV702" s="124"/>
    </row>
    <row r="705" spans="1:48" s="62" customFormat="1" x14ac:dyDescent="0.3">
      <c r="A705" s="188"/>
      <c r="C705" s="337"/>
      <c r="D705" s="337"/>
      <c r="E705" s="337"/>
      <c r="F705" s="338"/>
      <c r="G705" s="338"/>
      <c r="H705" s="338"/>
      <c r="I705" s="338"/>
      <c r="J705" s="338"/>
      <c r="K705" s="339"/>
      <c r="L705" s="338"/>
      <c r="M705" s="339"/>
      <c r="N705" s="88"/>
      <c r="O705" s="338"/>
      <c r="P705" s="339"/>
      <c r="Q705" s="123"/>
      <c r="R705" s="124"/>
      <c r="S705" s="88"/>
      <c r="T705" s="338"/>
      <c r="U705" s="339"/>
      <c r="V705" s="123"/>
      <c r="W705" s="124"/>
      <c r="X705" s="340"/>
      <c r="Y705" s="338"/>
      <c r="Z705" s="339"/>
      <c r="AA705" s="30"/>
      <c r="AB705" s="124"/>
      <c r="AC705" s="88"/>
      <c r="AD705" s="338"/>
      <c r="AE705" s="341"/>
      <c r="AF705" s="30"/>
      <c r="AG705" s="124"/>
      <c r="AH705" s="88"/>
      <c r="AI705" s="338"/>
      <c r="AJ705" s="29"/>
      <c r="AK705" s="30"/>
      <c r="AL705" s="124"/>
      <c r="AM705" s="88"/>
      <c r="AN705" s="338"/>
      <c r="AO705" s="29"/>
      <c r="AP705" s="30"/>
      <c r="AQ705" s="124"/>
      <c r="AR705" s="88"/>
      <c r="AS705" s="338"/>
      <c r="AT705" s="29"/>
      <c r="AU705" s="30"/>
      <c r="AV705" s="124"/>
    </row>
    <row r="706" spans="1:48" s="62" customFormat="1" x14ac:dyDescent="0.3">
      <c r="A706" s="188"/>
      <c r="C706" s="337"/>
      <c r="D706" s="337"/>
      <c r="E706" s="337"/>
      <c r="F706" s="338"/>
      <c r="G706" s="338"/>
      <c r="H706" s="338"/>
      <c r="I706" s="338"/>
      <c r="J706" s="338"/>
      <c r="K706" s="339"/>
      <c r="L706" s="338"/>
      <c r="M706" s="339"/>
      <c r="N706" s="88"/>
      <c r="O706" s="338"/>
      <c r="P706" s="339"/>
      <c r="Q706" s="123"/>
      <c r="R706" s="124"/>
      <c r="S706" s="88"/>
      <c r="T706" s="338"/>
      <c r="U706" s="339"/>
      <c r="V706" s="123"/>
      <c r="W706" s="124"/>
      <c r="X706" s="340"/>
      <c r="Y706" s="338"/>
      <c r="Z706" s="339"/>
      <c r="AA706" s="30"/>
      <c r="AB706" s="124"/>
      <c r="AC706" s="88"/>
      <c r="AD706" s="338"/>
      <c r="AE706" s="341"/>
      <c r="AF706" s="30"/>
      <c r="AG706" s="124"/>
      <c r="AH706" s="88"/>
      <c r="AI706" s="338"/>
      <c r="AJ706" s="29"/>
      <c r="AK706" s="30"/>
      <c r="AL706" s="124"/>
      <c r="AM706" s="88"/>
      <c r="AN706" s="338"/>
      <c r="AO706" s="29"/>
      <c r="AP706" s="30"/>
      <c r="AQ706" s="124"/>
      <c r="AR706" s="88"/>
      <c r="AS706" s="338"/>
      <c r="AT706" s="29"/>
      <c r="AU706" s="30"/>
      <c r="AV706" s="124"/>
    </row>
    <row r="707" spans="1:48" s="62" customFormat="1" x14ac:dyDescent="0.3">
      <c r="A707" s="188"/>
      <c r="C707" s="337"/>
      <c r="D707" s="337"/>
      <c r="E707" s="337"/>
      <c r="F707" s="338"/>
      <c r="G707" s="338"/>
      <c r="H707" s="338"/>
      <c r="I707" s="338"/>
      <c r="J707" s="338"/>
      <c r="K707" s="339"/>
      <c r="L707" s="338"/>
      <c r="M707" s="339"/>
      <c r="N707" s="88"/>
      <c r="O707" s="338"/>
      <c r="P707" s="339"/>
      <c r="Q707" s="123"/>
      <c r="R707" s="124"/>
      <c r="S707" s="88"/>
      <c r="T707" s="338"/>
      <c r="U707" s="339"/>
      <c r="V707" s="123"/>
      <c r="W707" s="124"/>
      <c r="X707" s="340"/>
      <c r="Y707" s="338"/>
      <c r="Z707" s="339"/>
      <c r="AA707" s="30"/>
      <c r="AB707" s="124"/>
      <c r="AC707" s="88"/>
      <c r="AD707" s="338"/>
      <c r="AE707" s="341"/>
      <c r="AF707" s="30"/>
      <c r="AG707" s="124"/>
      <c r="AH707" s="88"/>
      <c r="AI707" s="338"/>
      <c r="AJ707" s="29"/>
      <c r="AK707" s="30"/>
      <c r="AL707" s="124"/>
      <c r="AM707" s="88"/>
      <c r="AN707" s="338"/>
      <c r="AO707" s="29"/>
      <c r="AP707" s="30"/>
      <c r="AQ707" s="124"/>
      <c r="AR707" s="88"/>
      <c r="AS707" s="338"/>
      <c r="AT707" s="29"/>
      <c r="AU707" s="30"/>
      <c r="AV707" s="124"/>
    </row>
    <row r="708" spans="1:48" s="62" customFormat="1" x14ac:dyDescent="0.3">
      <c r="A708" s="188"/>
      <c r="C708" s="337"/>
      <c r="D708" s="337"/>
      <c r="E708" s="337"/>
      <c r="F708" s="338"/>
      <c r="G708" s="338"/>
      <c r="H708" s="338"/>
      <c r="I708" s="338"/>
      <c r="J708" s="338"/>
      <c r="K708" s="339"/>
      <c r="L708" s="338"/>
      <c r="M708" s="339"/>
      <c r="N708" s="88"/>
      <c r="O708" s="338"/>
      <c r="P708" s="339"/>
      <c r="Q708" s="123"/>
      <c r="R708" s="124"/>
      <c r="S708" s="88"/>
      <c r="T708" s="338"/>
      <c r="U708" s="339"/>
      <c r="V708" s="123"/>
      <c r="W708" s="124"/>
      <c r="X708" s="340"/>
      <c r="Y708" s="338"/>
      <c r="Z708" s="339"/>
      <c r="AA708" s="30"/>
      <c r="AB708" s="124"/>
      <c r="AC708" s="88"/>
      <c r="AD708" s="338"/>
      <c r="AE708" s="341"/>
      <c r="AF708" s="30"/>
      <c r="AG708" s="124"/>
      <c r="AH708" s="88"/>
      <c r="AI708" s="338"/>
      <c r="AJ708" s="29"/>
      <c r="AK708" s="30"/>
      <c r="AL708" s="124"/>
      <c r="AM708" s="88"/>
      <c r="AN708" s="338"/>
      <c r="AO708" s="29"/>
      <c r="AP708" s="30"/>
      <c r="AQ708" s="124"/>
      <c r="AR708" s="88"/>
      <c r="AS708" s="338"/>
      <c r="AT708" s="29"/>
      <c r="AU708" s="30"/>
      <c r="AV708" s="124"/>
    </row>
    <row r="709" spans="1:48" s="62" customFormat="1" x14ac:dyDescent="0.3">
      <c r="A709" s="188"/>
      <c r="C709" s="337"/>
      <c r="D709" s="337"/>
      <c r="E709" s="337"/>
      <c r="F709" s="338"/>
      <c r="G709" s="338"/>
      <c r="H709" s="338"/>
      <c r="I709" s="338"/>
      <c r="J709" s="338"/>
      <c r="K709" s="339"/>
      <c r="L709" s="338"/>
      <c r="M709" s="339"/>
      <c r="N709" s="88"/>
      <c r="O709" s="338"/>
      <c r="P709" s="339"/>
      <c r="Q709" s="123"/>
      <c r="R709" s="124"/>
      <c r="S709" s="88"/>
      <c r="T709" s="338"/>
      <c r="U709" s="339"/>
      <c r="V709" s="123"/>
      <c r="W709" s="124"/>
      <c r="X709" s="340"/>
      <c r="Y709" s="338"/>
      <c r="Z709" s="339"/>
      <c r="AA709" s="30"/>
      <c r="AB709" s="124"/>
      <c r="AC709" s="88"/>
      <c r="AD709" s="338"/>
      <c r="AE709" s="341"/>
      <c r="AF709" s="30"/>
      <c r="AG709" s="124"/>
      <c r="AH709" s="88"/>
      <c r="AI709" s="338"/>
      <c r="AJ709" s="29"/>
      <c r="AK709" s="30"/>
      <c r="AL709" s="124"/>
      <c r="AM709" s="88"/>
      <c r="AN709" s="338"/>
      <c r="AO709" s="29"/>
      <c r="AP709" s="30"/>
      <c r="AQ709" s="124"/>
      <c r="AR709" s="88"/>
      <c r="AS709" s="338"/>
      <c r="AT709" s="29"/>
      <c r="AU709" s="30"/>
      <c r="AV709" s="124"/>
    </row>
    <row r="710" spans="1:48" s="62" customFormat="1" x14ac:dyDescent="0.3">
      <c r="A710" s="188"/>
      <c r="C710" s="337"/>
      <c r="D710" s="337"/>
      <c r="E710" s="337"/>
      <c r="F710" s="338"/>
      <c r="G710" s="338"/>
      <c r="H710" s="338"/>
      <c r="I710" s="338"/>
      <c r="J710" s="338"/>
      <c r="K710" s="339"/>
      <c r="L710" s="338"/>
      <c r="M710" s="339"/>
      <c r="N710" s="88"/>
      <c r="O710" s="338"/>
      <c r="P710" s="339"/>
      <c r="Q710" s="123"/>
      <c r="R710" s="124"/>
      <c r="S710" s="88"/>
      <c r="T710" s="338"/>
      <c r="U710" s="339"/>
      <c r="V710" s="123"/>
      <c r="W710" s="124"/>
      <c r="X710" s="340"/>
      <c r="Y710" s="338"/>
      <c r="Z710" s="339"/>
      <c r="AA710" s="30"/>
      <c r="AB710" s="124"/>
      <c r="AC710" s="88"/>
      <c r="AD710" s="338"/>
      <c r="AE710" s="341"/>
      <c r="AF710" s="30"/>
      <c r="AG710" s="124"/>
      <c r="AH710" s="88"/>
      <c r="AI710" s="338"/>
      <c r="AJ710" s="29"/>
      <c r="AK710" s="30"/>
      <c r="AL710" s="124"/>
      <c r="AM710" s="88"/>
      <c r="AN710" s="338"/>
      <c r="AO710" s="29"/>
      <c r="AP710" s="30"/>
      <c r="AQ710" s="124"/>
      <c r="AR710" s="88"/>
      <c r="AS710" s="338"/>
      <c r="AT710" s="29"/>
      <c r="AU710" s="30"/>
      <c r="AV710" s="124"/>
    </row>
    <row r="711" spans="1:48" s="62" customFormat="1" x14ac:dyDescent="0.3">
      <c r="A711" s="188"/>
      <c r="C711" s="337"/>
      <c r="D711" s="337"/>
      <c r="E711" s="337"/>
      <c r="F711" s="338"/>
      <c r="G711" s="338"/>
      <c r="H711" s="338"/>
      <c r="I711" s="338"/>
      <c r="J711" s="338"/>
      <c r="K711" s="339"/>
      <c r="L711" s="338"/>
      <c r="M711" s="339"/>
      <c r="N711" s="88"/>
      <c r="O711" s="338"/>
      <c r="P711" s="339"/>
      <c r="Q711" s="123"/>
      <c r="R711" s="124"/>
      <c r="S711" s="88"/>
      <c r="T711" s="338"/>
      <c r="U711" s="339"/>
      <c r="V711" s="123"/>
      <c r="W711" s="124"/>
      <c r="X711" s="340"/>
      <c r="Y711" s="338"/>
      <c r="Z711" s="339"/>
      <c r="AA711" s="30"/>
      <c r="AB711" s="124"/>
      <c r="AC711" s="88"/>
      <c r="AD711" s="338"/>
      <c r="AE711" s="341"/>
      <c r="AF711" s="30"/>
      <c r="AG711" s="124"/>
      <c r="AH711" s="88"/>
      <c r="AI711" s="338"/>
      <c r="AJ711" s="29"/>
      <c r="AK711" s="30"/>
      <c r="AL711" s="124"/>
      <c r="AM711" s="88"/>
      <c r="AN711" s="338"/>
      <c r="AO711" s="29"/>
      <c r="AP711" s="30"/>
      <c r="AQ711" s="124"/>
      <c r="AR711" s="88"/>
      <c r="AS711" s="338"/>
      <c r="AT711" s="29"/>
      <c r="AU711" s="30"/>
      <c r="AV711" s="124"/>
    </row>
    <row r="712" spans="1:48" s="62" customFormat="1" x14ac:dyDescent="0.3">
      <c r="A712" s="188"/>
      <c r="C712" s="337"/>
      <c r="D712" s="337"/>
      <c r="E712" s="337"/>
      <c r="F712" s="338"/>
      <c r="G712" s="338"/>
      <c r="H712" s="338"/>
      <c r="I712" s="338"/>
      <c r="J712" s="338"/>
      <c r="K712" s="339"/>
      <c r="L712" s="338"/>
      <c r="M712" s="339"/>
      <c r="N712" s="88"/>
      <c r="O712" s="338"/>
      <c r="P712" s="339"/>
      <c r="Q712" s="123"/>
      <c r="R712" s="124"/>
      <c r="S712" s="88"/>
      <c r="T712" s="338"/>
      <c r="U712" s="339"/>
      <c r="V712" s="123"/>
      <c r="W712" s="124"/>
      <c r="X712" s="340"/>
      <c r="Y712" s="338"/>
      <c r="Z712" s="339"/>
      <c r="AA712" s="30"/>
      <c r="AB712" s="124"/>
      <c r="AC712" s="88"/>
      <c r="AD712" s="338"/>
      <c r="AE712" s="341"/>
      <c r="AF712" s="30"/>
      <c r="AG712" s="124"/>
      <c r="AH712" s="88"/>
      <c r="AI712" s="338"/>
      <c r="AJ712" s="29"/>
      <c r="AK712" s="30"/>
      <c r="AL712" s="124"/>
      <c r="AM712" s="88"/>
      <c r="AN712" s="338"/>
      <c r="AO712" s="29"/>
      <c r="AP712" s="30"/>
      <c r="AQ712" s="124"/>
      <c r="AR712" s="88"/>
      <c r="AS712" s="338"/>
      <c r="AT712" s="29"/>
      <c r="AU712" s="30"/>
      <c r="AV712" s="124"/>
    </row>
    <row r="713" spans="1:48" s="62" customFormat="1" x14ac:dyDescent="0.3">
      <c r="A713" s="188"/>
      <c r="C713" s="337"/>
      <c r="D713" s="337"/>
      <c r="E713" s="337"/>
      <c r="F713" s="338"/>
      <c r="G713" s="338"/>
      <c r="H713" s="338"/>
      <c r="I713" s="338"/>
      <c r="J713" s="338"/>
      <c r="K713" s="339"/>
      <c r="L713" s="338"/>
      <c r="M713" s="339"/>
      <c r="N713" s="88"/>
      <c r="O713" s="338"/>
      <c r="P713" s="339"/>
      <c r="Q713" s="123"/>
      <c r="R713" s="124"/>
      <c r="S713" s="88"/>
      <c r="T713" s="338"/>
      <c r="U713" s="339"/>
      <c r="V713" s="123"/>
      <c r="W713" s="124"/>
      <c r="X713" s="340"/>
      <c r="Y713" s="338"/>
      <c r="Z713" s="339"/>
      <c r="AA713" s="30"/>
      <c r="AB713" s="124"/>
      <c r="AC713" s="88"/>
      <c r="AD713" s="338"/>
      <c r="AE713" s="341"/>
      <c r="AF713" s="30"/>
      <c r="AG713" s="124"/>
      <c r="AH713" s="88"/>
      <c r="AI713" s="338"/>
      <c r="AJ713" s="29"/>
      <c r="AK713" s="30"/>
      <c r="AL713" s="124"/>
      <c r="AM713" s="88"/>
      <c r="AN713" s="338"/>
      <c r="AO713" s="29"/>
      <c r="AP713" s="30"/>
      <c r="AQ713" s="124"/>
      <c r="AR713" s="88"/>
      <c r="AS713" s="338"/>
      <c r="AT713" s="29"/>
      <c r="AU713" s="30"/>
      <c r="AV713" s="124"/>
    </row>
    <row r="714" spans="1:48" s="62" customFormat="1" x14ac:dyDescent="0.3">
      <c r="A714" s="401"/>
      <c r="C714" s="337"/>
      <c r="D714" s="337"/>
      <c r="E714" s="337"/>
      <c r="F714" s="338"/>
      <c r="G714" s="338"/>
      <c r="H714" s="338"/>
      <c r="I714" s="338"/>
      <c r="J714" s="338"/>
      <c r="K714" s="339"/>
      <c r="L714" s="338"/>
      <c r="M714" s="339"/>
      <c r="N714" s="88"/>
      <c r="O714" s="338"/>
      <c r="P714" s="339"/>
      <c r="Q714" s="123"/>
      <c r="R714" s="124"/>
      <c r="S714" s="88"/>
      <c r="T714" s="338"/>
      <c r="U714" s="339"/>
      <c r="V714" s="123"/>
      <c r="W714" s="124"/>
      <c r="X714" s="340"/>
      <c r="Y714" s="338"/>
      <c r="Z714" s="339"/>
      <c r="AA714" s="30"/>
      <c r="AB714" s="124"/>
      <c r="AC714" s="88"/>
      <c r="AD714" s="338"/>
      <c r="AE714" s="341"/>
      <c r="AF714" s="30"/>
      <c r="AG714" s="124"/>
      <c r="AH714" s="88"/>
      <c r="AI714" s="338"/>
      <c r="AJ714" s="29"/>
      <c r="AK714" s="30"/>
      <c r="AL714" s="124"/>
      <c r="AM714" s="88"/>
      <c r="AN714" s="338"/>
      <c r="AO714" s="29"/>
      <c r="AP714" s="30"/>
      <c r="AQ714" s="124"/>
      <c r="AR714" s="88"/>
      <c r="AS714" s="338"/>
      <c r="AT714" s="29"/>
      <c r="AU714" s="30"/>
      <c r="AV714" s="124"/>
    </row>
    <row r="715" spans="1:48" s="62" customFormat="1" x14ac:dyDescent="0.3">
      <c r="A715" s="401"/>
      <c r="C715" s="337"/>
      <c r="D715" s="337"/>
      <c r="E715" s="337"/>
      <c r="F715" s="338"/>
      <c r="G715" s="338"/>
      <c r="H715" s="338"/>
      <c r="I715" s="338"/>
      <c r="J715" s="338"/>
      <c r="K715" s="339"/>
      <c r="L715" s="338"/>
      <c r="M715" s="339"/>
      <c r="N715" s="88"/>
      <c r="O715" s="338"/>
      <c r="P715" s="339"/>
      <c r="Q715" s="123"/>
      <c r="R715" s="124"/>
      <c r="S715" s="88"/>
      <c r="T715" s="338"/>
      <c r="U715" s="339"/>
      <c r="V715" s="123"/>
      <c r="W715" s="124"/>
      <c r="X715" s="340"/>
      <c r="Y715" s="338"/>
      <c r="Z715" s="339"/>
      <c r="AA715" s="30"/>
      <c r="AB715" s="124"/>
      <c r="AC715" s="88"/>
      <c r="AD715" s="338"/>
      <c r="AE715" s="341"/>
      <c r="AF715" s="30"/>
      <c r="AG715" s="124"/>
      <c r="AH715" s="88"/>
      <c r="AI715" s="338"/>
      <c r="AJ715" s="29"/>
      <c r="AK715" s="30"/>
      <c r="AL715" s="124"/>
      <c r="AM715" s="88"/>
      <c r="AN715" s="338"/>
      <c r="AO715" s="29"/>
      <c r="AP715" s="30"/>
      <c r="AQ715" s="124"/>
      <c r="AR715" s="88"/>
      <c r="AS715" s="338"/>
      <c r="AT715" s="29"/>
      <c r="AU715" s="30"/>
      <c r="AV715" s="124"/>
    </row>
    <row r="716" spans="1:48" s="62" customFormat="1" x14ac:dyDescent="0.3">
      <c r="A716" s="401"/>
      <c r="C716" s="337"/>
      <c r="D716" s="337"/>
      <c r="E716" s="337"/>
      <c r="F716" s="338"/>
      <c r="G716" s="338"/>
      <c r="H716" s="338"/>
      <c r="I716" s="338"/>
      <c r="J716" s="338"/>
      <c r="K716" s="339"/>
      <c r="L716" s="338"/>
      <c r="M716" s="339"/>
      <c r="N716" s="88"/>
      <c r="O716" s="338"/>
      <c r="P716" s="339"/>
      <c r="Q716" s="123"/>
      <c r="R716" s="124"/>
      <c r="S716" s="88"/>
      <c r="T716" s="338"/>
      <c r="U716" s="339"/>
      <c r="V716" s="123"/>
      <c r="W716" s="124"/>
      <c r="X716" s="340"/>
      <c r="Y716" s="338"/>
      <c r="Z716" s="339"/>
      <c r="AA716" s="30"/>
      <c r="AB716" s="124"/>
      <c r="AC716" s="88"/>
      <c r="AD716" s="338"/>
      <c r="AE716" s="341"/>
      <c r="AF716" s="30"/>
      <c r="AG716" s="124"/>
      <c r="AH716" s="88"/>
      <c r="AI716" s="338"/>
      <c r="AJ716" s="29"/>
      <c r="AK716" s="30"/>
      <c r="AL716" s="124"/>
      <c r="AM716" s="88"/>
      <c r="AN716" s="338"/>
      <c r="AO716" s="29"/>
      <c r="AP716" s="30"/>
      <c r="AQ716" s="124"/>
      <c r="AR716" s="88"/>
      <c r="AS716" s="338"/>
      <c r="AT716" s="29"/>
      <c r="AU716" s="30"/>
      <c r="AV716" s="124"/>
    </row>
    <row r="717" spans="1:48" s="62" customFormat="1" ht="18" x14ac:dyDescent="0.3">
      <c r="A717" s="400" t="s">
        <v>597</v>
      </c>
      <c r="C717" s="337"/>
      <c r="D717" s="337"/>
      <c r="E717" s="337"/>
      <c r="F717" s="338"/>
      <c r="G717" s="338"/>
      <c r="H717" s="338"/>
      <c r="I717" s="338"/>
      <c r="J717" s="338"/>
      <c r="K717" s="339"/>
      <c r="L717" s="338"/>
      <c r="M717" s="339"/>
      <c r="N717" s="88"/>
      <c r="O717" s="338"/>
      <c r="P717" s="339"/>
      <c r="Q717" s="123"/>
      <c r="R717" s="124"/>
      <c r="S717" s="88"/>
      <c r="T717" s="338"/>
      <c r="U717" s="339"/>
      <c r="V717" s="123"/>
      <c r="W717" s="124"/>
      <c r="X717" s="340"/>
      <c r="Y717" s="338"/>
      <c r="Z717" s="339"/>
      <c r="AA717" s="30"/>
      <c r="AB717" s="124"/>
      <c r="AC717" s="88"/>
      <c r="AD717" s="338"/>
      <c r="AE717" s="341"/>
      <c r="AF717" s="30"/>
      <c r="AG717" s="124"/>
      <c r="AH717" s="88"/>
      <c r="AI717" s="338"/>
      <c r="AJ717" s="29"/>
      <c r="AK717" s="30"/>
      <c r="AL717" s="124"/>
      <c r="AM717" s="88"/>
      <c r="AN717" s="338"/>
      <c r="AO717" s="29"/>
      <c r="AP717" s="30"/>
      <c r="AQ717" s="124"/>
      <c r="AR717" s="88"/>
      <c r="AS717" s="338"/>
      <c r="AT717" s="29"/>
      <c r="AU717" s="30"/>
      <c r="AV717" s="124"/>
    </row>
    <row r="718" spans="1:48" s="62" customFormat="1" x14ac:dyDescent="0.3">
      <c r="A718" s="188" t="s">
        <v>598</v>
      </c>
      <c r="C718" s="337"/>
      <c r="D718" s="337"/>
      <c r="E718" s="337"/>
      <c r="F718" s="338"/>
      <c r="G718" s="338"/>
      <c r="H718" s="338"/>
      <c r="I718" s="338"/>
      <c r="J718" s="338"/>
      <c r="K718" s="339"/>
      <c r="L718" s="338"/>
      <c r="M718" s="339"/>
      <c r="N718" s="88"/>
      <c r="O718" s="338"/>
      <c r="P718" s="339"/>
      <c r="Q718" s="123"/>
      <c r="R718" s="124"/>
      <c r="S718" s="88"/>
      <c r="T718" s="338"/>
      <c r="U718" s="339"/>
      <c r="V718" s="123"/>
      <c r="W718" s="124"/>
      <c r="X718" s="340"/>
      <c r="Y718" s="338"/>
      <c r="Z718" s="339"/>
      <c r="AA718" s="30"/>
      <c r="AB718" s="124"/>
      <c r="AC718" s="88"/>
      <c r="AD718" s="338"/>
      <c r="AE718" s="341"/>
      <c r="AF718" s="30"/>
      <c r="AG718" s="124"/>
      <c r="AH718" s="88"/>
      <c r="AI718" s="338"/>
      <c r="AJ718" s="29"/>
      <c r="AK718" s="30"/>
      <c r="AL718" s="124"/>
      <c r="AM718" s="88"/>
      <c r="AN718" s="338"/>
      <c r="AO718" s="29"/>
      <c r="AP718" s="30"/>
      <c r="AQ718" s="124"/>
      <c r="AR718" s="88"/>
      <c r="AS718" s="338"/>
      <c r="AT718" s="29"/>
      <c r="AU718" s="30"/>
      <c r="AV718" s="124"/>
    </row>
    <row r="719" spans="1:48" s="62" customFormat="1" x14ac:dyDescent="0.3">
      <c r="A719" s="188" t="s">
        <v>346</v>
      </c>
      <c r="C719" s="337"/>
      <c r="D719" s="337"/>
      <c r="E719" s="337"/>
      <c r="F719" s="338"/>
      <c r="G719" s="338"/>
      <c r="H719" s="338"/>
      <c r="I719" s="338"/>
      <c r="J719" s="338"/>
      <c r="K719" s="339"/>
      <c r="L719" s="338"/>
      <c r="M719" s="339"/>
      <c r="N719" s="88"/>
      <c r="O719" s="338"/>
      <c r="P719" s="339"/>
      <c r="Q719" s="123"/>
      <c r="R719" s="124"/>
      <c r="S719" s="88"/>
      <c r="T719" s="338"/>
      <c r="U719" s="339"/>
      <c r="V719" s="123"/>
      <c r="W719" s="124"/>
      <c r="X719" s="340"/>
      <c r="Y719" s="338"/>
      <c r="Z719" s="339"/>
      <c r="AA719" s="30"/>
      <c r="AB719" s="124"/>
      <c r="AC719" s="88"/>
      <c r="AD719" s="338"/>
      <c r="AE719" s="341"/>
      <c r="AF719" s="30"/>
      <c r="AG719" s="124"/>
      <c r="AH719" s="88"/>
      <c r="AI719" s="338"/>
      <c r="AJ719" s="29"/>
      <c r="AK719" s="30"/>
      <c r="AL719" s="124"/>
      <c r="AM719" s="88"/>
      <c r="AN719" s="338"/>
      <c r="AO719" s="29"/>
      <c r="AP719" s="30"/>
      <c r="AQ719" s="124"/>
      <c r="AR719" s="88"/>
      <c r="AS719" s="338"/>
      <c r="AT719" s="29"/>
      <c r="AU719" s="30"/>
      <c r="AV719" s="124"/>
    </row>
    <row r="720" spans="1:48" s="62" customFormat="1" x14ac:dyDescent="0.3">
      <c r="A720" s="401"/>
      <c r="C720" s="337"/>
      <c r="D720" s="337"/>
      <c r="E720" s="337"/>
      <c r="F720" s="338"/>
      <c r="G720" s="338"/>
      <c r="H720" s="338"/>
      <c r="I720" s="338"/>
      <c r="J720" s="338"/>
      <c r="K720" s="339"/>
      <c r="L720" s="338"/>
      <c r="M720" s="339"/>
      <c r="N720" s="88"/>
      <c r="O720" s="338"/>
      <c r="P720" s="339"/>
      <c r="Q720" s="123"/>
      <c r="R720" s="124"/>
      <c r="S720" s="88"/>
      <c r="T720" s="338"/>
      <c r="U720" s="339"/>
      <c r="V720" s="123"/>
      <c r="W720" s="124"/>
      <c r="X720" s="340"/>
      <c r="Y720" s="338"/>
      <c r="Z720" s="339"/>
      <c r="AA720" s="30"/>
      <c r="AB720" s="124"/>
      <c r="AC720" s="88"/>
      <c r="AD720" s="338"/>
      <c r="AE720" s="341"/>
      <c r="AF720" s="30"/>
      <c r="AG720" s="124"/>
      <c r="AH720" s="88"/>
      <c r="AI720" s="338"/>
      <c r="AJ720" s="29"/>
      <c r="AK720" s="30"/>
      <c r="AL720" s="124"/>
      <c r="AM720" s="88"/>
      <c r="AN720" s="338"/>
      <c r="AO720" s="29"/>
      <c r="AP720" s="30"/>
      <c r="AQ720" s="124"/>
      <c r="AR720" s="88"/>
      <c r="AS720" s="338"/>
      <c r="AT720" s="29"/>
      <c r="AU720" s="30"/>
      <c r="AV720" s="124"/>
    </row>
    <row r="721" spans="1:48" s="62" customFormat="1" x14ac:dyDescent="0.3">
      <c r="A721" s="401"/>
      <c r="C721" s="337"/>
      <c r="D721" s="337"/>
      <c r="E721" s="337"/>
      <c r="F721" s="338"/>
      <c r="G721" s="338"/>
      <c r="H721" s="338"/>
      <c r="I721" s="338"/>
      <c r="J721" s="338"/>
      <c r="K721" s="339"/>
      <c r="L721" s="338"/>
      <c r="M721" s="339"/>
      <c r="N721" s="88"/>
      <c r="O721" s="338"/>
      <c r="P721" s="339"/>
      <c r="Q721" s="123"/>
      <c r="R721" s="124"/>
      <c r="S721" s="88"/>
      <c r="T721" s="338"/>
      <c r="U721" s="339"/>
      <c r="V721" s="123"/>
      <c r="W721" s="124"/>
      <c r="X721" s="340"/>
      <c r="Y721" s="338"/>
      <c r="Z721" s="339"/>
      <c r="AA721" s="30"/>
      <c r="AB721" s="124"/>
      <c r="AC721" s="88"/>
      <c r="AD721" s="338"/>
      <c r="AE721" s="341"/>
      <c r="AF721" s="30"/>
      <c r="AG721" s="124"/>
      <c r="AH721" s="88"/>
      <c r="AI721" s="338"/>
      <c r="AJ721" s="29"/>
      <c r="AK721" s="30"/>
      <c r="AL721" s="124"/>
      <c r="AM721" s="88"/>
      <c r="AN721" s="338"/>
      <c r="AO721" s="29"/>
      <c r="AP721" s="30"/>
      <c r="AQ721" s="124"/>
      <c r="AR721" s="88"/>
      <c r="AS721" s="338"/>
      <c r="AT721" s="29"/>
      <c r="AU721" s="30"/>
      <c r="AV721" s="124"/>
    </row>
    <row r="722" spans="1:48" s="62" customFormat="1" x14ac:dyDescent="0.3">
      <c r="A722" s="401"/>
      <c r="C722" s="337"/>
      <c r="D722" s="337"/>
      <c r="E722" s="337"/>
      <c r="F722" s="338"/>
      <c r="G722" s="338"/>
      <c r="H722" s="338"/>
      <c r="I722" s="338"/>
      <c r="J722" s="338"/>
      <c r="K722" s="339"/>
      <c r="L722" s="338"/>
      <c r="M722" s="339"/>
      <c r="N722" s="88"/>
      <c r="O722" s="338"/>
      <c r="P722" s="339"/>
      <c r="Q722" s="123"/>
      <c r="R722" s="124"/>
      <c r="S722" s="88"/>
      <c r="T722" s="338"/>
      <c r="U722" s="339"/>
      <c r="V722" s="123"/>
      <c r="W722" s="124"/>
      <c r="X722" s="340"/>
      <c r="Y722" s="338"/>
      <c r="Z722" s="339"/>
      <c r="AA722" s="30"/>
      <c r="AB722" s="124"/>
      <c r="AC722" s="88"/>
      <c r="AD722" s="338"/>
      <c r="AE722" s="341"/>
      <c r="AF722" s="30"/>
      <c r="AG722" s="124"/>
      <c r="AH722" s="88"/>
      <c r="AI722" s="338"/>
      <c r="AJ722" s="29"/>
      <c r="AK722" s="30"/>
      <c r="AL722" s="124"/>
      <c r="AM722" s="88"/>
      <c r="AN722" s="338"/>
      <c r="AO722" s="29"/>
      <c r="AP722" s="30"/>
      <c r="AQ722" s="124"/>
      <c r="AR722" s="88"/>
      <c r="AS722" s="338"/>
      <c r="AT722" s="29"/>
      <c r="AU722" s="30"/>
      <c r="AV722" s="124"/>
    </row>
    <row r="723" spans="1:48" s="62" customFormat="1" x14ac:dyDescent="0.3">
      <c r="A723" s="401"/>
      <c r="C723" s="337"/>
      <c r="D723" s="337"/>
      <c r="E723" s="337"/>
      <c r="F723" s="338"/>
      <c r="G723" s="338"/>
      <c r="H723" s="338"/>
      <c r="I723" s="338"/>
      <c r="J723" s="338"/>
      <c r="K723" s="339"/>
      <c r="L723" s="338"/>
      <c r="M723" s="339"/>
      <c r="N723" s="88"/>
      <c r="O723" s="338"/>
      <c r="P723" s="339"/>
      <c r="Q723" s="123"/>
      <c r="R723" s="124"/>
      <c r="S723" s="88"/>
      <c r="T723" s="338"/>
      <c r="U723" s="339"/>
      <c r="V723" s="123"/>
      <c r="W723" s="124"/>
      <c r="X723" s="340"/>
      <c r="Y723" s="338"/>
      <c r="Z723" s="339"/>
      <c r="AA723" s="30"/>
      <c r="AB723" s="124"/>
      <c r="AC723" s="88"/>
      <c r="AD723" s="338"/>
      <c r="AE723" s="341"/>
      <c r="AF723" s="30"/>
      <c r="AG723" s="124"/>
      <c r="AH723" s="88"/>
      <c r="AI723" s="338"/>
      <c r="AJ723" s="29"/>
      <c r="AK723" s="30"/>
      <c r="AL723" s="124"/>
      <c r="AM723" s="88"/>
      <c r="AN723" s="338"/>
      <c r="AO723" s="29"/>
      <c r="AP723" s="30"/>
      <c r="AQ723" s="124"/>
      <c r="AR723" s="88"/>
      <c r="AS723" s="338"/>
      <c r="AT723" s="29"/>
      <c r="AU723" s="30"/>
      <c r="AV723" s="124"/>
    </row>
    <row r="724" spans="1:48" s="62" customFormat="1" x14ac:dyDescent="0.3">
      <c r="A724" s="401"/>
      <c r="C724" s="337"/>
      <c r="D724" s="337"/>
      <c r="E724" s="337"/>
      <c r="F724" s="338"/>
      <c r="G724" s="338"/>
      <c r="H724" s="338"/>
      <c r="I724" s="338"/>
      <c r="J724" s="338"/>
      <c r="K724" s="339"/>
      <c r="L724" s="338"/>
      <c r="M724" s="339"/>
      <c r="N724" s="88"/>
      <c r="O724" s="338"/>
      <c r="P724" s="339"/>
      <c r="Q724" s="123"/>
      <c r="R724" s="124"/>
      <c r="S724" s="88"/>
      <c r="T724" s="338"/>
      <c r="U724" s="339"/>
      <c r="V724" s="123"/>
      <c r="W724" s="124"/>
      <c r="X724" s="340"/>
      <c r="Y724" s="338"/>
      <c r="Z724" s="339"/>
      <c r="AA724" s="30"/>
      <c r="AB724" s="124"/>
      <c r="AC724" s="88"/>
      <c r="AD724" s="338"/>
      <c r="AE724" s="341"/>
      <c r="AF724" s="30"/>
      <c r="AG724" s="124"/>
      <c r="AH724" s="88"/>
      <c r="AI724" s="338"/>
      <c r="AJ724" s="29"/>
      <c r="AK724" s="30"/>
      <c r="AL724" s="124"/>
      <c r="AM724" s="88"/>
      <c r="AN724" s="338"/>
      <c r="AO724" s="29"/>
      <c r="AP724" s="30"/>
      <c r="AQ724" s="124"/>
      <c r="AR724" s="88"/>
      <c r="AS724" s="338"/>
      <c r="AT724" s="29"/>
      <c r="AU724" s="30"/>
      <c r="AV724" s="124"/>
    </row>
    <row r="725" spans="1:48" s="62" customFormat="1" x14ac:dyDescent="0.3">
      <c r="A725" s="401"/>
      <c r="C725" s="337"/>
      <c r="D725" s="337"/>
      <c r="E725" s="337"/>
      <c r="F725" s="338"/>
      <c r="G725" s="338"/>
      <c r="H725" s="338"/>
      <c r="I725" s="338"/>
      <c r="J725" s="338"/>
      <c r="K725" s="339"/>
      <c r="L725" s="338"/>
      <c r="M725" s="339"/>
      <c r="N725" s="88"/>
      <c r="O725" s="338"/>
      <c r="P725" s="339"/>
      <c r="Q725" s="123"/>
      <c r="R725" s="124"/>
      <c r="S725" s="88"/>
      <c r="T725" s="338"/>
      <c r="U725" s="339"/>
      <c r="V725" s="123"/>
      <c r="W725" s="124"/>
      <c r="X725" s="340"/>
      <c r="Y725" s="338"/>
      <c r="Z725" s="339"/>
      <c r="AA725" s="30"/>
      <c r="AB725" s="124"/>
      <c r="AC725" s="88"/>
      <c r="AD725" s="338"/>
      <c r="AE725" s="341"/>
      <c r="AF725" s="30"/>
      <c r="AG725" s="124"/>
      <c r="AH725" s="88"/>
      <c r="AI725" s="338"/>
      <c r="AJ725" s="29"/>
      <c r="AK725" s="30"/>
      <c r="AL725" s="124"/>
      <c r="AM725" s="88"/>
      <c r="AN725" s="338"/>
      <c r="AO725" s="29"/>
      <c r="AP725" s="30"/>
      <c r="AQ725" s="124"/>
      <c r="AR725" s="88"/>
      <c r="AS725" s="338"/>
      <c r="AT725" s="29"/>
      <c r="AU725" s="30"/>
      <c r="AV725" s="124"/>
    </row>
    <row r="726" spans="1:48" s="62" customFormat="1" x14ac:dyDescent="0.3">
      <c r="A726" s="401"/>
      <c r="C726" s="337"/>
      <c r="D726" s="337"/>
      <c r="E726" s="337"/>
      <c r="F726" s="338"/>
      <c r="G726" s="338"/>
      <c r="H726" s="338"/>
      <c r="I726" s="338"/>
      <c r="J726" s="338"/>
      <c r="K726" s="339"/>
      <c r="L726" s="338"/>
      <c r="M726" s="339"/>
      <c r="N726" s="88"/>
      <c r="O726" s="338"/>
      <c r="P726" s="339"/>
      <c r="Q726" s="123"/>
      <c r="R726" s="124"/>
      <c r="S726" s="88"/>
      <c r="T726" s="338"/>
      <c r="U726" s="339"/>
      <c r="V726" s="123"/>
      <c r="W726" s="124"/>
      <c r="X726" s="340"/>
      <c r="Y726" s="338"/>
      <c r="Z726" s="339"/>
      <c r="AA726" s="30"/>
      <c r="AB726" s="124"/>
      <c r="AC726" s="88"/>
      <c r="AD726" s="338"/>
      <c r="AE726" s="341"/>
      <c r="AF726" s="30"/>
      <c r="AG726" s="124"/>
      <c r="AH726" s="88"/>
      <c r="AI726" s="338"/>
      <c r="AJ726" s="29"/>
      <c r="AK726" s="30"/>
      <c r="AL726" s="124"/>
      <c r="AM726" s="88"/>
      <c r="AN726" s="338"/>
      <c r="AO726" s="29"/>
      <c r="AP726" s="30"/>
      <c r="AQ726" s="124"/>
      <c r="AR726" s="88"/>
      <c r="AS726" s="338"/>
      <c r="AT726" s="29"/>
      <c r="AU726" s="30"/>
      <c r="AV726" s="124"/>
    </row>
    <row r="727" spans="1:48" s="62" customFormat="1" x14ac:dyDescent="0.3">
      <c r="A727" s="401"/>
      <c r="C727" s="337"/>
      <c r="D727" s="337"/>
      <c r="E727" s="337"/>
      <c r="F727" s="338"/>
      <c r="G727" s="338"/>
      <c r="H727" s="338"/>
      <c r="I727" s="338"/>
      <c r="J727" s="338"/>
      <c r="K727" s="339"/>
      <c r="L727" s="338"/>
      <c r="M727" s="339"/>
      <c r="N727" s="88"/>
      <c r="O727" s="338"/>
      <c r="P727" s="339"/>
      <c r="Q727" s="123"/>
      <c r="R727" s="124"/>
      <c r="S727" s="88"/>
      <c r="T727" s="338"/>
      <c r="U727" s="339"/>
      <c r="V727" s="123"/>
      <c r="W727" s="124"/>
      <c r="X727" s="340"/>
      <c r="Y727" s="338"/>
      <c r="Z727" s="339"/>
      <c r="AA727" s="30"/>
      <c r="AB727" s="124"/>
      <c r="AC727" s="88"/>
      <c r="AD727" s="338"/>
      <c r="AE727" s="341"/>
      <c r="AF727" s="30"/>
      <c r="AG727" s="124"/>
      <c r="AH727" s="88"/>
      <c r="AI727" s="338"/>
      <c r="AJ727" s="29"/>
      <c r="AK727" s="30"/>
      <c r="AL727" s="124"/>
      <c r="AM727" s="88"/>
      <c r="AN727" s="338"/>
      <c r="AO727" s="29"/>
      <c r="AP727" s="30"/>
      <c r="AQ727" s="124"/>
      <c r="AR727" s="88"/>
      <c r="AS727" s="338"/>
      <c r="AT727" s="29"/>
      <c r="AU727" s="30"/>
      <c r="AV727" s="124"/>
    </row>
    <row r="728" spans="1:48" s="62" customFormat="1" x14ac:dyDescent="0.3">
      <c r="A728" s="401"/>
      <c r="C728" s="337"/>
      <c r="D728" s="337"/>
      <c r="E728" s="337"/>
      <c r="F728" s="338"/>
      <c r="G728" s="338"/>
      <c r="H728" s="338"/>
      <c r="I728" s="338"/>
      <c r="J728" s="338"/>
      <c r="K728" s="339"/>
      <c r="L728" s="338"/>
      <c r="M728" s="339"/>
      <c r="N728" s="88"/>
      <c r="O728" s="338"/>
      <c r="P728" s="339"/>
      <c r="Q728" s="123"/>
      <c r="R728" s="124"/>
      <c r="S728" s="88"/>
      <c r="T728" s="338"/>
      <c r="U728" s="339"/>
      <c r="V728" s="123"/>
      <c r="W728" s="124"/>
      <c r="X728" s="340"/>
      <c r="Y728" s="338"/>
      <c r="Z728" s="339"/>
      <c r="AA728" s="30"/>
      <c r="AB728" s="124"/>
      <c r="AC728" s="88"/>
      <c r="AD728" s="338"/>
      <c r="AE728" s="341"/>
      <c r="AF728" s="30"/>
      <c r="AG728" s="124"/>
      <c r="AH728" s="88"/>
      <c r="AI728" s="338"/>
      <c r="AJ728" s="29"/>
      <c r="AK728" s="30"/>
      <c r="AL728" s="124"/>
      <c r="AM728" s="88"/>
      <c r="AN728" s="338"/>
      <c r="AO728" s="29"/>
      <c r="AP728" s="30"/>
      <c r="AQ728" s="124"/>
      <c r="AR728" s="88"/>
      <c r="AS728" s="338"/>
      <c r="AT728" s="29"/>
      <c r="AU728" s="30"/>
      <c r="AV728" s="124"/>
    </row>
    <row r="729" spans="1:48" s="62" customFormat="1" x14ac:dyDescent="0.3">
      <c r="A729" s="401"/>
      <c r="C729" s="337"/>
      <c r="D729" s="337"/>
      <c r="E729" s="337"/>
      <c r="F729" s="338"/>
      <c r="G729" s="338"/>
      <c r="H729" s="338"/>
      <c r="I729" s="338"/>
      <c r="J729" s="338"/>
      <c r="K729" s="339"/>
      <c r="L729" s="338"/>
      <c r="M729" s="339"/>
      <c r="N729" s="88"/>
      <c r="O729" s="338"/>
      <c r="P729" s="339"/>
      <c r="Q729" s="123"/>
      <c r="R729" s="124"/>
      <c r="S729" s="88"/>
      <c r="T729" s="338"/>
      <c r="U729" s="339"/>
      <c r="V729" s="123"/>
      <c r="W729" s="124"/>
      <c r="X729" s="340"/>
      <c r="Y729" s="338"/>
      <c r="Z729" s="339"/>
      <c r="AA729" s="30"/>
      <c r="AB729" s="124"/>
      <c r="AC729" s="88"/>
      <c r="AD729" s="338"/>
      <c r="AE729" s="341"/>
      <c r="AF729" s="30"/>
      <c r="AG729" s="124"/>
      <c r="AH729" s="88"/>
      <c r="AI729" s="338"/>
      <c r="AJ729" s="29"/>
      <c r="AK729" s="30"/>
      <c r="AL729" s="124"/>
      <c r="AM729" s="88"/>
      <c r="AN729" s="338"/>
      <c r="AO729" s="29"/>
      <c r="AP729" s="30"/>
      <c r="AQ729" s="124"/>
      <c r="AR729" s="88"/>
      <c r="AS729" s="338"/>
      <c r="AT729" s="29"/>
      <c r="AU729" s="30"/>
      <c r="AV729" s="124"/>
    </row>
    <row r="730" spans="1:48" s="62" customFormat="1" ht="18" x14ac:dyDescent="0.3">
      <c r="A730" s="400" t="s">
        <v>599</v>
      </c>
      <c r="C730" s="337"/>
      <c r="D730" s="337"/>
      <c r="E730" s="337"/>
      <c r="F730" s="338"/>
      <c r="G730" s="338"/>
      <c r="H730" s="338"/>
      <c r="I730" s="338"/>
      <c r="J730" s="338"/>
      <c r="K730" s="339"/>
      <c r="L730" s="338"/>
      <c r="M730" s="339"/>
      <c r="N730" s="88"/>
      <c r="O730" s="338"/>
      <c r="P730" s="339"/>
      <c r="Q730" s="123"/>
      <c r="R730" s="124"/>
      <c r="S730" s="88"/>
      <c r="T730" s="338"/>
      <c r="U730" s="339"/>
      <c r="V730" s="123"/>
      <c r="W730" s="124"/>
      <c r="X730" s="340"/>
      <c r="Y730" s="338"/>
      <c r="Z730" s="339"/>
      <c r="AA730" s="30"/>
      <c r="AB730" s="124"/>
      <c r="AC730" s="88"/>
      <c r="AD730" s="338"/>
      <c r="AE730" s="341"/>
      <c r="AF730" s="30"/>
      <c r="AG730" s="124"/>
      <c r="AH730" s="88"/>
      <c r="AI730" s="338"/>
      <c r="AJ730" s="29"/>
      <c r="AK730" s="30"/>
      <c r="AL730" s="124"/>
      <c r="AM730" s="88"/>
      <c r="AN730" s="338"/>
      <c r="AO730" s="29"/>
      <c r="AP730" s="30"/>
      <c r="AQ730" s="124"/>
      <c r="AR730" s="88"/>
      <c r="AS730" s="338"/>
      <c r="AT730" s="29"/>
      <c r="AU730" s="30"/>
      <c r="AV730" s="124"/>
    </row>
    <row r="731" spans="1:48" s="62" customFormat="1" x14ac:dyDescent="0.3">
      <c r="A731" s="188" t="s">
        <v>339</v>
      </c>
      <c r="C731" s="337"/>
      <c r="D731" s="337"/>
      <c r="E731" s="337"/>
      <c r="F731" s="338"/>
      <c r="G731" s="338"/>
      <c r="H731" s="338"/>
      <c r="I731" s="338"/>
      <c r="J731" s="338"/>
      <c r="K731" s="339"/>
      <c r="L731" s="338"/>
      <c r="M731" s="339"/>
      <c r="N731" s="88"/>
      <c r="O731" s="338"/>
      <c r="P731" s="339"/>
      <c r="Q731" s="123"/>
      <c r="R731" s="124"/>
      <c r="S731" s="88"/>
      <c r="T731" s="338"/>
      <c r="U731" s="339"/>
      <c r="V731" s="123"/>
      <c r="W731" s="124"/>
      <c r="X731" s="340"/>
      <c r="Y731" s="338"/>
      <c r="Z731" s="339"/>
      <c r="AA731" s="30"/>
      <c r="AB731" s="124"/>
      <c r="AC731" s="88"/>
      <c r="AD731" s="338"/>
      <c r="AE731" s="341"/>
      <c r="AF731" s="30"/>
      <c r="AG731" s="124"/>
      <c r="AH731" s="88"/>
      <c r="AI731" s="338"/>
      <c r="AJ731" s="29"/>
      <c r="AK731" s="30"/>
      <c r="AL731" s="124"/>
      <c r="AM731" s="88"/>
      <c r="AN731" s="338"/>
      <c r="AO731" s="29"/>
      <c r="AP731" s="30"/>
      <c r="AQ731" s="124"/>
      <c r="AR731" s="88"/>
      <c r="AS731" s="338"/>
      <c r="AT731" s="29"/>
      <c r="AU731" s="30"/>
      <c r="AV731" s="124"/>
    </row>
    <row r="732" spans="1:48" s="62" customFormat="1" x14ac:dyDescent="0.3">
      <c r="A732" s="188" t="s">
        <v>347</v>
      </c>
      <c r="C732" s="337"/>
      <c r="D732" s="337"/>
      <c r="E732" s="337"/>
      <c r="F732" s="338"/>
      <c r="G732" s="338"/>
      <c r="H732" s="338"/>
      <c r="I732" s="338"/>
      <c r="J732" s="338"/>
      <c r="K732" s="339"/>
      <c r="L732" s="338"/>
      <c r="M732" s="339"/>
      <c r="N732" s="88"/>
      <c r="O732" s="338"/>
      <c r="P732" s="339"/>
      <c r="Q732" s="123"/>
      <c r="R732" s="124"/>
      <c r="S732" s="88"/>
      <c r="T732" s="338"/>
      <c r="U732" s="339"/>
      <c r="V732" s="123"/>
      <c r="W732" s="124"/>
      <c r="X732" s="340"/>
      <c r="Y732" s="338"/>
      <c r="Z732" s="339"/>
      <c r="AA732" s="30"/>
      <c r="AB732" s="124"/>
      <c r="AC732" s="88"/>
      <c r="AD732" s="338">
        <f>AD389</f>
        <v>1638.36</v>
      </c>
      <c r="AE732" s="341"/>
      <c r="AF732" s="30"/>
      <c r="AG732" s="124"/>
      <c r="AH732" s="88"/>
      <c r="AI732" s="338"/>
      <c r="AJ732" s="29"/>
      <c r="AK732" s="30"/>
      <c r="AL732" s="124"/>
      <c r="AM732" s="88"/>
      <c r="AN732" s="338"/>
      <c r="AO732" s="29"/>
      <c r="AP732" s="30"/>
      <c r="AQ732" s="124"/>
      <c r="AR732" s="88"/>
      <c r="AS732" s="338"/>
      <c r="AT732" s="29"/>
      <c r="AU732" s="30"/>
      <c r="AV732" s="124"/>
    </row>
    <row r="733" spans="1:48" s="62" customFormat="1" x14ac:dyDescent="0.3">
      <c r="A733" s="401"/>
      <c r="C733" s="337"/>
      <c r="D733" s="337"/>
      <c r="E733" s="337"/>
      <c r="F733" s="338"/>
      <c r="G733" s="338"/>
      <c r="H733" s="338"/>
      <c r="I733" s="338"/>
      <c r="J733" s="338"/>
      <c r="K733" s="339"/>
      <c r="L733" s="338"/>
      <c r="M733" s="339"/>
      <c r="N733" s="88"/>
      <c r="O733" s="338"/>
      <c r="P733" s="339"/>
      <c r="Q733" s="123"/>
      <c r="R733" s="124"/>
      <c r="S733" s="88"/>
      <c r="T733" s="338"/>
      <c r="U733" s="339"/>
      <c r="V733" s="123"/>
      <c r="W733" s="124"/>
      <c r="X733" s="340"/>
      <c r="Y733" s="338"/>
      <c r="Z733" s="339"/>
      <c r="AA733" s="30"/>
      <c r="AB733" s="124"/>
      <c r="AC733" s="88"/>
      <c r="AD733" s="338"/>
      <c r="AE733" s="341"/>
      <c r="AF733" s="30"/>
      <c r="AG733" s="124"/>
      <c r="AH733" s="88"/>
      <c r="AI733" s="338"/>
      <c r="AJ733" s="29"/>
      <c r="AK733" s="30"/>
      <c r="AL733" s="124"/>
      <c r="AM733" s="88"/>
      <c r="AN733" s="338"/>
      <c r="AO733" s="29"/>
      <c r="AP733" s="30"/>
      <c r="AQ733" s="124"/>
      <c r="AR733" s="88"/>
      <c r="AS733" s="338"/>
      <c r="AT733" s="29"/>
      <c r="AU733" s="30"/>
      <c r="AV733" s="124"/>
    </row>
    <row r="734" spans="1:48" s="62" customFormat="1" x14ac:dyDescent="0.3">
      <c r="A734" s="401"/>
      <c r="C734" s="337"/>
      <c r="D734" s="337"/>
      <c r="E734" s="337"/>
      <c r="F734" s="338"/>
      <c r="G734" s="338"/>
      <c r="H734" s="338"/>
      <c r="I734" s="338"/>
      <c r="J734" s="338"/>
      <c r="K734" s="339"/>
      <c r="L734" s="338"/>
      <c r="M734" s="339"/>
      <c r="N734" s="88"/>
      <c r="O734" s="338"/>
      <c r="P734" s="339"/>
      <c r="Q734" s="123"/>
      <c r="R734" s="124"/>
      <c r="S734" s="88"/>
      <c r="T734" s="338"/>
      <c r="U734" s="339"/>
      <c r="V734" s="123"/>
      <c r="W734" s="124"/>
      <c r="X734" s="340"/>
      <c r="Y734" s="338"/>
      <c r="Z734" s="339"/>
      <c r="AA734" s="30"/>
      <c r="AB734" s="124"/>
      <c r="AC734" s="88"/>
      <c r="AD734" s="338"/>
      <c r="AE734" s="341"/>
      <c r="AF734" s="30"/>
      <c r="AG734" s="124"/>
      <c r="AH734" s="88"/>
      <c r="AI734" s="338"/>
      <c r="AJ734" s="29"/>
      <c r="AK734" s="30"/>
      <c r="AL734" s="124"/>
      <c r="AM734" s="88"/>
      <c r="AN734" s="338"/>
      <c r="AO734" s="29"/>
      <c r="AP734" s="30"/>
      <c r="AQ734" s="124"/>
      <c r="AR734" s="88"/>
      <c r="AS734" s="338"/>
      <c r="AT734" s="29"/>
      <c r="AU734" s="30"/>
      <c r="AV734" s="124"/>
    </row>
    <row r="735" spans="1:48" s="62" customFormat="1" x14ac:dyDescent="0.3">
      <c r="A735" s="401"/>
      <c r="C735" s="337"/>
      <c r="D735" s="337"/>
      <c r="E735" s="337"/>
      <c r="F735" s="338"/>
      <c r="G735" s="338"/>
      <c r="H735" s="338"/>
      <c r="I735" s="338"/>
      <c r="J735" s="338"/>
      <c r="K735" s="339"/>
      <c r="L735" s="338"/>
      <c r="M735" s="339"/>
      <c r="N735" s="88"/>
      <c r="O735" s="338"/>
      <c r="P735" s="339"/>
      <c r="Q735" s="123"/>
      <c r="R735" s="124"/>
      <c r="S735" s="88"/>
      <c r="T735" s="338"/>
      <c r="U735" s="339"/>
      <c r="V735" s="123"/>
      <c r="W735" s="124"/>
      <c r="X735" s="340"/>
      <c r="Y735" s="338"/>
      <c r="Z735" s="339"/>
      <c r="AA735" s="30"/>
      <c r="AB735" s="124"/>
      <c r="AC735" s="88"/>
      <c r="AD735" s="338"/>
      <c r="AE735" s="341"/>
      <c r="AF735" s="30"/>
      <c r="AG735" s="124"/>
      <c r="AH735" s="88"/>
      <c r="AI735" s="338"/>
      <c r="AJ735" s="29"/>
      <c r="AK735" s="30"/>
      <c r="AL735" s="124"/>
      <c r="AM735" s="88"/>
      <c r="AN735" s="338"/>
      <c r="AO735" s="29"/>
      <c r="AP735" s="30"/>
      <c r="AQ735" s="124"/>
      <c r="AR735" s="88"/>
      <c r="AS735" s="338"/>
      <c r="AT735" s="29"/>
      <c r="AU735" s="30"/>
      <c r="AV735" s="124"/>
    </row>
    <row r="736" spans="1:48" s="62" customFormat="1" x14ac:dyDescent="0.3">
      <c r="A736" s="401" t="s">
        <v>579</v>
      </c>
      <c r="C736" s="337"/>
      <c r="D736" s="337"/>
      <c r="E736" s="337"/>
      <c r="F736" s="338"/>
      <c r="G736" s="338"/>
      <c r="H736" s="338"/>
      <c r="I736" s="338"/>
      <c r="J736" s="338"/>
      <c r="K736" s="339"/>
      <c r="L736" s="338"/>
      <c r="M736" s="339"/>
      <c r="N736" s="88"/>
      <c r="O736" s="338"/>
      <c r="P736" s="339"/>
      <c r="Q736" s="123"/>
      <c r="R736" s="124"/>
      <c r="S736" s="88"/>
      <c r="T736" s="338"/>
      <c r="U736" s="339"/>
      <c r="V736" s="123"/>
      <c r="W736" s="124"/>
      <c r="X736" s="340"/>
      <c r="Y736" s="338"/>
      <c r="Z736" s="339"/>
      <c r="AA736" s="30"/>
      <c r="AB736" s="124"/>
      <c r="AC736" s="88"/>
      <c r="AD736" s="338">
        <f>AD632</f>
        <v>-1039.33</v>
      </c>
      <c r="AE736" s="341"/>
      <c r="AF736" s="30"/>
      <c r="AG736" s="124"/>
      <c r="AH736" s="88"/>
      <c r="AI736" s="338"/>
      <c r="AJ736" s="29"/>
      <c r="AK736" s="30"/>
      <c r="AL736" s="124"/>
      <c r="AM736" s="88"/>
      <c r="AN736" s="338"/>
      <c r="AO736" s="29"/>
      <c r="AP736" s="30"/>
      <c r="AQ736" s="124"/>
      <c r="AR736" s="88"/>
      <c r="AS736" s="338"/>
      <c r="AT736" s="29"/>
      <c r="AU736" s="30"/>
      <c r="AV736" s="124"/>
    </row>
    <row r="737" spans="1:48" s="62" customFormat="1" x14ac:dyDescent="0.3">
      <c r="A737" s="401"/>
      <c r="C737" s="337"/>
      <c r="D737" s="337"/>
      <c r="E737" s="337"/>
      <c r="F737" s="338"/>
      <c r="G737" s="338"/>
      <c r="H737" s="338"/>
      <c r="I737" s="338"/>
      <c r="J737" s="338"/>
      <c r="K737" s="339"/>
      <c r="L737" s="338"/>
      <c r="M737" s="339"/>
      <c r="N737" s="88"/>
      <c r="O737" s="338"/>
      <c r="P737" s="339"/>
      <c r="Q737" s="123"/>
      <c r="R737" s="124"/>
      <c r="S737" s="88"/>
      <c r="T737" s="338"/>
      <c r="U737" s="339"/>
      <c r="V737" s="123"/>
      <c r="W737" s="124"/>
      <c r="X737" s="340"/>
      <c r="Y737" s="338"/>
      <c r="Z737" s="339"/>
      <c r="AA737" s="30"/>
      <c r="AB737" s="124"/>
      <c r="AC737" s="88"/>
      <c r="AD737" s="338"/>
      <c r="AE737" s="341"/>
      <c r="AF737" s="30"/>
      <c r="AG737" s="124"/>
      <c r="AH737" s="88"/>
      <c r="AI737" s="338"/>
      <c r="AJ737" s="29"/>
      <c r="AK737" s="30"/>
      <c r="AL737" s="124"/>
      <c r="AM737" s="88"/>
      <c r="AN737" s="338"/>
      <c r="AO737" s="29"/>
      <c r="AP737" s="30"/>
      <c r="AQ737" s="124"/>
      <c r="AR737" s="88"/>
      <c r="AS737" s="338"/>
      <c r="AT737" s="29"/>
      <c r="AU737" s="30"/>
      <c r="AV737" s="124"/>
    </row>
    <row r="738" spans="1:48" s="62" customFormat="1" x14ac:dyDescent="0.3">
      <c r="A738" s="401"/>
      <c r="C738" s="337"/>
      <c r="D738" s="337"/>
      <c r="E738" s="337"/>
      <c r="F738" s="338"/>
      <c r="G738" s="338"/>
      <c r="H738" s="338"/>
      <c r="I738" s="338"/>
      <c r="J738" s="338"/>
      <c r="K738" s="339"/>
      <c r="L738" s="338"/>
      <c r="M738" s="339"/>
      <c r="N738" s="88"/>
      <c r="O738" s="338"/>
      <c r="P738" s="339"/>
      <c r="Q738" s="123"/>
      <c r="R738" s="124"/>
      <c r="S738" s="88"/>
      <c r="T738" s="338"/>
      <c r="U738" s="339"/>
      <c r="V738" s="123"/>
      <c r="W738" s="124"/>
      <c r="X738" s="340"/>
      <c r="Y738" s="338"/>
      <c r="Z738" s="339"/>
      <c r="AA738" s="30"/>
      <c r="AB738" s="124"/>
      <c r="AC738" s="88"/>
      <c r="AD738" s="338"/>
      <c r="AE738" s="341"/>
      <c r="AF738" s="30"/>
      <c r="AG738" s="124"/>
      <c r="AH738" s="88"/>
      <c r="AI738" s="338"/>
      <c r="AJ738" s="29"/>
      <c r="AK738" s="30"/>
      <c r="AL738" s="124"/>
      <c r="AM738" s="88"/>
      <c r="AN738" s="338"/>
      <c r="AO738" s="29"/>
      <c r="AP738" s="30"/>
      <c r="AQ738" s="124"/>
      <c r="AR738" s="88"/>
      <c r="AS738" s="338"/>
      <c r="AT738" s="29"/>
      <c r="AU738" s="30"/>
      <c r="AV738" s="124"/>
    </row>
    <row r="739" spans="1:48" s="62" customFormat="1" ht="18" x14ac:dyDescent="0.3">
      <c r="A739" s="400" t="s">
        <v>600</v>
      </c>
      <c r="C739" s="337"/>
      <c r="D739" s="337"/>
      <c r="E739" s="337"/>
      <c r="F739" s="338"/>
      <c r="G739" s="338"/>
      <c r="H739" s="338"/>
      <c r="I739" s="338"/>
      <c r="J739" s="338"/>
      <c r="K739" s="339"/>
      <c r="L739" s="338"/>
      <c r="M739" s="339"/>
      <c r="N739" s="88"/>
      <c r="O739" s="338"/>
      <c r="P739" s="339"/>
      <c r="Q739" s="123"/>
      <c r="R739" s="124"/>
      <c r="S739" s="88"/>
      <c r="T739" s="338"/>
      <c r="U739" s="339"/>
      <c r="V739" s="123"/>
      <c r="W739" s="124"/>
      <c r="X739" s="340"/>
      <c r="Y739" s="338"/>
      <c r="Z739" s="339"/>
      <c r="AA739" s="30"/>
      <c r="AB739" s="124"/>
      <c r="AC739" s="88"/>
      <c r="AD739" s="338">
        <f>SUM(AD740,AD741,AD743)</f>
        <v>3277.41</v>
      </c>
      <c r="AE739" s="341"/>
      <c r="AF739" s="30"/>
      <c r="AG739" s="124"/>
      <c r="AH739" s="88"/>
      <c r="AI739" s="338"/>
      <c r="AJ739" s="29"/>
      <c r="AK739" s="30"/>
      <c r="AL739" s="124"/>
      <c r="AM739" s="88"/>
      <c r="AN739" s="338"/>
      <c r="AO739" s="29"/>
      <c r="AP739" s="30"/>
      <c r="AQ739" s="124"/>
      <c r="AR739" s="88"/>
      <c r="AS739" s="338"/>
      <c r="AT739" s="29"/>
      <c r="AU739" s="30"/>
      <c r="AV739" s="124"/>
    </row>
    <row r="740" spans="1:48" s="62" customFormat="1" x14ac:dyDescent="0.3">
      <c r="A740" s="188" t="s">
        <v>340</v>
      </c>
      <c r="C740" s="337"/>
      <c r="D740" s="337"/>
      <c r="E740" s="337"/>
      <c r="F740" s="338"/>
      <c r="G740" s="338"/>
      <c r="H740" s="338"/>
      <c r="I740" s="338"/>
      <c r="J740" s="338"/>
      <c r="K740" s="339"/>
      <c r="L740" s="338"/>
      <c r="M740" s="339"/>
      <c r="N740" s="88"/>
      <c r="O740" s="338"/>
      <c r="P740" s="339"/>
      <c r="Q740" s="123"/>
      <c r="R740" s="124"/>
      <c r="S740" s="88"/>
      <c r="T740" s="338"/>
      <c r="U740" s="339"/>
      <c r="V740" s="123"/>
      <c r="W740" s="124"/>
      <c r="X740" s="340"/>
      <c r="Y740" s="338"/>
      <c r="Z740" s="339"/>
      <c r="AA740" s="30"/>
      <c r="AB740" s="124"/>
      <c r="AC740" s="88"/>
      <c r="AD740" s="338">
        <f>AD382</f>
        <v>0</v>
      </c>
      <c r="AE740" s="341"/>
      <c r="AF740" s="30"/>
      <c r="AG740" s="124"/>
      <c r="AH740" s="88"/>
      <c r="AI740" s="338"/>
      <c r="AJ740" s="29"/>
      <c r="AK740" s="30"/>
      <c r="AL740" s="124"/>
      <c r="AM740" s="88"/>
      <c r="AN740" s="338"/>
      <c r="AO740" s="29"/>
      <c r="AP740" s="30"/>
      <c r="AQ740" s="124"/>
      <c r="AR740" s="88"/>
      <c r="AS740" s="338"/>
      <c r="AT740" s="29"/>
      <c r="AU740" s="30"/>
      <c r="AV740" s="124"/>
    </row>
    <row r="741" spans="1:48" s="62" customFormat="1" x14ac:dyDescent="0.3">
      <c r="A741" s="196" t="s">
        <v>391</v>
      </c>
      <c r="C741" s="337"/>
      <c r="D741" s="337"/>
      <c r="E741" s="337"/>
      <c r="F741" s="338"/>
      <c r="G741" s="338"/>
      <c r="H741" s="338"/>
      <c r="I741" s="338"/>
      <c r="J741" s="338"/>
      <c r="K741" s="339"/>
      <c r="L741" s="338"/>
      <c r="M741" s="339"/>
      <c r="N741" s="88"/>
      <c r="O741" s="338"/>
      <c r="P741" s="339"/>
      <c r="Q741" s="123"/>
      <c r="R741" s="124"/>
      <c r="S741" s="88"/>
      <c r="T741" s="338"/>
      <c r="U741" s="339"/>
      <c r="V741" s="123"/>
      <c r="W741" s="124"/>
      <c r="X741" s="340"/>
      <c r="Y741" s="338"/>
      <c r="Z741" s="339"/>
      <c r="AA741" s="30"/>
      <c r="AB741" s="124"/>
      <c r="AC741" s="88"/>
      <c r="AD741" s="338">
        <f>AD434</f>
        <v>1139.6199999999999</v>
      </c>
      <c r="AE741" s="341"/>
      <c r="AF741" s="30"/>
      <c r="AG741" s="124"/>
      <c r="AH741" s="88"/>
      <c r="AI741" s="338"/>
      <c r="AJ741" s="29"/>
      <c r="AK741" s="30"/>
      <c r="AL741" s="124"/>
      <c r="AM741" s="88"/>
      <c r="AN741" s="338"/>
      <c r="AO741" s="29"/>
      <c r="AP741" s="30"/>
      <c r="AQ741" s="124"/>
      <c r="AR741" s="88"/>
      <c r="AS741" s="338"/>
      <c r="AT741" s="29"/>
      <c r="AU741" s="30"/>
      <c r="AV741" s="124"/>
    </row>
    <row r="742" spans="1:48" s="62" customFormat="1" x14ac:dyDescent="0.3">
      <c r="A742" s="188" t="s">
        <v>447</v>
      </c>
      <c r="C742" s="337"/>
      <c r="D742" s="337"/>
      <c r="E742" s="337"/>
      <c r="F742" s="338"/>
      <c r="G742" s="338"/>
      <c r="H742" s="338"/>
      <c r="I742" s="338"/>
      <c r="J742" s="338"/>
      <c r="K742" s="339"/>
      <c r="L742" s="338"/>
      <c r="M742" s="339"/>
      <c r="N742" s="88"/>
      <c r="O742" s="338"/>
      <c r="P742" s="339"/>
      <c r="Q742" s="123"/>
      <c r="R742" s="124"/>
      <c r="S742" s="88"/>
      <c r="T742" s="338"/>
      <c r="U742" s="339"/>
      <c r="V742" s="123"/>
      <c r="W742" s="124"/>
      <c r="X742" s="340"/>
      <c r="Y742" s="338"/>
      <c r="Z742" s="339"/>
      <c r="AA742" s="30"/>
      <c r="AB742" s="124"/>
      <c r="AC742" s="88"/>
      <c r="AD742" s="338"/>
      <c r="AE742" s="341"/>
      <c r="AF742" s="30"/>
      <c r="AG742" s="124"/>
      <c r="AH742" s="88"/>
      <c r="AI742" s="338"/>
      <c r="AJ742" s="29"/>
      <c r="AK742" s="30"/>
      <c r="AL742" s="124"/>
      <c r="AM742" s="88"/>
      <c r="AN742" s="338"/>
      <c r="AO742" s="29"/>
      <c r="AP742" s="30"/>
      <c r="AQ742" s="124"/>
      <c r="AR742" s="88"/>
      <c r="AS742" s="338"/>
      <c r="AT742" s="29"/>
      <c r="AU742" s="30"/>
      <c r="AV742" s="124"/>
    </row>
    <row r="743" spans="1:48" s="62" customFormat="1" x14ac:dyDescent="0.3">
      <c r="A743" s="190" t="s">
        <v>601</v>
      </c>
      <c r="C743" s="337"/>
      <c r="D743" s="337"/>
      <c r="E743" s="337"/>
      <c r="F743" s="338"/>
      <c r="G743" s="338"/>
      <c r="H743" s="338"/>
      <c r="I743" s="338"/>
      <c r="J743" s="338"/>
      <c r="K743" s="339"/>
      <c r="L743" s="338"/>
      <c r="M743" s="339"/>
      <c r="N743" s="88"/>
      <c r="O743" s="338"/>
      <c r="P743" s="339"/>
      <c r="Q743" s="123"/>
      <c r="R743" s="124"/>
      <c r="S743" s="88"/>
      <c r="T743" s="338"/>
      <c r="U743" s="339"/>
      <c r="V743" s="123"/>
      <c r="W743" s="124"/>
      <c r="X743" s="340"/>
      <c r="Y743" s="338"/>
      <c r="Z743" s="339"/>
      <c r="AA743" s="30"/>
      <c r="AB743" s="124"/>
      <c r="AC743" s="88"/>
      <c r="AD743" s="338">
        <f>SUM(AD744:AD746)</f>
        <v>2137.79</v>
      </c>
      <c r="AE743" s="341"/>
      <c r="AF743" s="30"/>
      <c r="AG743" s="124"/>
      <c r="AH743" s="88"/>
      <c r="AI743" s="338"/>
      <c r="AJ743" s="29"/>
      <c r="AK743" s="30"/>
      <c r="AL743" s="124"/>
      <c r="AM743" s="88"/>
      <c r="AN743" s="338"/>
      <c r="AO743" s="29"/>
      <c r="AP743" s="30"/>
      <c r="AQ743" s="124"/>
      <c r="AR743" s="88"/>
      <c r="AS743" s="338"/>
      <c r="AT743" s="29"/>
      <c r="AU743" s="30"/>
      <c r="AV743" s="124"/>
    </row>
    <row r="744" spans="1:48" s="62" customFormat="1" x14ac:dyDescent="0.3">
      <c r="A744" s="196" t="s">
        <v>602</v>
      </c>
      <c r="C744" s="337"/>
      <c r="D744" s="337"/>
      <c r="E744" s="337"/>
      <c r="F744" s="338"/>
      <c r="G744" s="338"/>
      <c r="H744" s="338"/>
      <c r="I744" s="338"/>
      <c r="J744" s="338"/>
      <c r="K744" s="339"/>
      <c r="L744" s="338"/>
      <c r="M744" s="339"/>
      <c r="N744" s="88"/>
      <c r="O744" s="338"/>
      <c r="P744" s="339"/>
      <c r="Q744" s="123"/>
      <c r="R744" s="124"/>
      <c r="S744" s="88"/>
      <c r="T744" s="338"/>
      <c r="U744" s="339"/>
      <c r="V744" s="123"/>
      <c r="W744" s="124"/>
      <c r="X744" s="340"/>
      <c r="Y744" s="338"/>
      <c r="Z744" s="339"/>
      <c r="AA744" s="30"/>
      <c r="AB744" s="124"/>
      <c r="AC744" s="88"/>
      <c r="AD744" s="402">
        <f>AD498</f>
        <v>402.86</v>
      </c>
      <c r="AE744" s="341"/>
      <c r="AF744" s="30"/>
      <c r="AG744" s="124"/>
      <c r="AH744" s="88"/>
      <c r="AI744" s="338"/>
      <c r="AJ744" s="29"/>
      <c r="AK744" s="30"/>
      <c r="AL744" s="124"/>
      <c r="AM744" s="88"/>
      <c r="AN744" s="338"/>
      <c r="AO744" s="29"/>
      <c r="AP744" s="30"/>
      <c r="AQ744" s="124"/>
      <c r="AR744" s="88"/>
      <c r="AS744" s="338"/>
      <c r="AT744" s="29"/>
      <c r="AU744" s="30"/>
      <c r="AV744" s="124"/>
    </row>
    <row r="745" spans="1:48" s="62" customFormat="1" x14ac:dyDescent="0.3">
      <c r="A745" s="196" t="s">
        <v>603</v>
      </c>
      <c r="C745" s="337"/>
      <c r="D745" s="337"/>
      <c r="E745" s="337"/>
      <c r="F745" s="338"/>
      <c r="G745" s="338"/>
      <c r="H745" s="338"/>
      <c r="I745" s="338"/>
      <c r="J745" s="338"/>
      <c r="K745" s="339"/>
      <c r="L745" s="338"/>
      <c r="M745" s="339"/>
      <c r="N745" s="88"/>
      <c r="O745" s="338"/>
      <c r="P745" s="339"/>
      <c r="Q745" s="123"/>
      <c r="R745" s="124"/>
      <c r="S745" s="88"/>
      <c r="T745" s="338"/>
      <c r="U745" s="339"/>
      <c r="V745" s="123"/>
      <c r="W745" s="124"/>
      <c r="X745" s="340"/>
      <c r="Y745" s="338"/>
      <c r="Z745" s="339"/>
      <c r="AA745" s="30"/>
      <c r="AB745" s="124"/>
      <c r="AC745" s="88"/>
      <c r="AD745" s="402">
        <f>AD499</f>
        <v>1311.84</v>
      </c>
      <c r="AE745" s="341"/>
      <c r="AF745" s="30"/>
      <c r="AG745" s="124"/>
      <c r="AH745" s="88"/>
      <c r="AI745" s="338"/>
      <c r="AJ745" s="29"/>
      <c r="AK745" s="30"/>
      <c r="AL745" s="124"/>
      <c r="AM745" s="88"/>
      <c r="AN745" s="338"/>
      <c r="AO745" s="29"/>
      <c r="AP745" s="30"/>
      <c r="AQ745" s="124"/>
      <c r="AR745" s="88"/>
      <c r="AS745" s="338"/>
      <c r="AT745" s="29"/>
      <c r="AU745" s="30"/>
      <c r="AV745" s="124"/>
    </row>
    <row r="746" spans="1:48" s="62" customFormat="1" x14ac:dyDescent="0.3">
      <c r="A746" s="196" t="s">
        <v>604</v>
      </c>
      <c r="C746" s="337"/>
      <c r="D746" s="337"/>
      <c r="E746" s="337"/>
      <c r="F746" s="338"/>
      <c r="G746" s="338"/>
      <c r="H746" s="338"/>
      <c r="I746" s="338"/>
      <c r="J746" s="338"/>
      <c r="K746" s="339"/>
      <c r="L746" s="338"/>
      <c r="M746" s="339"/>
      <c r="N746" s="88"/>
      <c r="O746" s="338"/>
      <c r="P746" s="339"/>
      <c r="Q746" s="123"/>
      <c r="R746" s="124"/>
      <c r="S746" s="88"/>
      <c r="T746" s="338"/>
      <c r="U746" s="339"/>
      <c r="V746" s="123"/>
      <c r="W746" s="124"/>
      <c r="X746" s="340"/>
      <c r="Y746" s="338"/>
      <c r="Z746" s="339"/>
      <c r="AA746" s="30"/>
      <c r="AB746" s="124"/>
      <c r="AC746" s="88"/>
      <c r="AD746" s="402">
        <f>AD500</f>
        <v>423.09</v>
      </c>
      <c r="AE746" s="341"/>
      <c r="AF746" s="30"/>
      <c r="AG746" s="124"/>
      <c r="AH746" s="88"/>
      <c r="AI746" s="338"/>
      <c r="AJ746" s="29"/>
      <c r="AK746" s="30"/>
      <c r="AL746" s="124"/>
      <c r="AM746" s="88"/>
      <c r="AN746" s="338"/>
      <c r="AO746" s="29"/>
      <c r="AP746" s="30"/>
      <c r="AQ746" s="124"/>
      <c r="AR746" s="88"/>
      <c r="AS746" s="338"/>
      <c r="AT746" s="29"/>
      <c r="AU746" s="30"/>
      <c r="AV746" s="124"/>
    </row>
    <row r="747" spans="1:48" s="62" customFormat="1" x14ac:dyDescent="0.3">
      <c r="A747" s="401"/>
      <c r="C747" s="337"/>
      <c r="D747" s="337"/>
      <c r="E747" s="337"/>
      <c r="F747" s="338"/>
      <c r="G747" s="338"/>
      <c r="H747" s="338"/>
      <c r="I747" s="338"/>
      <c r="J747" s="338"/>
      <c r="K747" s="339"/>
      <c r="L747" s="338"/>
      <c r="M747" s="339"/>
      <c r="N747" s="88"/>
      <c r="O747" s="338"/>
      <c r="P747" s="339"/>
      <c r="Q747" s="123"/>
      <c r="R747" s="124"/>
      <c r="S747" s="88"/>
      <c r="T747" s="338"/>
      <c r="U747" s="339"/>
      <c r="V747" s="123"/>
      <c r="W747" s="124"/>
      <c r="X747" s="340"/>
      <c r="Y747" s="338"/>
      <c r="Z747" s="339"/>
      <c r="AA747" s="30"/>
      <c r="AB747" s="124"/>
      <c r="AC747" s="88"/>
      <c r="AD747" s="338"/>
      <c r="AE747" s="341"/>
      <c r="AF747" s="30"/>
      <c r="AG747" s="124"/>
      <c r="AH747" s="88"/>
      <c r="AI747" s="338"/>
      <c r="AJ747" s="29"/>
      <c r="AK747" s="30"/>
      <c r="AL747" s="124"/>
      <c r="AM747" s="88"/>
      <c r="AN747" s="338"/>
      <c r="AO747" s="29"/>
      <c r="AP747" s="30"/>
      <c r="AQ747" s="124"/>
      <c r="AR747" s="88"/>
      <c r="AS747" s="338"/>
      <c r="AT747" s="29"/>
      <c r="AU747" s="30"/>
      <c r="AV747" s="124"/>
    </row>
    <row r="748" spans="1:48" s="62" customFormat="1" x14ac:dyDescent="0.3">
      <c r="A748" s="401"/>
      <c r="C748" s="337"/>
      <c r="D748" s="337"/>
      <c r="E748" s="337"/>
      <c r="F748" s="338"/>
      <c r="G748" s="338"/>
      <c r="H748" s="338"/>
      <c r="I748" s="338"/>
      <c r="J748" s="338"/>
      <c r="K748" s="339"/>
      <c r="L748" s="338"/>
      <c r="M748" s="339"/>
      <c r="N748" s="88"/>
      <c r="O748" s="338"/>
      <c r="P748" s="339"/>
      <c r="Q748" s="123"/>
      <c r="R748" s="124"/>
      <c r="S748" s="88"/>
      <c r="T748" s="338"/>
      <c r="U748" s="339"/>
      <c r="V748" s="123"/>
      <c r="W748" s="124"/>
      <c r="X748" s="340"/>
      <c r="Y748" s="338"/>
      <c r="Z748" s="339"/>
      <c r="AA748" s="30"/>
      <c r="AB748" s="124"/>
      <c r="AC748" s="88"/>
      <c r="AD748" s="338"/>
      <c r="AE748" s="341"/>
      <c r="AF748" s="30"/>
      <c r="AG748" s="124"/>
      <c r="AH748" s="88"/>
      <c r="AI748" s="338"/>
      <c r="AJ748" s="29"/>
      <c r="AK748" s="30"/>
      <c r="AL748" s="124"/>
      <c r="AM748" s="88"/>
      <c r="AN748" s="338"/>
      <c r="AO748" s="29"/>
      <c r="AP748" s="30"/>
      <c r="AQ748" s="124"/>
      <c r="AR748" s="88"/>
      <c r="AS748" s="338"/>
      <c r="AT748" s="29"/>
      <c r="AU748" s="30"/>
      <c r="AV748" s="124"/>
    </row>
    <row r="749" spans="1:48" s="62" customFormat="1" ht="18" x14ac:dyDescent="0.3">
      <c r="A749" s="400" t="s">
        <v>605</v>
      </c>
      <c r="C749" s="337"/>
      <c r="D749" s="337"/>
      <c r="E749" s="337"/>
      <c r="F749" s="338"/>
      <c r="G749" s="338"/>
      <c r="H749" s="338"/>
      <c r="I749" s="338"/>
      <c r="J749" s="338"/>
      <c r="K749" s="339"/>
      <c r="L749" s="338"/>
      <c r="M749" s="339"/>
      <c r="N749" s="88"/>
      <c r="O749" s="338"/>
      <c r="P749" s="339"/>
      <c r="Q749" s="123"/>
      <c r="R749" s="124"/>
      <c r="S749" s="88"/>
      <c r="T749" s="338"/>
      <c r="U749" s="339"/>
      <c r="V749" s="123"/>
      <c r="W749" s="124"/>
      <c r="X749" s="340"/>
      <c r="Y749" s="338"/>
      <c r="Z749" s="339"/>
      <c r="AA749" s="30"/>
      <c r="AB749" s="124"/>
      <c r="AC749" s="88"/>
      <c r="AD749" s="338">
        <f>SUM(AD750:AD752,AD755:AD756)</f>
        <v>6826.09</v>
      </c>
      <c r="AE749" s="341"/>
      <c r="AF749" s="30"/>
      <c r="AG749" s="124"/>
      <c r="AH749" s="88"/>
      <c r="AI749" s="338"/>
      <c r="AJ749" s="29"/>
      <c r="AK749" s="30"/>
      <c r="AL749" s="124"/>
      <c r="AM749" s="88"/>
      <c r="AN749" s="338"/>
      <c r="AO749" s="29"/>
      <c r="AP749" s="30"/>
      <c r="AQ749" s="124"/>
      <c r="AR749" s="88"/>
      <c r="AS749" s="338"/>
      <c r="AT749" s="29"/>
      <c r="AU749" s="30"/>
      <c r="AV749" s="124"/>
    </row>
    <row r="750" spans="1:48" s="62" customFormat="1" outlineLevel="1" x14ac:dyDescent="0.3">
      <c r="A750" s="188" t="s">
        <v>334</v>
      </c>
      <c r="C750" s="337"/>
      <c r="D750" s="337"/>
      <c r="E750" s="337"/>
      <c r="F750" s="338"/>
      <c r="G750" s="338"/>
      <c r="H750" s="338"/>
      <c r="I750" s="338"/>
      <c r="J750" s="338"/>
      <c r="K750" s="339"/>
      <c r="L750" s="338"/>
      <c r="M750" s="339"/>
      <c r="N750" s="88"/>
      <c r="O750" s="338"/>
      <c r="P750" s="339"/>
      <c r="Q750" s="123"/>
      <c r="R750" s="124"/>
      <c r="S750" s="88"/>
      <c r="T750" s="338"/>
      <c r="U750" s="339"/>
      <c r="V750" s="123"/>
      <c r="W750" s="124"/>
      <c r="X750" s="340"/>
      <c r="Y750" s="338"/>
      <c r="Z750" s="339"/>
      <c r="AA750" s="30"/>
      <c r="AB750" s="124"/>
      <c r="AC750" s="88"/>
      <c r="AD750" s="338">
        <f>AD376</f>
        <v>0</v>
      </c>
      <c r="AE750" s="341"/>
      <c r="AF750" s="30"/>
      <c r="AG750" s="124"/>
      <c r="AH750" s="88"/>
      <c r="AI750" s="338"/>
      <c r="AJ750" s="29"/>
      <c r="AK750" s="30"/>
      <c r="AL750" s="124"/>
      <c r="AM750" s="88"/>
      <c r="AN750" s="338"/>
      <c r="AO750" s="29"/>
      <c r="AP750" s="30"/>
      <c r="AQ750" s="124"/>
      <c r="AR750" s="88"/>
      <c r="AS750" s="338"/>
      <c r="AT750" s="29"/>
      <c r="AU750" s="30"/>
      <c r="AV750" s="124"/>
    </row>
    <row r="751" spans="1:48" s="62" customFormat="1" outlineLevel="1" x14ac:dyDescent="0.3">
      <c r="A751" s="188" t="s">
        <v>341</v>
      </c>
      <c r="C751" s="337"/>
      <c r="D751" s="337"/>
      <c r="E751" s="337"/>
      <c r="F751" s="338"/>
      <c r="G751" s="338"/>
      <c r="H751" s="338"/>
      <c r="I751" s="338"/>
      <c r="J751" s="338"/>
      <c r="K751" s="339"/>
      <c r="L751" s="338"/>
      <c r="M751" s="339"/>
      <c r="N751" s="88"/>
      <c r="O751" s="338"/>
      <c r="P751" s="339"/>
      <c r="Q751" s="123"/>
      <c r="R751" s="124"/>
      <c r="S751" s="88"/>
      <c r="T751" s="338"/>
      <c r="U751" s="339"/>
      <c r="V751" s="123"/>
      <c r="W751" s="124"/>
      <c r="X751" s="340"/>
      <c r="Y751" s="338"/>
      <c r="Z751" s="339"/>
      <c r="AA751" s="30"/>
      <c r="AB751" s="124"/>
      <c r="AC751" s="88"/>
      <c r="AD751" s="338">
        <f>AD383</f>
        <v>0</v>
      </c>
      <c r="AE751" s="341"/>
      <c r="AF751" s="30"/>
      <c r="AG751" s="124"/>
      <c r="AH751" s="88"/>
      <c r="AI751" s="338"/>
      <c r="AJ751" s="29"/>
      <c r="AK751" s="30"/>
      <c r="AL751" s="124"/>
      <c r="AM751" s="88"/>
      <c r="AN751" s="338"/>
      <c r="AO751" s="29"/>
      <c r="AP751" s="30"/>
      <c r="AQ751" s="124"/>
      <c r="AR751" s="88"/>
      <c r="AS751" s="338"/>
      <c r="AT751" s="29"/>
      <c r="AU751" s="30"/>
      <c r="AV751" s="124"/>
    </row>
    <row r="752" spans="1:48" s="62" customFormat="1" outlineLevel="1" x14ac:dyDescent="0.3">
      <c r="A752" s="188" t="s">
        <v>348</v>
      </c>
      <c r="C752" s="337"/>
      <c r="D752" s="337"/>
      <c r="E752" s="337"/>
      <c r="F752" s="338"/>
      <c r="G752" s="338"/>
      <c r="H752" s="338"/>
      <c r="I752" s="338"/>
      <c r="J752" s="338"/>
      <c r="K752" s="339"/>
      <c r="L752" s="338"/>
      <c r="M752" s="339"/>
      <c r="N752" s="88"/>
      <c r="O752" s="338"/>
      <c r="P752" s="339"/>
      <c r="Q752" s="123"/>
      <c r="R752" s="124"/>
      <c r="S752" s="88"/>
      <c r="T752" s="338"/>
      <c r="U752" s="339"/>
      <c r="V752" s="123"/>
      <c r="W752" s="124"/>
      <c r="X752" s="340"/>
      <c r="Y752" s="338"/>
      <c r="Z752" s="339"/>
      <c r="AA752" s="30"/>
      <c r="AB752" s="124"/>
      <c r="AC752" s="88"/>
      <c r="AD752" s="338">
        <f>SUM(AD753:AD754)</f>
        <v>0</v>
      </c>
      <c r="AE752" s="341"/>
      <c r="AF752" s="30"/>
      <c r="AG752" s="124"/>
      <c r="AH752" s="88"/>
      <c r="AI752" s="338"/>
      <c r="AJ752" s="29"/>
      <c r="AK752" s="30"/>
      <c r="AL752" s="124"/>
      <c r="AM752" s="88"/>
      <c r="AN752" s="338"/>
      <c r="AO752" s="29"/>
      <c r="AP752" s="30"/>
      <c r="AQ752" s="124"/>
      <c r="AR752" s="88"/>
      <c r="AS752" s="338"/>
      <c r="AT752" s="29"/>
      <c r="AU752" s="30"/>
      <c r="AV752" s="124"/>
    </row>
    <row r="753" spans="1:48" s="62" customFormat="1" outlineLevel="2" x14ac:dyDescent="0.3">
      <c r="A753" s="190" t="s">
        <v>349</v>
      </c>
      <c r="C753" s="337"/>
      <c r="D753" s="337"/>
      <c r="E753" s="337"/>
      <c r="F753" s="338"/>
      <c r="G753" s="338"/>
      <c r="H753" s="338"/>
      <c r="I753" s="338"/>
      <c r="J753" s="338"/>
      <c r="K753" s="339"/>
      <c r="L753" s="338"/>
      <c r="M753" s="339"/>
      <c r="N753" s="88"/>
      <c r="O753" s="338"/>
      <c r="P753" s="339"/>
      <c r="Q753" s="123"/>
      <c r="R753" s="124"/>
      <c r="S753" s="88"/>
      <c r="T753" s="338"/>
      <c r="U753" s="339"/>
      <c r="V753" s="123"/>
      <c r="W753" s="124"/>
      <c r="X753" s="340"/>
      <c r="Y753" s="338"/>
      <c r="Z753" s="339"/>
      <c r="AA753" s="30"/>
      <c r="AB753" s="124"/>
      <c r="AC753" s="88"/>
      <c r="AD753" s="393">
        <f>AD391</f>
        <v>0</v>
      </c>
      <c r="AE753" s="341"/>
      <c r="AF753" s="30"/>
      <c r="AG753" s="124"/>
      <c r="AH753" s="88"/>
      <c r="AI753" s="338"/>
      <c r="AJ753" s="29"/>
      <c r="AK753" s="30"/>
      <c r="AL753" s="124"/>
      <c r="AM753" s="88"/>
      <c r="AN753" s="338"/>
      <c r="AO753" s="29"/>
      <c r="AP753" s="30"/>
      <c r="AQ753" s="124"/>
      <c r="AR753" s="88"/>
      <c r="AS753" s="338"/>
      <c r="AT753" s="29"/>
      <c r="AU753" s="30"/>
      <c r="AV753" s="124"/>
    </row>
    <row r="754" spans="1:48" s="62" customFormat="1" outlineLevel="2" x14ac:dyDescent="0.3">
      <c r="A754" s="190" t="s">
        <v>350</v>
      </c>
      <c r="C754" s="337"/>
      <c r="D754" s="337"/>
      <c r="E754" s="337"/>
      <c r="F754" s="338"/>
      <c r="G754" s="338"/>
      <c r="H754" s="338"/>
      <c r="I754" s="338"/>
      <c r="J754" s="338"/>
      <c r="K754" s="339"/>
      <c r="L754" s="338"/>
      <c r="M754" s="339"/>
      <c r="N754" s="88"/>
      <c r="O754" s="338"/>
      <c r="P754" s="339"/>
      <c r="Q754" s="123"/>
      <c r="R754" s="124"/>
      <c r="S754" s="88"/>
      <c r="T754" s="338"/>
      <c r="U754" s="339"/>
      <c r="V754" s="123"/>
      <c r="W754" s="124"/>
      <c r="X754" s="340"/>
      <c r="Y754" s="338"/>
      <c r="Z754" s="339"/>
      <c r="AA754" s="30"/>
      <c r="AB754" s="124"/>
      <c r="AC754" s="88"/>
      <c r="AD754" s="393">
        <f>AD392</f>
        <v>0</v>
      </c>
      <c r="AE754" s="341"/>
      <c r="AF754" s="30"/>
      <c r="AG754" s="124"/>
      <c r="AH754" s="88"/>
      <c r="AI754" s="338"/>
      <c r="AJ754" s="29"/>
      <c r="AK754" s="30"/>
      <c r="AL754" s="124"/>
      <c r="AM754" s="88"/>
      <c r="AN754" s="338"/>
      <c r="AO754" s="29"/>
      <c r="AP754" s="30"/>
      <c r="AQ754" s="124"/>
      <c r="AR754" s="88"/>
      <c r="AS754" s="338"/>
      <c r="AT754" s="29"/>
      <c r="AU754" s="30"/>
      <c r="AV754" s="124"/>
    </row>
    <row r="755" spans="1:48" s="62" customFormat="1" outlineLevel="1" x14ac:dyDescent="0.3">
      <c r="A755" s="401" t="s">
        <v>394</v>
      </c>
      <c r="C755" s="337"/>
      <c r="D755" s="337"/>
      <c r="E755" s="337"/>
      <c r="F755" s="338"/>
      <c r="G755" s="338"/>
      <c r="H755" s="338"/>
      <c r="I755" s="338"/>
      <c r="J755" s="338"/>
      <c r="K755" s="339"/>
      <c r="L755" s="338"/>
      <c r="M755" s="339"/>
      <c r="N755" s="88"/>
      <c r="O755" s="338"/>
      <c r="P755" s="339"/>
      <c r="Q755" s="123"/>
      <c r="R755" s="124"/>
      <c r="S755" s="88"/>
      <c r="T755" s="338"/>
      <c r="U755" s="339"/>
      <c r="V755" s="123"/>
      <c r="W755" s="124"/>
      <c r="X755" s="340"/>
      <c r="Y755" s="338"/>
      <c r="Z755" s="339"/>
      <c r="AA755" s="30"/>
      <c r="AB755" s="124"/>
      <c r="AC755" s="88"/>
      <c r="AD755" s="338">
        <f>AD437</f>
        <v>2206.09</v>
      </c>
      <c r="AE755" s="341"/>
      <c r="AF755" s="30"/>
      <c r="AG755" s="124"/>
      <c r="AH755" s="88"/>
      <c r="AI755" s="338"/>
      <c r="AJ755" s="29"/>
      <c r="AK755" s="30"/>
      <c r="AL755" s="124"/>
      <c r="AM755" s="88"/>
      <c r="AN755" s="338"/>
      <c r="AO755" s="29"/>
      <c r="AP755" s="30"/>
      <c r="AQ755" s="124"/>
      <c r="AR755" s="88"/>
      <c r="AS755" s="338"/>
      <c r="AT755" s="29"/>
      <c r="AU755" s="30"/>
      <c r="AV755" s="124"/>
    </row>
    <row r="756" spans="1:48" s="62" customFormat="1" outlineLevel="1" x14ac:dyDescent="0.3">
      <c r="A756" s="401" t="s">
        <v>441</v>
      </c>
      <c r="C756" s="337"/>
      <c r="D756" s="337"/>
      <c r="E756" s="337"/>
      <c r="F756" s="338"/>
      <c r="G756" s="338"/>
      <c r="H756" s="338"/>
      <c r="I756" s="338"/>
      <c r="J756" s="338"/>
      <c r="K756" s="339"/>
      <c r="L756" s="338"/>
      <c r="M756" s="339"/>
      <c r="N756" s="88"/>
      <c r="O756" s="338"/>
      <c r="P756" s="339"/>
      <c r="Q756" s="123"/>
      <c r="R756" s="124"/>
      <c r="S756" s="88"/>
      <c r="T756" s="338"/>
      <c r="U756" s="339"/>
      <c r="V756" s="123"/>
      <c r="W756" s="124"/>
      <c r="X756" s="340"/>
      <c r="Y756" s="338"/>
      <c r="Z756" s="339"/>
      <c r="AA756" s="30"/>
      <c r="AB756" s="124"/>
      <c r="AC756" s="88"/>
      <c r="AD756" s="338">
        <f>AD489</f>
        <v>4620</v>
      </c>
      <c r="AE756" s="341"/>
      <c r="AF756" s="30"/>
      <c r="AG756" s="124"/>
      <c r="AH756" s="88"/>
      <c r="AI756" s="338"/>
      <c r="AJ756" s="29"/>
      <c r="AK756" s="30"/>
      <c r="AL756" s="124"/>
      <c r="AM756" s="88"/>
      <c r="AN756" s="338"/>
      <c r="AO756" s="29"/>
      <c r="AP756" s="30"/>
      <c r="AQ756" s="124"/>
      <c r="AR756" s="88"/>
      <c r="AS756" s="338"/>
      <c r="AT756" s="29"/>
      <c r="AU756" s="30"/>
      <c r="AV756" s="124"/>
    </row>
    <row r="757" spans="1:48" s="62" customFormat="1" outlineLevel="1" x14ac:dyDescent="0.3">
      <c r="A757" s="401"/>
      <c r="C757" s="337"/>
      <c r="D757" s="337"/>
      <c r="E757" s="337"/>
      <c r="F757" s="338"/>
      <c r="G757" s="338"/>
      <c r="H757" s="338"/>
      <c r="I757" s="338"/>
      <c r="J757" s="338"/>
      <c r="K757" s="339"/>
      <c r="L757" s="338"/>
      <c r="M757" s="339"/>
      <c r="N757" s="88"/>
      <c r="O757" s="338"/>
      <c r="P757" s="339"/>
      <c r="Q757" s="123"/>
      <c r="R757" s="124"/>
      <c r="S757" s="88"/>
      <c r="T757" s="338"/>
      <c r="U757" s="339"/>
      <c r="V757" s="123"/>
      <c r="W757" s="124"/>
      <c r="X757" s="340"/>
      <c r="Y757" s="338"/>
      <c r="Z757" s="339"/>
      <c r="AA757" s="30"/>
      <c r="AB757" s="124"/>
      <c r="AC757" s="88"/>
      <c r="AD757" s="338"/>
      <c r="AE757" s="341"/>
      <c r="AF757" s="30"/>
      <c r="AG757" s="124"/>
      <c r="AH757" s="88"/>
      <c r="AI757" s="338"/>
      <c r="AJ757" s="29"/>
      <c r="AK757" s="30"/>
      <c r="AL757" s="124"/>
      <c r="AM757" s="88"/>
      <c r="AN757" s="338"/>
      <c r="AO757" s="29"/>
      <c r="AP757" s="30"/>
      <c r="AQ757" s="124"/>
      <c r="AR757" s="88"/>
      <c r="AS757" s="338"/>
      <c r="AT757" s="29"/>
      <c r="AU757" s="30"/>
      <c r="AV757" s="124"/>
    </row>
    <row r="758" spans="1:48" s="62" customFormat="1" outlineLevel="1" x14ac:dyDescent="0.3">
      <c r="A758" s="401"/>
      <c r="C758" s="337"/>
      <c r="D758" s="337"/>
      <c r="E758" s="337"/>
      <c r="F758" s="338"/>
      <c r="G758" s="338"/>
      <c r="H758" s="338"/>
      <c r="I758" s="338"/>
      <c r="J758" s="338"/>
      <c r="K758" s="339"/>
      <c r="L758" s="338"/>
      <c r="M758" s="339"/>
      <c r="N758" s="88"/>
      <c r="O758" s="338"/>
      <c r="P758" s="339"/>
      <c r="Q758" s="123"/>
      <c r="R758" s="124"/>
      <c r="S758" s="88"/>
      <c r="T758" s="338"/>
      <c r="U758" s="339"/>
      <c r="V758" s="123"/>
      <c r="W758" s="124"/>
      <c r="X758" s="340"/>
      <c r="Y758" s="338"/>
      <c r="Z758" s="339"/>
      <c r="AA758" s="30"/>
      <c r="AB758" s="124"/>
      <c r="AC758" s="88"/>
      <c r="AD758" s="338"/>
      <c r="AE758" s="341"/>
      <c r="AF758" s="30"/>
      <c r="AG758" s="124"/>
      <c r="AH758" s="88"/>
      <c r="AI758" s="338"/>
      <c r="AJ758" s="29"/>
      <c r="AK758" s="30"/>
      <c r="AL758" s="124"/>
      <c r="AM758" s="88"/>
      <c r="AN758" s="338"/>
      <c r="AO758" s="29"/>
      <c r="AP758" s="30"/>
      <c r="AQ758" s="124"/>
      <c r="AR758" s="88"/>
      <c r="AS758" s="338"/>
      <c r="AT758" s="29"/>
      <c r="AU758" s="30"/>
      <c r="AV758" s="124"/>
    </row>
    <row r="759" spans="1:48" s="62" customFormat="1" outlineLevel="1" x14ac:dyDescent="0.3">
      <c r="A759" s="401"/>
      <c r="C759" s="337"/>
      <c r="D759" s="337"/>
      <c r="E759" s="337"/>
      <c r="F759" s="338"/>
      <c r="G759" s="338"/>
      <c r="H759" s="338"/>
      <c r="I759" s="338"/>
      <c r="J759" s="338"/>
      <c r="K759" s="339"/>
      <c r="L759" s="338"/>
      <c r="M759" s="339"/>
      <c r="N759" s="88"/>
      <c r="O759" s="338"/>
      <c r="P759" s="339"/>
      <c r="Q759" s="123"/>
      <c r="R759" s="124"/>
      <c r="S759" s="88"/>
      <c r="T759" s="338"/>
      <c r="U759" s="339"/>
      <c r="V759" s="123"/>
      <c r="W759" s="124"/>
      <c r="X759" s="340"/>
      <c r="Y759" s="338"/>
      <c r="Z759" s="339"/>
      <c r="AA759" s="30"/>
      <c r="AB759" s="124"/>
      <c r="AC759" s="88"/>
      <c r="AD759" s="338"/>
      <c r="AE759" s="341"/>
      <c r="AF759" s="30"/>
      <c r="AG759" s="124"/>
      <c r="AH759" s="88"/>
      <c r="AI759" s="338"/>
      <c r="AJ759" s="29"/>
      <c r="AK759" s="30"/>
      <c r="AL759" s="124"/>
      <c r="AM759" s="88"/>
      <c r="AN759" s="338"/>
      <c r="AO759" s="29"/>
      <c r="AP759" s="30"/>
      <c r="AQ759" s="124"/>
      <c r="AR759" s="88"/>
      <c r="AS759" s="338"/>
      <c r="AT759" s="29"/>
      <c r="AU759" s="30"/>
      <c r="AV759" s="124"/>
    </row>
    <row r="760" spans="1:48" s="62" customFormat="1" x14ac:dyDescent="0.3">
      <c r="A760" s="401"/>
      <c r="C760" s="337"/>
      <c r="D760" s="337"/>
      <c r="E760" s="337"/>
      <c r="F760" s="338"/>
      <c r="G760" s="338"/>
      <c r="H760" s="338"/>
      <c r="I760" s="338"/>
      <c r="J760" s="338"/>
      <c r="K760" s="339"/>
      <c r="L760" s="338"/>
      <c r="M760" s="339"/>
      <c r="N760" s="88"/>
      <c r="O760" s="338"/>
      <c r="P760" s="339"/>
      <c r="Q760" s="123"/>
      <c r="R760" s="124"/>
      <c r="S760" s="88"/>
      <c r="T760" s="338"/>
      <c r="U760" s="339"/>
      <c r="V760" s="123"/>
      <c r="W760" s="124"/>
      <c r="X760" s="340"/>
      <c r="Y760" s="338"/>
      <c r="Z760" s="339"/>
      <c r="AA760" s="30"/>
      <c r="AB760" s="124"/>
      <c r="AC760" s="88"/>
      <c r="AD760" s="338"/>
      <c r="AE760" s="341"/>
      <c r="AF760" s="30"/>
      <c r="AG760" s="124"/>
      <c r="AH760" s="88"/>
      <c r="AI760" s="338"/>
      <c r="AJ760" s="29"/>
      <c r="AK760" s="30"/>
      <c r="AL760" s="124"/>
      <c r="AM760" s="88"/>
      <c r="AN760" s="338"/>
      <c r="AO760" s="29"/>
      <c r="AP760" s="30"/>
      <c r="AQ760" s="124"/>
      <c r="AR760" s="88"/>
      <c r="AS760" s="338"/>
      <c r="AT760" s="29"/>
      <c r="AU760" s="30"/>
      <c r="AV760" s="124"/>
    </row>
    <row r="761" spans="1:48" s="62" customFormat="1" x14ac:dyDescent="0.3">
      <c r="A761" s="401" t="s">
        <v>448</v>
      </c>
      <c r="C761" s="337"/>
      <c r="D761" s="337"/>
      <c r="E761" s="337"/>
      <c r="F761" s="338"/>
      <c r="G761" s="338"/>
      <c r="H761" s="338"/>
      <c r="I761" s="338"/>
      <c r="J761" s="338"/>
      <c r="K761" s="339"/>
      <c r="L761" s="338"/>
      <c r="M761" s="339"/>
      <c r="N761" s="88"/>
      <c r="O761" s="338"/>
      <c r="P761" s="339"/>
      <c r="Q761" s="123"/>
      <c r="R761" s="124"/>
      <c r="S761" s="88"/>
      <c r="T761" s="338"/>
      <c r="U761" s="339"/>
      <c r="V761" s="123"/>
      <c r="W761" s="124"/>
      <c r="X761" s="340"/>
      <c r="Y761" s="338"/>
      <c r="Z761" s="339"/>
      <c r="AA761" s="30"/>
      <c r="AB761" s="124"/>
      <c r="AC761" s="88"/>
      <c r="AD761" s="338">
        <f>AD497</f>
        <v>2137.79</v>
      </c>
      <c r="AE761" s="341"/>
      <c r="AF761" s="30"/>
      <c r="AG761" s="124"/>
      <c r="AH761" s="88"/>
      <c r="AI761" s="338"/>
      <c r="AJ761" s="29"/>
      <c r="AK761" s="30"/>
      <c r="AL761" s="124"/>
      <c r="AM761" s="88"/>
      <c r="AN761" s="338"/>
      <c r="AO761" s="29"/>
      <c r="AP761" s="30"/>
      <c r="AQ761" s="124"/>
      <c r="AR761" s="88"/>
      <c r="AS761" s="338"/>
      <c r="AT761" s="29"/>
      <c r="AU761" s="30"/>
      <c r="AV761" s="124"/>
    </row>
    <row r="762" spans="1:48" s="62" customFormat="1" x14ac:dyDescent="0.3">
      <c r="A762" s="401"/>
      <c r="C762" s="337"/>
      <c r="D762" s="337"/>
      <c r="E762" s="337"/>
      <c r="F762" s="338"/>
      <c r="G762" s="338"/>
      <c r="H762" s="338"/>
      <c r="I762" s="338"/>
      <c r="J762" s="338"/>
      <c r="K762" s="339"/>
      <c r="L762" s="338"/>
      <c r="M762" s="339"/>
      <c r="N762" s="88"/>
      <c r="O762" s="338"/>
      <c r="P762" s="339"/>
      <c r="Q762" s="123"/>
      <c r="R762" s="124"/>
      <c r="S762" s="88"/>
      <c r="T762" s="338"/>
      <c r="U762" s="339"/>
      <c r="V762" s="123"/>
      <c r="W762" s="124"/>
      <c r="X762" s="340"/>
      <c r="Y762" s="338"/>
      <c r="Z762" s="339"/>
      <c r="AA762" s="30"/>
      <c r="AB762" s="124"/>
      <c r="AC762" s="88"/>
      <c r="AD762" s="338"/>
      <c r="AE762" s="341"/>
      <c r="AF762" s="30"/>
      <c r="AG762" s="124"/>
      <c r="AH762" s="88"/>
      <c r="AI762" s="338"/>
      <c r="AJ762" s="29"/>
      <c r="AK762" s="30"/>
      <c r="AL762" s="124"/>
      <c r="AM762" s="88"/>
      <c r="AN762" s="338"/>
      <c r="AO762" s="29"/>
      <c r="AP762" s="30"/>
      <c r="AQ762" s="124"/>
      <c r="AR762" s="88"/>
      <c r="AS762" s="338"/>
      <c r="AT762" s="29"/>
      <c r="AU762" s="30"/>
      <c r="AV762" s="124"/>
    </row>
    <row r="763" spans="1:48" s="62" customFormat="1" x14ac:dyDescent="0.3">
      <c r="A763" s="401"/>
      <c r="C763" s="337"/>
      <c r="D763" s="337"/>
      <c r="E763" s="337"/>
      <c r="F763" s="338"/>
      <c r="G763" s="338"/>
      <c r="H763" s="338"/>
      <c r="I763" s="338"/>
      <c r="J763" s="338"/>
      <c r="K763" s="339"/>
      <c r="L763" s="338"/>
      <c r="M763" s="339"/>
      <c r="N763" s="88"/>
      <c r="O763" s="338"/>
      <c r="P763" s="339"/>
      <c r="Q763" s="123"/>
      <c r="R763" s="124"/>
      <c r="S763" s="88"/>
      <c r="T763" s="338"/>
      <c r="U763" s="339"/>
      <c r="V763" s="123"/>
      <c r="W763" s="124"/>
      <c r="X763" s="340"/>
      <c r="Y763" s="338"/>
      <c r="Z763" s="339"/>
      <c r="AA763" s="30"/>
      <c r="AB763" s="124"/>
      <c r="AC763" s="88"/>
      <c r="AD763" s="338"/>
      <c r="AE763" s="341"/>
      <c r="AF763" s="30"/>
      <c r="AG763" s="124"/>
      <c r="AH763" s="88"/>
      <c r="AI763" s="338"/>
      <c r="AJ763" s="29"/>
      <c r="AK763" s="30"/>
      <c r="AL763" s="124"/>
      <c r="AM763" s="88"/>
      <c r="AN763" s="338"/>
      <c r="AO763" s="29"/>
      <c r="AP763" s="30"/>
      <c r="AQ763" s="124"/>
      <c r="AR763" s="88"/>
      <c r="AS763" s="338"/>
      <c r="AT763" s="29"/>
      <c r="AU763" s="30"/>
      <c r="AV763" s="124"/>
    </row>
    <row r="764" spans="1:48" s="62" customFormat="1" ht="18" x14ac:dyDescent="0.3">
      <c r="A764" s="400" t="s">
        <v>606</v>
      </c>
      <c r="C764" s="337"/>
      <c r="D764" s="337"/>
      <c r="E764" s="337"/>
      <c r="F764" s="338"/>
      <c r="G764" s="338"/>
      <c r="H764" s="338"/>
      <c r="I764" s="338"/>
      <c r="J764" s="338"/>
      <c r="K764" s="339"/>
      <c r="L764" s="338"/>
      <c r="M764" s="339"/>
      <c r="N764" s="88"/>
      <c r="O764" s="338"/>
      <c r="P764" s="339"/>
      <c r="Q764" s="123"/>
      <c r="R764" s="124"/>
      <c r="S764" s="88"/>
      <c r="T764" s="338"/>
      <c r="U764" s="339"/>
      <c r="V764" s="123"/>
      <c r="W764" s="124"/>
      <c r="X764" s="340"/>
      <c r="Y764" s="338"/>
      <c r="Z764" s="339"/>
      <c r="AA764" s="30"/>
      <c r="AB764" s="124"/>
      <c r="AC764" s="88"/>
      <c r="AD764" s="338"/>
      <c r="AE764" s="341"/>
      <c r="AF764" s="30"/>
      <c r="AG764" s="124"/>
      <c r="AH764" s="88"/>
      <c r="AI764" s="338"/>
      <c r="AJ764" s="29"/>
      <c r="AK764" s="30"/>
      <c r="AL764" s="124"/>
      <c r="AM764" s="88"/>
      <c r="AN764" s="338"/>
      <c r="AO764" s="29"/>
      <c r="AP764" s="30"/>
      <c r="AQ764" s="124"/>
      <c r="AR764" s="88"/>
      <c r="AS764" s="338"/>
      <c r="AT764" s="29"/>
      <c r="AU764" s="30"/>
      <c r="AV764" s="124"/>
    </row>
    <row r="765" spans="1:48" s="62" customFormat="1" x14ac:dyDescent="0.3">
      <c r="A765" s="188" t="s">
        <v>342</v>
      </c>
      <c r="C765" s="337"/>
      <c r="D765" s="337"/>
      <c r="E765" s="337"/>
      <c r="F765" s="338"/>
      <c r="G765" s="338"/>
      <c r="H765" s="338"/>
      <c r="I765" s="338"/>
      <c r="J765" s="338"/>
      <c r="K765" s="339"/>
      <c r="L765" s="338"/>
      <c r="M765" s="339"/>
      <c r="N765" s="88"/>
      <c r="O765" s="338"/>
      <c r="P765" s="339"/>
      <c r="Q765" s="123"/>
      <c r="R765" s="124"/>
      <c r="S765" s="88"/>
      <c r="T765" s="338"/>
      <c r="U765" s="339"/>
      <c r="V765" s="123"/>
      <c r="W765" s="124"/>
      <c r="X765" s="340"/>
      <c r="Y765" s="338"/>
      <c r="Z765" s="339"/>
      <c r="AA765" s="30"/>
      <c r="AB765" s="124"/>
      <c r="AC765" s="88"/>
      <c r="AD765" s="338"/>
      <c r="AE765" s="341"/>
      <c r="AF765" s="30"/>
      <c r="AG765" s="124"/>
      <c r="AH765" s="88"/>
      <c r="AI765" s="338"/>
      <c r="AJ765" s="29"/>
      <c r="AK765" s="30"/>
      <c r="AL765" s="124"/>
      <c r="AM765" s="88"/>
      <c r="AN765" s="338"/>
      <c r="AO765" s="29"/>
      <c r="AP765" s="30"/>
      <c r="AQ765" s="124"/>
      <c r="AR765" s="88"/>
      <c r="AS765" s="338"/>
      <c r="AT765" s="29"/>
      <c r="AU765" s="30"/>
      <c r="AV765" s="124"/>
    </row>
    <row r="766" spans="1:48" s="62" customFormat="1" x14ac:dyDescent="0.3">
      <c r="A766" s="188" t="s">
        <v>607</v>
      </c>
      <c r="C766" s="337"/>
      <c r="D766" s="337"/>
      <c r="E766" s="337"/>
      <c r="F766" s="338"/>
      <c r="G766" s="338"/>
      <c r="H766" s="338"/>
      <c r="I766" s="338"/>
      <c r="J766" s="338"/>
      <c r="K766" s="339"/>
      <c r="L766" s="338"/>
      <c r="M766" s="339"/>
      <c r="N766" s="88"/>
      <c r="O766" s="338"/>
      <c r="P766" s="339"/>
      <c r="Q766" s="123"/>
      <c r="R766" s="124"/>
      <c r="S766" s="88"/>
      <c r="T766" s="338"/>
      <c r="U766" s="339"/>
      <c r="V766" s="123"/>
      <c r="W766" s="124"/>
      <c r="X766" s="340"/>
      <c r="Y766" s="338"/>
      <c r="Z766" s="339"/>
      <c r="AA766" s="30"/>
      <c r="AB766" s="124"/>
      <c r="AC766" s="88"/>
      <c r="AD766" s="338"/>
      <c r="AE766" s="341"/>
      <c r="AF766" s="30"/>
      <c r="AG766" s="124"/>
      <c r="AH766" s="88"/>
      <c r="AI766" s="338"/>
      <c r="AJ766" s="29"/>
      <c r="AK766" s="30"/>
      <c r="AL766" s="124"/>
      <c r="AM766" s="88"/>
      <c r="AN766" s="338"/>
      <c r="AO766" s="29"/>
      <c r="AP766" s="30"/>
      <c r="AQ766" s="124"/>
      <c r="AR766" s="88"/>
      <c r="AS766" s="338"/>
      <c r="AT766" s="29"/>
      <c r="AU766" s="30"/>
      <c r="AV766" s="124"/>
    </row>
    <row r="767" spans="1:48" s="62" customFormat="1" x14ac:dyDescent="0.3">
      <c r="A767" s="52"/>
      <c r="B767" s="336"/>
      <c r="C767" s="337"/>
      <c r="D767" s="337"/>
      <c r="E767" s="337"/>
      <c r="F767" s="338"/>
      <c r="G767" s="338"/>
      <c r="H767" s="338"/>
      <c r="I767" s="338"/>
      <c r="J767" s="338"/>
      <c r="K767" s="339"/>
      <c r="L767" s="338"/>
      <c r="M767" s="339"/>
      <c r="N767" s="88"/>
      <c r="O767" s="338"/>
      <c r="P767" s="339"/>
      <c r="Q767" s="123"/>
      <c r="R767" s="124"/>
      <c r="S767" s="88"/>
      <c r="T767" s="338"/>
      <c r="U767" s="339"/>
      <c r="V767" s="123"/>
      <c r="W767" s="124"/>
      <c r="X767" s="340"/>
      <c r="Y767" s="338"/>
      <c r="Z767" s="339"/>
      <c r="AA767" s="30"/>
      <c r="AB767" s="124"/>
      <c r="AC767" s="88"/>
      <c r="AD767" s="338"/>
      <c r="AE767" s="341"/>
      <c r="AF767" s="30"/>
      <c r="AG767" s="124"/>
      <c r="AH767" s="88"/>
      <c r="AI767" s="338"/>
      <c r="AJ767" s="29"/>
      <c r="AK767" s="30"/>
      <c r="AL767" s="124"/>
      <c r="AM767" s="88"/>
      <c r="AN767" s="338"/>
      <c r="AO767" s="29"/>
      <c r="AP767" s="30"/>
      <c r="AQ767" s="124"/>
      <c r="AR767" s="88"/>
      <c r="AS767" s="338"/>
      <c r="AT767" s="29"/>
      <c r="AU767" s="30"/>
      <c r="AV767" s="124"/>
    </row>
    <row r="768" spans="1:48" s="62" customFormat="1" x14ac:dyDescent="0.3">
      <c r="A768" s="52"/>
      <c r="B768" s="336"/>
      <c r="C768" s="337"/>
      <c r="D768" s="337"/>
      <c r="E768" s="337"/>
      <c r="F768" s="338"/>
      <c r="G768" s="338"/>
      <c r="H768" s="338"/>
      <c r="I768" s="338"/>
      <c r="J768" s="338"/>
      <c r="K768" s="339"/>
      <c r="L768" s="338"/>
      <c r="M768" s="339"/>
      <c r="N768" s="88"/>
      <c r="O768" s="338"/>
      <c r="P768" s="339"/>
      <c r="Q768" s="123"/>
      <c r="R768" s="124"/>
      <c r="S768" s="88"/>
      <c r="T768" s="338"/>
      <c r="U768" s="339"/>
      <c r="V768" s="123"/>
      <c r="W768" s="124"/>
      <c r="X768" s="340"/>
      <c r="Y768" s="338"/>
      <c r="Z768" s="339"/>
      <c r="AA768" s="30"/>
      <c r="AB768" s="124"/>
      <c r="AC768" s="88"/>
      <c r="AD768" s="338"/>
      <c r="AE768" s="341"/>
      <c r="AF768" s="30"/>
      <c r="AG768" s="124"/>
      <c r="AH768" s="88"/>
      <c r="AI768" s="338"/>
      <c r="AJ768" s="29"/>
      <c r="AK768" s="30"/>
      <c r="AL768" s="124"/>
      <c r="AM768" s="88"/>
      <c r="AN768" s="338"/>
      <c r="AO768" s="29"/>
      <c r="AP768" s="30"/>
      <c r="AQ768" s="124"/>
      <c r="AR768" s="88"/>
      <c r="AS768" s="338"/>
      <c r="AT768" s="29"/>
      <c r="AU768" s="30"/>
      <c r="AV768" s="124"/>
    </row>
    <row r="769" spans="1:48" s="62" customFormat="1" x14ac:dyDescent="0.3">
      <c r="A769" s="52"/>
      <c r="B769" s="336"/>
      <c r="C769" s="337"/>
      <c r="D769" s="337"/>
      <c r="E769" s="337"/>
      <c r="F769" s="338"/>
      <c r="G769" s="338"/>
      <c r="H769" s="338"/>
      <c r="I769" s="338"/>
      <c r="J769" s="338"/>
      <c r="K769" s="339"/>
      <c r="L769" s="338"/>
      <c r="M769" s="339"/>
      <c r="N769" s="88"/>
      <c r="O769" s="338"/>
      <c r="P769" s="339"/>
      <c r="Q769" s="123"/>
      <c r="R769" s="124"/>
      <c r="S769" s="88"/>
      <c r="T769" s="338"/>
      <c r="U769" s="339"/>
      <c r="V769" s="123"/>
      <c r="W769" s="124"/>
      <c r="X769" s="340"/>
      <c r="Y769" s="338"/>
      <c r="Z769" s="339"/>
      <c r="AA769" s="30"/>
      <c r="AB769" s="124"/>
      <c r="AC769" s="88"/>
      <c r="AD769" s="338"/>
      <c r="AE769" s="341"/>
      <c r="AF769" s="30"/>
      <c r="AG769" s="124"/>
      <c r="AH769" s="88"/>
      <c r="AI769" s="338"/>
      <c r="AJ769" s="29"/>
      <c r="AK769" s="30"/>
      <c r="AL769" s="124"/>
      <c r="AM769" s="88"/>
      <c r="AN769" s="338"/>
      <c r="AO769" s="29"/>
      <c r="AP769" s="30"/>
      <c r="AQ769" s="124"/>
      <c r="AR769" s="88"/>
      <c r="AS769" s="338"/>
      <c r="AT769" s="29"/>
      <c r="AU769" s="30"/>
      <c r="AV769" s="124"/>
    </row>
    <row r="770" spans="1:48" s="62" customFormat="1" x14ac:dyDescent="0.3">
      <c r="A770" s="52"/>
      <c r="B770" s="336"/>
      <c r="C770" s="337"/>
      <c r="D770" s="337"/>
      <c r="E770" s="337"/>
      <c r="F770" s="338"/>
      <c r="G770" s="338"/>
      <c r="H770" s="338"/>
      <c r="I770" s="338"/>
      <c r="J770" s="338"/>
      <c r="K770" s="339"/>
      <c r="L770" s="338"/>
      <c r="M770" s="339"/>
      <c r="N770" s="88"/>
      <c r="O770" s="338"/>
      <c r="P770" s="339"/>
      <c r="Q770" s="123"/>
      <c r="R770" s="124"/>
      <c r="S770" s="88"/>
      <c r="T770" s="338"/>
      <c r="U770" s="339"/>
      <c r="V770" s="123"/>
      <c r="W770" s="124"/>
      <c r="X770" s="340"/>
      <c r="Y770" s="338"/>
      <c r="Z770" s="339"/>
      <c r="AA770" s="30"/>
      <c r="AB770" s="124"/>
      <c r="AC770" s="88"/>
      <c r="AD770" s="338"/>
      <c r="AE770" s="341"/>
      <c r="AF770" s="30"/>
      <c r="AG770" s="124"/>
      <c r="AH770" s="88"/>
      <c r="AI770" s="338"/>
      <c r="AJ770" s="29"/>
      <c r="AK770" s="30"/>
      <c r="AL770" s="124"/>
      <c r="AM770" s="88"/>
      <c r="AN770" s="338"/>
      <c r="AO770" s="29"/>
      <c r="AP770" s="30"/>
      <c r="AQ770" s="124"/>
      <c r="AR770" s="88"/>
      <c r="AS770" s="338"/>
      <c r="AT770" s="29"/>
      <c r="AU770" s="30"/>
      <c r="AV770" s="124"/>
    </row>
    <row r="771" spans="1:48" s="62" customFormat="1" x14ac:dyDescent="0.3">
      <c r="A771" s="52"/>
      <c r="B771" s="336"/>
      <c r="C771" s="337"/>
      <c r="D771" s="337"/>
      <c r="E771" s="337"/>
      <c r="F771" s="338"/>
      <c r="G771" s="338"/>
      <c r="H771" s="338"/>
      <c r="I771" s="338"/>
      <c r="J771" s="338"/>
      <c r="K771" s="339"/>
      <c r="L771" s="338"/>
      <c r="M771" s="339"/>
      <c r="N771" s="88"/>
      <c r="O771" s="338"/>
      <c r="P771" s="339"/>
      <c r="Q771" s="123"/>
      <c r="R771" s="124"/>
      <c r="S771" s="88"/>
      <c r="T771" s="338"/>
      <c r="U771" s="339"/>
      <c r="V771" s="123"/>
      <c r="W771" s="124"/>
      <c r="X771" s="340"/>
      <c r="Y771" s="338"/>
      <c r="Z771" s="339"/>
      <c r="AA771" s="30"/>
      <c r="AB771" s="124"/>
      <c r="AC771" s="88"/>
      <c r="AD771" s="338"/>
      <c r="AE771" s="341"/>
      <c r="AF771" s="30"/>
      <c r="AG771" s="124"/>
      <c r="AH771" s="88"/>
      <c r="AI771" s="338"/>
      <c r="AJ771" s="29"/>
      <c r="AK771" s="30"/>
      <c r="AL771" s="124"/>
      <c r="AM771" s="88"/>
      <c r="AN771" s="338"/>
      <c r="AO771" s="29"/>
      <c r="AP771" s="30"/>
      <c r="AQ771" s="124"/>
      <c r="AR771" s="88"/>
      <c r="AS771" s="338"/>
      <c r="AT771" s="29"/>
      <c r="AU771" s="30"/>
      <c r="AV771" s="124"/>
    </row>
    <row r="772" spans="1:48" s="62" customFormat="1" x14ac:dyDescent="0.3">
      <c r="A772" s="52"/>
      <c r="B772" s="336"/>
      <c r="C772" s="337"/>
      <c r="D772" s="337"/>
      <c r="E772" s="337"/>
      <c r="F772" s="338"/>
      <c r="G772" s="338"/>
      <c r="H772" s="338"/>
      <c r="I772" s="338"/>
      <c r="J772" s="338"/>
      <c r="K772" s="339"/>
      <c r="L772" s="338"/>
      <c r="M772" s="339"/>
      <c r="N772" s="88"/>
      <c r="O772" s="338"/>
      <c r="P772" s="339"/>
      <c r="Q772" s="123"/>
      <c r="R772" s="124"/>
      <c r="S772" s="88"/>
      <c r="T772" s="338"/>
      <c r="U772" s="339"/>
      <c r="V772" s="123"/>
      <c r="W772" s="124"/>
      <c r="X772" s="340"/>
      <c r="Y772" s="338"/>
      <c r="Z772" s="339"/>
      <c r="AA772" s="30"/>
      <c r="AB772" s="124"/>
      <c r="AC772" s="88"/>
      <c r="AD772" s="338"/>
      <c r="AE772" s="341"/>
      <c r="AF772" s="30"/>
      <c r="AG772" s="124"/>
      <c r="AH772" s="88"/>
      <c r="AI772" s="338"/>
      <c r="AJ772" s="29"/>
      <c r="AK772" s="30"/>
      <c r="AL772" s="124"/>
      <c r="AM772" s="88"/>
      <c r="AN772" s="338"/>
      <c r="AO772" s="29"/>
      <c r="AP772" s="30"/>
      <c r="AQ772" s="124"/>
      <c r="AR772" s="88"/>
      <c r="AS772" s="338"/>
      <c r="AT772" s="29"/>
      <c r="AU772" s="30"/>
      <c r="AV772" s="124"/>
    </row>
    <row r="773" spans="1:48" s="62" customFormat="1" x14ac:dyDescent="0.3">
      <c r="A773" s="52"/>
      <c r="B773" s="336"/>
      <c r="C773" s="337"/>
      <c r="D773" s="337"/>
      <c r="E773" s="337"/>
      <c r="F773" s="338"/>
      <c r="G773" s="338"/>
      <c r="H773" s="338"/>
      <c r="I773" s="338"/>
      <c r="J773" s="338"/>
      <c r="K773" s="339"/>
      <c r="L773" s="338"/>
      <c r="M773" s="339"/>
      <c r="N773" s="88"/>
      <c r="O773" s="338"/>
      <c r="P773" s="339"/>
      <c r="Q773" s="123"/>
      <c r="R773" s="124"/>
      <c r="S773" s="88"/>
      <c r="T773" s="338"/>
      <c r="U773" s="339"/>
      <c r="V773" s="123"/>
      <c r="W773" s="124"/>
      <c r="X773" s="340"/>
      <c r="Y773" s="338"/>
      <c r="Z773" s="339"/>
      <c r="AA773" s="30"/>
      <c r="AB773" s="124"/>
      <c r="AC773" s="88"/>
      <c r="AD773" s="338"/>
      <c r="AE773" s="341"/>
      <c r="AF773" s="30"/>
      <c r="AG773" s="124"/>
      <c r="AH773" s="88"/>
      <c r="AI773" s="338"/>
      <c r="AJ773" s="29"/>
      <c r="AK773" s="30"/>
      <c r="AL773" s="124"/>
      <c r="AM773" s="88"/>
      <c r="AN773" s="338"/>
      <c r="AO773" s="29"/>
      <c r="AP773" s="30"/>
      <c r="AQ773" s="124"/>
      <c r="AR773" s="88"/>
      <c r="AS773" s="338"/>
      <c r="AT773" s="29"/>
      <c r="AU773" s="30"/>
      <c r="AV773" s="124"/>
    </row>
    <row r="774" spans="1:48" s="62" customFormat="1" x14ac:dyDescent="0.3">
      <c r="A774" s="52"/>
      <c r="B774" s="336"/>
      <c r="C774" s="337"/>
      <c r="D774" s="337"/>
      <c r="E774" s="337"/>
      <c r="F774" s="338"/>
      <c r="G774" s="338"/>
      <c r="H774" s="338"/>
      <c r="I774" s="338"/>
      <c r="J774" s="338"/>
      <c r="K774" s="339"/>
      <c r="L774" s="338"/>
      <c r="M774" s="339"/>
      <c r="N774" s="88"/>
      <c r="O774" s="338"/>
      <c r="P774" s="339"/>
      <c r="Q774" s="123"/>
      <c r="R774" s="124"/>
      <c r="S774" s="88"/>
      <c r="T774" s="338"/>
      <c r="U774" s="339"/>
      <c r="V774" s="123"/>
      <c r="W774" s="124"/>
      <c r="X774" s="340"/>
      <c r="Y774" s="338"/>
      <c r="Z774" s="339"/>
      <c r="AA774" s="30"/>
      <c r="AB774" s="124"/>
      <c r="AC774" s="88"/>
      <c r="AD774" s="338"/>
      <c r="AE774" s="341"/>
      <c r="AF774" s="30"/>
      <c r="AG774" s="124"/>
      <c r="AH774" s="88"/>
      <c r="AI774" s="338"/>
      <c r="AJ774" s="29"/>
      <c r="AK774" s="30"/>
      <c r="AL774" s="124"/>
      <c r="AM774" s="88"/>
      <c r="AN774" s="338"/>
      <c r="AO774" s="29"/>
      <c r="AP774" s="30"/>
      <c r="AQ774" s="124"/>
      <c r="AR774" s="88"/>
      <c r="AS774" s="338"/>
      <c r="AT774" s="29"/>
      <c r="AU774" s="30"/>
      <c r="AV774" s="124"/>
    </row>
    <row r="775" spans="1:48" s="62" customFormat="1" x14ac:dyDescent="0.3">
      <c r="A775" s="52"/>
      <c r="B775" s="336"/>
      <c r="C775" s="337"/>
      <c r="D775" s="337"/>
      <c r="E775" s="337"/>
      <c r="F775" s="338"/>
      <c r="G775" s="338"/>
      <c r="H775" s="338"/>
      <c r="I775" s="338"/>
      <c r="J775" s="338"/>
      <c r="K775" s="339"/>
      <c r="L775" s="338"/>
      <c r="M775" s="339"/>
      <c r="N775" s="88"/>
      <c r="O775" s="338"/>
      <c r="P775" s="339"/>
      <c r="Q775" s="123"/>
      <c r="R775" s="124"/>
      <c r="S775" s="88"/>
      <c r="T775" s="338"/>
      <c r="U775" s="339"/>
      <c r="V775" s="123"/>
      <c r="W775" s="124"/>
      <c r="X775" s="340"/>
      <c r="Y775" s="338"/>
      <c r="Z775" s="339"/>
      <c r="AA775" s="30"/>
      <c r="AB775" s="124"/>
      <c r="AC775" s="88"/>
      <c r="AD775" s="338"/>
      <c r="AE775" s="341"/>
      <c r="AF775" s="30"/>
      <c r="AG775" s="124"/>
      <c r="AH775" s="88"/>
      <c r="AI775" s="338"/>
      <c r="AJ775" s="29"/>
      <c r="AK775" s="30"/>
      <c r="AL775" s="124"/>
      <c r="AM775" s="88"/>
      <c r="AN775" s="338"/>
      <c r="AO775" s="29"/>
      <c r="AP775" s="30"/>
      <c r="AQ775" s="124"/>
      <c r="AR775" s="88"/>
      <c r="AS775" s="338"/>
      <c r="AT775" s="29"/>
      <c r="AU775" s="30"/>
      <c r="AV775" s="124"/>
    </row>
    <row r="776" spans="1:48" s="62" customFormat="1" x14ac:dyDescent="0.3">
      <c r="A776" s="52"/>
      <c r="B776" s="336"/>
      <c r="C776" s="337"/>
      <c r="D776" s="337"/>
      <c r="E776" s="337"/>
      <c r="F776" s="338"/>
      <c r="G776" s="338"/>
      <c r="H776" s="338"/>
      <c r="I776" s="338"/>
      <c r="J776" s="338"/>
      <c r="K776" s="339"/>
      <c r="L776" s="338"/>
      <c r="M776" s="339"/>
      <c r="N776" s="88"/>
      <c r="O776" s="338"/>
      <c r="P776" s="339"/>
      <c r="Q776" s="123"/>
      <c r="R776" s="124"/>
      <c r="S776" s="88"/>
      <c r="T776" s="338"/>
      <c r="U776" s="339"/>
      <c r="V776" s="123"/>
      <c r="W776" s="124"/>
      <c r="X776" s="340"/>
      <c r="Y776" s="338"/>
      <c r="Z776" s="339"/>
      <c r="AA776" s="30"/>
      <c r="AB776" s="124"/>
      <c r="AC776" s="88"/>
      <c r="AD776" s="338"/>
      <c r="AE776" s="341"/>
      <c r="AF776" s="30"/>
      <c r="AG776" s="124"/>
      <c r="AH776" s="88"/>
      <c r="AI776" s="338"/>
      <c r="AJ776" s="29"/>
      <c r="AK776" s="30"/>
      <c r="AL776" s="124"/>
      <c r="AM776" s="88"/>
      <c r="AN776" s="338"/>
      <c r="AO776" s="29"/>
      <c r="AP776" s="30"/>
      <c r="AQ776" s="124"/>
      <c r="AR776" s="88"/>
      <c r="AS776" s="338"/>
      <c r="AT776" s="29"/>
      <c r="AU776" s="30"/>
      <c r="AV776" s="124"/>
    </row>
    <row r="777" spans="1:48" s="62" customFormat="1" x14ac:dyDescent="0.3">
      <c r="A777" s="52"/>
      <c r="B777" s="336"/>
      <c r="C777" s="337"/>
      <c r="D777" s="337"/>
      <c r="E777" s="337"/>
      <c r="F777" s="338"/>
      <c r="G777" s="338"/>
      <c r="H777" s="338"/>
      <c r="I777" s="338"/>
      <c r="J777" s="338"/>
      <c r="K777" s="339"/>
      <c r="L777" s="338"/>
      <c r="M777" s="339"/>
      <c r="N777" s="88"/>
      <c r="O777" s="338"/>
      <c r="P777" s="339"/>
      <c r="Q777" s="123"/>
      <c r="R777" s="124"/>
      <c r="S777" s="88"/>
      <c r="T777" s="338"/>
      <c r="U777" s="339"/>
      <c r="V777" s="123"/>
      <c r="W777" s="124"/>
      <c r="X777" s="340"/>
      <c r="Y777" s="338"/>
      <c r="Z777" s="339"/>
      <c r="AA777" s="30"/>
      <c r="AB777" s="124"/>
      <c r="AC777" s="88"/>
      <c r="AD777" s="338"/>
      <c r="AE777" s="341"/>
      <c r="AF777" s="30"/>
      <c r="AG777" s="124"/>
      <c r="AH777" s="88"/>
      <c r="AI777" s="338"/>
      <c r="AJ777" s="29"/>
      <c r="AK777" s="30"/>
      <c r="AL777" s="124"/>
      <c r="AM777" s="88"/>
      <c r="AN777" s="338"/>
      <c r="AO777" s="29"/>
      <c r="AP777" s="30"/>
      <c r="AQ777" s="124"/>
      <c r="AR777" s="88"/>
      <c r="AS777" s="338"/>
      <c r="AT777" s="29"/>
      <c r="AU777" s="30"/>
      <c r="AV777" s="124"/>
    </row>
    <row r="778" spans="1:48" s="62" customFormat="1" x14ac:dyDescent="0.3">
      <c r="A778" s="52"/>
      <c r="B778" s="336"/>
      <c r="C778" s="337"/>
      <c r="D778" s="337"/>
      <c r="E778" s="337"/>
      <c r="F778" s="338"/>
      <c r="G778" s="338"/>
      <c r="H778" s="338"/>
      <c r="I778" s="338"/>
      <c r="J778" s="338"/>
      <c r="K778" s="339"/>
      <c r="L778" s="338"/>
      <c r="M778" s="339"/>
      <c r="N778" s="88"/>
      <c r="O778" s="338"/>
      <c r="P778" s="339"/>
      <c r="Q778" s="123"/>
      <c r="R778" s="124"/>
      <c r="S778" s="88"/>
      <c r="T778" s="338"/>
      <c r="U778" s="339"/>
      <c r="V778" s="123"/>
      <c r="W778" s="124"/>
      <c r="X778" s="340"/>
      <c r="Y778" s="338"/>
      <c r="Z778" s="339"/>
      <c r="AA778" s="30"/>
      <c r="AB778" s="124"/>
      <c r="AC778" s="88"/>
      <c r="AD778" s="338"/>
      <c r="AE778" s="341"/>
      <c r="AF778" s="30"/>
      <c r="AG778" s="124"/>
      <c r="AH778" s="88"/>
      <c r="AI778" s="338"/>
      <c r="AJ778" s="29"/>
      <c r="AK778" s="30"/>
      <c r="AL778" s="124"/>
      <c r="AM778" s="88"/>
      <c r="AN778" s="338"/>
      <c r="AO778" s="29"/>
      <c r="AP778" s="30"/>
      <c r="AQ778" s="124"/>
      <c r="AR778" s="88"/>
      <c r="AS778" s="338"/>
      <c r="AT778" s="29"/>
      <c r="AU778" s="30"/>
      <c r="AV778" s="124"/>
    </row>
    <row r="779" spans="1:48" s="62" customFormat="1" x14ac:dyDescent="0.3">
      <c r="A779" s="52"/>
      <c r="B779" s="336"/>
      <c r="C779" s="337"/>
      <c r="D779" s="337"/>
      <c r="E779" s="337"/>
      <c r="F779" s="338"/>
      <c r="G779" s="338"/>
      <c r="H779" s="338"/>
      <c r="I779" s="338"/>
      <c r="J779" s="338"/>
      <c r="K779" s="339"/>
      <c r="L779" s="338"/>
      <c r="M779" s="339"/>
      <c r="N779" s="88"/>
      <c r="O779" s="338"/>
      <c r="P779" s="339"/>
      <c r="Q779" s="123"/>
      <c r="R779" s="124"/>
      <c r="S779" s="88"/>
      <c r="T779" s="338"/>
      <c r="U779" s="339"/>
      <c r="V779" s="123"/>
      <c r="W779" s="124"/>
      <c r="X779" s="340"/>
      <c r="Y779" s="338"/>
      <c r="Z779" s="339"/>
      <c r="AA779" s="30"/>
      <c r="AB779" s="124"/>
      <c r="AC779" s="88"/>
      <c r="AD779" s="338"/>
      <c r="AE779" s="341"/>
      <c r="AF779" s="30"/>
      <c r="AG779" s="124"/>
      <c r="AH779" s="88"/>
      <c r="AI779" s="338"/>
      <c r="AJ779" s="29"/>
      <c r="AK779" s="30"/>
      <c r="AL779" s="124"/>
      <c r="AM779" s="88"/>
      <c r="AN779" s="338"/>
      <c r="AO779" s="29"/>
      <c r="AP779" s="30"/>
      <c r="AQ779" s="124"/>
      <c r="AR779" s="88"/>
      <c r="AS779" s="338"/>
      <c r="AT779" s="29"/>
      <c r="AU779" s="30"/>
      <c r="AV779" s="124"/>
    </row>
    <row r="780" spans="1:48" s="62" customFormat="1" x14ac:dyDescent="0.3">
      <c r="A780" s="52"/>
      <c r="B780" s="336"/>
      <c r="C780" s="337"/>
      <c r="D780" s="337"/>
      <c r="E780" s="337"/>
      <c r="F780" s="338"/>
      <c r="G780" s="338"/>
      <c r="H780" s="338"/>
      <c r="I780" s="338"/>
      <c r="J780" s="338"/>
      <c r="K780" s="339"/>
      <c r="L780" s="338"/>
      <c r="M780" s="339"/>
      <c r="N780" s="88"/>
      <c r="O780" s="338"/>
      <c r="P780" s="339"/>
      <c r="Q780" s="123"/>
      <c r="R780" s="124"/>
      <c r="S780" s="88"/>
      <c r="T780" s="338"/>
      <c r="U780" s="339"/>
      <c r="V780" s="123"/>
      <c r="W780" s="124"/>
      <c r="X780" s="340"/>
      <c r="Y780" s="338"/>
      <c r="Z780" s="339"/>
      <c r="AA780" s="30"/>
      <c r="AB780" s="124"/>
      <c r="AC780" s="88"/>
      <c r="AD780" s="338"/>
      <c r="AE780" s="341"/>
      <c r="AF780" s="30"/>
      <c r="AG780" s="124"/>
      <c r="AH780" s="88"/>
      <c r="AI780" s="338"/>
      <c r="AJ780" s="29"/>
      <c r="AK780" s="30"/>
      <c r="AL780" s="124"/>
      <c r="AM780" s="88"/>
      <c r="AN780" s="338"/>
      <c r="AO780" s="29"/>
      <c r="AP780" s="30"/>
      <c r="AQ780" s="124"/>
      <c r="AR780" s="88"/>
      <c r="AS780" s="338"/>
      <c r="AT780" s="29"/>
      <c r="AU780" s="30"/>
      <c r="AV780" s="124"/>
    </row>
    <row r="781" spans="1:48" s="62" customFormat="1" x14ac:dyDescent="0.3">
      <c r="A781" s="52"/>
      <c r="B781" s="336"/>
      <c r="C781" s="337"/>
      <c r="D781" s="337"/>
      <c r="E781" s="337"/>
      <c r="F781" s="338"/>
      <c r="G781" s="338"/>
      <c r="H781" s="338"/>
      <c r="I781" s="338"/>
      <c r="J781" s="338"/>
      <c r="K781" s="339"/>
      <c r="L781" s="338"/>
      <c r="M781" s="339"/>
      <c r="N781" s="88"/>
      <c r="O781" s="338"/>
      <c r="P781" s="339"/>
      <c r="Q781" s="123"/>
      <c r="R781" s="124"/>
      <c r="S781" s="88"/>
      <c r="T781" s="338"/>
      <c r="U781" s="339"/>
      <c r="V781" s="123"/>
      <c r="W781" s="124"/>
      <c r="X781" s="340"/>
      <c r="Y781" s="338"/>
      <c r="Z781" s="339"/>
      <c r="AA781" s="30"/>
      <c r="AB781" s="124"/>
      <c r="AC781" s="88"/>
      <c r="AD781" s="338"/>
      <c r="AE781" s="341"/>
      <c r="AF781" s="30"/>
      <c r="AG781" s="124"/>
      <c r="AH781" s="88"/>
      <c r="AI781" s="338"/>
      <c r="AJ781" s="29"/>
      <c r="AK781" s="30"/>
      <c r="AL781" s="124"/>
      <c r="AM781" s="88"/>
      <c r="AN781" s="338"/>
      <c r="AO781" s="29"/>
      <c r="AP781" s="30"/>
      <c r="AQ781" s="124"/>
      <c r="AR781" s="88"/>
      <c r="AS781" s="338"/>
      <c r="AT781" s="29"/>
      <c r="AU781" s="30"/>
      <c r="AV781" s="124"/>
    </row>
    <row r="782" spans="1:48" s="62" customFormat="1" x14ac:dyDescent="0.3">
      <c r="A782" s="52"/>
      <c r="B782" s="336"/>
      <c r="C782" s="337"/>
      <c r="D782" s="337"/>
      <c r="E782" s="337"/>
      <c r="F782" s="338"/>
      <c r="G782" s="338"/>
      <c r="H782" s="338"/>
      <c r="I782" s="338"/>
      <c r="J782" s="338"/>
      <c r="K782" s="339"/>
      <c r="L782" s="338"/>
      <c r="M782" s="339"/>
      <c r="N782" s="88"/>
      <c r="O782" s="338"/>
      <c r="P782" s="339"/>
      <c r="Q782" s="123"/>
      <c r="R782" s="124"/>
      <c r="S782" s="88"/>
      <c r="T782" s="338"/>
      <c r="U782" s="339"/>
      <c r="V782" s="123"/>
      <c r="W782" s="124"/>
      <c r="X782" s="340"/>
      <c r="Y782" s="338"/>
      <c r="Z782" s="339"/>
      <c r="AA782" s="30"/>
      <c r="AB782" s="124"/>
      <c r="AC782" s="88"/>
      <c r="AD782" s="338"/>
      <c r="AE782" s="341"/>
      <c r="AF782" s="30"/>
      <c r="AG782" s="124"/>
      <c r="AH782" s="88"/>
      <c r="AI782" s="338"/>
      <c r="AJ782" s="29"/>
      <c r="AK782" s="30"/>
      <c r="AL782" s="124"/>
      <c r="AM782" s="88"/>
      <c r="AN782" s="338"/>
      <c r="AO782" s="29"/>
      <c r="AP782" s="30"/>
      <c r="AQ782" s="124"/>
      <c r="AR782" s="88"/>
      <c r="AS782" s="338"/>
      <c r="AT782" s="29"/>
      <c r="AU782" s="30"/>
      <c r="AV782" s="124"/>
    </row>
    <row r="783" spans="1:48" s="62" customFormat="1" ht="31.15" customHeight="1" x14ac:dyDescent="0.3">
      <c r="A783" s="52"/>
      <c r="B783" s="403" t="s">
        <v>608</v>
      </c>
      <c r="C783" s="337"/>
      <c r="D783" s="404" t="s">
        <v>609</v>
      </c>
      <c r="E783" s="337"/>
      <c r="F783" s="338"/>
      <c r="G783" s="338"/>
      <c r="H783" s="338"/>
      <c r="I783" s="338"/>
      <c r="J783" s="338"/>
      <c r="K783" s="339"/>
      <c r="L783" s="338"/>
      <c r="M783" s="339"/>
      <c r="N783" s="88"/>
      <c r="O783" s="338"/>
      <c r="P783" s="339"/>
      <c r="Q783" s="123"/>
      <c r="R783" s="124"/>
      <c r="S783" s="88"/>
      <c r="T783" s="338"/>
      <c r="U783" s="339"/>
      <c r="V783" s="123"/>
      <c r="W783" s="124"/>
      <c r="X783" s="340"/>
      <c r="Y783" s="338"/>
      <c r="Z783" s="339"/>
      <c r="AA783" s="30"/>
      <c r="AB783" s="124"/>
      <c r="AC783" s="88"/>
      <c r="AD783" s="338"/>
      <c r="AE783" s="341"/>
      <c r="AF783" s="30"/>
      <c r="AG783" s="124"/>
      <c r="AH783" s="88"/>
      <c r="AI783" s="338"/>
      <c r="AJ783" s="29"/>
      <c r="AK783" s="30"/>
      <c r="AL783" s="124"/>
      <c r="AM783" s="88"/>
      <c r="AN783" s="338"/>
      <c r="AO783" s="29"/>
      <c r="AP783" s="30"/>
      <c r="AQ783" s="124"/>
      <c r="AR783" s="88"/>
      <c r="AS783" s="338"/>
      <c r="AT783" s="29"/>
      <c r="AU783" s="30"/>
      <c r="AV783" s="124"/>
    </row>
    <row r="784" spans="1:48" s="62" customFormat="1" x14ac:dyDescent="0.3">
      <c r="A784" s="52"/>
      <c r="B784" s="405" t="s">
        <v>78</v>
      </c>
      <c r="C784" s="406">
        <v>101004</v>
      </c>
      <c r="D784" s="407">
        <f xml:space="preserve"> (C784*C$793)/C794</f>
        <v>10643.27864214993</v>
      </c>
      <c r="E784" s="408">
        <f>C794/C$793</f>
        <v>9.4899328859060397</v>
      </c>
      <c r="F784" s="87">
        <f>(F794-F797)/$D784</f>
        <v>24.148125652010851</v>
      </c>
      <c r="G784" s="87">
        <f t="shared" ref="G784:L784" si="475">(G794-G797)/$D784</f>
        <v>25.65637799978153</v>
      </c>
      <c r="H784" s="87">
        <f t="shared" si="475"/>
        <v>26.123392926959642</v>
      </c>
      <c r="I784" s="87">
        <f t="shared" si="475"/>
        <v>24.2480722977547</v>
      </c>
      <c r="J784" s="87">
        <f t="shared" si="475"/>
        <v>22.272282627387483</v>
      </c>
      <c r="K784" s="339"/>
      <c r="L784" s="87">
        <f t="shared" si="475"/>
        <v>22.680597597437163</v>
      </c>
      <c r="M784" s="339"/>
      <c r="N784" s="88"/>
      <c r="O784" s="87">
        <f>(O794-O797)/$D784</f>
        <v>23.588276549084775</v>
      </c>
      <c r="P784" s="339"/>
      <c r="Q784" s="123"/>
      <c r="R784" s="124"/>
      <c r="S784" s="88"/>
      <c r="T784" s="87">
        <f>(T794-T797)/$D784</f>
        <v>23.889996546086671</v>
      </c>
      <c r="U784" s="339"/>
      <c r="V784" s="123"/>
      <c r="W784" s="124"/>
      <c r="X784" s="340"/>
      <c r="Y784" s="87">
        <f>(Y794-Y797)/$D784</f>
        <v>24.760985675628774</v>
      </c>
      <c r="Z784" s="339"/>
      <c r="AA784" s="30"/>
      <c r="AB784" s="124"/>
      <c r="AC784" s="88"/>
      <c r="AD784" s="87">
        <f>(AD794-AD797)/$D784</f>
        <v>23.805956652922777</v>
      </c>
      <c r="AE784" s="341"/>
      <c r="AF784" s="30"/>
      <c r="AG784" s="124"/>
      <c r="AH784" s="88"/>
      <c r="AI784" s="87">
        <f>(AI794-AI797)/$D784</f>
        <v>24.496786071865337</v>
      </c>
      <c r="AJ784" s="29"/>
      <c r="AK784" s="30"/>
      <c r="AL784" s="124"/>
      <c r="AM784" s="88"/>
      <c r="AN784" s="87">
        <f>(AN794-AN797)/$D784</f>
        <v>20.079750534167161</v>
      </c>
      <c r="AO784" s="29"/>
      <c r="AP784" s="30"/>
      <c r="AQ784" s="124"/>
      <c r="AR784" s="88"/>
      <c r="AS784" s="87">
        <f>(AS794-AS797)/$D784</f>
        <v>9.3956010513504814E-5</v>
      </c>
      <c r="AT784" s="29"/>
      <c r="AU784" s="30"/>
      <c r="AV784" s="124"/>
    </row>
    <row r="785" spans="1:48" s="62" customFormat="1" x14ac:dyDescent="0.3">
      <c r="A785" s="52"/>
      <c r="B785" s="401" t="s">
        <v>610</v>
      </c>
      <c r="C785" s="321">
        <v>10000</v>
      </c>
      <c r="D785" s="407">
        <f xml:space="preserve"> (C785*C$793)/C795</f>
        <v>2595.8188153310102</v>
      </c>
      <c r="E785" s="337"/>
      <c r="F785" s="87">
        <f t="shared" ref="F785:J787" si="476">F795/$D785</f>
        <v>1.6987895973154363</v>
      </c>
      <c r="G785" s="87">
        <f t="shared" si="476"/>
        <v>2.0331850469798662</v>
      </c>
      <c r="H785" s="87">
        <f t="shared" si="476"/>
        <v>1.304967812080537</v>
      </c>
      <c r="I785" s="87">
        <f t="shared" si="476"/>
        <v>7.6952135033557054</v>
      </c>
      <c r="J785" s="87">
        <f t="shared" si="476"/>
        <v>1.1286727651006712</v>
      </c>
      <c r="K785" s="339"/>
      <c r="L785" s="87">
        <f>L795/$D785</f>
        <v>1.2687634362416109</v>
      </c>
      <c r="M785" s="339"/>
      <c r="N785" s="88"/>
      <c r="O785" s="87">
        <f>O795/$D785</f>
        <v>1.1705709127516781</v>
      </c>
      <c r="P785" s="339"/>
      <c r="Q785" s="123"/>
      <c r="R785" s="124"/>
      <c r="S785" s="88"/>
      <c r="T785" s="87">
        <f>T795/$D785</f>
        <v>1.4561609530201345</v>
      </c>
      <c r="U785" s="339"/>
      <c r="V785" s="123"/>
      <c r="W785" s="124"/>
      <c r="X785" s="340"/>
      <c r="Y785" s="87">
        <f>Y795/$D785</f>
        <v>1.1515672751677855</v>
      </c>
      <c r="Z785" s="339"/>
      <c r="AA785" s="30"/>
      <c r="AB785" s="124"/>
      <c r="AC785" s="88"/>
      <c r="AD785" s="87">
        <f>AD795/$D785</f>
        <v>1.4543156778523492</v>
      </c>
      <c r="AE785" s="341"/>
      <c r="AF785" s="30"/>
      <c r="AG785" s="124"/>
      <c r="AH785" s="88"/>
      <c r="AI785" s="87">
        <f>AI795/$D785</f>
        <v>1.3394733020134229</v>
      </c>
      <c r="AJ785" s="29"/>
      <c r="AK785" s="30"/>
      <c r="AL785" s="124"/>
      <c r="AM785" s="88"/>
      <c r="AN785" s="87">
        <f>AN795/$D785</f>
        <v>1.0925030604026846</v>
      </c>
      <c r="AO785" s="29"/>
      <c r="AP785" s="30"/>
      <c r="AQ785" s="124"/>
      <c r="AR785" s="88"/>
      <c r="AS785" s="87">
        <f>AS795/$D785</f>
        <v>0</v>
      </c>
      <c r="AT785" s="29"/>
      <c r="AU785" s="30"/>
      <c r="AV785" s="124"/>
    </row>
    <row r="786" spans="1:48" s="62" customFormat="1" x14ac:dyDescent="0.3">
      <c r="A786" s="52"/>
      <c r="B786" s="409" t="s">
        <v>267</v>
      </c>
      <c r="C786" s="321">
        <v>10118</v>
      </c>
      <c r="D786" s="407">
        <f xml:space="preserve"> (C786*C$793)/C796</f>
        <v>10469.319444444445</v>
      </c>
      <c r="E786" s="408">
        <f>C796/C$793</f>
        <v>0.96644295302013428</v>
      </c>
      <c r="F786" s="87">
        <f t="shared" si="476"/>
        <v>14.912362816748937</v>
      </c>
      <c r="G786" s="87">
        <f t="shared" si="476"/>
        <v>13.91422248342047</v>
      </c>
      <c r="H786" s="87">
        <f t="shared" si="476"/>
        <v>14.318738748539051</v>
      </c>
      <c r="I786" s="87">
        <f t="shared" si="476"/>
        <v>16.491522769574061</v>
      </c>
      <c r="J786" s="87">
        <f t="shared" si="476"/>
        <v>14.41123091148607</v>
      </c>
      <c r="K786" s="339"/>
      <c r="L786" s="87">
        <f>L796/$D786</f>
        <v>16.931078561564149</v>
      </c>
      <c r="M786" s="339"/>
      <c r="N786" s="88"/>
      <c r="O786" s="87">
        <f>O796/$D786</f>
        <v>17.790606255580123</v>
      </c>
      <c r="P786" s="339"/>
      <c r="Q786" s="123"/>
      <c r="R786" s="124"/>
      <c r="S786" s="88"/>
      <c r="T786" s="87">
        <f>T796/$D786</f>
        <v>17.011267154954094</v>
      </c>
      <c r="U786" s="339"/>
      <c r="V786" s="123"/>
      <c r="W786" s="124"/>
      <c r="X786" s="340"/>
      <c r="Y786" s="87">
        <f>Y796/$D786</f>
        <v>17.242901122459674</v>
      </c>
      <c r="Z786" s="339"/>
      <c r="AA786" s="30"/>
      <c r="AB786" s="124"/>
      <c r="AC786" s="88"/>
      <c r="AD786" s="87">
        <f>AD796/$D786</f>
        <v>17.721390677256693</v>
      </c>
      <c r="AE786" s="341"/>
      <c r="AF786" s="30"/>
      <c r="AG786" s="124"/>
      <c r="AH786" s="88"/>
      <c r="AI786" s="87">
        <f>AI796/$D786</f>
        <v>15.96421628806924</v>
      </c>
      <c r="AJ786" s="29"/>
      <c r="AK786" s="30"/>
      <c r="AL786" s="124"/>
      <c r="AM786" s="88"/>
      <c r="AN786" s="87">
        <f>AN796/$D786</f>
        <v>11.273972546766942</v>
      </c>
      <c r="AO786" s="29"/>
      <c r="AP786" s="30"/>
      <c r="AQ786" s="124"/>
      <c r="AR786" s="88"/>
      <c r="AS786" s="87">
        <f>AS796/$D786</f>
        <v>0</v>
      </c>
      <c r="AT786" s="29"/>
      <c r="AU786" s="30"/>
      <c r="AV786" s="124"/>
    </row>
    <row r="787" spans="1:48" s="62" customFormat="1" x14ac:dyDescent="0.3">
      <c r="A787" s="52"/>
      <c r="B787" s="410" t="s">
        <v>611</v>
      </c>
      <c r="C787" s="406">
        <v>101004</v>
      </c>
      <c r="D787" s="407">
        <f xml:space="preserve"> (C787*C$793)/C797</f>
        <v>10643.27864214993</v>
      </c>
      <c r="E787" s="408">
        <f>C797/C$793</f>
        <v>9.4899328859060397</v>
      </c>
      <c r="F787" s="87">
        <f t="shared" si="476"/>
        <v>3.9276186789333081</v>
      </c>
      <c r="G787" s="87">
        <f t="shared" si="476"/>
        <v>3.9775450237999745</v>
      </c>
      <c r="H787" s="87">
        <f t="shared" si="476"/>
        <v>4.362911238281745</v>
      </c>
      <c r="I787" s="87">
        <f t="shared" si="476"/>
        <v>4.2312769884321151</v>
      </c>
      <c r="J787" s="87">
        <f t="shared" si="476"/>
        <v>4.1295310850869349</v>
      </c>
      <c r="K787" s="339"/>
      <c r="L787" s="87">
        <f>L797/$D787</f>
        <v>4.2933048674529202</v>
      </c>
      <c r="M787" s="339"/>
      <c r="N787" s="88"/>
      <c r="O787" s="87">
        <f>O797/$D787</f>
        <v>4.4649343118579399</v>
      </c>
      <c r="P787" s="339"/>
      <c r="Q787" s="123"/>
      <c r="R787" s="124"/>
      <c r="S787" s="88"/>
      <c r="T787" s="87">
        <f>T797/$D787</f>
        <v>3.6512207663248897</v>
      </c>
      <c r="U787" s="339"/>
      <c r="V787" s="123"/>
      <c r="W787" s="124"/>
      <c r="X787" s="340"/>
      <c r="Y787" s="87">
        <f>Y797/$D787</f>
        <v>4.4476651971255574</v>
      </c>
      <c r="Z787" s="339"/>
      <c r="AA787" s="30"/>
      <c r="AB787" s="124"/>
      <c r="AC787" s="88"/>
      <c r="AD787" s="87">
        <f>AD797/$D787</f>
        <v>4.2409666717963725</v>
      </c>
      <c r="AE787" s="341"/>
      <c r="AF787" s="30"/>
      <c r="AG787" s="124"/>
      <c r="AH787" s="88"/>
      <c r="AI787" s="87">
        <f>AI797/$D787</f>
        <v>3.4290382904630792</v>
      </c>
      <c r="AJ787" s="29"/>
      <c r="AK787" s="30"/>
      <c r="AL787" s="124"/>
      <c r="AM787" s="88"/>
      <c r="AN787" s="87">
        <f>AN797/$D787</f>
        <v>2.2482921667797595</v>
      </c>
      <c r="AO787" s="29"/>
      <c r="AP787" s="30"/>
      <c r="AQ787" s="124"/>
      <c r="AR787" s="88"/>
      <c r="AS787" s="87">
        <f>AS797/$D787</f>
        <v>0</v>
      </c>
      <c r="AT787" s="29"/>
      <c r="AU787" s="30"/>
      <c r="AV787" s="124"/>
    </row>
    <row r="788" spans="1:48" s="62" customFormat="1" x14ac:dyDescent="0.3">
      <c r="A788" s="52"/>
      <c r="B788" s="336"/>
      <c r="C788" s="337"/>
      <c r="D788" s="337"/>
      <c r="E788" s="337"/>
      <c r="F788" s="338"/>
      <c r="G788" s="338"/>
      <c r="H788" s="338"/>
      <c r="I788" s="338"/>
      <c r="J788" s="338"/>
      <c r="K788" s="339"/>
      <c r="L788" s="338"/>
      <c r="M788" s="339"/>
      <c r="N788" s="88"/>
      <c r="O788" s="338"/>
      <c r="P788" s="339"/>
      <c r="Q788" s="123"/>
      <c r="R788" s="124"/>
      <c r="S788" s="88"/>
      <c r="T788" s="338"/>
      <c r="U788" s="339"/>
      <c r="V788" s="123"/>
      <c r="W788" s="124"/>
      <c r="X788" s="340"/>
      <c r="Y788" s="411"/>
      <c r="Z788" s="339"/>
      <c r="AA788" s="30"/>
      <c r="AB788" s="124"/>
      <c r="AC788" s="412">
        <f>3914+3054+3716+2928</f>
        <v>13612</v>
      </c>
      <c r="AD788" s="413">
        <f>AC788/$D787</f>
        <v>1.2789292151098275</v>
      </c>
      <c r="AE788" s="341"/>
      <c r="AF788" s="30"/>
      <c r="AG788" s="124"/>
      <c r="AH788" s="88"/>
      <c r="AI788" s="411"/>
      <c r="AJ788" s="29"/>
      <c r="AK788" s="30"/>
      <c r="AL788" s="124"/>
      <c r="AM788" s="88"/>
      <c r="AN788" s="411"/>
      <c r="AO788" s="29"/>
      <c r="AP788" s="30"/>
      <c r="AQ788" s="124"/>
      <c r="AR788" s="88"/>
      <c r="AS788" s="411"/>
      <c r="AT788" s="29"/>
      <c r="AU788" s="30"/>
      <c r="AV788" s="124"/>
    </row>
    <row r="789" spans="1:48" s="62" customFormat="1" x14ac:dyDescent="0.3">
      <c r="A789" s="52"/>
      <c r="B789" s="336"/>
      <c r="C789" s="337"/>
      <c r="D789" s="337"/>
      <c r="E789" s="337"/>
      <c r="F789" s="338"/>
      <c r="G789" s="338"/>
      <c r="H789" s="338"/>
      <c r="I789" s="338"/>
      <c r="J789" s="338"/>
      <c r="K789" s="339"/>
      <c r="L789" s="338"/>
      <c r="M789" s="339"/>
      <c r="N789" s="88"/>
      <c r="O789" s="338"/>
      <c r="P789" s="339"/>
      <c r="Q789" s="123"/>
      <c r="R789" s="124"/>
      <c r="S789" s="88"/>
      <c r="T789" s="338"/>
      <c r="U789" s="339"/>
      <c r="V789" s="123"/>
      <c r="W789" s="124"/>
      <c r="X789" s="340"/>
      <c r="Y789" s="411"/>
      <c r="Z789" s="339"/>
      <c r="AA789" s="30"/>
      <c r="AB789" s="124"/>
      <c r="AC789" s="88"/>
      <c r="AD789" s="411"/>
      <c r="AE789" s="341"/>
      <c r="AF789" s="30"/>
      <c r="AG789" s="124"/>
      <c r="AH789" s="88"/>
      <c r="AI789" s="411"/>
      <c r="AJ789" s="29"/>
      <c r="AK789" s="30"/>
      <c r="AL789" s="124"/>
      <c r="AM789" s="88"/>
      <c r="AN789" s="411"/>
      <c r="AO789" s="29"/>
      <c r="AP789" s="30"/>
      <c r="AQ789" s="124"/>
      <c r="AR789" s="88"/>
      <c r="AS789" s="411"/>
      <c r="AT789" s="29"/>
      <c r="AU789" s="30"/>
      <c r="AV789" s="124"/>
    </row>
    <row r="790" spans="1:48" s="62" customFormat="1" x14ac:dyDescent="0.3">
      <c r="A790" s="52"/>
      <c r="B790" s="414"/>
      <c r="C790" s="337"/>
      <c r="D790" s="337"/>
      <c r="E790" s="337"/>
      <c r="F790" s="338"/>
      <c r="G790" s="338"/>
      <c r="H790" s="338"/>
      <c r="I790" s="338"/>
      <c r="J790" s="338"/>
      <c r="K790" s="339"/>
      <c r="L790" s="338"/>
      <c r="M790" s="339"/>
      <c r="N790" s="88"/>
      <c r="O790" s="338"/>
      <c r="P790" s="339"/>
      <c r="Q790" s="123"/>
      <c r="R790" s="124"/>
      <c r="S790" s="88"/>
      <c r="T790" s="338"/>
      <c r="U790" s="339"/>
      <c r="V790" s="123"/>
      <c r="W790" s="124"/>
      <c r="X790" s="340"/>
      <c r="Y790" s="411"/>
      <c r="Z790" s="339"/>
      <c r="AA790" s="30"/>
      <c r="AB790" s="124"/>
      <c r="AC790" s="88"/>
      <c r="AD790" s="411"/>
      <c r="AE790" s="341"/>
      <c r="AF790" s="30"/>
      <c r="AG790" s="124"/>
      <c r="AH790" s="88"/>
      <c r="AI790" s="411"/>
      <c r="AJ790" s="29"/>
      <c r="AK790" s="30"/>
      <c r="AL790" s="124"/>
      <c r="AM790" s="88"/>
      <c r="AN790" s="411"/>
      <c r="AO790" s="29"/>
      <c r="AP790" s="30"/>
      <c r="AQ790" s="124"/>
      <c r="AR790" s="88"/>
      <c r="AS790" s="411"/>
      <c r="AT790" s="29"/>
      <c r="AU790" s="30"/>
      <c r="AV790" s="124"/>
    </row>
    <row r="791" spans="1:48" s="62" customFormat="1" x14ac:dyDescent="0.3">
      <c r="A791" s="52"/>
      <c r="B791" s="405"/>
      <c r="C791" s="337"/>
      <c r="D791" s="337"/>
      <c r="E791" s="337"/>
      <c r="F791" s="338"/>
      <c r="G791" s="338"/>
      <c r="H791" s="338"/>
      <c r="I791" s="338"/>
      <c r="J791" s="338"/>
      <c r="K791" s="339"/>
      <c r="L791" s="338"/>
      <c r="M791" s="339"/>
      <c r="N791" s="88"/>
      <c r="O791" s="338"/>
      <c r="P791" s="339"/>
      <c r="Q791" s="123"/>
      <c r="R791" s="124"/>
      <c r="S791" s="88"/>
      <c r="T791" s="338"/>
      <c r="U791" s="339"/>
      <c r="V791" s="123"/>
      <c r="W791" s="124"/>
      <c r="X791" s="340"/>
      <c r="Y791" s="411"/>
      <c r="Z791" s="339"/>
      <c r="AA791" s="30"/>
      <c r="AB791" s="124"/>
      <c r="AC791" s="88"/>
      <c r="AD791" s="411"/>
      <c r="AE791" s="341"/>
      <c r="AF791" s="30"/>
      <c r="AG791" s="124"/>
      <c r="AH791" s="88"/>
      <c r="AI791" s="411"/>
      <c r="AJ791" s="29"/>
      <c r="AK791" s="30"/>
      <c r="AL791" s="124"/>
      <c r="AM791" s="88"/>
      <c r="AN791" s="411"/>
      <c r="AO791" s="29"/>
      <c r="AP791" s="30"/>
      <c r="AQ791" s="124"/>
      <c r="AR791" s="88"/>
      <c r="AS791" s="411"/>
      <c r="AT791" s="29"/>
      <c r="AU791" s="30"/>
      <c r="AV791" s="124"/>
    </row>
    <row r="792" spans="1:48" x14ac:dyDescent="0.3">
      <c r="B792" s="401"/>
      <c r="C792" s="404"/>
      <c r="K792" s="90"/>
    </row>
    <row r="793" spans="1:48" s="421" customFormat="1" x14ac:dyDescent="0.3">
      <c r="A793" s="415"/>
      <c r="B793" s="403" t="s">
        <v>612</v>
      </c>
      <c r="C793" s="416">
        <v>74.5</v>
      </c>
      <c r="D793" s="417"/>
      <c r="E793" s="418"/>
      <c r="F793" s="419"/>
      <c r="G793" s="419"/>
      <c r="H793" s="419"/>
      <c r="I793" s="419"/>
      <c r="J793" s="419"/>
      <c r="K793" s="273" t="s">
        <v>613</v>
      </c>
      <c r="L793" s="419"/>
      <c r="M793" s="273" t="s">
        <v>613</v>
      </c>
      <c r="N793" s="420"/>
      <c r="O793" s="419"/>
      <c r="P793" s="273" t="s">
        <v>613</v>
      </c>
      <c r="Q793" s="91"/>
      <c r="R793" s="270"/>
      <c r="S793" s="420"/>
      <c r="T793" s="419"/>
      <c r="U793" s="273" t="s">
        <v>613</v>
      </c>
      <c r="V793" s="91"/>
      <c r="W793" s="270"/>
      <c r="X793" s="420"/>
      <c r="Y793" s="419"/>
      <c r="Z793" s="273" t="s">
        <v>613</v>
      </c>
      <c r="AA793" s="7"/>
      <c r="AB793" s="270"/>
      <c r="AC793" s="420"/>
      <c r="AD793" s="419"/>
      <c r="AE793" s="273" t="s">
        <v>613</v>
      </c>
      <c r="AF793" s="7"/>
      <c r="AG793" s="270"/>
      <c r="AH793" s="420"/>
      <c r="AI793" s="419"/>
      <c r="AJ793" s="273" t="s">
        <v>613</v>
      </c>
      <c r="AK793" s="7"/>
      <c r="AL793" s="270"/>
      <c r="AM793" s="420"/>
      <c r="AN793" s="419"/>
      <c r="AO793" s="273" t="s">
        <v>613</v>
      </c>
      <c r="AP793" s="7"/>
      <c r="AQ793" s="270"/>
      <c r="AR793" s="420"/>
      <c r="AS793" s="419"/>
      <c r="AT793" s="273" t="s">
        <v>613</v>
      </c>
      <c r="AU793" s="7"/>
      <c r="AV793" s="270"/>
    </row>
    <row r="794" spans="1:48" s="62" customFormat="1" x14ac:dyDescent="0.3">
      <c r="A794" s="52"/>
      <c r="B794" s="405" t="s">
        <v>78</v>
      </c>
      <c r="C794" s="422">
        <v>707</v>
      </c>
      <c r="D794" s="407"/>
      <c r="E794" s="378"/>
      <c r="F794" s="87">
        <f>F219</f>
        <v>298817.96999999991</v>
      </c>
      <c r="G794" s="87">
        <f>G219</f>
        <v>315402.10000000009</v>
      </c>
      <c r="H794" s="87">
        <f>H219</f>
        <v>324474.2300000001</v>
      </c>
      <c r="I794" s="87">
        <f>I219</f>
        <v>303113.64999999997</v>
      </c>
      <c r="J794" s="87">
        <f>J219</f>
        <v>281001.8600000001</v>
      </c>
      <c r="K794" s="189">
        <f>J794*($C794/$C784)</f>
        <v>1966.935121579344</v>
      </c>
      <c r="L794" s="87">
        <f>L219</f>
        <v>287090.75999999995</v>
      </c>
      <c r="M794" s="189">
        <f>L794*($C794/$C784)</f>
        <v>2009.5557336343111</v>
      </c>
      <c r="N794" s="88"/>
      <c r="O794" s="87">
        <f>O219</f>
        <v>298578.14</v>
      </c>
      <c r="P794" s="189">
        <f>O794*($C794/$C784)</f>
        <v>2089.964209140232</v>
      </c>
      <c r="Q794" s="123"/>
      <c r="R794" s="124"/>
      <c r="S794" s="88"/>
      <c r="T794" s="87">
        <f>T219</f>
        <v>293128.84999999986</v>
      </c>
      <c r="U794" s="189">
        <f>T794*($C794/$C784)</f>
        <v>2051.8206897746613</v>
      </c>
      <c r="V794" s="123"/>
      <c r="W794" s="124"/>
      <c r="X794" s="88"/>
      <c r="Y794" s="87">
        <f>Y219</f>
        <v>310875.81000000006</v>
      </c>
      <c r="Z794" s="189">
        <f>Y794*($C794/$C784)</f>
        <v>2176.0444900201974</v>
      </c>
      <c r="AA794" s="30"/>
      <c r="AB794" s="124"/>
      <c r="AC794" s="420"/>
      <c r="AD794" s="87">
        <f>AD219</f>
        <v>298511.22000000003</v>
      </c>
      <c r="AE794" s="423">
        <f>AD794*($C794/$C784)</f>
        <v>2089.4957876915769</v>
      </c>
      <c r="AF794" s="30"/>
      <c r="AG794" s="124"/>
      <c r="AH794" s="88"/>
      <c r="AI794" s="87">
        <f>AI219</f>
        <v>297222.33000000019</v>
      </c>
      <c r="AJ794" s="189">
        <f>AI794*($C794/$C784)</f>
        <v>2080.4739149934667</v>
      </c>
      <c r="AK794" s="30"/>
      <c r="AL794" s="124"/>
      <c r="AM794" s="88"/>
      <c r="AN794" s="87">
        <f>AN219</f>
        <v>237643.58</v>
      </c>
      <c r="AO794" s="189">
        <f>AN794*($C794/$C784)</f>
        <v>1663.4391812205456</v>
      </c>
      <c r="AP794" s="30"/>
      <c r="AQ794" s="124"/>
      <c r="AR794" s="88"/>
      <c r="AS794" s="87">
        <f>AS219</f>
        <v>1</v>
      </c>
      <c r="AT794" s="189">
        <f>AS794*($C794/$C784)</f>
        <v>6.9997227832561083E-3</v>
      </c>
      <c r="AU794" s="30"/>
      <c r="AV794" s="124"/>
    </row>
    <row r="795" spans="1:48" x14ac:dyDescent="0.3">
      <c r="B795" s="401" t="s">
        <v>610</v>
      </c>
      <c r="C795" s="422">
        <v>287</v>
      </c>
      <c r="D795" s="407"/>
      <c r="F795" s="27">
        <f>F271</f>
        <v>4409.75</v>
      </c>
      <c r="G795" s="27">
        <f>G271</f>
        <v>5277.7800000000007</v>
      </c>
      <c r="H795" s="27">
        <f>H271</f>
        <v>3387.46</v>
      </c>
      <c r="I795" s="27">
        <f>I294</f>
        <v>19975.38</v>
      </c>
      <c r="J795" s="27">
        <f>J271</f>
        <v>2929.83</v>
      </c>
      <c r="K795" s="189">
        <f t="shared" ref="K795:M797" si="477">J795*($C795/$C785)</f>
        <v>84.086120999999991</v>
      </c>
      <c r="L795" s="27">
        <f>L271</f>
        <v>3293.48</v>
      </c>
      <c r="M795" s="189">
        <f t="shared" si="477"/>
        <v>94.522875999999997</v>
      </c>
      <c r="O795" s="27">
        <f>O271</f>
        <v>3038.5900000000006</v>
      </c>
      <c r="P795" s="189">
        <f>O795*($C795/$C785)</f>
        <v>87.207533000000012</v>
      </c>
      <c r="T795" s="27">
        <f>T271</f>
        <v>3779.9300000000003</v>
      </c>
      <c r="U795" s="189">
        <f>T795*($C795/$C785)</f>
        <v>108.483991</v>
      </c>
      <c r="Y795" s="27">
        <f>Y271</f>
        <v>2989.26</v>
      </c>
      <c r="Z795" s="189">
        <f>Y795*($C795/$C785)</f>
        <v>85.791762000000006</v>
      </c>
      <c r="AD795" s="27">
        <f>AD271</f>
        <v>3775.1400000000003</v>
      </c>
      <c r="AE795" s="423">
        <f>AD795*($C795/$C785)</f>
        <v>108.346518</v>
      </c>
      <c r="AI795" s="27">
        <f>AI271</f>
        <v>3477.0299999999997</v>
      </c>
      <c r="AJ795" s="90">
        <f>AI795*($C795/$C785)</f>
        <v>99.790760999999989</v>
      </c>
      <c r="AN795" s="27">
        <f>AN271</f>
        <v>2835.94</v>
      </c>
      <c r="AO795" s="90">
        <f>AN795*($C795/$C785)</f>
        <v>81.391478000000006</v>
      </c>
      <c r="AS795" s="27">
        <f>AS271</f>
        <v>0</v>
      </c>
      <c r="AT795" s="90">
        <f>AS795*($C795/$C785)</f>
        <v>0</v>
      </c>
    </row>
    <row r="796" spans="1:48" x14ac:dyDescent="0.3">
      <c r="B796" s="409" t="s">
        <v>267</v>
      </c>
      <c r="C796" s="422">
        <v>72</v>
      </c>
      <c r="D796" s="407"/>
      <c r="F796" s="27">
        <f>F310-F307</f>
        <v>156122.28999999998</v>
      </c>
      <c r="G796" s="27">
        <f>G310-G307</f>
        <v>145672.44</v>
      </c>
      <c r="H796" s="27">
        <f>H310-H307</f>
        <v>149907.45000000001</v>
      </c>
      <c r="I796" s="27">
        <f>I310</f>
        <v>172655.02000000002</v>
      </c>
      <c r="J796" s="27">
        <f>J310-J307</f>
        <v>150875.77999999997</v>
      </c>
      <c r="K796" s="189">
        <f t="shared" si="477"/>
        <v>1073.6367029057124</v>
      </c>
      <c r="L796" s="27">
        <f>L310-L307</f>
        <v>177256.87000000002</v>
      </c>
      <c r="M796" s="189">
        <f t="shared" si="477"/>
        <v>1261.3653528365292</v>
      </c>
      <c r="O796" s="27">
        <f>O310-O307</f>
        <v>186255.53999999998</v>
      </c>
      <c r="P796" s="189">
        <f>O796*($C796/$C786)</f>
        <v>1325.4001660407193</v>
      </c>
      <c r="T796" s="27">
        <f>T310-T307</f>
        <v>178096.39000000004</v>
      </c>
      <c r="U796" s="189">
        <f>T796*($C796/$C786)</f>
        <v>1267.3394030440802</v>
      </c>
      <c r="Y796" s="27">
        <f>Y310-Y307</f>
        <v>180521.44</v>
      </c>
      <c r="Z796" s="189">
        <f>Y796*($C796/$C786)</f>
        <v>1284.5961336232456</v>
      </c>
      <c r="AD796" s="27">
        <f>AD310-AD307</f>
        <v>185530.90000000002</v>
      </c>
      <c r="AE796" s="423">
        <f>AD796*($C796/$C786)</f>
        <v>1320.2436054556238</v>
      </c>
      <c r="AI796" s="27">
        <f>AI310-AI307</f>
        <v>167134.48000000001</v>
      </c>
      <c r="AJ796" s="90">
        <f>AI796*($C796/$C786)</f>
        <v>1189.3341134611583</v>
      </c>
      <c r="AN796" s="27">
        <f>AN310-AN307</f>
        <v>118030.82</v>
      </c>
      <c r="AO796" s="90">
        <f>AN796*($C796/$C786)</f>
        <v>839.91095473413725</v>
      </c>
      <c r="AS796" s="27">
        <f>AS310-AS307</f>
        <v>0</v>
      </c>
      <c r="AT796" s="90">
        <f>AS796*($C796/$C786)</f>
        <v>0</v>
      </c>
    </row>
    <row r="797" spans="1:48" s="437" customFormat="1" x14ac:dyDescent="0.3">
      <c r="A797" s="424"/>
      <c r="B797" s="425" t="s">
        <v>611</v>
      </c>
      <c r="C797" s="426">
        <v>707</v>
      </c>
      <c r="D797" s="427"/>
      <c r="E797" s="428"/>
      <c r="F797" s="429">
        <f>F110</f>
        <v>41802.74</v>
      </c>
      <c r="G797" s="429">
        <f>G110</f>
        <v>42334.12</v>
      </c>
      <c r="H797" s="429">
        <f>H110</f>
        <v>46435.68</v>
      </c>
      <c r="I797" s="429">
        <f>I110</f>
        <v>45034.66</v>
      </c>
      <c r="J797" s="429">
        <f>J110</f>
        <v>43951.75</v>
      </c>
      <c r="K797" s="430">
        <f t="shared" si="477"/>
        <v>307.65006583897667</v>
      </c>
      <c r="L797" s="429">
        <f>L110</f>
        <v>45694.84</v>
      </c>
      <c r="M797" s="430">
        <f t="shared" si="477"/>
        <v>319.85121262524251</v>
      </c>
      <c r="N797" s="431"/>
      <c r="O797" s="429">
        <f>O110</f>
        <v>47521.54</v>
      </c>
      <c r="P797" s="430">
        <f>O797*($C797/$C787)</f>
        <v>332.63760623341648</v>
      </c>
      <c r="Q797" s="432"/>
      <c r="R797" s="433"/>
      <c r="S797" s="431"/>
      <c r="T797" s="429">
        <f>T110</f>
        <v>38860.959999999999</v>
      </c>
      <c r="U797" s="430">
        <f>T797*($C797/$C787)</f>
        <v>272.01594709120428</v>
      </c>
      <c r="V797" s="432"/>
      <c r="W797" s="433"/>
      <c r="X797" s="431"/>
      <c r="Y797" s="429">
        <f>Y110</f>
        <v>47337.74</v>
      </c>
      <c r="Z797" s="430">
        <f>Y797*($C797/$C787)</f>
        <v>331.35105718585402</v>
      </c>
      <c r="AA797" s="434"/>
      <c r="AB797" s="433"/>
      <c r="AC797" s="435"/>
      <c r="AD797" s="429">
        <f>AD110</f>
        <v>45137.79</v>
      </c>
      <c r="AE797" s="436">
        <f>AD797*($C$797/$C$787)</f>
        <v>315.95201704882976</v>
      </c>
      <c r="AF797" s="434"/>
      <c r="AG797" s="433"/>
      <c r="AH797" s="431"/>
      <c r="AI797" s="429">
        <f>AI110</f>
        <v>36496.21</v>
      </c>
      <c r="AJ797" s="430">
        <f>AI797*($C797/$C787)</f>
        <v>255.46335263949942</v>
      </c>
      <c r="AK797" s="434"/>
      <c r="AL797" s="433"/>
      <c r="AM797" s="431"/>
      <c r="AN797" s="429">
        <f>AN110</f>
        <v>23929.200000000001</v>
      </c>
      <c r="AO797" s="430">
        <f>AN797*($C797/$C787)</f>
        <v>167.49776642509207</v>
      </c>
      <c r="AP797" s="434"/>
      <c r="AQ797" s="433"/>
      <c r="AR797" s="431"/>
      <c r="AS797" s="429">
        <f>AS110</f>
        <v>0</v>
      </c>
      <c r="AT797" s="430">
        <f>AS797*($C797/$C787)</f>
        <v>0</v>
      </c>
      <c r="AU797" s="434"/>
      <c r="AV797" s="433"/>
    </row>
    <row r="798" spans="1:48" s="452" customFormat="1" x14ac:dyDescent="0.3">
      <c r="A798" s="438"/>
      <c r="B798" s="439" t="s">
        <v>614</v>
      </c>
      <c r="C798" s="440"/>
      <c r="D798" s="441"/>
      <c r="E798" s="442"/>
      <c r="F798" s="443"/>
      <c r="G798" s="443"/>
      <c r="H798" s="443"/>
      <c r="I798" s="443"/>
      <c r="J798" s="443"/>
      <c r="K798" s="444"/>
      <c r="L798" s="443"/>
      <c r="M798" s="444"/>
      <c r="N798" s="445"/>
      <c r="O798" s="443"/>
      <c r="P798" s="444"/>
      <c r="Q798" s="446"/>
      <c r="R798" s="447"/>
      <c r="S798" s="445"/>
      <c r="T798" s="443"/>
      <c r="U798" s="444"/>
      <c r="V798" s="446"/>
      <c r="W798" s="447"/>
      <c r="X798" s="445"/>
      <c r="Y798" s="443"/>
      <c r="Z798" s="444"/>
      <c r="AA798" s="448"/>
      <c r="AB798" s="447"/>
      <c r="AC798" s="449"/>
      <c r="AD798" s="450"/>
      <c r="AE798" s="451">
        <f>AC788*($C$797/$C$787)</f>
        <v>95.280226525682153</v>
      </c>
      <c r="AF798" s="448"/>
      <c r="AG798" s="447"/>
      <c r="AH798" s="445"/>
      <c r="AI798" s="443"/>
      <c r="AJ798" s="444"/>
      <c r="AK798" s="448"/>
      <c r="AL798" s="447"/>
      <c r="AM798" s="445"/>
      <c r="AN798" s="443"/>
      <c r="AO798" s="444"/>
      <c r="AP798" s="448"/>
      <c r="AQ798" s="447"/>
      <c r="AR798" s="445"/>
      <c r="AS798" s="443"/>
      <c r="AT798" s="444"/>
      <c r="AU798" s="448"/>
      <c r="AV798" s="447"/>
    </row>
    <row r="799" spans="1:48" x14ac:dyDescent="0.3">
      <c r="B799" s="24" t="s">
        <v>615</v>
      </c>
      <c r="E799" s="453"/>
      <c r="F799" s="27">
        <f t="shared" ref="F799:M799" si="478">SUM(F794:F796)</f>
        <v>459350.00999999989</v>
      </c>
      <c r="G799" s="27">
        <f t="shared" si="478"/>
        <v>466352.32000000012</v>
      </c>
      <c r="H799" s="27">
        <f t="shared" si="478"/>
        <v>477769.14000000013</v>
      </c>
      <c r="I799" s="27">
        <f t="shared" si="478"/>
        <v>495744.05</v>
      </c>
      <c r="J799" s="27">
        <f t="shared" si="478"/>
        <v>434807.47000000009</v>
      </c>
      <c r="K799" s="189">
        <f t="shared" si="478"/>
        <v>3124.6579454850562</v>
      </c>
      <c r="L799" s="27">
        <f t="shared" si="478"/>
        <v>467641.11</v>
      </c>
      <c r="M799" s="189">
        <f t="shared" si="478"/>
        <v>3365.4439624708402</v>
      </c>
      <c r="O799" s="27">
        <f>SUM(O794:O796)</f>
        <v>487872.27</v>
      </c>
      <c r="P799" s="189">
        <f>SUM(P794:P796)</f>
        <v>3502.5719081809511</v>
      </c>
      <c r="T799" s="27">
        <f>SUM(T794:T796)</f>
        <v>475005.16999999993</v>
      </c>
      <c r="U799" s="189">
        <f>SUM(U794:U796)</f>
        <v>3427.6440838187418</v>
      </c>
      <c r="Y799" s="27">
        <f>SUM(Y794:Y796)</f>
        <v>494386.51000000007</v>
      </c>
      <c r="Z799" s="189">
        <f>SUM(Z794:Z796)</f>
        <v>3546.432385643443</v>
      </c>
      <c r="AD799" s="27">
        <f>SUM(AD794:AD796)</f>
        <v>487817.26000000007</v>
      </c>
      <c r="AE799" s="349" t="str">
        <f>ROUND(SUM(AE794:AE796),2)&amp;" ("&amp; ROUND((SUM(AE794:AE796)-SUM(Z794:Z796))/(SUM(Z794:Z796)),3)  *100 &amp; "%)"</f>
        <v>3518,09 (-0,8%)</v>
      </c>
      <c r="AI799" s="27">
        <f>SUM(AI794:AI796)</f>
        <v>467833.8400000002</v>
      </c>
      <c r="AJ799" s="423">
        <f>SUM(AJ794:AJ796)</f>
        <v>3369.5987894546251</v>
      </c>
      <c r="AN799" s="27">
        <f>SUM(AN794:AN796)</f>
        <v>358510.33999999997</v>
      </c>
      <c r="AO799" s="39">
        <f>SUM(AO794:AO796)</f>
        <v>2584.7416139546831</v>
      </c>
      <c r="AS799" s="27">
        <f>SUM(AS794:AS796)</f>
        <v>1</v>
      </c>
      <c r="AT799" s="39">
        <f>SUM(AT794:AT796)</f>
        <v>6.9997227832561083E-3</v>
      </c>
    </row>
    <row r="800" spans="1:48" x14ac:dyDescent="0.3">
      <c r="A800" s="36"/>
      <c r="B800" s="461"/>
      <c r="C800" s="462"/>
      <c r="D800" s="462"/>
      <c r="E800" s="462"/>
      <c r="K800" s="90">
        <f>(J799-I799)/J799</f>
        <v>-0.14014612030469459</v>
      </c>
      <c r="M800" s="90">
        <f>(M799-K799)/K799</f>
        <v>7.7059960221791776E-2</v>
      </c>
      <c r="P800" s="90">
        <f>(P799-M799)/M799</f>
        <v>4.0745871046812605E-2</v>
      </c>
      <c r="R800" s="156"/>
      <c r="U800" s="90">
        <f>(U799-P799)/P799</f>
        <v>-2.1392230145853831E-2</v>
      </c>
      <c r="W800" s="156"/>
      <c r="Z800" s="90">
        <f>ROUND(SUM(Z794:Z796)/$C$793,2)</f>
        <v>47.6</v>
      </c>
      <c r="AB800" s="156"/>
      <c r="AE800" s="6">
        <f>ROUND(SUM(AE794:AE796)/$C$793,2)</f>
        <v>47.22</v>
      </c>
      <c r="AG800" s="156"/>
      <c r="AJ800" s="90"/>
      <c r="AL800" s="156"/>
      <c r="AO800" s="90"/>
      <c r="AQ800" s="156"/>
      <c r="AT800" s="90"/>
      <c r="AV800" s="156"/>
    </row>
    <row r="801" spans="1:48" x14ac:dyDescent="0.3">
      <c r="B801" s="403"/>
      <c r="K801" s="90"/>
    </row>
    <row r="802" spans="1:48" x14ac:dyDescent="0.3">
      <c r="B802" s="405"/>
      <c r="K802" s="90"/>
    </row>
    <row r="803" spans="1:48" x14ac:dyDescent="0.3">
      <c r="B803" s="401"/>
      <c r="K803" s="90"/>
    </row>
    <row r="804" spans="1:48" x14ac:dyDescent="0.3">
      <c r="B804" s="401"/>
      <c r="K804" s="90"/>
    </row>
    <row r="805" spans="1:48" x14ac:dyDescent="0.3">
      <c r="B805" s="454"/>
      <c r="K805" s="90"/>
    </row>
    <row r="806" spans="1:48" s="27" customFormat="1" x14ac:dyDescent="0.3">
      <c r="A806" s="23"/>
      <c r="B806" s="53"/>
      <c r="C806" s="25"/>
      <c r="D806" s="25"/>
      <c r="E806" s="25"/>
      <c r="K806" s="90"/>
      <c r="M806" s="90"/>
      <c r="N806" s="28"/>
      <c r="P806" s="90"/>
      <c r="Q806" s="91"/>
      <c r="R806" s="92"/>
      <c r="S806" s="28"/>
      <c r="U806" s="39"/>
      <c r="V806" s="91"/>
      <c r="W806" s="92"/>
      <c r="X806" s="28"/>
      <c r="Z806" s="39"/>
      <c r="AA806" s="7"/>
      <c r="AB806" s="92"/>
      <c r="AC806" s="28"/>
      <c r="AE806" s="9"/>
      <c r="AF806" s="7"/>
      <c r="AG806" s="92"/>
      <c r="AH806" s="28"/>
      <c r="AJ806" s="39"/>
      <c r="AK806" s="7"/>
      <c r="AL806" s="92"/>
      <c r="AM806" s="28"/>
      <c r="AO806" s="39"/>
      <c r="AP806" s="7"/>
      <c r="AQ806" s="92"/>
      <c r="AR806" s="28"/>
      <c r="AT806" s="39"/>
      <c r="AU806" s="7"/>
      <c r="AV806" s="92"/>
    </row>
    <row r="807" spans="1:48" s="27" customFormat="1" x14ac:dyDescent="0.3">
      <c r="A807" s="23"/>
      <c r="B807" s="53"/>
      <c r="C807" s="25"/>
      <c r="D807" s="25"/>
      <c r="E807" s="25"/>
      <c r="K807" s="90"/>
      <c r="M807" s="90"/>
      <c r="N807" s="28"/>
      <c r="P807" s="90"/>
      <c r="Q807" s="91"/>
      <c r="R807" s="92"/>
      <c r="S807" s="28"/>
      <c r="U807" s="39"/>
      <c r="V807" s="91"/>
      <c r="W807" s="92"/>
      <c r="X807" s="28"/>
      <c r="Z807" s="39"/>
      <c r="AA807" s="7"/>
      <c r="AB807" s="92"/>
      <c r="AC807" s="28"/>
      <c r="AE807" s="9"/>
      <c r="AF807" s="7"/>
      <c r="AG807" s="92"/>
      <c r="AH807" s="28"/>
      <c r="AJ807" s="39"/>
      <c r="AK807" s="7"/>
      <c r="AL807" s="92"/>
      <c r="AM807" s="28"/>
      <c r="AO807" s="39"/>
      <c r="AP807" s="7"/>
      <c r="AQ807" s="92"/>
      <c r="AR807" s="28"/>
      <c r="AT807" s="39"/>
      <c r="AU807" s="7"/>
      <c r="AV807" s="92"/>
    </row>
    <row r="808" spans="1:48" s="27" customFormat="1" x14ac:dyDescent="0.3">
      <c r="A808" s="23"/>
      <c r="B808" s="24"/>
      <c r="C808" s="25"/>
      <c r="D808" s="25"/>
      <c r="E808" s="25"/>
      <c r="K808" s="90"/>
      <c r="M808" s="90"/>
      <c r="N808" s="28"/>
      <c r="P808" s="90"/>
      <c r="Q808" s="91"/>
      <c r="R808" s="92"/>
      <c r="S808" s="28"/>
      <c r="U808" s="39"/>
      <c r="V808" s="91"/>
      <c r="W808" s="92"/>
      <c r="X808" s="28"/>
      <c r="Z808" s="39"/>
      <c r="AA808" s="7"/>
      <c r="AB808" s="92"/>
      <c r="AC808" s="28"/>
      <c r="AE808" s="9"/>
      <c r="AF808" s="7"/>
      <c r="AG808" s="92"/>
      <c r="AH808" s="28"/>
      <c r="AJ808" s="39"/>
      <c r="AK808" s="7"/>
      <c r="AL808" s="92"/>
      <c r="AM808" s="28"/>
      <c r="AO808" s="39"/>
      <c r="AP808" s="7"/>
      <c r="AQ808" s="92"/>
      <c r="AR808" s="28"/>
      <c r="AT808" s="39"/>
      <c r="AU808" s="7"/>
      <c r="AV808" s="92"/>
    </row>
    <row r="809" spans="1:48" s="27" customFormat="1" x14ac:dyDescent="0.3">
      <c r="A809" s="23"/>
      <c r="B809" s="24"/>
      <c r="C809" s="25"/>
      <c r="D809" s="25"/>
      <c r="E809" s="25"/>
      <c r="K809" s="90"/>
      <c r="M809" s="90"/>
      <c r="N809" s="28"/>
      <c r="P809" s="90"/>
      <c r="Q809" s="91"/>
      <c r="R809" s="92"/>
      <c r="S809" s="28"/>
      <c r="U809" s="39"/>
      <c r="V809" s="91"/>
      <c r="W809" s="92"/>
      <c r="X809" s="28"/>
      <c r="Z809" s="39"/>
      <c r="AA809" s="7"/>
      <c r="AB809" s="92"/>
      <c r="AC809" s="28"/>
      <c r="AE809" s="9"/>
      <c r="AF809" s="7"/>
      <c r="AG809" s="92"/>
      <c r="AH809" s="28"/>
      <c r="AJ809" s="39"/>
      <c r="AK809" s="7"/>
      <c r="AL809" s="92"/>
      <c r="AM809" s="28"/>
      <c r="AO809" s="39"/>
      <c r="AP809" s="7"/>
      <c r="AQ809" s="92"/>
      <c r="AR809" s="28"/>
      <c r="AT809" s="39"/>
      <c r="AU809" s="7"/>
      <c r="AV809" s="92"/>
    </row>
    <row r="810" spans="1:48" s="27" customFormat="1" x14ac:dyDescent="0.3">
      <c r="A810" s="23"/>
      <c r="B810" s="24"/>
      <c r="C810" s="25"/>
      <c r="D810" s="25"/>
      <c r="E810" s="25"/>
      <c r="K810" s="90"/>
      <c r="M810" s="90"/>
      <c r="N810" s="28"/>
      <c r="P810" s="90"/>
      <c r="Q810" s="91"/>
      <c r="R810" s="92"/>
      <c r="S810" s="28"/>
      <c r="U810" s="39"/>
      <c r="V810" s="91"/>
      <c r="W810" s="92"/>
      <c r="X810" s="28"/>
      <c r="Z810" s="39"/>
      <c r="AA810" s="7"/>
      <c r="AB810" s="92"/>
      <c r="AC810" s="28"/>
      <c r="AE810" s="9"/>
      <c r="AF810" s="7"/>
      <c r="AG810" s="92"/>
      <c r="AH810" s="28"/>
      <c r="AJ810" s="39"/>
      <c r="AK810" s="7"/>
      <c r="AL810" s="92"/>
      <c r="AM810" s="28"/>
      <c r="AO810" s="39"/>
      <c r="AP810" s="7"/>
      <c r="AQ810" s="92"/>
      <c r="AR810" s="28"/>
      <c r="AT810" s="39"/>
      <c r="AU810" s="7"/>
      <c r="AV810" s="92"/>
    </row>
    <row r="811" spans="1:48" s="27" customFormat="1" x14ac:dyDescent="0.3">
      <c r="A811" s="23"/>
      <c r="B811" s="24"/>
      <c r="C811" s="25"/>
      <c r="D811" s="25"/>
      <c r="E811" s="25"/>
      <c r="K811" s="90"/>
      <c r="M811" s="90"/>
      <c r="N811" s="28"/>
      <c r="P811" s="90"/>
      <c r="Q811" s="91"/>
      <c r="R811" s="92"/>
      <c r="S811" s="28"/>
      <c r="U811" s="39"/>
      <c r="V811" s="91"/>
      <c r="W811" s="92"/>
      <c r="X811" s="28"/>
      <c r="Z811" s="39"/>
      <c r="AA811" s="7"/>
      <c r="AB811" s="92"/>
      <c r="AC811" s="28"/>
      <c r="AE811" s="9"/>
      <c r="AF811" s="7"/>
      <c r="AG811" s="92"/>
      <c r="AH811" s="28"/>
      <c r="AJ811" s="39"/>
      <c r="AK811" s="7"/>
      <c r="AL811" s="92"/>
      <c r="AM811" s="28"/>
      <c r="AO811" s="39"/>
      <c r="AP811" s="7"/>
      <c r="AQ811" s="92"/>
      <c r="AR811" s="28"/>
      <c r="AT811" s="39"/>
      <c r="AU811" s="7"/>
      <c r="AV811" s="92"/>
    </row>
    <row r="812" spans="1:48" s="27" customFormat="1" x14ac:dyDescent="0.3">
      <c r="A812" s="23"/>
      <c r="B812" s="24"/>
      <c r="C812" s="25"/>
      <c r="D812" s="25"/>
      <c r="E812" s="25"/>
      <c r="K812" s="90"/>
      <c r="M812" s="90"/>
      <c r="N812" s="28"/>
      <c r="P812" s="90"/>
      <c r="Q812" s="91"/>
      <c r="R812" s="92"/>
      <c r="S812" s="28"/>
      <c r="U812" s="39"/>
      <c r="V812" s="91"/>
      <c r="W812" s="92"/>
      <c r="X812" s="28"/>
      <c r="Z812" s="39"/>
      <c r="AA812" s="7"/>
      <c r="AB812" s="92"/>
      <c r="AC812" s="28"/>
      <c r="AE812" s="9"/>
      <c r="AF812" s="7"/>
      <c r="AG812" s="92"/>
      <c r="AH812" s="28"/>
      <c r="AJ812" s="39"/>
      <c r="AK812" s="7"/>
      <c r="AL812" s="92"/>
      <c r="AM812" s="28"/>
      <c r="AO812" s="39"/>
      <c r="AP812" s="7"/>
      <c r="AQ812" s="92"/>
      <c r="AR812" s="28"/>
      <c r="AT812" s="39"/>
      <c r="AU812" s="7"/>
      <c r="AV812" s="92"/>
    </row>
    <row r="813" spans="1:48" s="27" customFormat="1" x14ac:dyDescent="0.3">
      <c r="A813" s="23"/>
      <c r="B813" s="24"/>
      <c r="C813" s="25"/>
      <c r="D813" s="25"/>
      <c r="E813" s="25"/>
      <c r="K813" s="90"/>
      <c r="M813" s="90"/>
      <c r="N813" s="28"/>
      <c r="P813" s="90"/>
      <c r="Q813" s="91"/>
      <c r="R813" s="92"/>
      <c r="S813" s="28"/>
      <c r="U813" s="39"/>
      <c r="V813" s="91"/>
      <c r="W813" s="92"/>
      <c r="X813" s="28"/>
      <c r="Z813" s="39"/>
      <c r="AA813" s="7"/>
      <c r="AB813" s="92"/>
      <c r="AC813" s="28"/>
      <c r="AE813" s="9"/>
      <c r="AF813" s="7"/>
      <c r="AG813" s="92"/>
      <c r="AH813" s="28"/>
      <c r="AJ813" s="39"/>
      <c r="AK813" s="7"/>
      <c r="AL813" s="92"/>
      <c r="AM813" s="28"/>
      <c r="AO813" s="39"/>
      <c r="AP813" s="7"/>
      <c r="AQ813" s="92"/>
      <c r="AR813" s="28"/>
      <c r="AT813" s="39"/>
      <c r="AU813" s="7"/>
      <c r="AV813" s="92"/>
    </row>
    <row r="814" spans="1:48" s="27" customFormat="1" x14ac:dyDescent="0.3">
      <c r="A814" s="23"/>
      <c r="B814" s="24"/>
      <c r="C814" s="25"/>
      <c r="D814" s="25"/>
      <c r="E814" s="25"/>
      <c r="K814" s="90"/>
      <c r="M814" s="90"/>
      <c r="N814" s="28"/>
      <c r="P814" s="90"/>
      <c r="Q814" s="91"/>
      <c r="R814" s="92"/>
      <c r="S814" s="28"/>
      <c r="U814" s="39"/>
      <c r="V814" s="91"/>
      <c r="W814" s="92"/>
      <c r="X814" s="28"/>
      <c r="Z814" s="39"/>
      <c r="AA814" s="7"/>
      <c r="AB814" s="92"/>
      <c r="AC814" s="28"/>
      <c r="AE814" s="9"/>
      <c r="AF814" s="7"/>
      <c r="AG814" s="92"/>
      <c r="AH814" s="28"/>
      <c r="AJ814" s="39"/>
      <c r="AK814" s="7"/>
      <c r="AL814" s="92"/>
      <c r="AM814" s="28"/>
      <c r="AO814" s="39"/>
      <c r="AP814" s="7"/>
      <c r="AQ814" s="92"/>
      <c r="AR814" s="28"/>
      <c r="AT814" s="39"/>
      <c r="AU814" s="7"/>
      <c r="AV814" s="92"/>
    </row>
    <row r="815" spans="1:48" s="27" customFormat="1" x14ac:dyDescent="0.3">
      <c r="A815" s="23"/>
      <c r="B815" s="24"/>
      <c r="C815" s="25"/>
      <c r="D815" s="25"/>
      <c r="E815" s="25"/>
      <c r="K815" s="90"/>
      <c r="M815" s="90"/>
      <c r="N815" s="28"/>
      <c r="P815" s="90"/>
      <c r="Q815" s="91"/>
      <c r="R815" s="92"/>
      <c r="S815" s="28"/>
      <c r="U815" s="39"/>
      <c r="V815" s="91"/>
      <c r="W815" s="92"/>
      <c r="X815" s="28"/>
      <c r="Z815" s="39"/>
      <c r="AA815" s="7"/>
      <c r="AB815" s="92"/>
      <c r="AC815" s="28"/>
      <c r="AE815" s="9"/>
      <c r="AF815" s="7"/>
      <c r="AG815" s="92"/>
      <c r="AH815" s="28"/>
      <c r="AJ815" s="39"/>
      <c r="AK815" s="7"/>
      <c r="AL815" s="92"/>
      <c r="AM815" s="28"/>
      <c r="AO815" s="39"/>
      <c r="AP815" s="7"/>
      <c r="AQ815" s="92"/>
      <c r="AR815" s="28"/>
      <c r="AT815" s="39"/>
      <c r="AU815" s="7"/>
      <c r="AV815" s="92"/>
    </row>
    <row r="816" spans="1:48" s="27" customFormat="1" x14ac:dyDescent="0.3">
      <c r="A816" s="23"/>
      <c r="B816" s="24"/>
      <c r="C816" s="25"/>
      <c r="D816" s="25"/>
      <c r="E816" s="25"/>
      <c r="K816" s="90"/>
      <c r="M816" s="90"/>
      <c r="N816" s="28"/>
      <c r="P816" s="90"/>
      <c r="Q816" s="91"/>
      <c r="R816" s="92"/>
      <c r="S816" s="28"/>
      <c r="U816" s="39"/>
      <c r="V816" s="91"/>
      <c r="W816" s="92"/>
      <c r="X816" s="28"/>
      <c r="Z816" s="39"/>
      <c r="AA816" s="7"/>
      <c r="AB816" s="92"/>
      <c r="AC816" s="28"/>
      <c r="AE816" s="9"/>
      <c r="AF816" s="7"/>
      <c r="AG816" s="92"/>
      <c r="AH816" s="28"/>
      <c r="AJ816" s="39"/>
      <c r="AK816" s="7"/>
      <c r="AL816" s="92"/>
      <c r="AM816" s="28"/>
      <c r="AO816" s="39"/>
      <c r="AP816" s="7"/>
      <c r="AQ816" s="92"/>
      <c r="AR816" s="28"/>
      <c r="AT816" s="39"/>
      <c r="AU816" s="7"/>
      <c r="AV816" s="92"/>
    </row>
    <row r="817" spans="1:48" s="27" customFormat="1" x14ac:dyDescent="0.3">
      <c r="A817" s="23"/>
      <c r="B817" s="24"/>
      <c r="C817" s="25"/>
      <c r="D817" s="25"/>
      <c r="E817" s="25"/>
      <c r="K817" s="90"/>
      <c r="M817" s="90"/>
      <c r="N817" s="28"/>
      <c r="P817" s="90"/>
      <c r="Q817" s="91"/>
      <c r="R817" s="92"/>
      <c r="S817" s="28"/>
      <c r="U817" s="39"/>
      <c r="V817" s="91"/>
      <c r="W817" s="92"/>
      <c r="X817" s="28"/>
      <c r="Z817" s="39"/>
      <c r="AA817" s="7"/>
      <c r="AB817" s="92"/>
      <c r="AC817" s="28"/>
      <c r="AE817" s="9"/>
      <c r="AF817" s="7"/>
      <c r="AG817" s="92"/>
      <c r="AH817" s="28"/>
      <c r="AJ817" s="39"/>
      <c r="AK817" s="7"/>
      <c r="AL817" s="92"/>
      <c r="AM817" s="28"/>
      <c r="AO817" s="39"/>
      <c r="AP817" s="7"/>
      <c r="AQ817" s="92"/>
      <c r="AR817" s="28"/>
      <c r="AT817" s="39"/>
      <c r="AU817" s="7"/>
      <c r="AV817" s="92"/>
    </row>
    <row r="818" spans="1:48" s="27" customFormat="1" x14ac:dyDescent="0.3">
      <c r="A818" s="23"/>
      <c r="B818" s="24"/>
      <c r="C818" s="25"/>
      <c r="D818" s="25"/>
      <c r="E818" s="25"/>
      <c r="K818" s="90"/>
      <c r="M818" s="90"/>
      <c r="N818" s="28"/>
      <c r="P818" s="90"/>
      <c r="Q818" s="91"/>
      <c r="R818" s="92"/>
      <c r="S818" s="28"/>
      <c r="U818" s="39"/>
      <c r="V818" s="91"/>
      <c r="W818" s="92"/>
      <c r="X818" s="28"/>
      <c r="Z818" s="39"/>
      <c r="AA818" s="7"/>
      <c r="AB818" s="92"/>
      <c r="AC818" s="28"/>
      <c r="AE818" s="9"/>
      <c r="AF818" s="7"/>
      <c r="AG818" s="92"/>
      <c r="AH818" s="28"/>
      <c r="AJ818" s="39"/>
      <c r="AK818" s="7"/>
      <c r="AL818" s="92"/>
      <c r="AM818" s="28"/>
      <c r="AO818" s="39"/>
      <c r="AP818" s="7"/>
      <c r="AQ818" s="92"/>
      <c r="AR818" s="28"/>
      <c r="AT818" s="39"/>
      <c r="AU818" s="7"/>
      <c r="AV818" s="92"/>
    </row>
    <row r="819" spans="1:48" s="27" customFormat="1" x14ac:dyDescent="0.3">
      <c r="A819" s="23"/>
      <c r="B819" s="24"/>
      <c r="C819" s="25"/>
      <c r="D819" s="25"/>
      <c r="E819" s="25"/>
      <c r="K819" s="90"/>
      <c r="M819" s="90"/>
      <c r="N819" s="28"/>
      <c r="P819" s="90"/>
      <c r="Q819" s="91"/>
      <c r="R819" s="92"/>
      <c r="S819" s="28"/>
      <c r="U819" s="39"/>
      <c r="V819" s="91"/>
      <c r="W819" s="92"/>
      <c r="X819" s="28"/>
      <c r="Z819" s="39"/>
      <c r="AA819" s="7"/>
      <c r="AB819" s="92"/>
      <c r="AC819" s="28"/>
      <c r="AE819" s="9"/>
      <c r="AF819" s="7"/>
      <c r="AG819" s="92"/>
      <c r="AH819" s="28"/>
      <c r="AJ819" s="39"/>
      <c r="AK819" s="7"/>
      <c r="AL819" s="92"/>
      <c r="AM819" s="28"/>
      <c r="AO819" s="39"/>
      <c r="AP819" s="7"/>
      <c r="AQ819" s="92"/>
      <c r="AR819" s="28"/>
      <c r="AT819" s="39"/>
      <c r="AU819" s="7"/>
      <c r="AV819" s="92"/>
    </row>
    <row r="820" spans="1:48" s="27" customFormat="1" x14ac:dyDescent="0.3">
      <c r="A820" s="23"/>
      <c r="B820" s="24"/>
      <c r="C820" s="25"/>
      <c r="D820" s="25"/>
      <c r="E820" s="25"/>
      <c r="K820" s="90"/>
      <c r="M820" s="90"/>
      <c r="N820" s="28"/>
      <c r="P820" s="90"/>
      <c r="Q820" s="91"/>
      <c r="R820" s="92"/>
      <c r="S820" s="28"/>
      <c r="U820" s="39"/>
      <c r="V820" s="91"/>
      <c r="W820" s="92"/>
      <c r="X820" s="28"/>
      <c r="Z820" s="39"/>
      <c r="AA820" s="7"/>
      <c r="AB820" s="92"/>
      <c r="AC820" s="28"/>
      <c r="AE820" s="9"/>
      <c r="AF820" s="7"/>
      <c r="AG820" s="92"/>
      <c r="AH820" s="28"/>
      <c r="AJ820" s="39"/>
      <c r="AK820" s="7"/>
      <c r="AL820" s="92"/>
      <c r="AM820" s="28"/>
      <c r="AO820" s="39"/>
      <c r="AP820" s="7"/>
      <c r="AQ820" s="92"/>
      <c r="AR820" s="28"/>
      <c r="AT820" s="39"/>
      <c r="AU820" s="7"/>
      <c r="AV820" s="92"/>
    </row>
    <row r="821" spans="1:48" s="27" customFormat="1" x14ac:dyDescent="0.3">
      <c r="A821" s="23"/>
      <c r="B821" s="24"/>
      <c r="C821" s="25"/>
      <c r="D821" s="25"/>
      <c r="E821" s="25"/>
      <c r="K821" s="90"/>
      <c r="M821" s="90"/>
      <c r="N821" s="28"/>
      <c r="P821" s="90"/>
      <c r="Q821" s="91"/>
      <c r="R821" s="92"/>
      <c r="S821" s="28"/>
      <c r="U821" s="39"/>
      <c r="V821" s="91"/>
      <c r="W821" s="92"/>
      <c r="X821" s="28"/>
      <c r="Z821" s="39"/>
      <c r="AA821" s="7"/>
      <c r="AB821" s="92"/>
      <c r="AC821" s="28"/>
      <c r="AE821" s="9"/>
      <c r="AF821" s="7"/>
      <c r="AG821" s="92"/>
      <c r="AH821" s="28"/>
      <c r="AJ821" s="39"/>
      <c r="AK821" s="7"/>
      <c r="AL821" s="92"/>
      <c r="AM821" s="28"/>
      <c r="AO821" s="39"/>
      <c r="AP821" s="7"/>
      <c r="AQ821" s="92"/>
      <c r="AR821" s="28"/>
      <c r="AT821" s="39"/>
      <c r="AU821" s="7"/>
      <c r="AV821" s="92"/>
    </row>
    <row r="822" spans="1:48" s="27" customFormat="1" x14ac:dyDescent="0.3">
      <c r="A822" s="23"/>
      <c r="B822" s="24"/>
      <c r="C822" s="25"/>
      <c r="D822" s="25"/>
      <c r="E822" s="25"/>
      <c r="K822" s="90"/>
      <c r="M822" s="90"/>
      <c r="N822" s="28"/>
      <c r="P822" s="90"/>
      <c r="Q822" s="91"/>
      <c r="R822" s="92"/>
      <c r="S822" s="28"/>
      <c r="U822" s="39"/>
      <c r="V822" s="91"/>
      <c r="W822" s="92"/>
      <c r="X822" s="28"/>
      <c r="Z822" s="39"/>
      <c r="AA822" s="7"/>
      <c r="AB822" s="92"/>
      <c r="AC822" s="28"/>
      <c r="AE822" s="9"/>
      <c r="AF822" s="7"/>
      <c r="AG822" s="92"/>
      <c r="AH822" s="28"/>
      <c r="AJ822" s="39"/>
      <c r="AK822" s="7"/>
      <c r="AL822" s="92"/>
      <c r="AM822" s="28"/>
      <c r="AO822" s="39"/>
      <c r="AP822" s="7"/>
      <c r="AQ822" s="92"/>
      <c r="AR822" s="28"/>
      <c r="AT822" s="39"/>
      <c r="AU822" s="7"/>
      <c r="AV822" s="92"/>
    </row>
    <row r="823" spans="1:48" s="27" customFormat="1" x14ac:dyDescent="0.3">
      <c r="A823" s="23"/>
      <c r="B823" s="24"/>
      <c r="C823" s="25"/>
      <c r="D823" s="25"/>
      <c r="E823" s="25"/>
      <c r="K823" s="90"/>
      <c r="M823" s="90"/>
      <c r="N823" s="28"/>
      <c r="P823" s="90"/>
      <c r="Q823" s="91"/>
      <c r="R823" s="92"/>
      <c r="S823" s="28"/>
      <c r="U823" s="39"/>
      <c r="V823" s="91"/>
      <c r="W823" s="92"/>
      <c r="X823" s="28"/>
      <c r="Z823" s="39"/>
      <c r="AA823" s="7"/>
      <c r="AB823" s="92"/>
      <c r="AC823" s="28"/>
      <c r="AE823" s="9"/>
      <c r="AF823" s="7"/>
      <c r="AG823" s="92"/>
      <c r="AH823" s="28"/>
      <c r="AJ823" s="39"/>
      <c r="AK823" s="7"/>
      <c r="AL823" s="92"/>
      <c r="AM823" s="28"/>
      <c r="AO823" s="39"/>
      <c r="AP823" s="7"/>
      <c r="AQ823" s="92"/>
      <c r="AR823" s="28"/>
      <c r="AT823" s="39"/>
      <c r="AU823" s="7"/>
      <c r="AV823" s="92"/>
    </row>
    <row r="824" spans="1:48" s="27" customFormat="1" x14ac:dyDescent="0.3">
      <c r="A824" s="23"/>
      <c r="B824" s="24"/>
      <c r="C824" s="25"/>
      <c r="D824" s="25"/>
      <c r="E824" s="25"/>
      <c r="K824" s="90"/>
      <c r="M824" s="90"/>
      <c r="N824" s="28"/>
      <c r="P824" s="90"/>
      <c r="Q824" s="91"/>
      <c r="R824" s="92"/>
      <c r="S824" s="28"/>
      <c r="U824" s="39"/>
      <c r="V824" s="91"/>
      <c r="W824" s="92"/>
      <c r="X824" s="28"/>
      <c r="Z824" s="39"/>
      <c r="AA824" s="7"/>
      <c r="AB824" s="92"/>
      <c r="AC824" s="28"/>
      <c r="AE824" s="9"/>
      <c r="AF824" s="7"/>
      <c r="AG824" s="92"/>
      <c r="AH824" s="28"/>
      <c r="AJ824" s="39"/>
      <c r="AK824" s="7"/>
      <c r="AL824" s="92"/>
      <c r="AM824" s="28"/>
      <c r="AO824" s="39"/>
      <c r="AP824" s="7"/>
      <c r="AQ824" s="92"/>
      <c r="AR824" s="28"/>
      <c r="AT824" s="39"/>
      <c r="AU824" s="7"/>
      <c r="AV824" s="92"/>
    </row>
    <row r="825" spans="1:48" s="27" customFormat="1" x14ac:dyDescent="0.3">
      <c r="A825" s="23"/>
      <c r="B825" s="24"/>
      <c r="C825" s="25"/>
      <c r="D825" s="25"/>
      <c r="E825" s="25"/>
      <c r="K825" s="90"/>
      <c r="M825" s="90"/>
      <c r="N825" s="28"/>
      <c r="P825" s="90"/>
      <c r="Q825" s="91"/>
      <c r="R825" s="92"/>
      <c r="S825" s="28"/>
      <c r="U825" s="39"/>
      <c r="V825" s="91"/>
      <c r="W825" s="92"/>
      <c r="X825" s="28"/>
      <c r="Z825" s="39"/>
      <c r="AA825" s="7"/>
      <c r="AB825" s="92"/>
      <c r="AC825" s="28"/>
      <c r="AE825" s="9"/>
      <c r="AF825" s="7"/>
      <c r="AG825" s="92"/>
      <c r="AH825" s="28"/>
      <c r="AJ825" s="39"/>
      <c r="AK825" s="7"/>
      <c r="AL825" s="92"/>
      <c r="AM825" s="28"/>
      <c r="AO825" s="39"/>
      <c r="AP825" s="7"/>
      <c r="AQ825" s="92"/>
      <c r="AR825" s="28"/>
      <c r="AT825" s="39"/>
      <c r="AU825" s="7"/>
      <c r="AV825" s="92"/>
    </row>
    <row r="826" spans="1:48" s="27" customFormat="1" x14ac:dyDescent="0.3">
      <c r="A826" s="23"/>
      <c r="B826" s="24"/>
      <c r="C826" s="25"/>
      <c r="D826" s="25"/>
      <c r="E826" s="25"/>
      <c r="K826" s="90"/>
      <c r="M826" s="90"/>
      <c r="N826" s="28"/>
      <c r="P826" s="90"/>
      <c r="Q826" s="91"/>
      <c r="R826" s="92"/>
      <c r="S826" s="28"/>
      <c r="U826" s="39"/>
      <c r="V826" s="91"/>
      <c r="W826" s="92"/>
      <c r="X826" s="28"/>
      <c r="Z826" s="39"/>
      <c r="AA826" s="7"/>
      <c r="AB826" s="92"/>
      <c r="AC826" s="28"/>
      <c r="AE826" s="9"/>
      <c r="AF826" s="7"/>
      <c r="AG826" s="92"/>
      <c r="AH826" s="28"/>
      <c r="AJ826" s="39"/>
      <c r="AK826" s="7"/>
      <c r="AL826" s="92"/>
      <c r="AM826" s="28"/>
      <c r="AO826" s="39"/>
      <c r="AP826" s="7"/>
      <c r="AQ826" s="92"/>
      <c r="AR826" s="28"/>
      <c r="AT826" s="39"/>
      <c r="AU826" s="7"/>
      <c r="AV826" s="92"/>
    </row>
    <row r="827" spans="1:48" s="27" customFormat="1" x14ac:dyDescent="0.3">
      <c r="A827" s="23"/>
      <c r="B827" s="24"/>
      <c r="C827" s="25"/>
      <c r="D827" s="25"/>
      <c r="E827" s="25"/>
      <c r="K827" s="90"/>
      <c r="M827" s="90"/>
      <c r="N827" s="28"/>
      <c r="P827" s="90"/>
      <c r="Q827" s="91"/>
      <c r="R827" s="92"/>
      <c r="S827" s="28"/>
      <c r="U827" s="39"/>
      <c r="V827" s="91"/>
      <c r="W827" s="92"/>
      <c r="X827" s="28"/>
      <c r="Z827" s="39"/>
      <c r="AA827" s="7"/>
      <c r="AB827" s="92"/>
      <c r="AC827" s="28"/>
      <c r="AE827" s="9"/>
      <c r="AF827" s="7"/>
      <c r="AG827" s="92"/>
      <c r="AH827" s="28"/>
      <c r="AJ827" s="39"/>
      <c r="AK827" s="7"/>
      <c r="AL827" s="92"/>
      <c r="AM827" s="28"/>
      <c r="AO827" s="39"/>
      <c r="AP827" s="7"/>
      <c r="AQ827" s="92"/>
      <c r="AR827" s="28"/>
      <c r="AT827" s="39"/>
      <c r="AU827" s="7"/>
      <c r="AV827" s="92"/>
    </row>
    <row r="828" spans="1:48" s="27" customFormat="1" x14ac:dyDescent="0.3">
      <c r="A828" s="23"/>
      <c r="B828" s="24"/>
      <c r="C828" s="25"/>
      <c r="D828" s="25"/>
      <c r="E828" s="25"/>
      <c r="K828" s="90"/>
      <c r="M828" s="90"/>
      <c r="N828" s="28"/>
      <c r="P828" s="90"/>
      <c r="Q828" s="91"/>
      <c r="R828" s="92"/>
      <c r="S828" s="28"/>
      <c r="U828" s="39"/>
      <c r="V828" s="91"/>
      <c r="W828" s="92"/>
      <c r="X828" s="28"/>
      <c r="Z828" s="39"/>
      <c r="AA828" s="7"/>
      <c r="AB828" s="92"/>
      <c r="AC828" s="28"/>
      <c r="AE828" s="9"/>
      <c r="AF828" s="7"/>
      <c r="AG828" s="92"/>
      <c r="AH828" s="28"/>
      <c r="AJ828" s="39"/>
      <c r="AK828" s="7"/>
      <c r="AL828" s="92"/>
      <c r="AM828" s="28"/>
      <c r="AO828" s="39"/>
      <c r="AP828" s="7"/>
      <c r="AQ828" s="92"/>
      <c r="AR828" s="28"/>
      <c r="AT828" s="39"/>
      <c r="AU828" s="7"/>
      <c r="AV828" s="92"/>
    </row>
    <row r="829" spans="1:48" s="27" customFormat="1" x14ac:dyDescent="0.3">
      <c r="A829" s="23"/>
      <c r="B829" s="24"/>
      <c r="C829" s="25"/>
      <c r="D829" s="25"/>
      <c r="E829" s="25"/>
      <c r="K829" s="90"/>
      <c r="M829" s="90"/>
      <c r="N829" s="28"/>
      <c r="P829" s="90"/>
      <c r="Q829" s="91"/>
      <c r="R829" s="92"/>
      <c r="S829" s="28"/>
      <c r="U829" s="39"/>
      <c r="V829" s="91"/>
      <c r="W829" s="92"/>
      <c r="X829" s="28"/>
      <c r="Z829" s="39"/>
      <c r="AA829" s="7"/>
      <c r="AB829" s="92"/>
      <c r="AC829" s="28"/>
      <c r="AE829" s="9"/>
      <c r="AF829" s="7"/>
      <c r="AG829" s="92"/>
      <c r="AH829" s="28"/>
      <c r="AJ829" s="39"/>
      <c r="AK829" s="7"/>
      <c r="AL829" s="92"/>
      <c r="AM829" s="28"/>
      <c r="AO829" s="39"/>
      <c r="AP829" s="7"/>
      <c r="AQ829" s="92"/>
      <c r="AR829" s="28"/>
      <c r="AT829" s="39"/>
      <c r="AU829" s="7"/>
      <c r="AV829" s="92"/>
    </row>
    <row r="830" spans="1:48" s="27" customFormat="1" x14ac:dyDescent="0.3">
      <c r="A830" s="23"/>
      <c r="B830" s="24"/>
      <c r="C830" s="25"/>
      <c r="D830" s="25"/>
      <c r="E830" s="25"/>
      <c r="K830" s="90"/>
      <c r="M830" s="90"/>
      <c r="N830" s="28"/>
      <c r="P830" s="90"/>
      <c r="Q830" s="91"/>
      <c r="R830" s="92"/>
      <c r="S830" s="28"/>
      <c r="U830" s="39"/>
      <c r="V830" s="91"/>
      <c r="W830" s="92"/>
      <c r="X830" s="28"/>
      <c r="Z830" s="39"/>
      <c r="AA830" s="7"/>
      <c r="AB830" s="92"/>
      <c r="AC830" s="28"/>
      <c r="AE830" s="9"/>
      <c r="AF830" s="7"/>
      <c r="AG830" s="92"/>
      <c r="AH830" s="28"/>
      <c r="AJ830" s="39"/>
      <c r="AK830" s="7"/>
      <c r="AL830" s="92"/>
      <c r="AM830" s="28"/>
      <c r="AO830" s="39"/>
      <c r="AP830" s="7"/>
      <c r="AQ830" s="92"/>
      <c r="AR830" s="28"/>
      <c r="AT830" s="39"/>
      <c r="AU830" s="7"/>
      <c r="AV830" s="92"/>
    </row>
    <row r="831" spans="1:48" s="27" customFormat="1" x14ac:dyDescent="0.3">
      <c r="A831" s="23"/>
      <c r="B831" s="24"/>
      <c r="C831" s="25"/>
      <c r="D831" s="25"/>
      <c r="E831" s="25"/>
      <c r="K831" s="90"/>
      <c r="M831" s="90"/>
      <c r="N831" s="28"/>
      <c r="P831" s="90"/>
      <c r="Q831" s="91"/>
      <c r="R831" s="92"/>
      <c r="S831" s="28"/>
      <c r="U831" s="39"/>
      <c r="V831" s="91"/>
      <c r="W831" s="92"/>
      <c r="X831" s="28"/>
      <c r="Z831" s="39"/>
      <c r="AA831" s="7"/>
      <c r="AB831" s="92"/>
      <c r="AC831" s="28"/>
      <c r="AE831" s="9"/>
      <c r="AF831" s="7"/>
      <c r="AG831" s="92"/>
      <c r="AH831" s="28"/>
      <c r="AJ831" s="39"/>
      <c r="AK831" s="7"/>
      <c r="AL831" s="92"/>
      <c r="AM831" s="28"/>
      <c r="AO831" s="39"/>
      <c r="AP831" s="7"/>
      <c r="AQ831" s="92"/>
      <c r="AR831" s="28"/>
      <c r="AT831" s="39"/>
      <c r="AU831" s="7"/>
      <c r="AV831" s="92"/>
    </row>
    <row r="832" spans="1:48" s="27" customFormat="1" x14ac:dyDescent="0.3">
      <c r="A832" s="23"/>
      <c r="B832" s="24"/>
      <c r="C832" s="25"/>
      <c r="D832" s="25"/>
      <c r="E832" s="25"/>
      <c r="K832" s="90"/>
      <c r="M832" s="90"/>
      <c r="N832" s="28"/>
      <c r="P832" s="90"/>
      <c r="Q832" s="91"/>
      <c r="R832" s="92"/>
      <c r="S832" s="28"/>
      <c r="U832" s="39"/>
      <c r="V832" s="91"/>
      <c r="W832" s="92"/>
      <c r="X832" s="28"/>
      <c r="Z832" s="39"/>
      <c r="AA832" s="7"/>
      <c r="AB832" s="92"/>
      <c r="AC832" s="28"/>
      <c r="AE832" s="9"/>
      <c r="AF832" s="7"/>
      <c r="AG832" s="92"/>
      <c r="AH832" s="28"/>
      <c r="AJ832" s="39"/>
      <c r="AK832" s="7"/>
      <c r="AL832" s="92"/>
      <c r="AM832" s="28"/>
      <c r="AO832" s="39"/>
      <c r="AP832" s="7"/>
      <c r="AQ832" s="92"/>
      <c r="AR832" s="28"/>
      <c r="AT832" s="39"/>
      <c r="AU832" s="7"/>
      <c r="AV832" s="92"/>
    </row>
    <row r="833" spans="1:48" s="27" customFormat="1" x14ac:dyDescent="0.3">
      <c r="A833" s="23"/>
      <c r="B833" s="24"/>
      <c r="C833" s="25"/>
      <c r="D833" s="25"/>
      <c r="E833" s="25"/>
      <c r="K833" s="90"/>
      <c r="M833" s="90"/>
      <c r="N833" s="28"/>
      <c r="P833" s="90"/>
      <c r="Q833" s="91"/>
      <c r="R833" s="92"/>
      <c r="S833" s="28"/>
      <c r="U833" s="39"/>
      <c r="V833" s="91"/>
      <c r="W833" s="92"/>
      <c r="X833" s="28"/>
      <c r="Z833" s="39"/>
      <c r="AA833" s="7"/>
      <c r="AB833" s="92"/>
      <c r="AC833" s="28"/>
      <c r="AE833" s="9"/>
      <c r="AF833" s="7"/>
      <c r="AG833" s="92"/>
      <c r="AH833" s="28"/>
      <c r="AJ833" s="39"/>
      <c r="AK833" s="7"/>
      <c r="AL833" s="92"/>
      <c r="AM833" s="28"/>
      <c r="AO833" s="39"/>
      <c r="AP833" s="7"/>
      <c r="AQ833" s="92"/>
      <c r="AR833" s="28"/>
      <c r="AT833" s="39"/>
      <c r="AU833" s="7"/>
      <c r="AV833" s="92"/>
    </row>
    <row r="834" spans="1:48" s="27" customFormat="1" x14ac:dyDescent="0.3">
      <c r="A834" s="23"/>
      <c r="B834" s="24"/>
      <c r="C834" s="25"/>
      <c r="D834" s="25"/>
      <c r="E834" s="25"/>
      <c r="K834" s="90"/>
      <c r="M834" s="90"/>
      <c r="N834" s="28"/>
      <c r="P834" s="90"/>
      <c r="Q834" s="91"/>
      <c r="R834" s="92"/>
      <c r="S834" s="28"/>
      <c r="U834" s="39"/>
      <c r="V834" s="91"/>
      <c r="W834" s="92"/>
      <c r="X834" s="28"/>
      <c r="Z834" s="39"/>
      <c r="AA834" s="7"/>
      <c r="AB834" s="92"/>
      <c r="AC834" s="28"/>
      <c r="AE834" s="9"/>
      <c r="AF834" s="7"/>
      <c r="AG834" s="92"/>
      <c r="AH834" s="28"/>
      <c r="AJ834" s="39"/>
      <c r="AK834" s="7"/>
      <c r="AL834" s="92"/>
      <c r="AM834" s="28"/>
      <c r="AO834" s="39"/>
      <c r="AP834" s="7"/>
      <c r="AQ834" s="92"/>
      <c r="AR834" s="28"/>
      <c r="AT834" s="39"/>
      <c r="AU834" s="7"/>
      <c r="AV834" s="92"/>
    </row>
    <row r="835" spans="1:48" s="27" customFormat="1" x14ac:dyDescent="0.3">
      <c r="A835" s="23"/>
      <c r="B835" s="24"/>
      <c r="C835" s="25"/>
      <c r="D835" s="25"/>
      <c r="E835" s="25"/>
      <c r="K835" s="90"/>
      <c r="M835" s="90"/>
      <c r="N835" s="28"/>
      <c r="P835" s="90"/>
      <c r="Q835" s="91"/>
      <c r="R835" s="92"/>
      <c r="S835" s="28"/>
      <c r="U835" s="39"/>
      <c r="V835" s="91"/>
      <c r="W835" s="92"/>
      <c r="X835" s="28"/>
      <c r="Z835" s="39"/>
      <c r="AA835" s="7"/>
      <c r="AB835" s="92"/>
      <c r="AC835" s="28"/>
      <c r="AE835" s="9"/>
      <c r="AF835" s="7"/>
      <c r="AG835" s="92"/>
      <c r="AH835" s="28"/>
      <c r="AJ835" s="39"/>
      <c r="AK835" s="7"/>
      <c r="AL835" s="92"/>
      <c r="AM835" s="28"/>
      <c r="AO835" s="39"/>
      <c r="AP835" s="7"/>
      <c r="AQ835" s="92"/>
      <c r="AR835" s="28"/>
      <c r="AT835" s="39"/>
      <c r="AU835" s="7"/>
      <c r="AV835" s="92"/>
    </row>
    <row r="836" spans="1:48" s="27" customFormat="1" x14ac:dyDescent="0.3">
      <c r="A836" s="23"/>
      <c r="B836" s="24"/>
      <c r="C836" s="25"/>
      <c r="D836" s="25"/>
      <c r="E836" s="25"/>
      <c r="K836" s="90"/>
      <c r="M836" s="90"/>
      <c r="N836" s="28"/>
      <c r="P836" s="90"/>
      <c r="Q836" s="91"/>
      <c r="R836" s="92"/>
      <c r="S836" s="28"/>
      <c r="U836" s="39"/>
      <c r="V836" s="91"/>
      <c r="W836" s="92"/>
      <c r="X836" s="28"/>
      <c r="Z836" s="39"/>
      <c r="AA836" s="7"/>
      <c r="AB836" s="92"/>
      <c r="AC836" s="28"/>
      <c r="AE836" s="9"/>
      <c r="AF836" s="7"/>
      <c r="AG836" s="92"/>
      <c r="AH836" s="28"/>
      <c r="AJ836" s="39"/>
      <c r="AK836" s="7"/>
      <c r="AL836" s="92"/>
      <c r="AM836" s="28"/>
      <c r="AO836" s="39"/>
      <c r="AP836" s="7"/>
      <c r="AQ836" s="92"/>
      <c r="AR836" s="28"/>
      <c r="AT836" s="39"/>
      <c r="AU836" s="7"/>
      <c r="AV836" s="92"/>
    </row>
    <row r="837" spans="1:48" s="27" customFormat="1" x14ac:dyDescent="0.3">
      <c r="A837" s="23"/>
      <c r="B837" s="24"/>
      <c r="C837" s="25"/>
      <c r="D837" s="25"/>
      <c r="E837" s="25"/>
      <c r="K837" s="90"/>
      <c r="M837" s="90"/>
      <c r="N837" s="28"/>
      <c r="P837" s="90"/>
      <c r="Q837" s="91"/>
      <c r="R837" s="92"/>
      <c r="S837" s="28"/>
      <c r="U837" s="39"/>
      <c r="V837" s="91"/>
      <c r="W837" s="92"/>
      <c r="X837" s="28"/>
      <c r="Z837" s="39"/>
      <c r="AA837" s="7"/>
      <c r="AB837" s="92"/>
      <c r="AC837" s="28"/>
      <c r="AE837" s="9"/>
      <c r="AF837" s="7"/>
      <c r="AG837" s="92"/>
      <c r="AH837" s="28"/>
      <c r="AJ837" s="39"/>
      <c r="AK837" s="7"/>
      <c r="AL837" s="92"/>
      <c r="AM837" s="28"/>
      <c r="AO837" s="39"/>
      <c r="AP837" s="7"/>
      <c r="AQ837" s="92"/>
      <c r="AR837" s="28"/>
      <c r="AT837" s="39"/>
      <c r="AU837" s="7"/>
      <c r="AV837" s="92"/>
    </row>
    <row r="838" spans="1:48" s="27" customFormat="1" x14ac:dyDescent="0.3">
      <c r="A838" s="23"/>
      <c r="B838" s="24"/>
      <c r="C838" s="25"/>
      <c r="D838" s="25"/>
      <c r="E838" s="25"/>
      <c r="K838" s="90"/>
      <c r="M838" s="90"/>
      <c r="N838" s="28"/>
      <c r="P838" s="90"/>
      <c r="Q838" s="91"/>
      <c r="R838" s="92"/>
      <c r="S838" s="28"/>
      <c r="U838" s="39"/>
      <c r="V838" s="91"/>
      <c r="W838" s="92"/>
      <c r="X838" s="28"/>
      <c r="Z838" s="39"/>
      <c r="AA838" s="7"/>
      <c r="AB838" s="92"/>
      <c r="AC838" s="28"/>
      <c r="AE838" s="9"/>
      <c r="AF838" s="7"/>
      <c r="AG838" s="92"/>
      <c r="AH838" s="28"/>
      <c r="AJ838" s="39"/>
      <c r="AK838" s="7"/>
      <c r="AL838" s="92"/>
      <c r="AM838" s="28"/>
      <c r="AO838" s="39"/>
      <c r="AP838" s="7"/>
      <c r="AQ838" s="92"/>
      <c r="AR838" s="28"/>
      <c r="AT838" s="39"/>
      <c r="AU838" s="7"/>
      <c r="AV838" s="92"/>
    </row>
    <row r="839" spans="1:48" s="27" customFormat="1" x14ac:dyDescent="0.3">
      <c r="A839" s="23"/>
      <c r="B839" s="24"/>
      <c r="C839" s="25"/>
      <c r="D839" s="25"/>
      <c r="E839" s="25"/>
      <c r="K839" s="90"/>
      <c r="M839" s="90"/>
      <c r="N839" s="28"/>
      <c r="P839" s="90"/>
      <c r="Q839" s="91"/>
      <c r="R839" s="92"/>
      <c r="S839" s="28"/>
      <c r="U839" s="39"/>
      <c r="V839" s="91"/>
      <c r="W839" s="92"/>
      <c r="X839" s="28"/>
      <c r="Z839" s="39"/>
      <c r="AA839" s="7"/>
      <c r="AB839" s="92"/>
      <c r="AC839" s="28"/>
      <c r="AE839" s="9"/>
      <c r="AF839" s="7"/>
      <c r="AG839" s="92"/>
      <c r="AH839" s="28"/>
      <c r="AJ839" s="39"/>
      <c r="AK839" s="7"/>
      <c r="AL839" s="92"/>
      <c r="AM839" s="28"/>
      <c r="AO839" s="39"/>
      <c r="AP839" s="7"/>
      <c r="AQ839" s="92"/>
      <c r="AR839" s="28"/>
      <c r="AT839" s="39"/>
      <c r="AU839" s="7"/>
      <c r="AV839" s="92"/>
    </row>
    <row r="840" spans="1:48" s="27" customFormat="1" x14ac:dyDescent="0.3">
      <c r="A840" s="23"/>
      <c r="B840" s="24"/>
      <c r="C840" s="25"/>
      <c r="D840" s="25"/>
      <c r="E840" s="25"/>
      <c r="K840" s="90"/>
      <c r="M840" s="90"/>
      <c r="N840" s="28"/>
      <c r="P840" s="90"/>
      <c r="Q840" s="91"/>
      <c r="R840" s="92"/>
      <c r="S840" s="28"/>
      <c r="U840" s="39"/>
      <c r="V840" s="91"/>
      <c r="W840" s="92"/>
      <c r="X840" s="28"/>
      <c r="Z840" s="39"/>
      <c r="AA840" s="7"/>
      <c r="AB840" s="92"/>
      <c r="AC840" s="28"/>
      <c r="AE840" s="9"/>
      <c r="AF840" s="7"/>
      <c r="AG840" s="92"/>
      <c r="AH840" s="28"/>
      <c r="AJ840" s="39"/>
      <c r="AK840" s="7"/>
      <c r="AL840" s="92"/>
      <c r="AM840" s="28"/>
      <c r="AO840" s="39"/>
      <c r="AP840" s="7"/>
      <c r="AQ840" s="92"/>
      <c r="AR840" s="28"/>
      <c r="AT840" s="39"/>
      <c r="AU840" s="7"/>
      <c r="AV840" s="92"/>
    </row>
    <row r="841" spans="1:48" s="27" customFormat="1" x14ac:dyDescent="0.3">
      <c r="A841" s="23"/>
      <c r="B841" s="24"/>
      <c r="C841" s="25"/>
      <c r="D841" s="25"/>
      <c r="E841" s="25"/>
      <c r="K841" s="90"/>
      <c r="M841" s="90"/>
      <c r="N841" s="28"/>
      <c r="P841" s="90"/>
      <c r="Q841" s="91"/>
      <c r="R841" s="92"/>
      <c r="S841" s="28"/>
      <c r="U841" s="39"/>
      <c r="V841" s="91"/>
      <c r="W841" s="92"/>
      <c r="X841" s="28"/>
      <c r="Z841" s="39"/>
      <c r="AA841" s="7"/>
      <c r="AB841" s="92"/>
      <c r="AC841" s="28"/>
      <c r="AE841" s="9"/>
      <c r="AF841" s="7"/>
      <c r="AG841" s="92"/>
      <c r="AH841" s="28"/>
      <c r="AJ841" s="39"/>
      <c r="AK841" s="7"/>
      <c r="AL841" s="92"/>
      <c r="AM841" s="28"/>
      <c r="AO841" s="39"/>
      <c r="AP841" s="7"/>
      <c r="AQ841" s="92"/>
      <c r="AR841" s="28"/>
      <c r="AT841" s="39"/>
      <c r="AU841" s="7"/>
      <c r="AV841" s="92"/>
    </row>
    <row r="842" spans="1:48" s="27" customFormat="1" x14ac:dyDescent="0.3">
      <c r="A842" s="23"/>
      <c r="B842" s="24"/>
      <c r="C842" s="25"/>
      <c r="D842" s="25"/>
      <c r="E842" s="25"/>
      <c r="K842" s="90"/>
      <c r="M842" s="90"/>
      <c r="N842" s="28"/>
      <c r="P842" s="90"/>
      <c r="Q842" s="91"/>
      <c r="R842" s="92"/>
      <c r="S842" s="28"/>
      <c r="U842" s="39"/>
      <c r="V842" s="91"/>
      <c r="W842" s="92"/>
      <c r="X842" s="28"/>
      <c r="Z842" s="39"/>
      <c r="AA842" s="7"/>
      <c r="AB842" s="92"/>
      <c r="AC842" s="28"/>
      <c r="AE842" s="9"/>
      <c r="AF842" s="7"/>
      <c r="AG842" s="92"/>
      <c r="AH842" s="28"/>
      <c r="AJ842" s="39"/>
      <c r="AK842" s="7"/>
      <c r="AL842" s="92"/>
      <c r="AM842" s="28"/>
      <c r="AO842" s="39"/>
      <c r="AP842" s="7"/>
      <c r="AQ842" s="92"/>
      <c r="AR842" s="28"/>
      <c r="AT842" s="39"/>
      <c r="AU842" s="7"/>
      <c r="AV842" s="92"/>
    </row>
    <row r="843" spans="1:48" s="27" customFormat="1" x14ac:dyDescent="0.3">
      <c r="A843" s="23"/>
      <c r="B843" s="24"/>
      <c r="C843" s="25"/>
      <c r="D843" s="25"/>
      <c r="E843" s="25"/>
      <c r="K843" s="90"/>
      <c r="M843" s="90"/>
      <c r="N843" s="28"/>
      <c r="P843" s="90"/>
      <c r="Q843" s="91"/>
      <c r="R843" s="92"/>
      <c r="S843" s="28"/>
      <c r="U843" s="39"/>
      <c r="V843" s="91"/>
      <c r="W843" s="92"/>
      <c r="X843" s="28"/>
      <c r="Z843" s="39"/>
      <c r="AA843" s="7"/>
      <c r="AB843" s="92"/>
      <c r="AC843" s="28"/>
      <c r="AE843" s="9"/>
      <c r="AF843" s="7"/>
      <c r="AG843" s="92"/>
      <c r="AH843" s="28"/>
      <c r="AJ843" s="39"/>
      <c r="AK843" s="7"/>
      <c r="AL843" s="92"/>
      <c r="AM843" s="28"/>
      <c r="AO843" s="39"/>
      <c r="AP843" s="7"/>
      <c r="AQ843" s="92"/>
      <c r="AR843" s="28"/>
      <c r="AT843" s="39"/>
      <c r="AU843" s="7"/>
      <c r="AV843" s="92"/>
    </row>
    <row r="844" spans="1:48" s="27" customFormat="1" x14ac:dyDescent="0.3">
      <c r="A844" s="23"/>
      <c r="B844" s="24"/>
      <c r="C844" s="25"/>
      <c r="D844" s="25"/>
      <c r="E844" s="25"/>
      <c r="K844" s="90"/>
      <c r="M844" s="90"/>
      <c r="N844" s="28"/>
      <c r="P844" s="90"/>
      <c r="Q844" s="91"/>
      <c r="R844" s="92"/>
      <c r="S844" s="28"/>
      <c r="U844" s="39"/>
      <c r="V844" s="91"/>
      <c r="W844" s="92"/>
      <c r="X844" s="28"/>
      <c r="Z844" s="39"/>
      <c r="AA844" s="7"/>
      <c r="AB844" s="92"/>
      <c r="AC844" s="28"/>
      <c r="AE844" s="9"/>
      <c r="AF844" s="7"/>
      <c r="AG844" s="92"/>
      <c r="AH844" s="28"/>
      <c r="AJ844" s="39"/>
      <c r="AK844" s="7"/>
      <c r="AL844" s="92"/>
      <c r="AM844" s="28"/>
      <c r="AO844" s="39"/>
      <c r="AP844" s="7"/>
      <c r="AQ844" s="92"/>
      <c r="AR844" s="28"/>
      <c r="AT844" s="39"/>
      <c r="AU844" s="7"/>
      <c r="AV844" s="92"/>
    </row>
    <row r="845" spans="1:48" s="27" customFormat="1" x14ac:dyDescent="0.3">
      <c r="A845" s="23"/>
      <c r="B845" s="24"/>
      <c r="C845" s="25"/>
      <c r="D845" s="25"/>
      <c r="E845" s="25"/>
      <c r="K845" s="90"/>
      <c r="M845" s="90"/>
      <c r="N845" s="28"/>
      <c r="P845" s="90"/>
      <c r="Q845" s="91"/>
      <c r="R845" s="92"/>
      <c r="S845" s="28"/>
      <c r="U845" s="39"/>
      <c r="V845" s="91"/>
      <c r="W845" s="92"/>
      <c r="X845" s="28"/>
      <c r="Z845" s="39"/>
      <c r="AA845" s="7"/>
      <c r="AB845" s="92"/>
      <c r="AC845" s="28"/>
      <c r="AE845" s="9"/>
      <c r="AF845" s="7"/>
      <c r="AG845" s="92"/>
      <c r="AH845" s="28"/>
      <c r="AJ845" s="39"/>
      <c r="AK845" s="7"/>
      <c r="AL845" s="92"/>
      <c r="AM845" s="28"/>
      <c r="AO845" s="39"/>
      <c r="AP845" s="7"/>
      <c r="AQ845" s="92"/>
      <c r="AR845" s="28"/>
      <c r="AT845" s="39"/>
      <c r="AU845" s="7"/>
      <c r="AV845" s="92"/>
    </row>
    <row r="846" spans="1:48" s="27" customFormat="1" x14ac:dyDescent="0.3">
      <c r="A846" s="23"/>
      <c r="B846" s="24"/>
      <c r="C846" s="25"/>
      <c r="D846" s="25"/>
      <c r="E846" s="25"/>
      <c r="K846" s="90"/>
      <c r="M846" s="90"/>
      <c r="N846" s="28"/>
      <c r="P846" s="90"/>
      <c r="Q846" s="91"/>
      <c r="R846" s="92"/>
      <c r="S846" s="28"/>
      <c r="U846" s="39"/>
      <c r="V846" s="91"/>
      <c r="W846" s="92"/>
      <c r="X846" s="28"/>
      <c r="Z846" s="39"/>
      <c r="AA846" s="7"/>
      <c r="AB846" s="92"/>
      <c r="AC846" s="28"/>
      <c r="AE846" s="9"/>
      <c r="AF846" s="7"/>
      <c r="AG846" s="92"/>
      <c r="AH846" s="28"/>
      <c r="AJ846" s="39"/>
      <c r="AK846" s="7"/>
      <c r="AL846" s="92"/>
      <c r="AM846" s="28"/>
      <c r="AO846" s="39"/>
      <c r="AP846" s="7"/>
      <c r="AQ846" s="92"/>
      <c r="AR846" s="28"/>
      <c r="AT846" s="39"/>
      <c r="AU846" s="7"/>
      <c r="AV846" s="92"/>
    </row>
    <row r="847" spans="1:48" s="27" customFormat="1" x14ac:dyDescent="0.3">
      <c r="A847" s="23"/>
      <c r="B847" s="24"/>
      <c r="C847" s="25"/>
      <c r="D847" s="25"/>
      <c r="E847" s="25"/>
      <c r="K847" s="90"/>
      <c r="M847" s="90"/>
      <c r="N847" s="28"/>
      <c r="P847" s="90"/>
      <c r="Q847" s="91"/>
      <c r="R847" s="92"/>
      <c r="S847" s="28"/>
      <c r="U847" s="39"/>
      <c r="V847" s="91"/>
      <c r="W847" s="92"/>
      <c r="X847" s="28"/>
      <c r="Z847" s="39"/>
      <c r="AA847" s="7"/>
      <c r="AB847" s="92"/>
      <c r="AC847" s="28"/>
      <c r="AE847" s="9"/>
      <c r="AF847" s="7"/>
      <c r="AG847" s="92"/>
      <c r="AH847" s="28"/>
      <c r="AJ847" s="39"/>
      <c r="AK847" s="7"/>
      <c r="AL847" s="92"/>
      <c r="AM847" s="28"/>
      <c r="AO847" s="39"/>
      <c r="AP847" s="7"/>
      <c r="AQ847" s="92"/>
      <c r="AR847" s="28"/>
      <c r="AT847" s="39"/>
      <c r="AU847" s="7"/>
      <c r="AV847" s="92"/>
    </row>
    <row r="848" spans="1:48" s="27" customFormat="1" x14ac:dyDescent="0.3">
      <c r="A848" s="23"/>
      <c r="B848" s="24"/>
      <c r="C848" s="25"/>
      <c r="D848" s="25"/>
      <c r="E848" s="25"/>
      <c r="K848" s="90"/>
      <c r="M848" s="90"/>
      <c r="N848" s="28"/>
      <c r="P848" s="90"/>
      <c r="Q848" s="91"/>
      <c r="R848" s="92"/>
      <c r="S848" s="28"/>
      <c r="U848" s="39"/>
      <c r="V848" s="91"/>
      <c r="W848" s="92"/>
      <c r="X848" s="28"/>
      <c r="Z848" s="39"/>
      <c r="AA848" s="7"/>
      <c r="AB848" s="92"/>
      <c r="AC848" s="28"/>
      <c r="AE848" s="9"/>
      <c r="AF848" s="7"/>
      <c r="AG848" s="92"/>
      <c r="AH848" s="28"/>
      <c r="AJ848" s="39"/>
      <c r="AK848" s="7"/>
      <c r="AL848" s="92"/>
      <c r="AM848" s="28"/>
      <c r="AO848" s="39"/>
      <c r="AP848" s="7"/>
      <c r="AQ848" s="92"/>
      <c r="AR848" s="28"/>
      <c r="AT848" s="39"/>
      <c r="AU848" s="7"/>
      <c r="AV848" s="92"/>
    </row>
    <row r="849" spans="1:48" s="27" customFormat="1" x14ac:dyDescent="0.3">
      <c r="A849" s="23"/>
      <c r="B849" s="24"/>
      <c r="C849" s="25"/>
      <c r="D849" s="25"/>
      <c r="E849" s="25"/>
      <c r="K849" s="90"/>
      <c r="M849" s="90"/>
      <c r="N849" s="28"/>
      <c r="P849" s="90"/>
      <c r="Q849" s="91"/>
      <c r="R849" s="92"/>
      <c r="S849" s="28"/>
      <c r="U849" s="39"/>
      <c r="V849" s="91"/>
      <c r="W849" s="92"/>
      <c r="X849" s="28"/>
      <c r="Z849" s="39"/>
      <c r="AA849" s="7"/>
      <c r="AB849" s="92"/>
      <c r="AC849" s="28"/>
      <c r="AE849" s="9"/>
      <c r="AF849" s="7"/>
      <c r="AG849" s="92"/>
      <c r="AH849" s="28"/>
      <c r="AJ849" s="39"/>
      <c r="AK849" s="7"/>
      <c r="AL849" s="92"/>
      <c r="AM849" s="28"/>
      <c r="AO849" s="39"/>
      <c r="AP849" s="7"/>
      <c r="AQ849" s="92"/>
      <c r="AR849" s="28"/>
      <c r="AT849" s="39"/>
      <c r="AU849" s="7"/>
      <c r="AV849" s="92"/>
    </row>
    <row r="850" spans="1:48" s="27" customFormat="1" x14ac:dyDescent="0.3">
      <c r="A850" s="23"/>
      <c r="B850" s="24"/>
      <c r="C850" s="25"/>
      <c r="D850" s="25"/>
      <c r="E850" s="25"/>
      <c r="K850" s="90"/>
      <c r="M850" s="90"/>
      <c r="N850" s="28"/>
      <c r="P850" s="90"/>
      <c r="Q850" s="91"/>
      <c r="R850" s="92"/>
      <c r="S850" s="28"/>
      <c r="U850" s="39"/>
      <c r="V850" s="91"/>
      <c r="W850" s="92"/>
      <c r="X850" s="28"/>
      <c r="Z850" s="39"/>
      <c r="AA850" s="7"/>
      <c r="AB850" s="92"/>
      <c r="AC850" s="28"/>
      <c r="AE850" s="9"/>
      <c r="AF850" s="7"/>
      <c r="AG850" s="92"/>
      <c r="AH850" s="28"/>
      <c r="AJ850" s="39"/>
      <c r="AK850" s="7"/>
      <c r="AL850" s="92"/>
      <c r="AM850" s="28"/>
      <c r="AO850" s="39"/>
      <c r="AP850" s="7"/>
      <c r="AQ850" s="92"/>
      <c r="AR850" s="28"/>
      <c r="AT850" s="39"/>
      <c r="AU850" s="7"/>
      <c r="AV850" s="92"/>
    </row>
    <row r="851" spans="1:48" s="27" customFormat="1" x14ac:dyDescent="0.3">
      <c r="A851" s="23"/>
      <c r="B851" s="24"/>
      <c r="C851" s="25"/>
      <c r="D851" s="25"/>
      <c r="E851" s="25"/>
      <c r="K851" s="90"/>
      <c r="M851" s="90"/>
      <c r="N851" s="28"/>
      <c r="P851" s="90"/>
      <c r="Q851" s="91"/>
      <c r="R851" s="92"/>
      <c r="S851" s="28"/>
      <c r="U851" s="39"/>
      <c r="V851" s="91"/>
      <c r="W851" s="92"/>
      <c r="X851" s="28"/>
      <c r="Z851" s="39"/>
      <c r="AA851" s="7"/>
      <c r="AB851" s="92"/>
      <c r="AC851" s="28"/>
      <c r="AE851" s="9"/>
      <c r="AF851" s="7"/>
      <c r="AG851" s="92"/>
      <c r="AH851" s="28"/>
      <c r="AJ851" s="39"/>
      <c r="AK851" s="7"/>
      <c r="AL851" s="92"/>
      <c r="AM851" s="28"/>
      <c r="AO851" s="39"/>
      <c r="AP851" s="7"/>
      <c r="AQ851" s="92"/>
      <c r="AR851" s="28"/>
      <c r="AT851" s="39"/>
      <c r="AU851" s="7"/>
      <c r="AV851" s="92"/>
    </row>
    <row r="852" spans="1:48" s="27" customFormat="1" x14ac:dyDescent="0.3">
      <c r="A852" s="23"/>
      <c r="B852" s="24"/>
      <c r="C852" s="25"/>
      <c r="D852" s="25"/>
      <c r="E852" s="25"/>
      <c r="K852" s="90"/>
      <c r="M852" s="90"/>
      <c r="N852" s="28"/>
      <c r="P852" s="90"/>
      <c r="Q852" s="91"/>
      <c r="R852" s="92"/>
      <c r="S852" s="28"/>
      <c r="U852" s="39"/>
      <c r="V852" s="91"/>
      <c r="W852" s="92"/>
      <c r="X852" s="28"/>
      <c r="Z852" s="39"/>
      <c r="AA852" s="7"/>
      <c r="AB852" s="92"/>
      <c r="AC852" s="28"/>
      <c r="AE852" s="9"/>
      <c r="AF852" s="7"/>
      <c r="AG852" s="92"/>
      <c r="AH852" s="28"/>
      <c r="AJ852" s="39"/>
      <c r="AK852" s="7"/>
      <c r="AL852" s="92"/>
      <c r="AM852" s="28"/>
      <c r="AO852" s="39"/>
      <c r="AP852" s="7"/>
      <c r="AQ852" s="92"/>
      <c r="AR852" s="28"/>
      <c r="AT852" s="39"/>
      <c r="AU852" s="7"/>
      <c r="AV852" s="92"/>
    </row>
    <row r="853" spans="1:48" s="27" customFormat="1" x14ac:dyDescent="0.3">
      <c r="A853" s="23"/>
      <c r="B853" s="24"/>
      <c r="C853" s="25"/>
      <c r="D853" s="25"/>
      <c r="E853" s="25"/>
      <c r="K853" s="90"/>
      <c r="M853" s="90"/>
      <c r="N853" s="28"/>
      <c r="P853" s="90"/>
      <c r="Q853" s="91"/>
      <c r="R853" s="92"/>
      <c r="S853" s="28"/>
      <c r="U853" s="39"/>
      <c r="V853" s="91"/>
      <c r="W853" s="92"/>
      <c r="X853" s="28"/>
      <c r="Z853" s="39"/>
      <c r="AA853" s="7"/>
      <c r="AB853" s="92"/>
      <c r="AC853" s="28"/>
      <c r="AE853" s="9"/>
      <c r="AF853" s="7"/>
      <c r="AG853" s="92"/>
      <c r="AH853" s="28"/>
      <c r="AJ853" s="39"/>
      <c r="AK853" s="7"/>
      <c r="AL853" s="92"/>
      <c r="AM853" s="28"/>
      <c r="AO853" s="39"/>
      <c r="AP853" s="7"/>
      <c r="AQ853" s="92"/>
      <c r="AR853" s="28"/>
      <c r="AT853" s="39"/>
      <c r="AU853" s="7"/>
      <c r="AV853" s="92"/>
    </row>
    <row r="854" spans="1:48" s="27" customFormat="1" x14ac:dyDescent="0.3">
      <c r="A854" s="23"/>
      <c r="B854" s="24"/>
      <c r="C854" s="25"/>
      <c r="D854" s="25"/>
      <c r="E854" s="25"/>
      <c r="K854" s="90"/>
      <c r="M854" s="90"/>
      <c r="N854" s="28"/>
      <c r="P854" s="90"/>
      <c r="Q854" s="91"/>
      <c r="R854" s="92"/>
      <c r="S854" s="28"/>
      <c r="U854" s="39"/>
      <c r="V854" s="91"/>
      <c r="W854" s="92"/>
      <c r="X854" s="28"/>
      <c r="Z854" s="39"/>
      <c r="AA854" s="7"/>
      <c r="AB854" s="92"/>
      <c r="AC854" s="28"/>
      <c r="AE854" s="9"/>
      <c r="AF854" s="7"/>
      <c r="AG854" s="92"/>
      <c r="AH854" s="28"/>
      <c r="AJ854" s="39"/>
      <c r="AK854" s="7"/>
      <c r="AL854" s="92"/>
      <c r="AM854" s="28"/>
      <c r="AO854" s="39"/>
      <c r="AP854" s="7"/>
      <c r="AQ854" s="92"/>
      <c r="AR854" s="28"/>
      <c r="AT854" s="39"/>
      <c r="AU854" s="7"/>
      <c r="AV854" s="92"/>
    </row>
    <row r="855" spans="1:48" s="27" customFormat="1" x14ac:dyDescent="0.3">
      <c r="A855" s="23"/>
      <c r="B855" s="24"/>
      <c r="C855" s="25"/>
      <c r="D855" s="25"/>
      <c r="E855" s="25"/>
      <c r="K855" s="90"/>
      <c r="M855" s="90"/>
      <c r="N855" s="28"/>
      <c r="P855" s="90"/>
      <c r="Q855" s="91"/>
      <c r="R855" s="92"/>
      <c r="S855" s="28"/>
      <c r="U855" s="39"/>
      <c r="V855" s="91"/>
      <c r="W855" s="92"/>
      <c r="X855" s="28"/>
      <c r="Z855" s="39"/>
      <c r="AA855" s="7"/>
      <c r="AB855" s="92"/>
      <c r="AC855" s="28"/>
      <c r="AE855" s="9"/>
      <c r="AF855" s="7"/>
      <c r="AG855" s="92"/>
      <c r="AH855" s="28"/>
      <c r="AJ855" s="39"/>
      <c r="AK855" s="7"/>
      <c r="AL855" s="92"/>
      <c r="AM855" s="28"/>
      <c r="AO855" s="39"/>
      <c r="AP855" s="7"/>
      <c r="AQ855" s="92"/>
      <c r="AR855" s="28"/>
      <c r="AT855" s="39"/>
      <c r="AU855" s="7"/>
      <c r="AV855" s="92"/>
    </row>
    <row r="856" spans="1:48" s="27" customFormat="1" x14ac:dyDescent="0.3">
      <c r="A856" s="23"/>
      <c r="B856" s="24"/>
      <c r="C856" s="25"/>
      <c r="D856" s="25"/>
      <c r="E856" s="25"/>
      <c r="K856" s="90"/>
      <c r="M856" s="90"/>
      <c r="N856" s="28"/>
      <c r="P856" s="90"/>
      <c r="Q856" s="91"/>
      <c r="R856" s="92"/>
      <c r="S856" s="28"/>
      <c r="U856" s="39"/>
      <c r="V856" s="91"/>
      <c r="W856" s="92"/>
      <c r="X856" s="28"/>
      <c r="Z856" s="39"/>
      <c r="AA856" s="7"/>
      <c r="AB856" s="92"/>
      <c r="AC856" s="28"/>
      <c r="AE856" s="9"/>
      <c r="AF856" s="7"/>
      <c r="AG856" s="92"/>
      <c r="AH856" s="28"/>
      <c r="AJ856" s="39"/>
      <c r="AK856" s="7"/>
      <c r="AL856" s="92"/>
      <c r="AM856" s="28"/>
      <c r="AO856" s="39"/>
      <c r="AP856" s="7"/>
      <c r="AQ856" s="92"/>
      <c r="AR856" s="28"/>
      <c r="AT856" s="39"/>
      <c r="AU856" s="7"/>
      <c r="AV856" s="92"/>
    </row>
    <row r="857" spans="1:48" s="27" customFormat="1" x14ac:dyDescent="0.3">
      <c r="A857" s="23"/>
      <c r="B857" s="24"/>
      <c r="C857" s="25"/>
      <c r="D857" s="25"/>
      <c r="E857" s="25"/>
      <c r="K857" s="90"/>
      <c r="M857" s="90"/>
      <c r="N857" s="28"/>
      <c r="P857" s="90"/>
      <c r="Q857" s="91"/>
      <c r="R857" s="92"/>
      <c r="S857" s="28"/>
      <c r="U857" s="39"/>
      <c r="V857" s="91"/>
      <c r="W857" s="92"/>
      <c r="X857" s="28"/>
      <c r="Z857" s="39"/>
      <c r="AA857" s="7"/>
      <c r="AB857" s="92"/>
      <c r="AC857" s="28"/>
      <c r="AE857" s="9"/>
      <c r="AF857" s="7"/>
      <c r="AG857" s="92"/>
      <c r="AH857" s="28"/>
      <c r="AJ857" s="39"/>
      <c r="AK857" s="7"/>
      <c r="AL857" s="92"/>
      <c r="AM857" s="28"/>
      <c r="AO857" s="39"/>
      <c r="AP857" s="7"/>
      <c r="AQ857" s="92"/>
      <c r="AR857" s="28"/>
      <c r="AT857" s="39"/>
      <c r="AU857" s="7"/>
      <c r="AV857" s="92"/>
    </row>
    <row r="858" spans="1:48" s="27" customFormat="1" x14ac:dyDescent="0.3">
      <c r="A858" s="23"/>
      <c r="B858" s="24"/>
      <c r="C858" s="25"/>
      <c r="D858" s="25"/>
      <c r="E858" s="25"/>
      <c r="K858" s="90"/>
      <c r="M858" s="90"/>
      <c r="N858" s="28"/>
      <c r="P858" s="90"/>
      <c r="Q858" s="91"/>
      <c r="R858" s="92"/>
      <c r="S858" s="28"/>
      <c r="U858" s="39"/>
      <c r="V858" s="91"/>
      <c r="W858" s="92"/>
      <c r="X858" s="28"/>
      <c r="Z858" s="39"/>
      <c r="AA858" s="7"/>
      <c r="AB858" s="92"/>
      <c r="AC858" s="28"/>
      <c r="AE858" s="9"/>
      <c r="AF858" s="7"/>
      <c r="AG858" s="92"/>
      <c r="AH858" s="28"/>
      <c r="AJ858" s="39"/>
      <c r="AK858" s="7"/>
      <c r="AL858" s="92"/>
      <c r="AM858" s="28"/>
      <c r="AO858" s="39"/>
      <c r="AP858" s="7"/>
      <c r="AQ858" s="92"/>
      <c r="AR858" s="28"/>
      <c r="AT858" s="39"/>
      <c r="AU858" s="7"/>
      <c r="AV858" s="92"/>
    </row>
    <row r="859" spans="1:48" s="27" customFormat="1" x14ac:dyDescent="0.3">
      <c r="A859" s="23"/>
      <c r="B859" s="24"/>
      <c r="C859" s="25"/>
      <c r="D859" s="25"/>
      <c r="E859" s="25"/>
      <c r="K859" s="90"/>
      <c r="M859" s="90"/>
      <c r="N859" s="28"/>
      <c r="P859" s="90"/>
      <c r="Q859" s="91"/>
      <c r="R859" s="92"/>
      <c r="S859" s="28"/>
      <c r="U859" s="39"/>
      <c r="V859" s="91"/>
      <c r="W859" s="92"/>
      <c r="X859" s="28"/>
      <c r="Z859" s="39"/>
      <c r="AA859" s="7"/>
      <c r="AB859" s="92"/>
      <c r="AC859" s="28"/>
      <c r="AE859" s="9"/>
      <c r="AF859" s="7"/>
      <c r="AG859" s="92"/>
      <c r="AH859" s="28"/>
      <c r="AJ859" s="39"/>
      <c r="AK859" s="7"/>
      <c r="AL859" s="92"/>
      <c r="AM859" s="28"/>
      <c r="AO859" s="39"/>
      <c r="AP859" s="7"/>
      <c r="AQ859" s="92"/>
      <c r="AR859" s="28"/>
      <c r="AT859" s="39"/>
      <c r="AU859" s="7"/>
      <c r="AV859" s="92"/>
    </row>
    <row r="860" spans="1:48" s="27" customFormat="1" x14ac:dyDescent="0.3">
      <c r="A860" s="23"/>
      <c r="B860" s="24"/>
      <c r="C860" s="25"/>
      <c r="D860" s="25"/>
      <c r="E860" s="25"/>
      <c r="K860" s="90"/>
      <c r="M860" s="90"/>
      <c r="N860" s="28"/>
      <c r="P860" s="90"/>
      <c r="Q860" s="91"/>
      <c r="R860" s="92"/>
      <c r="S860" s="28"/>
      <c r="U860" s="39"/>
      <c r="V860" s="91"/>
      <c r="W860" s="92"/>
      <c r="X860" s="28"/>
      <c r="Z860" s="39"/>
      <c r="AA860" s="7"/>
      <c r="AB860" s="92"/>
      <c r="AC860" s="28"/>
      <c r="AE860" s="9"/>
      <c r="AF860" s="7"/>
      <c r="AG860" s="92"/>
      <c r="AH860" s="28"/>
      <c r="AJ860" s="39"/>
      <c r="AK860" s="7"/>
      <c r="AL860" s="92"/>
      <c r="AM860" s="28"/>
      <c r="AO860" s="39"/>
      <c r="AP860" s="7"/>
      <c r="AQ860" s="92"/>
      <c r="AR860" s="28"/>
      <c r="AT860" s="39"/>
      <c r="AU860" s="7"/>
      <c r="AV860" s="92"/>
    </row>
    <row r="861" spans="1:48" s="27" customFormat="1" x14ac:dyDescent="0.3">
      <c r="A861" s="23"/>
      <c r="B861" s="24"/>
      <c r="C861" s="25"/>
      <c r="D861" s="25"/>
      <c r="E861" s="25"/>
      <c r="K861" s="90"/>
      <c r="M861" s="90"/>
      <c r="N861" s="28"/>
      <c r="P861" s="90"/>
      <c r="Q861" s="91"/>
      <c r="R861" s="92"/>
      <c r="S861" s="28"/>
      <c r="U861" s="39"/>
      <c r="V861" s="91"/>
      <c r="W861" s="92"/>
      <c r="X861" s="28"/>
      <c r="Z861" s="39"/>
      <c r="AA861" s="7"/>
      <c r="AB861" s="92"/>
      <c r="AC861" s="28"/>
      <c r="AE861" s="9"/>
      <c r="AF861" s="7"/>
      <c r="AG861" s="92"/>
      <c r="AH861" s="28"/>
      <c r="AJ861" s="39"/>
      <c r="AK861" s="7"/>
      <c r="AL861" s="92"/>
      <c r="AM861" s="28"/>
      <c r="AO861" s="39"/>
      <c r="AP861" s="7"/>
      <c r="AQ861" s="92"/>
      <c r="AR861" s="28"/>
      <c r="AT861" s="39"/>
      <c r="AU861" s="7"/>
      <c r="AV861" s="92"/>
    </row>
    <row r="862" spans="1:48" s="27" customFormat="1" x14ac:dyDescent="0.3">
      <c r="A862" s="23"/>
      <c r="B862" s="24"/>
      <c r="C862" s="25"/>
      <c r="D862" s="25"/>
      <c r="E862" s="25"/>
      <c r="K862" s="90"/>
      <c r="M862" s="90"/>
      <c r="N862" s="28"/>
      <c r="P862" s="90"/>
      <c r="Q862" s="91"/>
      <c r="R862" s="92"/>
      <c r="S862" s="28"/>
      <c r="U862" s="39"/>
      <c r="V862" s="91"/>
      <c r="W862" s="92"/>
      <c r="X862" s="28"/>
      <c r="Z862" s="39"/>
      <c r="AA862" s="7"/>
      <c r="AB862" s="92"/>
      <c r="AC862" s="28"/>
      <c r="AE862" s="9"/>
      <c r="AF862" s="7"/>
      <c r="AG862" s="92"/>
      <c r="AH862" s="28"/>
      <c r="AJ862" s="39"/>
      <c r="AK862" s="7"/>
      <c r="AL862" s="92"/>
      <c r="AM862" s="28"/>
      <c r="AO862" s="39"/>
      <c r="AP862" s="7"/>
      <c r="AQ862" s="92"/>
      <c r="AR862" s="28"/>
      <c r="AT862" s="39"/>
      <c r="AU862" s="7"/>
      <c r="AV862" s="92"/>
    </row>
    <row r="863" spans="1:48" s="27" customFormat="1" x14ac:dyDescent="0.3">
      <c r="A863" s="23"/>
      <c r="B863" s="24"/>
      <c r="C863" s="25"/>
      <c r="D863" s="25"/>
      <c r="E863" s="25"/>
      <c r="K863" s="90"/>
      <c r="M863" s="90"/>
      <c r="N863" s="28"/>
      <c r="P863" s="90"/>
      <c r="Q863" s="91"/>
      <c r="R863" s="92"/>
      <c r="S863" s="28"/>
      <c r="U863" s="39"/>
      <c r="V863" s="91"/>
      <c r="W863" s="92"/>
      <c r="X863" s="28"/>
      <c r="Z863" s="39"/>
      <c r="AA863" s="7"/>
      <c r="AB863" s="92"/>
      <c r="AC863" s="28"/>
      <c r="AE863" s="9"/>
      <c r="AF863" s="7"/>
      <c r="AG863" s="92"/>
      <c r="AH863" s="28"/>
      <c r="AJ863" s="39"/>
      <c r="AK863" s="7"/>
      <c r="AL863" s="92"/>
      <c r="AM863" s="28"/>
      <c r="AO863" s="39"/>
      <c r="AP863" s="7"/>
      <c r="AQ863" s="92"/>
      <c r="AR863" s="28"/>
      <c r="AT863" s="39"/>
      <c r="AU863" s="7"/>
      <c r="AV863" s="92"/>
    </row>
    <row r="864" spans="1:48" s="27" customFormat="1" x14ac:dyDescent="0.3">
      <c r="A864" s="23"/>
      <c r="B864" s="24"/>
      <c r="C864" s="25"/>
      <c r="D864" s="25"/>
      <c r="E864" s="25"/>
      <c r="K864" s="90"/>
      <c r="M864" s="90"/>
      <c r="N864" s="28"/>
      <c r="P864" s="90"/>
      <c r="Q864" s="91"/>
      <c r="R864" s="92"/>
      <c r="S864" s="28"/>
      <c r="U864" s="39"/>
      <c r="V864" s="91"/>
      <c r="W864" s="92"/>
      <c r="X864" s="28"/>
      <c r="Z864" s="39"/>
      <c r="AA864" s="7"/>
      <c r="AB864" s="92"/>
      <c r="AC864" s="28"/>
      <c r="AE864" s="9"/>
      <c r="AF864" s="7"/>
      <c r="AG864" s="92"/>
      <c r="AH864" s="28"/>
      <c r="AJ864" s="39"/>
      <c r="AK864" s="7"/>
      <c r="AL864" s="92"/>
      <c r="AM864" s="28"/>
      <c r="AO864" s="39"/>
      <c r="AP864" s="7"/>
      <c r="AQ864" s="92"/>
      <c r="AR864" s="28"/>
      <c r="AT864" s="39"/>
      <c r="AU864" s="7"/>
      <c r="AV864" s="92"/>
    </row>
    <row r="865" spans="1:48" s="27" customFormat="1" x14ac:dyDescent="0.3">
      <c r="A865" s="23"/>
      <c r="B865" s="24"/>
      <c r="C865" s="25"/>
      <c r="D865" s="25"/>
      <c r="E865" s="25"/>
      <c r="K865" s="90"/>
      <c r="M865" s="90"/>
      <c r="N865" s="28"/>
      <c r="P865" s="90"/>
      <c r="Q865" s="91"/>
      <c r="R865" s="92"/>
      <c r="S865" s="28"/>
      <c r="U865" s="39"/>
      <c r="V865" s="91"/>
      <c r="W865" s="92"/>
      <c r="X865" s="28"/>
      <c r="Z865" s="39"/>
      <c r="AA865" s="7"/>
      <c r="AB865" s="92"/>
      <c r="AC865" s="28"/>
      <c r="AE865" s="9"/>
      <c r="AF865" s="7"/>
      <c r="AG865" s="92"/>
      <c r="AH865" s="28"/>
      <c r="AJ865" s="39"/>
      <c r="AK865" s="7"/>
      <c r="AL865" s="92"/>
      <c r="AM865" s="28"/>
      <c r="AO865" s="39"/>
      <c r="AP865" s="7"/>
      <c r="AQ865" s="92"/>
      <c r="AR865" s="28"/>
      <c r="AT865" s="39"/>
      <c r="AU865" s="7"/>
      <c r="AV865" s="92"/>
    </row>
    <row r="866" spans="1:48" s="27" customFormat="1" x14ac:dyDescent="0.3">
      <c r="A866" s="23"/>
      <c r="B866" s="24"/>
      <c r="C866" s="25"/>
      <c r="D866" s="25"/>
      <c r="E866" s="25"/>
      <c r="K866" s="90"/>
      <c r="M866" s="90"/>
      <c r="N866" s="28"/>
      <c r="P866" s="90"/>
      <c r="Q866" s="91"/>
      <c r="R866" s="92"/>
      <c r="S866" s="28"/>
      <c r="U866" s="39"/>
      <c r="V866" s="91"/>
      <c r="W866" s="92"/>
      <c r="X866" s="28"/>
      <c r="Z866" s="39"/>
      <c r="AA866" s="7"/>
      <c r="AB866" s="92"/>
      <c r="AC866" s="28"/>
      <c r="AE866" s="9"/>
      <c r="AF866" s="7"/>
      <c r="AG866" s="92"/>
      <c r="AH866" s="28"/>
      <c r="AJ866" s="39"/>
      <c r="AK866" s="7"/>
      <c r="AL866" s="92"/>
      <c r="AM866" s="28"/>
      <c r="AO866" s="39"/>
      <c r="AP866" s="7"/>
      <c r="AQ866" s="92"/>
      <c r="AR866" s="28"/>
      <c r="AT866" s="39"/>
      <c r="AU866" s="7"/>
      <c r="AV866" s="92"/>
    </row>
    <row r="867" spans="1:48" s="27" customFormat="1" x14ac:dyDescent="0.3">
      <c r="A867" s="23"/>
      <c r="B867" s="24"/>
      <c r="C867" s="25"/>
      <c r="D867" s="25"/>
      <c r="E867" s="25"/>
      <c r="K867" s="90"/>
      <c r="M867" s="90"/>
      <c r="N867" s="28"/>
      <c r="P867" s="90"/>
      <c r="Q867" s="91"/>
      <c r="R867" s="92"/>
      <c r="S867" s="28"/>
      <c r="U867" s="39"/>
      <c r="V867" s="91"/>
      <c r="W867" s="92"/>
      <c r="X867" s="28"/>
      <c r="Z867" s="39"/>
      <c r="AA867" s="7"/>
      <c r="AB867" s="92"/>
      <c r="AC867" s="28"/>
      <c r="AE867" s="9"/>
      <c r="AF867" s="7"/>
      <c r="AG867" s="92"/>
      <c r="AH867" s="28"/>
      <c r="AJ867" s="39"/>
      <c r="AK867" s="7"/>
      <c r="AL867" s="92"/>
      <c r="AM867" s="28"/>
      <c r="AO867" s="39"/>
      <c r="AP867" s="7"/>
      <c r="AQ867" s="92"/>
      <c r="AR867" s="28"/>
      <c r="AT867" s="39"/>
      <c r="AU867" s="7"/>
      <c r="AV867" s="92"/>
    </row>
    <row r="868" spans="1:48" s="27" customFormat="1" x14ac:dyDescent="0.3">
      <c r="A868" s="23"/>
      <c r="B868" s="24"/>
      <c r="C868" s="25"/>
      <c r="D868" s="25"/>
      <c r="E868" s="25"/>
      <c r="K868" s="90"/>
      <c r="M868" s="90"/>
      <c r="N868" s="28"/>
      <c r="P868" s="90"/>
      <c r="Q868" s="91"/>
      <c r="R868" s="92"/>
      <c r="S868" s="28"/>
      <c r="U868" s="39"/>
      <c r="V868" s="91"/>
      <c r="W868" s="92"/>
      <c r="X868" s="28"/>
      <c r="Z868" s="39"/>
      <c r="AA868" s="7"/>
      <c r="AB868" s="92"/>
      <c r="AC868" s="28"/>
      <c r="AE868" s="9"/>
      <c r="AF868" s="7"/>
      <c r="AG868" s="92"/>
      <c r="AH868" s="28"/>
      <c r="AJ868" s="39"/>
      <c r="AK868" s="7"/>
      <c r="AL868" s="92"/>
      <c r="AM868" s="28"/>
      <c r="AO868" s="39"/>
      <c r="AP868" s="7"/>
      <c r="AQ868" s="92"/>
      <c r="AR868" s="28"/>
      <c r="AT868" s="39"/>
      <c r="AU868" s="7"/>
      <c r="AV868" s="92"/>
    </row>
    <row r="869" spans="1:48" s="27" customFormat="1" x14ac:dyDescent="0.3">
      <c r="A869" s="23"/>
      <c r="B869" s="24"/>
      <c r="C869" s="25"/>
      <c r="D869" s="25"/>
      <c r="E869" s="25"/>
      <c r="K869" s="90"/>
      <c r="M869" s="90"/>
      <c r="N869" s="28"/>
      <c r="P869" s="90"/>
      <c r="Q869" s="91"/>
      <c r="R869" s="92"/>
      <c r="S869" s="28"/>
      <c r="U869" s="39"/>
      <c r="V869" s="91"/>
      <c r="W869" s="92"/>
      <c r="X869" s="28"/>
      <c r="Z869" s="39"/>
      <c r="AA869" s="7"/>
      <c r="AB869" s="92"/>
      <c r="AC869" s="28"/>
      <c r="AE869" s="9"/>
      <c r="AF869" s="7"/>
      <c r="AG869" s="92"/>
      <c r="AH869" s="28"/>
      <c r="AJ869" s="39"/>
      <c r="AK869" s="7"/>
      <c r="AL869" s="92"/>
      <c r="AM869" s="28"/>
      <c r="AO869" s="39"/>
      <c r="AP869" s="7"/>
      <c r="AQ869" s="92"/>
      <c r="AR869" s="28"/>
      <c r="AT869" s="39"/>
      <c r="AU869" s="7"/>
      <c r="AV869" s="92"/>
    </row>
    <row r="870" spans="1:48" s="27" customFormat="1" x14ac:dyDescent="0.3">
      <c r="A870" s="23"/>
      <c r="B870" s="24"/>
      <c r="C870" s="25"/>
      <c r="D870" s="25"/>
      <c r="E870" s="25"/>
      <c r="K870" s="90"/>
      <c r="M870" s="90"/>
      <c r="N870" s="28"/>
      <c r="P870" s="90"/>
      <c r="Q870" s="91"/>
      <c r="R870" s="92"/>
      <c r="S870" s="28"/>
      <c r="U870" s="39"/>
      <c r="V870" s="91"/>
      <c r="W870" s="92"/>
      <c r="X870" s="28"/>
      <c r="Z870" s="39"/>
      <c r="AA870" s="7"/>
      <c r="AB870" s="92"/>
      <c r="AC870" s="28"/>
      <c r="AE870" s="9"/>
      <c r="AF870" s="7"/>
      <c r="AG870" s="92"/>
      <c r="AH870" s="28"/>
      <c r="AJ870" s="39"/>
      <c r="AK870" s="7"/>
      <c r="AL870" s="92"/>
      <c r="AM870" s="28"/>
      <c r="AO870" s="39"/>
      <c r="AP870" s="7"/>
      <c r="AQ870" s="92"/>
      <c r="AR870" s="28"/>
      <c r="AT870" s="39"/>
      <c r="AU870" s="7"/>
      <c r="AV870" s="92"/>
    </row>
    <row r="871" spans="1:48" s="27" customFormat="1" x14ac:dyDescent="0.3">
      <c r="A871" s="23"/>
      <c r="B871" s="24"/>
      <c r="C871" s="25"/>
      <c r="D871" s="25"/>
      <c r="E871" s="25"/>
      <c r="K871" s="90"/>
      <c r="M871" s="90"/>
      <c r="N871" s="28"/>
      <c r="P871" s="90"/>
      <c r="Q871" s="91"/>
      <c r="R871" s="92"/>
      <c r="S871" s="28"/>
      <c r="U871" s="39"/>
      <c r="V871" s="91"/>
      <c r="W871" s="92"/>
      <c r="X871" s="28"/>
      <c r="Z871" s="39"/>
      <c r="AA871" s="7"/>
      <c r="AB871" s="92"/>
      <c r="AC871" s="28"/>
      <c r="AE871" s="9"/>
      <c r="AF871" s="7"/>
      <c r="AG871" s="92"/>
      <c r="AH871" s="28"/>
      <c r="AJ871" s="39"/>
      <c r="AK871" s="7"/>
      <c r="AL871" s="92"/>
      <c r="AM871" s="28"/>
      <c r="AO871" s="39"/>
      <c r="AP871" s="7"/>
      <c r="AQ871" s="92"/>
      <c r="AR871" s="28"/>
      <c r="AT871" s="39"/>
      <c r="AU871" s="7"/>
      <c r="AV871" s="92"/>
    </row>
    <row r="872" spans="1:48" s="27" customFormat="1" x14ac:dyDescent="0.3">
      <c r="A872" s="23"/>
      <c r="B872" s="24"/>
      <c r="C872" s="25"/>
      <c r="D872" s="25"/>
      <c r="E872" s="25"/>
      <c r="K872" s="90"/>
      <c r="M872" s="90"/>
      <c r="N872" s="28"/>
      <c r="P872" s="90"/>
      <c r="Q872" s="91"/>
      <c r="R872" s="92"/>
      <c r="S872" s="28"/>
      <c r="U872" s="39"/>
      <c r="V872" s="91"/>
      <c r="W872" s="92"/>
      <c r="X872" s="28"/>
      <c r="Z872" s="39"/>
      <c r="AA872" s="7"/>
      <c r="AB872" s="92"/>
      <c r="AC872" s="28"/>
      <c r="AE872" s="9"/>
      <c r="AF872" s="7"/>
      <c r="AG872" s="92"/>
      <c r="AH872" s="28"/>
      <c r="AJ872" s="39"/>
      <c r="AK872" s="7"/>
      <c r="AL872" s="92"/>
      <c r="AM872" s="28"/>
      <c r="AO872" s="39"/>
      <c r="AP872" s="7"/>
      <c r="AQ872" s="92"/>
      <c r="AR872" s="28"/>
      <c r="AT872" s="39"/>
      <c r="AU872" s="7"/>
      <c r="AV872" s="92"/>
    </row>
    <row r="873" spans="1:48" s="27" customFormat="1" x14ac:dyDescent="0.3">
      <c r="A873" s="23"/>
      <c r="B873" s="24"/>
      <c r="C873" s="25"/>
      <c r="D873" s="25"/>
      <c r="E873" s="25"/>
      <c r="K873" s="90"/>
      <c r="M873" s="90"/>
      <c r="N873" s="28"/>
      <c r="P873" s="90"/>
      <c r="Q873" s="91"/>
      <c r="R873" s="92"/>
      <c r="S873" s="28"/>
      <c r="U873" s="39"/>
      <c r="V873" s="91"/>
      <c r="W873" s="92"/>
      <c r="X873" s="28"/>
      <c r="Z873" s="39"/>
      <c r="AA873" s="7"/>
      <c r="AB873" s="92"/>
      <c r="AC873" s="28"/>
      <c r="AE873" s="9"/>
      <c r="AF873" s="7"/>
      <c r="AG873" s="92"/>
      <c r="AH873" s="28"/>
      <c r="AJ873" s="39"/>
      <c r="AK873" s="7"/>
      <c r="AL873" s="92"/>
      <c r="AM873" s="28"/>
      <c r="AO873" s="39"/>
      <c r="AP873" s="7"/>
      <c r="AQ873" s="92"/>
      <c r="AR873" s="28"/>
      <c r="AT873" s="39"/>
      <c r="AU873" s="7"/>
      <c r="AV873" s="92"/>
    </row>
    <row r="874" spans="1:48" s="27" customFormat="1" x14ac:dyDescent="0.3">
      <c r="A874" s="23"/>
      <c r="B874" s="24"/>
      <c r="C874" s="25"/>
      <c r="D874" s="25"/>
      <c r="E874" s="25"/>
      <c r="K874" s="90"/>
      <c r="M874" s="90"/>
      <c r="N874" s="28"/>
      <c r="P874" s="90"/>
      <c r="Q874" s="91"/>
      <c r="R874" s="92"/>
      <c r="S874" s="28"/>
      <c r="U874" s="39"/>
      <c r="V874" s="91"/>
      <c r="W874" s="92"/>
      <c r="X874" s="28"/>
      <c r="Z874" s="39"/>
      <c r="AA874" s="7"/>
      <c r="AB874" s="92"/>
      <c r="AC874" s="28"/>
      <c r="AE874" s="9"/>
      <c r="AF874" s="7"/>
      <c r="AG874" s="92"/>
      <c r="AH874" s="28"/>
      <c r="AJ874" s="39"/>
      <c r="AK874" s="7"/>
      <c r="AL874" s="92"/>
      <c r="AM874" s="28"/>
      <c r="AO874" s="39"/>
      <c r="AP874" s="7"/>
      <c r="AQ874" s="92"/>
      <c r="AR874" s="28"/>
      <c r="AT874" s="39"/>
      <c r="AU874" s="7"/>
      <c r="AV874" s="92"/>
    </row>
    <row r="875" spans="1:48" s="27" customFormat="1" x14ac:dyDescent="0.3">
      <c r="A875" s="23"/>
      <c r="B875" s="24"/>
      <c r="C875" s="25"/>
      <c r="D875" s="25"/>
      <c r="E875" s="25"/>
      <c r="K875" s="90"/>
      <c r="M875" s="90"/>
      <c r="N875" s="28"/>
      <c r="P875" s="90"/>
      <c r="Q875" s="91"/>
      <c r="R875" s="92"/>
      <c r="S875" s="28"/>
      <c r="U875" s="39"/>
      <c r="V875" s="91"/>
      <c r="W875" s="92"/>
      <c r="X875" s="28"/>
      <c r="Z875" s="39"/>
      <c r="AA875" s="7"/>
      <c r="AB875" s="92"/>
      <c r="AC875" s="28"/>
      <c r="AE875" s="9"/>
      <c r="AF875" s="7"/>
      <c r="AG875" s="92"/>
      <c r="AH875" s="28"/>
      <c r="AJ875" s="39"/>
      <c r="AK875" s="7"/>
      <c r="AL875" s="92"/>
      <c r="AM875" s="28"/>
      <c r="AO875" s="39"/>
      <c r="AP875" s="7"/>
      <c r="AQ875" s="92"/>
      <c r="AR875" s="28"/>
      <c r="AT875" s="39"/>
      <c r="AU875" s="7"/>
      <c r="AV875" s="92"/>
    </row>
    <row r="876" spans="1:48" s="27" customFormat="1" x14ac:dyDescent="0.3">
      <c r="A876" s="23"/>
      <c r="B876" s="24"/>
      <c r="C876" s="25"/>
      <c r="D876" s="25"/>
      <c r="E876" s="25"/>
      <c r="K876" s="90"/>
      <c r="M876" s="90"/>
      <c r="N876" s="28"/>
      <c r="P876" s="90"/>
      <c r="Q876" s="91"/>
      <c r="R876" s="92"/>
      <c r="S876" s="28"/>
      <c r="U876" s="39"/>
      <c r="V876" s="91"/>
      <c r="W876" s="92"/>
      <c r="X876" s="28"/>
      <c r="Z876" s="39"/>
      <c r="AA876" s="7"/>
      <c r="AB876" s="92"/>
      <c r="AC876" s="28"/>
      <c r="AE876" s="9"/>
      <c r="AF876" s="7"/>
      <c r="AG876" s="92"/>
      <c r="AH876" s="28"/>
      <c r="AJ876" s="39"/>
      <c r="AK876" s="7"/>
      <c r="AL876" s="92"/>
      <c r="AM876" s="28"/>
      <c r="AO876" s="39"/>
      <c r="AP876" s="7"/>
      <c r="AQ876" s="92"/>
      <c r="AR876" s="28"/>
      <c r="AT876" s="39"/>
      <c r="AU876" s="7"/>
      <c r="AV876" s="92"/>
    </row>
    <row r="877" spans="1:48" s="27" customFormat="1" x14ac:dyDescent="0.3">
      <c r="A877" s="23"/>
      <c r="B877" s="24"/>
      <c r="C877" s="25"/>
      <c r="D877" s="25"/>
      <c r="E877" s="25"/>
      <c r="K877" s="90"/>
      <c r="M877" s="90"/>
      <c r="N877" s="28"/>
      <c r="P877" s="90"/>
      <c r="Q877" s="91"/>
      <c r="R877" s="92"/>
      <c r="S877" s="28"/>
      <c r="U877" s="39"/>
      <c r="V877" s="91"/>
      <c r="W877" s="92"/>
      <c r="X877" s="28"/>
      <c r="Z877" s="39"/>
      <c r="AA877" s="7"/>
      <c r="AB877" s="92"/>
      <c r="AC877" s="28"/>
      <c r="AE877" s="9"/>
      <c r="AF877" s="7"/>
      <c r="AG877" s="92"/>
      <c r="AH877" s="28"/>
      <c r="AJ877" s="39"/>
      <c r="AK877" s="7"/>
      <c r="AL877" s="92"/>
      <c r="AM877" s="28"/>
      <c r="AO877" s="39"/>
      <c r="AP877" s="7"/>
      <c r="AQ877" s="92"/>
      <c r="AR877" s="28"/>
      <c r="AT877" s="39"/>
      <c r="AU877" s="7"/>
      <c r="AV877" s="92"/>
    </row>
    <row r="878" spans="1:48" s="27" customFormat="1" x14ac:dyDescent="0.3">
      <c r="A878" s="23"/>
      <c r="B878" s="24"/>
      <c r="C878" s="25"/>
      <c r="D878" s="25"/>
      <c r="E878" s="25"/>
      <c r="K878" s="90"/>
      <c r="M878" s="90"/>
      <c r="N878" s="28"/>
      <c r="P878" s="90"/>
      <c r="Q878" s="91"/>
      <c r="R878" s="92"/>
      <c r="S878" s="28"/>
      <c r="U878" s="39"/>
      <c r="V878" s="91"/>
      <c r="W878" s="92"/>
      <c r="X878" s="28"/>
      <c r="Z878" s="39"/>
      <c r="AA878" s="7"/>
      <c r="AB878" s="92"/>
      <c r="AC878" s="28"/>
      <c r="AE878" s="9"/>
      <c r="AF878" s="7"/>
      <c r="AG878" s="92"/>
      <c r="AH878" s="28"/>
      <c r="AJ878" s="39"/>
      <c r="AK878" s="7"/>
      <c r="AL878" s="92"/>
      <c r="AM878" s="28"/>
      <c r="AO878" s="39"/>
      <c r="AP878" s="7"/>
      <c r="AQ878" s="92"/>
      <c r="AR878" s="28"/>
      <c r="AT878" s="39"/>
      <c r="AU878" s="7"/>
      <c r="AV878" s="92"/>
    </row>
    <row r="879" spans="1:48" s="27" customFormat="1" x14ac:dyDescent="0.3">
      <c r="A879" s="23"/>
      <c r="B879" s="24"/>
      <c r="C879" s="25"/>
      <c r="D879" s="25"/>
      <c r="E879" s="25"/>
      <c r="K879" s="90"/>
      <c r="M879" s="90"/>
      <c r="N879" s="28"/>
      <c r="P879" s="90"/>
      <c r="Q879" s="91"/>
      <c r="R879" s="92"/>
      <c r="S879" s="28"/>
      <c r="U879" s="39"/>
      <c r="V879" s="91"/>
      <c r="W879" s="92"/>
      <c r="X879" s="28"/>
      <c r="Z879" s="39"/>
      <c r="AA879" s="7"/>
      <c r="AB879" s="92"/>
      <c r="AC879" s="28"/>
      <c r="AE879" s="9"/>
      <c r="AF879" s="7"/>
      <c r="AG879" s="92"/>
      <c r="AH879" s="28"/>
      <c r="AJ879" s="39"/>
      <c r="AK879" s="7"/>
      <c r="AL879" s="92"/>
      <c r="AM879" s="28"/>
      <c r="AO879" s="39"/>
      <c r="AP879" s="7"/>
      <c r="AQ879" s="92"/>
      <c r="AR879" s="28"/>
      <c r="AT879" s="39"/>
      <c r="AU879" s="7"/>
      <c r="AV879" s="92"/>
    </row>
    <row r="880" spans="1:48" s="27" customFormat="1" x14ac:dyDescent="0.3">
      <c r="A880" s="23"/>
      <c r="B880" s="24"/>
      <c r="C880" s="25"/>
      <c r="D880" s="25"/>
      <c r="E880" s="25"/>
      <c r="K880" s="90"/>
      <c r="M880" s="90"/>
      <c r="N880" s="28"/>
      <c r="P880" s="90"/>
      <c r="Q880" s="91"/>
      <c r="R880" s="92"/>
      <c r="S880" s="28"/>
      <c r="U880" s="39"/>
      <c r="V880" s="91"/>
      <c r="W880" s="92"/>
      <c r="X880" s="28"/>
      <c r="Z880" s="39"/>
      <c r="AA880" s="7"/>
      <c r="AB880" s="92"/>
      <c r="AC880" s="28"/>
      <c r="AE880" s="9"/>
      <c r="AF880" s="7"/>
      <c r="AG880" s="92"/>
      <c r="AH880" s="28"/>
      <c r="AJ880" s="39"/>
      <c r="AK880" s="7"/>
      <c r="AL880" s="92"/>
      <c r="AM880" s="28"/>
      <c r="AO880" s="39"/>
      <c r="AP880" s="7"/>
      <c r="AQ880" s="92"/>
      <c r="AR880" s="28"/>
      <c r="AT880" s="39"/>
      <c r="AU880" s="7"/>
      <c r="AV880" s="92"/>
    </row>
    <row r="881" spans="1:48" s="27" customFormat="1" x14ac:dyDescent="0.3">
      <c r="A881" s="23"/>
      <c r="B881" s="24"/>
      <c r="C881" s="25"/>
      <c r="D881" s="25"/>
      <c r="E881" s="25"/>
      <c r="K881" s="90"/>
      <c r="M881" s="90"/>
      <c r="N881" s="28"/>
      <c r="P881" s="90"/>
      <c r="Q881" s="91"/>
      <c r="R881" s="92"/>
      <c r="S881" s="28"/>
      <c r="U881" s="39"/>
      <c r="V881" s="91"/>
      <c r="W881" s="92"/>
      <c r="X881" s="28"/>
      <c r="Z881" s="39"/>
      <c r="AA881" s="7"/>
      <c r="AB881" s="92"/>
      <c r="AC881" s="28"/>
      <c r="AE881" s="9"/>
      <c r="AF881" s="7"/>
      <c r="AG881" s="92"/>
      <c r="AH881" s="28"/>
      <c r="AJ881" s="39"/>
      <c r="AK881" s="7"/>
      <c r="AL881" s="92"/>
      <c r="AM881" s="28"/>
      <c r="AO881" s="39"/>
      <c r="AP881" s="7"/>
      <c r="AQ881" s="92"/>
      <c r="AR881" s="28"/>
      <c r="AT881" s="39"/>
      <c r="AU881" s="7"/>
      <c r="AV881" s="92"/>
    </row>
    <row r="882" spans="1:48" s="27" customFormat="1" x14ac:dyDescent="0.3">
      <c r="A882" s="23"/>
      <c r="B882" s="24"/>
      <c r="C882" s="25"/>
      <c r="D882" s="25"/>
      <c r="E882" s="25"/>
      <c r="K882" s="90"/>
      <c r="M882" s="90"/>
      <c r="N882" s="28"/>
      <c r="P882" s="90"/>
      <c r="Q882" s="91"/>
      <c r="R882" s="92"/>
      <c r="S882" s="28"/>
      <c r="U882" s="39"/>
      <c r="V882" s="91"/>
      <c r="W882" s="92"/>
      <c r="X882" s="28"/>
      <c r="Z882" s="39"/>
      <c r="AA882" s="7"/>
      <c r="AB882" s="92"/>
      <c r="AC882" s="28"/>
      <c r="AE882" s="9"/>
      <c r="AF882" s="7"/>
      <c r="AG882" s="92"/>
      <c r="AH882" s="28"/>
      <c r="AJ882" s="39"/>
      <c r="AK882" s="7"/>
      <c r="AL882" s="92"/>
      <c r="AM882" s="28"/>
      <c r="AO882" s="39"/>
      <c r="AP882" s="7"/>
      <c r="AQ882" s="92"/>
      <c r="AR882" s="28"/>
      <c r="AT882" s="39"/>
      <c r="AU882" s="7"/>
      <c r="AV882" s="92"/>
    </row>
    <row r="883" spans="1:48" s="27" customFormat="1" x14ac:dyDescent="0.3">
      <c r="A883" s="23"/>
      <c r="B883" s="24"/>
      <c r="C883" s="25"/>
      <c r="D883" s="25"/>
      <c r="E883" s="25"/>
      <c r="K883" s="90"/>
      <c r="M883" s="90"/>
      <c r="N883" s="28"/>
      <c r="P883" s="90"/>
      <c r="Q883" s="91"/>
      <c r="R883" s="92"/>
      <c r="S883" s="28"/>
      <c r="U883" s="39"/>
      <c r="V883" s="91"/>
      <c r="W883" s="92"/>
      <c r="X883" s="28"/>
      <c r="Z883" s="39"/>
      <c r="AA883" s="7"/>
      <c r="AB883" s="92"/>
      <c r="AC883" s="28"/>
      <c r="AE883" s="9"/>
      <c r="AF883" s="7"/>
      <c r="AG883" s="92"/>
      <c r="AH883" s="28"/>
      <c r="AJ883" s="39"/>
      <c r="AK883" s="7"/>
      <c r="AL883" s="92"/>
      <c r="AM883" s="28"/>
      <c r="AO883" s="39"/>
      <c r="AP883" s="7"/>
      <c r="AQ883" s="92"/>
      <c r="AR883" s="28"/>
      <c r="AT883" s="39"/>
      <c r="AU883" s="7"/>
      <c r="AV883" s="92"/>
    </row>
    <row r="884" spans="1:48" s="27" customFormat="1" x14ac:dyDescent="0.3">
      <c r="A884" s="23"/>
      <c r="B884" s="24"/>
      <c r="C884" s="25"/>
      <c r="D884" s="25"/>
      <c r="E884" s="25"/>
      <c r="K884" s="90"/>
      <c r="M884" s="90"/>
      <c r="N884" s="28"/>
      <c r="P884" s="90"/>
      <c r="Q884" s="91"/>
      <c r="R884" s="92"/>
      <c r="S884" s="28"/>
      <c r="U884" s="39"/>
      <c r="V884" s="91"/>
      <c r="W884" s="92"/>
      <c r="X884" s="28"/>
      <c r="Z884" s="39"/>
      <c r="AA884" s="7"/>
      <c r="AB884" s="92"/>
      <c r="AC884" s="28"/>
      <c r="AE884" s="9"/>
      <c r="AF884" s="7"/>
      <c r="AG884" s="92"/>
      <c r="AH884" s="28"/>
      <c r="AJ884" s="39"/>
      <c r="AK884" s="7"/>
      <c r="AL884" s="92"/>
      <c r="AM884" s="28"/>
      <c r="AO884" s="39"/>
      <c r="AP884" s="7"/>
      <c r="AQ884" s="92"/>
      <c r="AR884" s="28"/>
      <c r="AT884" s="39"/>
      <c r="AU884" s="7"/>
      <c r="AV884" s="92"/>
    </row>
    <row r="885" spans="1:48" s="27" customFormat="1" x14ac:dyDescent="0.3">
      <c r="A885" s="23"/>
      <c r="B885" s="24"/>
      <c r="C885" s="25"/>
      <c r="D885" s="25"/>
      <c r="E885" s="25"/>
      <c r="K885" s="90"/>
      <c r="M885" s="90"/>
      <c r="N885" s="28"/>
      <c r="P885" s="90"/>
      <c r="Q885" s="91"/>
      <c r="R885" s="92"/>
      <c r="S885" s="28"/>
      <c r="U885" s="39"/>
      <c r="V885" s="91"/>
      <c r="W885" s="92"/>
      <c r="X885" s="28"/>
      <c r="Z885" s="39"/>
      <c r="AA885" s="7"/>
      <c r="AB885" s="92"/>
      <c r="AC885" s="28"/>
      <c r="AE885" s="9"/>
      <c r="AF885" s="7"/>
      <c r="AG885" s="92"/>
      <c r="AH885" s="28"/>
      <c r="AJ885" s="39"/>
      <c r="AK885" s="7"/>
      <c r="AL885" s="92"/>
      <c r="AM885" s="28"/>
      <c r="AO885" s="39"/>
      <c r="AP885" s="7"/>
      <c r="AQ885" s="92"/>
      <c r="AR885" s="28"/>
      <c r="AT885" s="39"/>
      <c r="AU885" s="7"/>
      <c r="AV885" s="92"/>
    </row>
    <row r="886" spans="1:48" s="27" customFormat="1" x14ac:dyDescent="0.3">
      <c r="A886" s="23"/>
      <c r="B886" s="24"/>
      <c r="C886" s="25"/>
      <c r="D886" s="25"/>
      <c r="E886" s="25"/>
      <c r="K886" s="90"/>
      <c r="M886" s="90"/>
      <c r="N886" s="28"/>
      <c r="P886" s="90"/>
      <c r="Q886" s="91"/>
      <c r="R886" s="92"/>
      <c r="S886" s="28"/>
      <c r="U886" s="39"/>
      <c r="V886" s="91"/>
      <c r="W886" s="92"/>
      <c r="X886" s="28"/>
      <c r="Z886" s="39"/>
      <c r="AA886" s="7"/>
      <c r="AB886" s="92"/>
      <c r="AC886" s="28"/>
      <c r="AE886" s="9"/>
      <c r="AF886" s="7"/>
      <c r="AG886" s="92"/>
      <c r="AH886" s="28"/>
      <c r="AJ886" s="39"/>
      <c r="AK886" s="7"/>
      <c r="AL886" s="92"/>
      <c r="AM886" s="28"/>
      <c r="AO886" s="39"/>
      <c r="AP886" s="7"/>
      <c r="AQ886" s="92"/>
      <c r="AR886" s="28"/>
      <c r="AT886" s="39"/>
      <c r="AU886" s="7"/>
      <c r="AV886" s="92"/>
    </row>
    <row r="887" spans="1:48" s="27" customFormat="1" x14ac:dyDescent="0.3">
      <c r="A887" s="23"/>
      <c r="B887" s="24"/>
      <c r="C887" s="25"/>
      <c r="D887" s="25"/>
      <c r="E887" s="25"/>
      <c r="K887" s="90"/>
      <c r="M887" s="90"/>
      <c r="N887" s="28"/>
      <c r="P887" s="90"/>
      <c r="Q887" s="91"/>
      <c r="R887" s="92"/>
      <c r="S887" s="28"/>
      <c r="U887" s="39"/>
      <c r="V887" s="91"/>
      <c r="W887" s="92"/>
      <c r="X887" s="28"/>
      <c r="Z887" s="39"/>
      <c r="AA887" s="7"/>
      <c r="AB887" s="92"/>
      <c r="AC887" s="28"/>
      <c r="AE887" s="9"/>
      <c r="AF887" s="7"/>
      <c r="AG887" s="92"/>
      <c r="AH887" s="28"/>
      <c r="AJ887" s="39"/>
      <c r="AK887" s="7"/>
      <c r="AL887" s="92"/>
      <c r="AM887" s="28"/>
      <c r="AO887" s="39"/>
      <c r="AP887" s="7"/>
      <c r="AQ887" s="92"/>
      <c r="AR887" s="28"/>
      <c r="AT887" s="39"/>
      <c r="AU887" s="7"/>
      <c r="AV887" s="92"/>
    </row>
    <row r="888" spans="1:48" s="27" customFormat="1" x14ac:dyDescent="0.3">
      <c r="A888" s="23"/>
      <c r="B888" s="24"/>
      <c r="C888" s="25"/>
      <c r="D888" s="25"/>
      <c r="E888" s="25"/>
      <c r="K888" s="90"/>
      <c r="M888" s="90"/>
      <c r="N888" s="28"/>
      <c r="P888" s="90"/>
      <c r="Q888" s="91"/>
      <c r="R888" s="92"/>
      <c r="S888" s="28"/>
      <c r="U888" s="39"/>
      <c r="V888" s="91"/>
      <c r="W888" s="92"/>
      <c r="X888" s="28"/>
      <c r="Z888" s="39"/>
      <c r="AA888" s="7"/>
      <c r="AB888" s="92"/>
      <c r="AC888" s="28"/>
      <c r="AE888" s="9"/>
      <c r="AF888" s="7"/>
      <c r="AG888" s="92"/>
      <c r="AH888" s="28"/>
      <c r="AJ888" s="39"/>
      <c r="AK888" s="7"/>
      <c r="AL888" s="92"/>
      <c r="AM888" s="28"/>
      <c r="AO888" s="39"/>
      <c r="AP888" s="7"/>
      <c r="AQ888" s="92"/>
      <c r="AR888" s="28"/>
      <c r="AT888" s="39"/>
      <c r="AU888" s="7"/>
      <c r="AV888" s="92"/>
    </row>
    <row r="889" spans="1:48" s="27" customFormat="1" x14ac:dyDescent="0.3">
      <c r="A889" s="23"/>
      <c r="B889" s="24"/>
      <c r="C889" s="25"/>
      <c r="D889" s="25"/>
      <c r="E889" s="25"/>
      <c r="K889" s="90"/>
      <c r="M889" s="90"/>
      <c r="N889" s="28"/>
      <c r="P889" s="90"/>
      <c r="Q889" s="91"/>
      <c r="R889" s="92"/>
      <c r="S889" s="28"/>
      <c r="U889" s="39"/>
      <c r="V889" s="91"/>
      <c r="W889" s="92"/>
      <c r="X889" s="28"/>
      <c r="Z889" s="39"/>
      <c r="AA889" s="7"/>
      <c r="AB889" s="92"/>
      <c r="AC889" s="28"/>
      <c r="AE889" s="9"/>
      <c r="AF889" s="7"/>
      <c r="AG889" s="92"/>
      <c r="AH889" s="28"/>
      <c r="AJ889" s="39"/>
      <c r="AK889" s="7"/>
      <c r="AL889" s="92"/>
      <c r="AM889" s="28"/>
      <c r="AO889" s="39"/>
      <c r="AP889" s="7"/>
      <c r="AQ889" s="92"/>
      <c r="AR889" s="28"/>
      <c r="AT889" s="39"/>
      <c r="AU889" s="7"/>
      <c r="AV889" s="92"/>
    </row>
    <row r="890" spans="1:48" s="27" customFormat="1" x14ac:dyDescent="0.3">
      <c r="A890" s="23"/>
      <c r="B890" s="24"/>
      <c r="C890" s="25"/>
      <c r="D890" s="25"/>
      <c r="E890" s="25"/>
      <c r="K890" s="90"/>
      <c r="M890" s="90"/>
      <c r="N890" s="28"/>
      <c r="P890" s="90"/>
      <c r="Q890" s="91"/>
      <c r="R890" s="92"/>
      <c r="S890" s="28"/>
      <c r="U890" s="39"/>
      <c r="V890" s="91"/>
      <c r="W890" s="92"/>
      <c r="X890" s="28"/>
      <c r="Z890" s="39"/>
      <c r="AA890" s="7"/>
      <c r="AB890" s="92"/>
      <c r="AC890" s="28"/>
      <c r="AE890" s="9"/>
      <c r="AF890" s="7"/>
      <c r="AG890" s="92"/>
      <c r="AH890" s="28"/>
      <c r="AJ890" s="39"/>
      <c r="AK890" s="7"/>
      <c r="AL890" s="92"/>
      <c r="AM890" s="28"/>
      <c r="AO890" s="39"/>
      <c r="AP890" s="7"/>
      <c r="AQ890" s="92"/>
      <c r="AR890" s="28"/>
      <c r="AT890" s="39"/>
      <c r="AU890" s="7"/>
      <c r="AV890" s="92"/>
    </row>
    <row r="891" spans="1:48" s="27" customFormat="1" x14ac:dyDescent="0.3">
      <c r="A891" s="23"/>
      <c r="B891" s="24"/>
      <c r="C891" s="25"/>
      <c r="D891" s="25"/>
      <c r="E891" s="25"/>
      <c r="K891" s="90"/>
      <c r="M891" s="90"/>
      <c r="N891" s="28"/>
      <c r="P891" s="90"/>
      <c r="Q891" s="91"/>
      <c r="R891" s="92"/>
      <c r="S891" s="28"/>
      <c r="U891" s="39"/>
      <c r="V891" s="91"/>
      <c r="W891" s="92"/>
      <c r="X891" s="28"/>
      <c r="Z891" s="39"/>
      <c r="AA891" s="7"/>
      <c r="AB891" s="92"/>
      <c r="AC891" s="28"/>
      <c r="AE891" s="9"/>
      <c r="AF891" s="7"/>
      <c r="AG891" s="92"/>
      <c r="AH891" s="28"/>
      <c r="AJ891" s="39"/>
      <c r="AK891" s="7"/>
      <c r="AL891" s="92"/>
      <c r="AM891" s="28"/>
      <c r="AO891" s="39"/>
      <c r="AP891" s="7"/>
      <c r="AQ891" s="92"/>
      <c r="AR891" s="28"/>
      <c r="AT891" s="39"/>
      <c r="AU891" s="7"/>
      <c r="AV891" s="92"/>
    </row>
    <row r="892" spans="1:48" s="27" customFormat="1" x14ac:dyDescent="0.3">
      <c r="A892" s="23"/>
      <c r="B892" s="24"/>
      <c r="C892" s="25"/>
      <c r="D892" s="25"/>
      <c r="E892" s="25"/>
      <c r="K892" s="90"/>
      <c r="M892" s="90"/>
      <c r="N892" s="28"/>
      <c r="P892" s="90"/>
      <c r="Q892" s="91"/>
      <c r="R892" s="92"/>
      <c r="S892" s="28"/>
      <c r="U892" s="39"/>
      <c r="V892" s="91"/>
      <c r="W892" s="92"/>
      <c r="X892" s="28"/>
      <c r="Z892" s="39"/>
      <c r="AA892" s="7"/>
      <c r="AB892" s="92"/>
      <c r="AC892" s="28"/>
      <c r="AE892" s="9"/>
      <c r="AF892" s="7"/>
      <c r="AG892" s="92"/>
      <c r="AH892" s="28"/>
      <c r="AJ892" s="39"/>
      <c r="AK892" s="7"/>
      <c r="AL892" s="92"/>
      <c r="AM892" s="28"/>
      <c r="AO892" s="39"/>
      <c r="AP892" s="7"/>
      <c r="AQ892" s="92"/>
      <c r="AR892" s="28"/>
      <c r="AT892" s="39"/>
      <c r="AU892" s="7"/>
      <c r="AV892" s="92"/>
    </row>
    <row r="893" spans="1:48" s="27" customFormat="1" x14ac:dyDescent="0.3">
      <c r="A893" s="23"/>
      <c r="B893" s="24"/>
      <c r="C893" s="25"/>
      <c r="D893" s="25"/>
      <c r="E893" s="25"/>
      <c r="K893" s="90"/>
      <c r="M893" s="90"/>
      <c r="N893" s="28"/>
      <c r="P893" s="90"/>
      <c r="Q893" s="91"/>
      <c r="R893" s="92"/>
      <c r="S893" s="28"/>
      <c r="U893" s="39"/>
      <c r="V893" s="91"/>
      <c r="W893" s="92"/>
      <c r="X893" s="28"/>
      <c r="Z893" s="39"/>
      <c r="AA893" s="7"/>
      <c r="AB893" s="92"/>
      <c r="AC893" s="28"/>
      <c r="AE893" s="9"/>
      <c r="AF893" s="7"/>
      <c r="AG893" s="92"/>
      <c r="AH893" s="28"/>
      <c r="AJ893" s="39"/>
      <c r="AK893" s="7"/>
      <c r="AL893" s="92"/>
      <c r="AM893" s="28"/>
      <c r="AO893" s="39"/>
      <c r="AP893" s="7"/>
      <c r="AQ893" s="92"/>
      <c r="AR893" s="28"/>
      <c r="AT893" s="39"/>
      <c r="AU893" s="7"/>
      <c r="AV893" s="92"/>
    </row>
    <row r="894" spans="1:48" s="27" customFormat="1" x14ac:dyDescent="0.3">
      <c r="A894" s="23"/>
      <c r="B894" s="24"/>
      <c r="C894" s="25"/>
      <c r="D894" s="25"/>
      <c r="E894" s="25"/>
      <c r="K894" s="90"/>
      <c r="M894" s="90"/>
      <c r="N894" s="28"/>
      <c r="P894" s="90"/>
      <c r="Q894" s="91"/>
      <c r="R894" s="92"/>
      <c r="S894" s="28"/>
      <c r="U894" s="39"/>
      <c r="V894" s="91"/>
      <c r="W894" s="92"/>
      <c r="X894" s="28"/>
      <c r="Z894" s="39"/>
      <c r="AA894" s="7"/>
      <c r="AB894" s="92"/>
      <c r="AC894" s="28"/>
      <c r="AE894" s="9"/>
      <c r="AF894" s="7"/>
      <c r="AG894" s="92"/>
      <c r="AH894" s="28"/>
      <c r="AJ894" s="39"/>
      <c r="AK894" s="7"/>
      <c r="AL894" s="92"/>
      <c r="AM894" s="28"/>
      <c r="AO894" s="39"/>
      <c r="AP894" s="7"/>
      <c r="AQ894" s="92"/>
      <c r="AR894" s="28"/>
      <c r="AT894" s="39"/>
      <c r="AU894" s="7"/>
      <c r="AV894" s="92"/>
    </row>
    <row r="895" spans="1:48" s="27" customFormat="1" x14ac:dyDescent="0.3">
      <c r="A895" s="23"/>
      <c r="B895" s="24"/>
      <c r="C895" s="25"/>
      <c r="D895" s="25"/>
      <c r="E895" s="25"/>
      <c r="K895" s="90"/>
      <c r="M895" s="90"/>
      <c r="N895" s="28"/>
      <c r="P895" s="90"/>
      <c r="Q895" s="91"/>
      <c r="R895" s="92"/>
      <c r="S895" s="28"/>
      <c r="U895" s="39"/>
      <c r="V895" s="91"/>
      <c r="W895" s="92"/>
      <c r="X895" s="28"/>
      <c r="Z895" s="39"/>
      <c r="AA895" s="7"/>
      <c r="AB895" s="92"/>
      <c r="AC895" s="28"/>
      <c r="AE895" s="9"/>
      <c r="AF895" s="7"/>
      <c r="AG895" s="92"/>
      <c r="AH895" s="28"/>
      <c r="AJ895" s="39"/>
      <c r="AK895" s="7"/>
      <c r="AL895" s="92"/>
      <c r="AM895" s="28"/>
      <c r="AO895" s="39"/>
      <c r="AP895" s="7"/>
      <c r="AQ895" s="92"/>
      <c r="AR895" s="28"/>
      <c r="AT895" s="39"/>
      <c r="AU895" s="7"/>
      <c r="AV895" s="92"/>
    </row>
    <row r="896" spans="1:48" s="27" customFormat="1" x14ac:dyDescent="0.3">
      <c r="A896" s="23"/>
      <c r="B896" s="24"/>
      <c r="C896" s="25"/>
      <c r="D896" s="25"/>
      <c r="E896" s="25"/>
      <c r="K896" s="90"/>
      <c r="M896" s="90"/>
      <c r="N896" s="28"/>
      <c r="P896" s="90"/>
      <c r="Q896" s="91"/>
      <c r="R896" s="92"/>
      <c r="S896" s="28"/>
      <c r="U896" s="39"/>
      <c r="V896" s="91"/>
      <c r="W896" s="92"/>
      <c r="X896" s="28"/>
      <c r="Z896" s="39"/>
      <c r="AA896" s="7"/>
      <c r="AB896" s="92"/>
      <c r="AC896" s="28"/>
      <c r="AE896" s="9"/>
      <c r="AF896" s="7"/>
      <c r="AG896" s="92"/>
      <c r="AH896" s="28"/>
      <c r="AJ896" s="39"/>
      <c r="AK896" s="7"/>
      <c r="AL896" s="92"/>
      <c r="AM896" s="28"/>
      <c r="AO896" s="39"/>
      <c r="AP896" s="7"/>
      <c r="AQ896" s="92"/>
      <c r="AR896" s="28"/>
      <c r="AT896" s="39"/>
      <c r="AU896" s="7"/>
      <c r="AV896" s="92"/>
    </row>
    <row r="897" spans="1:48" s="27" customFormat="1" x14ac:dyDescent="0.3">
      <c r="A897" s="23"/>
      <c r="B897" s="24"/>
      <c r="C897" s="25"/>
      <c r="D897" s="25"/>
      <c r="E897" s="25"/>
      <c r="K897" s="90"/>
      <c r="M897" s="90"/>
      <c r="N897" s="28"/>
      <c r="P897" s="90"/>
      <c r="Q897" s="91"/>
      <c r="R897" s="92"/>
      <c r="S897" s="28"/>
      <c r="U897" s="39"/>
      <c r="V897" s="91"/>
      <c r="W897" s="92"/>
      <c r="X897" s="28"/>
      <c r="Z897" s="39"/>
      <c r="AA897" s="7"/>
      <c r="AB897" s="92"/>
      <c r="AC897" s="28"/>
      <c r="AE897" s="9"/>
      <c r="AF897" s="7"/>
      <c r="AG897" s="92"/>
      <c r="AH897" s="28"/>
      <c r="AJ897" s="39"/>
      <c r="AK897" s="7"/>
      <c r="AL897" s="92"/>
      <c r="AM897" s="28"/>
      <c r="AO897" s="39"/>
      <c r="AP897" s="7"/>
      <c r="AQ897" s="92"/>
      <c r="AR897" s="28"/>
      <c r="AT897" s="39"/>
      <c r="AU897" s="7"/>
      <c r="AV897" s="92"/>
    </row>
    <row r="898" spans="1:48" s="27" customFormat="1" x14ac:dyDescent="0.3">
      <c r="A898" s="23"/>
      <c r="B898" s="24"/>
      <c r="C898" s="25"/>
      <c r="D898" s="25"/>
      <c r="E898" s="25"/>
      <c r="K898" s="90"/>
      <c r="M898" s="90"/>
      <c r="N898" s="28"/>
      <c r="P898" s="90"/>
      <c r="Q898" s="91"/>
      <c r="R898" s="92"/>
      <c r="S898" s="28"/>
      <c r="U898" s="39"/>
      <c r="V898" s="91"/>
      <c r="W898" s="92"/>
      <c r="X898" s="28"/>
      <c r="Z898" s="39"/>
      <c r="AA898" s="7"/>
      <c r="AB898" s="92"/>
      <c r="AC898" s="28"/>
      <c r="AE898" s="9"/>
      <c r="AF898" s="7"/>
      <c r="AG898" s="92"/>
      <c r="AH898" s="28"/>
      <c r="AJ898" s="39"/>
      <c r="AK898" s="7"/>
      <c r="AL898" s="92"/>
      <c r="AM898" s="28"/>
      <c r="AO898" s="39"/>
      <c r="AP898" s="7"/>
      <c r="AQ898" s="92"/>
      <c r="AR898" s="28"/>
      <c r="AT898" s="39"/>
      <c r="AU898" s="7"/>
      <c r="AV898" s="92"/>
    </row>
    <row r="899" spans="1:48" s="27" customFormat="1" x14ac:dyDescent="0.3">
      <c r="A899" s="23"/>
      <c r="B899" s="24"/>
      <c r="C899" s="25"/>
      <c r="D899" s="25"/>
      <c r="E899" s="25"/>
      <c r="K899" s="90"/>
      <c r="M899" s="90"/>
      <c r="N899" s="28"/>
      <c r="P899" s="90"/>
      <c r="Q899" s="91"/>
      <c r="R899" s="92"/>
      <c r="S899" s="28"/>
      <c r="U899" s="39"/>
      <c r="V899" s="91"/>
      <c r="W899" s="92"/>
      <c r="X899" s="28"/>
      <c r="Z899" s="39"/>
      <c r="AA899" s="7"/>
      <c r="AB899" s="92"/>
      <c r="AC899" s="28"/>
      <c r="AE899" s="9"/>
      <c r="AF899" s="7"/>
      <c r="AG899" s="92"/>
      <c r="AH899" s="28"/>
      <c r="AJ899" s="39"/>
      <c r="AK899" s="7"/>
      <c r="AL899" s="92"/>
      <c r="AM899" s="28"/>
      <c r="AO899" s="39"/>
      <c r="AP899" s="7"/>
      <c r="AQ899" s="92"/>
      <c r="AR899" s="28"/>
      <c r="AT899" s="39"/>
      <c r="AU899" s="7"/>
      <c r="AV899" s="92"/>
    </row>
    <row r="900" spans="1:48" s="27" customFormat="1" x14ac:dyDescent="0.3">
      <c r="A900" s="23"/>
      <c r="B900" s="24"/>
      <c r="C900" s="25"/>
      <c r="D900" s="25"/>
      <c r="E900" s="25"/>
      <c r="K900" s="90"/>
      <c r="M900" s="90"/>
      <c r="N900" s="28"/>
      <c r="P900" s="90"/>
      <c r="Q900" s="91"/>
      <c r="R900" s="92"/>
      <c r="S900" s="28"/>
      <c r="U900" s="39"/>
      <c r="V900" s="91"/>
      <c r="W900" s="92"/>
      <c r="X900" s="28"/>
      <c r="Z900" s="39"/>
      <c r="AA900" s="7"/>
      <c r="AB900" s="92"/>
      <c r="AC900" s="28"/>
      <c r="AE900" s="9"/>
      <c r="AF900" s="7"/>
      <c r="AG900" s="92"/>
      <c r="AH900" s="28"/>
      <c r="AJ900" s="39"/>
      <c r="AK900" s="7"/>
      <c r="AL900" s="92"/>
      <c r="AM900" s="28"/>
      <c r="AO900" s="39"/>
      <c r="AP900" s="7"/>
      <c r="AQ900" s="92"/>
      <c r="AR900" s="28"/>
      <c r="AT900" s="39"/>
      <c r="AU900" s="7"/>
      <c r="AV900" s="92"/>
    </row>
    <row r="901" spans="1:48" s="27" customFormat="1" x14ac:dyDescent="0.3">
      <c r="A901" s="23"/>
      <c r="B901" s="24"/>
      <c r="C901" s="25"/>
      <c r="D901" s="25"/>
      <c r="E901" s="25"/>
      <c r="K901" s="90"/>
      <c r="M901" s="90"/>
      <c r="N901" s="28"/>
      <c r="P901" s="90"/>
      <c r="Q901" s="91"/>
      <c r="R901" s="92"/>
      <c r="S901" s="28"/>
      <c r="U901" s="39"/>
      <c r="V901" s="91"/>
      <c r="W901" s="92"/>
      <c r="X901" s="28"/>
      <c r="Z901" s="39"/>
      <c r="AA901" s="7"/>
      <c r="AB901" s="92"/>
      <c r="AC901" s="28"/>
      <c r="AE901" s="9"/>
      <c r="AF901" s="7"/>
      <c r="AG901" s="92"/>
      <c r="AH901" s="28"/>
      <c r="AJ901" s="39"/>
      <c r="AK901" s="7"/>
      <c r="AL901" s="92"/>
      <c r="AM901" s="28"/>
      <c r="AO901" s="39"/>
      <c r="AP901" s="7"/>
      <c r="AQ901" s="92"/>
      <c r="AR901" s="28"/>
      <c r="AT901" s="39"/>
      <c r="AU901" s="7"/>
      <c r="AV901" s="92"/>
    </row>
    <row r="902" spans="1:48" s="27" customFormat="1" x14ac:dyDescent="0.3">
      <c r="A902" s="23"/>
      <c r="B902" s="24"/>
      <c r="C902" s="25"/>
      <c r="D902" s="25"/>
      <c r="E902" s="25"/>
      <c r="K902" s="90"/>
      <c r="M902" s="90"/>
      <c r="N902" s="28"/>
      <c r="P902" s="90"/>
      <c r="Q902" s="91"/>
      <c r="R902" s="92"/>
      <c r="S902" s="28"/>
      <c r="U902" s="39"/>
      <c r="V902" s="91"/>
      <c r="W902" s="92"/>
      <c r="X902" s="28"/>
      <c r="Z902" s="39"/>
      <c r="AA902" s="7"/>
      <c r="AB902" s="92"/>
      <c r="AC902" s="28"/>
      <c r="AE902" s="9"/>
      <c r="AF902" s="7"/>
      <c r="AG902" s="92"/>
      <c r="AH902" s="28"/>
      <c r="AJ902" s="39"/>
      <c r="AK902" s="7"/>
      <c r="AL902" s="92"/>
      <c r="AM902" s="28"/>
      <c r="AO902" s="39"/>
      <c r="AP902" s="7"/>
      <c r="AQ902" s="92"/>
      <c r="AR902" s="28"/>
      <c r="AT902" s="39"/>
      <c r="AU902" s="7"/>
      <c r="AV902" s="92"/>
    </row>
    <row r="903" spans="1:48" s="27" customFormat="1" x14ac:dyDescent="0.3">
      <c r="A903" s="23"/>
      <c r="B903" s="24"/>
      <c r="C903" s="25"/>
      <c r="D903" s="25"/>
      <c r="E903" s="25"/>
      <c r="K903" s="90"/>
      <c r="M903" s="90"/>
      <c r="N903" s="28"/>
      <c r="P903" s="90"/>
      <c r="Q903" s="91"/>
      <c r="R903" s="92"/>
      <c r="S903" s="28"/>
      <c r="U903" s="39"/>
      <c r="V903" s="91"/>
      <c r="W903" s="92"/>
      <c r="X903" s="28"/>
      <c r="Z903" s="39"/>
      <c r="AA903" s="7"/>
      <c r="AB903" s="92"/>
      <c r="AC903" s="28"/>
      <c r="AE903" s="9"/>
      <c r="AF903" s="7"/>
      <c r="AG903" s="92"/>
      <c r="AH903" s="28"/>
      <c r="AJ903" s="39"/>
      <c r="AK903" s="7"/>
      <c r="AL903" s="92"/>
      <c r="AM903" s="28"/>
      <c r="AO903" s="39"/>
      <c r="AP903" s="7"/>
      <c r="AQ903" s="92"/>
      <c r="AR903" s="28"/>
      <c r="AT903" s="39"/>
      <c r="AU903" s="7"/>
      <c r="AV903" s="92"/>
    </row>
    <row r="904" spans="1:48" s="27" customFormat="1" x14ac:dyDescent="0.3">
      <c r="A904" s="23"/>
      <c r="B904" s="24"/>
      <c r="C904" s="25"/>
      <c r="D904" s="25"/>
      <c r="E904" s="25"/>
      <c r="K904" s="90"/>
      <c r="M904" s="90"/>
      <c r="N904" s="28"/>
      <c r="P904" s="90"/>
      <c r="Q904" s="91"/>
      <c r="R904" s="92"/>
      <c r="S904" s="28"/>
      <c r="U904" s="39"/>
      <c r="V904" s="91"/>
      <c r="W904" s="92"/>
      <c r="X904" s="28"/>
      <c r="Z904" s="39"/>
      <c r="AA904" s="7"/>
      <c r="AB904" s="92"/>
      <c r="AC904" s="28"/>
      <c r="AE904" s="9"/>
      <c r="AF904" s="7"/>
      <c r="AG904" s="92"/>
      <c r="AH904" s="28"/>
      <c r="AJ904" s="39"/>
      <c r="AK904" s="7"/>
      <c r="AL904" s="92"/>
      <c r="AM904" s="28"/>
      <c r="AO904" s="39"/>
      <c r="AP904" s="7"/>
      <c r="AQ904" s="92"/>
      <c r="AR904" s="28"/>
      <c r="AT904" s="39"/>
      <c r="AU904" s="7"/>
      <c r="AV904" s="92"/>
    </row>
    <row r="905" spans="1:48" s="27" customFormat="1" x14ac:dyDescent="0.3">
      <c r="A905" s="23"/>
      <c r="B905" s="24"/>
      <c r="C905" s="25"/>
      <c r="D905" s="25"/>
      <c r="E905" s="25"/>
      <c r="K905" s="90"/>
      <c r="M905" s="90"/>
      <c r="N905" s="28"/>
      <c r="P905" s="90"/>
      <c r="Q905" s="91"/>
      <c r="R905" s="92"/>
      <c r="S905" s="28"/>
      <c r="U905" s="39"/>
      <c r="V905" s="91"/>
      <c r="W905" s="92"/>
      <c r="X905" s="28"/>
      <c r="Z905" s="39"/>
      <c r="AA905" s="7"/>
      <c r="AB905" s="92"/>
      <c r="AC905" s="28"/>
      <c r="AE905" s="9"/>
      <c r="AF905" s="7"/>
      <c r="AG905" s="92"/>
      <c r="AH905" s="28"/>
      <c r="AJ905" s="39"/>
      <c r="AK905" s="7"/>
      <c r="AL905" s="92"/>
      <c r="AM905" s="28"/>
      <c r="AO905" s="39"/>
      <c r="AP905" s="7"/>
      <c r="AQ905" s="92"/>
      <c r="AR905" s="28"/>
      <c r="AT905" s="39"/>
      <c r="AU905" s="7"/>
      <c r="AV905" s="92"/>
    </row>
    <row r="906" spans="1:48" s="27" customFormat="1" x14ac:dyDescent="0.3">
      <c r="A906" s="23"/>
      <c r="B906" s="24"/>
      <c r="C906" s="25"/>
      <c r="D906" s="25"/>
      <c r="E906" s="25"/>
      <c r="K906" s="90"/>
      <c r="M906" s="90"/>
      <c r="N906" s="28"/>
      <c r="P906" s="90"/>
      <c r="Q906" s="91"/>
      <c r="R906" s="92"/>
      <c r="S906" s="28"/>
      <c r="U906" s="39"/>
      <c r="V906" s="91"/>
      <c r="W906" s="92"/>
      <c r="X906" s="28"/>
      <c r="Z906" s="39"/>
      <c r="AA906" s="7"/>
      <c r="AB906" s="92"/>
      <c r="AC906" s="28"/>
      <c r="AE906" s="9"/>
      <c r="AF906" s="7"/>
      <c r="AG906" s="92"/>
      <c r="AH906" s="28"/>
      <c r="AJ906" s="39"/>
      <c r="AK906" s="7"/>
      <c r="AL906" s="92"/>
      <c r="AM906" s="28"/>
      <c r="AO906" s="39"/>
      <c r="AP906" s="7"/>
      <c r="AQ906" s="92"/>
      <c r="AR906" s="28"/>
      <c r="AT906" s="39"/>
      <c r="AU906" s="7"/>
      <c r="AV906" s="92"/>
    </row>
    <row r="907" spans="1:48" s="27" customFormat="1" x14ac:dyDescent="0.3">
      <c r="A907" s="23"/>
      <c r="B907" s="24"/>
      <c r="C907" s="25"/>
      <c r="D907" s="25"/>
      <c r="E907" s="25"/>
      <c r="K907" s="90"/>
      <c r="M907" s="90"/>
      <c r="N907" s="28"/>
      <c r="P907" s="90"/>
      <c r="Q907" s="91"/>
      <c r="R907" s="92"/>
      <c r="S907" s="28"/>
      <c r="U907" s="39"/>
      <c r="V907" s="91"/>
      <c r="W907" s="92"/>
      <c r="X907" s="28"/>
      <c r="Z907" s="39"/>
      <c r="AA907" s="7"/>
      <c r="AB907" s="92"/>
      <c r="AC907" s="28"/>
      <c r="AE907" s="9"/>
      <c r="AF907" s="7"/>
      <c r="AG907" s="92"/>
      <c r="AH907" s="28"/>
      <c r="AJ907" s="39"/>
      <c r="AK907" s="7"/>
      <c r="AL907" s="92"/>
      <c r="AM907" s="28"/>
      <c r="AO907" s="39"/>
      <c r="AP907" s="7"/>
      <c r="AQ907" s="92"/>
      <c r="AR907" s="28"/>
      <c r="AT907" s="39"/>
      <c r="AU907" s="7"/>
      <c r="AV907" s="92"/>
    </row>
    <row r="908" spans="1:48" s="27" customFormat="1" x14ac:dyDescent="0.3">
      <c r="A908" s="23"/>
      <c r="B908" s="24"/>
      <c r="C908" s="25"/>
      <c r="D908" s="25"/>
      <c r="E908" s="25"/>
      <c r="K908" s="90"/>
      <c r="M908" s="90"/>
      <c r="N908" s="28"/>
      <c r="P908" s="90"/>
      <c r="Q908" s="91"/>
      <c r="R908" s="92"/>
      <c r="S908" s="28"/>
      <c r="U908" s="39"/>
      <c r="V908" s="91"/>
      <c r="W908" s="92"/>
      <c r="X908" s="28"/>
      <c r="Z908" s="39"/>
      <c r="AA908" s="7"/>
      <c r="AB908" s="92"/>
      <c r="AC908" s="28"/>
      <c r="AE908" s="9"/>
      <c r="AF908" s="7"/>
      <c r="AG908" s="92"/>
      <c r="AH908" s="28"/>
      <c r="AJ908" s="39"/>
      <c r="AK908" s="7"/>
      <c r="AL908" s="92"/>
      <c r="AM908" s="28"/>
      <c r="AO908" s="39"/>
      <c r="AP908" s="7"/>
      <c r="AQ908" s="92"/>
      <c r="AR908" s="28"/>
      <c r="AT908" s="39"/>
      <c r="AU908" s="7"/>
      <c r="AV908" s="92"/>
    </row>
    <row r="909" spans="1:48" s="27" customFormat="1" x14ac:dyDescent="0.3">
      <c r="A909" s="23"/>
      <c r="B909" s="24"/>
      <c r="C909" s="25"/>
      <c r="D909" s="25"/>
      <c r="E909" s="25"/>
      <c r="K909" s="90"/>
      <c r="M909" s="90"/>
      <c r="N909" s="28"/>
      <c r="P909" s="90"/>
      <c r="Q909" s="91"/>
      <c r="R909" s="92"/>
      <c r="S909" s="28"/>
      <c r="U909" s="39"/>
      <c r="V909" s="91"/>
      <c r="W909" s="92"/>
      <c r="X909" s="28"/>
      <c r="Z909" s="39"/>
      <c r="AA909" s="7"/>
      <c r="AB909" s="92"/>
      <c r="AC909" s="28"/>
      <c r="AE909" s="9"/>
      <c r="AF909" s="7"/>
      <c r="AG909" s="92"/>
      <c r="AH909" s="28"/>
      <c r="AJ909" s="39"/>
      <c r="AK909" s="7"/>
      <c r="AL909" s="92"/>
      <c r="AM909" s="28"/>
      <c r="AO909" s="39"/>
      <c r="AP909" s="7"/>
      <c r="AQ909" s="92"/>
      <c r="AR909" s="28"/>
      <c r="AT909" s="39"/>
      <c r="AU909" s="7"/>
      <c r="AV909" s="92"/>
    </row>
    <row r="910" spans="1:48" s="27" customFormat="1" x14ac:dyDescent="0.3">
      <c r="A910" s="23"/>
      <c r="B910" s="24"/>
      <c r="C910" s="25"/>
      <c r="D910" s="25"/>
      <c r="E910" s="25"/>
      <c r="K910" s="90"/>
      <c r="M910" s="90"/>
      <c r="N910" s="28"/>
      <c r="P910" s="90"/>
      <c r="Q910" s="91"/>
      <c r="R910" s="92"/>
      <c r="S910" s="28"/>
      <c r="U910" s="39"/>
      <c r="V910" s="91"/>
      <c r="W910" s="92"/>
      <c r="X910" s="28"/>
      <c r="Z910" s="39"/>
      <c r="AA910" s="7"/>
      <c r="AB910" s="92"/>
      <c r="AC910" s="28"/>
      <c r="AE910" s="9"/>
      <c r="AF910" s="7"/>
      <c r="AG910" s="92"/>
      <c r="AH910" s="28"/>
      <c r="AJ910" s="39"/>
      <c r="AK910" s="7"/>
      <c r="AL910" s="92"/>
      <c r="AM910" s="28"/>
      <c r="AO910" s="39"/>
      <c r="AP910" s="7"/>
      <c r="AQ910" s="92"/>
      <c r="AR910" s="28"/>
      <c r="AT910" s="39"/>
      <c r="AU910" s="7"/>
      <c r="AV910" s="92"/>
    </row>
    <row r="911" spans="1:48" s="27" customFormat="1" x14ac:dyDescent="0.3">
      <c r="A911" s="23"/>
      <c r="B911" s="24"/>
      <c r="C911" s="25"/>
      <c r="D911" s="25"/>
      <c r="E911" s="25"/>
      <c r="K911" s="90"/>
      <c r="M911" s="90"/>
      <c r="N911" s="28"/>
      <c r="P911" s="90"/>
      <c r="Q911" s="91"/>
      <c r="R911" s="92"/>
      <c r="S911" s="28"/>
      <c r="U911" s="39"/>
      <c r="V911" s="91"/>
      <c r="W911" s="92"/>
      <c r="X911" s="28"/>
      <c r="Z911" s="39"/>
      <c r="AA911" s="7"/>
      <c r="AB911" s="92"/>
      <c r="AC911" s="28"/>
      <c r="AE911" s="9"/>
      <c r="AF911" s="7"/>
      <c r="AG911" s="92"/>
      <c r="AH911" s="28"/>
      <c r="AJ911" s="39"/>
      <c r="AK911" s="7"/>
      <c r="AL911" s="92"/>
      <c r="AM911" s="28"/>
      <c r="AO911" s="39"/>
      <c r="AP911" s="7"/>
      <c r="AQ911" s="92"/>
      <c r="AR911" s="28"/>
      <c r="AT911" s="39"/>
      <c r="AU911" s="7"/>
      <c r="AV911" s="92"/>
    </row>
    <row r="912" spans="1:48" s="27" customFormat="1" x14ac:dyDescent="0.3">
      <c r="A912" s="23"/>
      <c r="B912" s="24"/>
      <c r="C912" s="25"/>
      <c r="D912" s="25"/>
      <c r="E912" s="25"/>
      <c r="K912" s="90"/>
      <c r="M912" s="90"/>
      <c r="N912" s="28"/>
      <c r="P912" s="90"/>
      <c r="Q912" s="91"/>
      <c r="R912" s="92"/>
      <c r="S912" s="28"/>
      <c r="U912" s="39"/>
      <c r="V912" s="91"/>
      <c r="W912" s="92"/>
      <c r="X912" s="28"/>
      <c r="Z912" s="39"/>
      <c r="AA912" s="7"/>
      <c r="AB912" s="92"/>
      <c r="AC912" s="28"/>
      <c r="AE912" s="9"/>
      <c r="AF912" s="7"/>
      <c r="AG912" s="92"/>
      <c r="AH912" s="28"/>
      <c r="AJ912" s="39"/>
      <c r="AK912" s="7"/>
      <c r="AL912" s="92"/>
      <c r="AM912" s="28"/>
      <c r="AO912" s="39"/>
      <c r="AP912" s="7"/>
      <c r="AQ912" s="92"/>
      <c r="AR912" s="28"/>
      <c r="AT912" s="39"/>
      <c r="AU912" s="7"/>
      <c r="AV912" s="92"/>
    </row>
    <row r="913" spans="1:48" s="27" customFormat="1" x14ac:dyDescent="0.3">
      <c r="A913" s="23"/>
      <c r="B913" s="24"/>
      <c r="C913" s="25"/>
      <c r="D913" s="25"/>
      <c r="E913" s="25"/>
      <c r="K913" s="90"/>
      <c r="M913" s="90"/>
      <c r="N913" s="28"/>
      <c r="P913" s="90"/>
      <c r="Q913" s="91"/>
      <c r="R913" s="92"/>
      <c r="S913" s="28"/>
      <c r="U913" s="39"/>
      <c r="V913" s="91"/>
      <c r="W913" s="92"/>
      <c r="X913" s="28"/>
      <c r="Z913" s="39"/>
      <c r="AA913" s="7"/>
      <c r="AB913" s="92"/>
      <c r="AC913" s="28"/>
      <c r="AE913" s="9"/>
      <c r="AF913" s="7"/>
      <c r="AG913" s="92"/>
      <c r="AH913" s="28"/>
      <c r="AJ913" s="39"/>
      <c r="AK913" s="7"/>
      <c r="AL913" s="92"/>
      <c r="AM913" s="28"/>
      <c r="AO913" s="39"/>
      <c r="AP913" s="7"/>
      <c r="AQ913" s="92"/>
      <c r="AR913" s="28"/>
      <c r="AT913" s="39"/>
      <c r="AU913" s="7"/>
      <c r="AV913" s="92"/>
    </row>
    <row r="914" spans="1:48" s="27" customFormat="1" x14ac:dyDescent="0.3">
      <c r="A914" s="23"/>
      <c r="B914" s="24"/>
      <c r="C914" s="25"/>
      <c r="D914" s="25"/>
      <c r="E914" s="25"/>
      <c r="K914" s="90"/>
      <c r="M914" s="90"/>
      <c r="N914" s="28"/>
      <c r="P914" s="90"/>
      <c r="Q914" s="91"/>
      <c r="R914" s="92"/>
      <c r="S914" s="28"/>
      <c r="U914" s="39"/>
      <c r="V914" s="91"/>
      <c r="W914" s="92"/>
      <c r="X914" s="28"/>
      <c r="Z914" s="39"/>
      <c r="AA914" s="7"/>
      <c r="AB914" s="92"/>
      <c r="AC914" s="28"/>
      <c r="AE914" s="9"/>
      <c r="AF914" s="7"/>
      <c r="AG914" s="92"/>
      <c r="AH914" s="28"/>
      <c r="AJ914" s="39"/>
      <c r="AK914" s="7"/>
      <c r="AL914" s="92"/>
      <c r="AM914" s="28"/>
      <c r="AO914" s="39"/>
      <c r="AP914" s="7"/>
      <c r="AQ914" s="92"/>
      <c r="AR914" s="28"/>
      <c r="AT914" s="39"/>
      <c r="AU914" s="7"/>
      <c r="AV914" s="92"/>
    </row>
    <row r="915" spans="1:48" s="27" customFormat="1" x14ac:dyDescent="0.3">
      <c r="A915" s="23"/>
      <c r="B915" s="24"/>
      <c r="C915" s="25"/>
      <c r="D915" s="25"/>
      <c r="E915" s="25"/>
      <c r="K915" s="90"/>
      <c r="M915" s="90"/>
      <c r="N915" s="28"/>
      <c r="P915" s="90"/>
      <c r="Q915" s="91"/>
      <c r="R915" s="92"/>
      <c r="S915" s="28"/>
      <c r="U915" s="39"/>
      <c r="V915" s="91"/>
      <c r="W915" s="92"/>
      <c r="X915" s="28"/>
      <c r="Z915" s="39"/>
      <c r="AA915" s="7"/>
      <c r="AB915" s="92"/>
      <c r="AC915" s="28"/>
      <c r="AE915" s="9"/>
      <c r="AF915" s="7"/>
      <c r="AG915" s="92"/>
      <c r="AH915" s="28"/>
      <c r="AJ915" s="39"/>
      <c r="AK915" s="7"/>
      <c r="AL915" s="92"/>
      <c r="AM915" s="28"/>
      <c r="AO915" s="39"/>
      <c r="AP915" s="7"/>
      <c r="AQ915" s="92"/>
      <c r="AR915" s="28"/>
      <c r="AT915" s="39"/>
      <c r="AU915" s="7"/>
      <c r="AV915" s="92"/>
    </row>
    <row r="916" spans="1:48" s="27" customFormat="1" x14ac:dyDescent="0.3">
      <c r="A916" s="23"/>
      <c r="B916" s="24"/>
      <c r="C916" s="25"/>
      <c r="D916" s="25"/>
      <c r="E916" s="25"/>
      <c r="K916" s="90"/>
      <c r="M916" s="90"/>
      <c r="N916" s="28"/>
      <c r="P916" s="90"/>
      <c r="Q916" s="91"/>
      <c r="R916" s="92"/>
      <c r="S916" s="28"/>
      <c r="U916" s="39"/>
      <c r="V916" s="91"/>
      <c r="W916" s="92"/>
      <c r="X916" s="28"/>
      <c r="Z916" s="39"/>
      <c r="AA916" s="7"/>
      <c r="AB916" s="92"/>
      <c r="AC916" s="28"/>
      <c r="AE916" s="9"/>
      <c r="AF916" s="7"/>
      <c r="AG916" s="92"/>
      <c r="AH916" s="28"/>
      <c r="AJ916" s="39"/>
      <c r="AK916" s="7"/>
      <c r="AL916" s="92"/>
      <c r="AM916" s="28"/>
      <c r="AO916" s="39"/>
      <c r="AP916" s="7"/>
      <c r="AQ916" s="92"/>
      <c r="AR916" s="28"/>
      <c r="AT916" s="39"/>
      <c r="AU916" s="7"/>
      <c r="AV916" s="92"/>
    </row>
    <row r="917" spans="1:48" s="27" customFormat="1" x14ac:dyDescent="0.3">
      <c r="A917" s="23"/>
      <c r="B917" s="24"/>
      <c r="C917" s="25"/>
      <c r="D917" s="25"/>
      <c r="E917" s="25"/>
      <c r="K917" s="90"/>
      <c r="M917" s="90"/>
      <c r="N917" s="28"/>
      <c r="P917" s="90"/>
      <c r="Q917" s="91"/>
      <c r="R917" s="92"/>
      <c r="S917" s="28"/>
      <c r="U917" s="39"/>
      <c r="V917" s="91"/>
      <c r="W917" s="92"/>
      <c r="X917" s="28"/>
      <c r="Z917" s="39"/>
      <c r="AA917" s="7"/>
      <c r="AB917" s="92"/>
      <c r="AC917" s="28"/>
      <c r="AE917" s="9"/>
      <c r="AF917" s="7"/>
      <c r="AG917" s="92"/>
      <c r="AH917" s="28"/>
      <c r="AJ917" s="39"/>
      <c r="AK917" s="7"/>
      <c r="AL917" s="92"/>
      <c r="AM917" s="28"/>
      <c r="AO917" s="39"/>
      <c r="AP917" s="7"/>
      <c r="AQ917" s="92"/>
      <c r="AR917" s="28"/>
      <c r="AT917" s="39"/>
      <c r="AU917" s="7"/>
      <c r="AV917" s="92"/>
    </row>
    <row r="918" spans="1:48" s="27" customFormat="1" x14ac:dyDescent="0.3">
      <c r="A918" s="23"/>
      <c r="B918" s="24"/>
      <c r="C918" s="25"/>
      <c r="D918" s="25"/>
      <c r="E918" s="25"/>
      <c r="K918" s="90"/>
      <c r="M918" s="90"/>
      <c r="N918" s="28"/>
      <c r="P918" s="90"/>
      <c r="Q918" s="91"/>
      <c r="R918" s="92"/>
      <c r="S918" s="28"/>
      <c r="U918" s="39"/>
      <c r="V918" s="91"/>
      <c r="W918" s="92"/>
      <c r="X918" s="28"/>
      <c r="Z918" s="39"/>
      <c r="AA918" s="7"/>
      <c r="AB918" s="92"/>
      <c r="AC918" s="28"/>
      <c r="AE918" s="9"/>
      <c r="AF918" s="7"/>
      <c r="AG918" s="92"/>
      <c r="AH918" s="28"/>
      <c r="AJ918" s="39"/>
      <c r="AK918" s="7"/>
      <c r="AL918" s="92"/>
      <c r="AM918" s="28"/>
      <c r="AO918" s="39"/>
      <c r="AP918" s="7"/>
      <c r="AQ918" s="92"/>
      <c r="AR918" s="28"/>
      <c r="AT918" s="39"/>
      <c r="AU918" s="7"/>
      <c r="AV918" s="92"/>
    </row>
    <row r="919" spans="1:48" s="27" customFormat="1" x14ac:dyDescent="0.3">
      <c r="A919" s="23"/>
      <c r="B919" s="24"/>
      <c r="C919" s="25"/>
      <c r="D919" s="25"/>
      <c r="E919" s="25"/>
      <c r="K919" s="90"/>
      <c r="M919" s="90"/>
      <c r="N919" s="28"/>
      <c r="P919" s="90"/>
      <c r="Q919" s="91"/>
      <c r="R919" s="92"/>
      <c r="S919" s="28"/>
      <c r="U919" s="39"/>
      <c r="V919" s="91"/>
      <c r="W919" s="92"/>
      <c r="X919" s="28"/>
      <c r="Z919" s="39"/>
      <c r="AA919" s="7"/>
      <c r="AB919" s="92"/>
      <c r="AC919" s="28"/>
      <c r="AE919" s="9"/>
      <c r="AF919" s="7"/>
      <c r="AG919" s="92"/>
      <c r="AH919" s="28"/>
      <c r="AJ919" s="39"/>
      <c r="AK919" s="7"/>
      <c r="AL919" s="92"/>
      <c r="AM919" s="28"/>
      <c r="AO919" s="39"/>
      <c r="AP919" s="7"/>
      <c r="AQ919" s="92"/>
      <c r="AR919" s="28"/>
      <c r="AT919" s="39"/>
      <c r="AU919" s="7"/>
      <c r="AV919" s="92"/>
    </row>
    <row r="920" spans="1:48" s="27" customFormat="1" x14ac:dyDescent="0.3">
      <c r="A920" s="23"/>
      <c r="B920" s="24"/>
      <c r="C920" s="25"/>
      <c r="D920" s="25"/>
      <c r="E920" s="25"/>
      <c r="K920" s="90"/>
      <c r="M920" s="90"/>
      <c r="N920" s="28"/>
      <c r="P920" s="90"/>
      <c r="Q920" s="91"/>
      <c r="R920" s="92"/>
      <c r="S920" s="28"/>
      <c r="U920" s="39"/>
      <c r="V920" s="91"/>
      <c r="W920" s="92"/>
      <c r="X920" s="28"/>
      <c r="Z920" s="39"/>
      <c r="AA920" s="7"/>
      <c r="AB920" s="92"/>
      <c r="AC920" s="28"/>
      <c r="AE920" s="9"/>
      <c r="AF920" s="7"/>
      <c r="AG920" s="92"/>
      <c r="AH920" s="28"/>
      <c r="AJ920" s="39"/>
      <c r="AK920" s="7"/>
      <c r="AL920" s="92"/>
      <c r="AM920" s="28"/>
      <c r="AO920" s="39"/>
      <c r="AP920" s="7"/>
      <c r="AQ920" s="92"/>
      <c r="AR920" s="28"/>
      <c r="AT920" s="39"/>
      <c r="AU920" s="7"/>
      <c r="AV920" s="92"/>
    </row>
    <row r="921" spans="1:48" s="27" customFormat="1" x14ac:dyDescent="0.3">
      <c r="A921" s="23"/>
      <c r="B921" s="24"/>
      <c r="C921" s="25"/>
      <c r="D921" s="25"/>
      <c r="E921" s="25"/>
      <c r="K921" s="90"/>
      <c r="M921" s="90"/>
      <c r="N921" s="28"/>
      <c r="P921" s="90"/>
      <c r="Q921" s="91"/>
      <c r="R921" s="92"/>
      <c r="S921" s="28"/>
      <c r="U921" s="39"/>
      <c r="V921" s="91"/>
      <c r="W921" s="92"/>
      <c r="X921" s="28"/>
      <c r="Z921" s="39"/>
      <c r="AA921" s="7"/>
      <c r="AB921" s="92"/>
      <c r="AC921" s="28"/>
      <c r="AE921" s="9"/>
      <c r="AF921" s="7"/>
      <c r="AG921" s="92"/>
      <c r="AH921" s="28"/>
      <c r="AJ921" s="39"/>
      <c r="AK921" s="7"/>
      <c r="AL921" s="92"/>
      <c r="AM921" s="28"/>
      <c r="AO921" s="39"/>
      <c r="AP921" s="7"/>
      <c r="AQ921" s="92"/>
      <c r="AR921" s="28"/>
      <c r="AT921" s="39"/>
      <c r="AU921" s="7"/>
      <c r="AV921" s="92"/>
    </row>
    <row r="922" spans="1:48" s="27" customFormat="1" x14ac:dyDescent="0.3">
      <c r="A922" s="23"/>
      <c r="B922" s="24"/>
      <c r="C922" s="25"/>
      <c r="D922" s="25"/>
      <c r="E922" s="25"/>
      <c r="K922" s="90"/>
      <c r="M922" s="90"/>
      <c r="N922" s="28"/>
      <c r="P922" s="90"/>
      <c r="Q922" s="91"/>
      <c r="R922" s="92"/>
      <c r="S922" s="28"/>
      <c r="U922" s="39"/>
      <c r="V922" s="91"/>
      <c r="W922" s="92"/>
      <c r="X922" s="28"/>
      <c r="Z922" s="39"/>
      <c r="AA922" s="7"/>
      <c r="AB922" s="92"/>
      <c r="AC922" s="28"/>
      <c r="AE922" s="9"/>
      <c r="AF922" s="7"/>
      <c r="AG922" s="92"/>
      <c r="AH922" s="28"/>
      <c r="AJ922" s="39"/>
      <c r="AK922" s="7"/>
      <c r="AL922" s="92"/>
      <c r="AM922" s="28"/>
      <c r="AO922" s="39"/>
      <c r="AP922" s="7"/>
      <c r="AQ922" s="92"/>
      <c r="AR922" s="28"/>
      <c r="AT922" s="39"/>
      <c r="AU922" s="7"/>
      <c r="AV922" s="92"/>
    </row>
    <row r="923" spans="1:48" s="27" customFormat="1" x14ac:dyDescent="0.3">
      <c r="A923" s="23"/>
      <c r="B923" s="24"/>
      <c r="C923" s="25"/>
      <c r="D923" s="25"/>
      <c r="E923" s="25"/>
      <c r="K923" s="90"/>
      <c r="M923" s="90"/>
      <c r="N923" s="28"/>
      <c r="P923" s="90"/>
      <c r="Q923" s="91"/>
      <c r="R923" s="92"/>
      <c r="S923" s="28"/>
      <c r="U923" s="39"/>
      <c r="V923" s="91"/>
      <c r="W923" s="92"/>
      <c r="X923" s="28"/>
      <c r="Z923" s="39"/>
      <c r="AA923" s="7"/>
      <c r="AB923" s="92"/>
      <c r="AC923" s="28"/>
      <c r="AE923" s="9"/>
      <c r="AF923" s="7"/>
      <c r="AG923" s="92"/>
      <c r="AH923" s="28"/>
      <c r="AJ923" s="39"/>
      <c r="AK923" s="7"/>
      <c r="AL923" s="92"/>
      <c r="AM923" s="28"/>
      <c r="AO923" s="39"/>
      <c r="AP923" s="7"/>
      <c r="AQ923" s="92"/>
      <c r="AR923" s="28"/>
      <c r="AT923" s="39"/>
      <c r="AU923" s="7"/>
      <c r="AV923" s="92"/>
    </row>
    <row r="924" spans="1:48" s="27" customFormat="1" x14ac:dyDescent="0.3">
      <c r="A924" s="23"/>
      <c r="B924" s="24"/>
      <c r="C924" s="25"/>
      <c r="D924" s="25"/>
      <c r="E924" s="25"/>
      <c r="K924" s="90"/>
      <c r="M924" s="90"/>
      <c r="N924" s="28"/>
      <c r="P924" s="90"/>
      <c r="Q924" s="91"/>
      <c r="R924" s="92"/>
      <c r="S924" s="28"/>
      <c r="U924" s="39"/>
      <c r="V924" s="91"/>
      <c r="W924" s="92"/>
      <c r="X924" s="28"/>
      <c r="Z924" s="39"/>
      <c r="AA924" s="7"/>
      <c r="AB924" s="92"/>
      <c r="AC924" s="28"/>
      <c r="AE924" s="9"/>
      <c r="AF924" s="7"/>
      <c r="AG924" s="92"/>
      <c r="AH924" s="28"/>
      <c r="AJ924" s="39"/>
      <c r="AK924" s="7"/>
      <c r="AL924" s="92"/>
      <c r="AM924" s="28"/>
      <c r="AO924" s="39"/>
      <c r="AP924" s="7"/>
      <c r="AQ924" s="92"/>
      <c r="AR924" s="28"/>
      <c r="AT924" s="39"/>
      <c r="AU924" s="7"/>
      <c r="AV924" s="92"/>
    </row>
    <row r="925" spans="1:48" s="27" customFormat="1" x14ac:dyDescent="0.3">
      <c r="A925" s="23"/>
      <c r="B925" s="24"/>
      <c r="C925" s="25"/>
      <c r="D925" s="25"/>
      <c r="E925" s="25"/>
      <c r="K925" s="90"/>
      <c r="M925" s="90"/>
      <c r="N925" s="28"/>
      <c r="P925" s="90"/>
      <c r="Q925" s="91"/>
      <c r="R925" s="92"/>
      <c r="S925" s="28"/>
      <c r="U925" s="39"/>
      <c r="V925" s="91"/>
      <c r="W925" s="92"/>
      <c r="X925" s="28"/>
      <c r="Z925" s="39"/>
      <c r="AA925" s="7"/>
      <c r="AB925" s="92"/>
      <c r="AC925" s="28"/>
      <c r="AE925" s="9"/>
      <c r="AF925" s="7"/>
      <c r="AG925" s="92"/>
      <c r="AH925" s="28"/>
      <c r="AJ925" s="39"/>
      <c r="AK925" s="7"/>
      <c r="AL925" s="92"/>
      <c r="AM925" s="28"/>
      <c r="AO925" s="39"/>
      <c r="AP925" s="7"/>
      <c r="AQ925" s="92"/>
      <c r="AR925" s="28"/>
      <c r="AT925" s="39"/>
      <c r="AU925" s="7"/>
      <c r="AV925" s="92"/>
    </row>
    <row r="926" spans="1:48" s="27" customFormat="1" x14ac:dyDescent="0.3">
      <c r="A926" s="23"/>
      <c r="B926" s="24"/>
      <c r="C926" s="25"/>
      <c r="D926" s="25"/>
      <c r="E926" s="25"/>
      <c r="K926" s="90"/>
      <c r="M926" s="90"/>
      <c r="N926" s="28"/>
      <c r="P926" s="90"/>
      <c r="Q926" s="91"/>
      <c r="R926" s="92"/>
      <c r="S926" s="28"/>
      <c r="U926" s="39"/>
      <c r="V926" s="91"/>
      <c r="W926" s="92"/>
      <c r="X926" s="28"/>
      <c r="Z926" s="39"/>
      <c r="AA926" s="7"/>
      <c r="AB926" s="92"/>
      <c r="AC926" s="28"/>
      <c r="AE926" s="9"/>
      <c r="AF926" s="7"/>
      <c r="AG926" s="92"/>
      <c r="AH926" s="28"/>
      <c r="AJ926" s="39"/>
      <c r="AK926" s="7"/>
      <c r="AL926" s="92"/>
      <c r="AM926" s="28"/>
      <c r="AO926" s="39"/>
      <c r="AP926" s="7"/>
      <c r="AQ926" s="92"/>
      <c r="AR926" s="28"/>
      <c r="AT926" s="39"/>
      <c r="AU926" s="7"/>
      <c r="AV926" s="92"/>
    </row>
    <row r="927" spans="1:48" s="27" customFormat="1" x14ac:dyDescent="0.3">
      <c r="A927" s="23"/>
      <c r="B927" s="24"/>
      <c r="C927" s="25"/>
      <c r="D927" s="25"/>
      <c r="E927" s="25"/>
      <c r="K927" s="90"/>
      <c r="M927" s="90"/>
      <c r="N927" s="28"/>
      <c r="P927" s="90"/>
      <c r="Q927" s="91"/>
      <c r="R927" s="92"/>
      <c r="S927" s="28"/>
      <c r="U927" s="39"/>
      <c r="V927" s="91"/>
      <c r="W927" s="92"/>
      <c r="X927" s="28"/>
      <c r="Z927" s="39"/>
      <c r="AA927" s="7"/>
      <c r="AB927" s="92"/>
      <c r="AC927" s="28"/>
      <c r="AE927" s="9"/>
      <c r="AF927" s="7"/>
      <c r="AG927" s="92"/>
      <c r="AH927" s="28"/>
      <c r="AJ927" s="39"/>
      <c r="AK927" s="7"/>
      <c r="AL927" s="92"/>
      <c r="AM927" s="28"/>
      <c r="AO927" s="39"/>
      <c r="AP927" s="7"/>
      <c r="AQ927" s="92"/>
      <c r="AR927" s="28"/>
      <c r="AT927" s="39"/>
      <c r="AU927" s="7"/>
      <c r="AV927" s="92"/>
    </row>
    <row r="928" spans="1:48" s="27" customFormat="1" x14ac:dyDescent="0.3">
      <c r="A928" s="23"/>
      <c r="B928" s="24"/>
      <c r="C928" s="25"/>
      <c r="D928" s="25"/>
      <c r="E928" s="25"/>
      <c r="K928" s="90"/>
      <c r="M928" s="90"/>
      <c r="N928" s="28"/>
      <c r="P928" s="90"/>
      <c r="Q928" s="91"/>
      <c r="R928" s="92"/>
      <c r="S928" s="28"/>
      <c r="U928" s="39"/>
      <c r="V928" s="91"/>
      <c r="W928" s="92"/>
      <c r="X928" s="28"/>
      <c r="Z928" s="39"/>
      <c r="AA928" s="7"/>
      <c r="AB928" s="92"/>
      <c r="AC928" s="28"/>
      <c r="AE928" s="9"/>
      <c r="AF928" s="7"/>
      <c r="AG928" s="92"/>
      <c r="AH928" s="28"/>
      <c r="AJ928" s="39"/>
      <c r="AK928" s="7"/>
      <c r="AL928" s="92"/>
      <c r="AM928" s="28"/>
      <c r="AO928" s="39"/>
      <c r="AP928" s="7"/>
      <c r="AQ928" s="92"/>
      <c r="AR928" s="28"/>
      <c r="AT928" s="39"/>
      <c r="AU928" s="7"/>
      <c r="AV928" s="92"/>
    </row>
    <row r="929" spans="1:48" s="27" customFormat="1" x14ac:dyDescent="0.3">
      <c r="A929" s="23"/>
      <c r="B929" s="24"/>
      <c r="C929" s="25"/>
      <c r="D929" s="25"/>
      <c r="E929" s="25"/>
      <c r="K929" s="90"/>
      <c r="M929" s="90"/>
      <c r="N929" s="28"/>
      <c r="P929" s="90"/>
      <c r="Q929" s="91"/>
      <c r="R929" s="92"/>
      <c r="S929" s="28"/>
      <c r="U929" s="39"/>
      <c r="V929" s="91"/>
      <c r="W929" s="92"/>
      <c r="X929" s="28"/>
      <c r="Z929" s="39"/>
      <c r="AA929" s="7"/>
      <c r="AB929" s="92"/>
      <c r="AC929" s="28"/>
      <c r="AE929" s="9"/>
      <c r="AF929" s="7"/>
      <c r="AG929" s="92"/>
      <c r="AH929" s="28"/>
      <c r="AJ929" s="39"/>
      <c r="AK929" s="7"/>
      <c r="AL929" s="92"/>
      <c r="AM929" s="28"/>
      <c r="AO929" s="39"/>
      <c r="AP929" s="7"/>
      <c r="AQ929" s="92"/>
      <c r="AR929" s="28"/>
      <c r="AT929" s="39"/>
      <c r="AU929" s="7"/>
      <c r="AV929" s="92"/>
    </row>
    <row r="930" spans="1:48" s="27" customFormat="1" x14ac:dyDescent="0.3">
      <c r="A930" s="23"/>
      <c r="B930" s="24"/>
      <c r="C930" s="25"/>
      <c r="D930" s="25"/>
      <c r="E930" s="25"/>
      <c r="K930" s="90"/>
      <c r="M930" s="90"/>
      <c r="N930" s="28"/>
      <c r="P930" s="90"/>
      <c r="Q930" s="91"/>
      <c r="R930" s="92"/>
      <c r="S930" s="28"/>
      <c r="U930" s="39"/>
      <c r="V930" s="91"/>
      <c r="W930" s="92"/>
      <c r="X930" s="28"/>
      <c r="Z930" s="39"/>
      <c r="AA930" s="7"/>
      <c r="AB930" s="92"/>
      <c r="AC930" s="28"/>
      <c r="AE930" s="9"/>
      <c r="AF930" s="7"/>
      <c r="AG930" s="92"/>
      <c r="AH930" s="28"/>
      <c r="AJ930" s="39"/>
      <c r="AK930" s="7"/>
      <c r="AL930" s="92"/>
      <c r="AM930" s="28"/>
      <c r="AO930" s="39"/>
      <c r="AP930" s="7"/>
      <c r="AQ930" s="92"/>
      <c r="AR930" s="28"/>
      <c r="AT930" s="39"/>
      <c r="AU930" s="7"/>
      <c r="AV930" s="92"/>
    </row>
    <row r="931" spans="1:48" s="27" customFormat="1" x14ac:dyDescent="0.3">
      <c r="A931" s="23"/>
      <c r="B931" s="24"/>
      <c r="C931" s="25"/>
      <c r="D931" s="25"/>
      <c r="E931" s="25"/>
      <c r="K931" s="90"/>
      <c r="M931" s="90"/>
      <c r="N931" s="28"/>
      <c r="P931" s="90"/>
      <c r="Q931" s="91"/>
      <c r="R931" s="92"/>
      <c r="S931" s="28"/>
      <c r="U931" s="39"/>
      <c r="V931" s="91"/>
      <c r="W931" s="92"/>
      <c r="X931" s="28"/>
      <c r="Z931" s="39"/>
      <c r="AA931" s="7"/>
      <c r="AB931" s="92"/>
      <c r="AC931" s="28"/>
      <c r="AE931" s="9"/>
      <c r="AF931" s="7"/>
      <c r="AG931" s="92"/>
      <c r="AH931" s="28"/>
      <c r="AJ931" s="39"/>
      <c r="AK931" s="7"/>
      <c r="AL931" s="92"/>
      <c r="AM931" s="28"/>
      <c r="AO931" s="39"/>
      <c r="AP931" s="7"/>
      <c r="AQ931" s="92"/>
      <c r="AR931" s="28"/>
      <c r="AT931" s="39"/>
      <c r="AU931" s="7"/>
      <c r="AV931" s="92"/>
    </row>
    <row r="932" spans="1:48" s="27" customFormat="1" x14ac:dyDescent="0.3">
      <c r="A932" s="23"/>
      <c r="B932" s="24"/>
      <c r="C932" s="25"/>
      <c r="D932" s="25"/>
      <c r="E932" s="25"/>
      <c r="K932" s="90"/>
      <c r="M932" s="90"/>
      <c r="N932" s="28"/>
      <c r="P932" s="90"/>
      <c r="Q932" s="91"/>
      <c r="R932" s="92"/>
      <c r="S932" s="28"/>
      <c r="U932" s="39"/>
      <c r="V932" s="91"/>
      <c r="W932" s="92"/>
      <c r="X932" s="28"/>
      <c r="Z932" s="39"/>
      <c r="AA932" s="7"/>
      <c r="AB932" s="92"/>
      <c r="AC932" s="28"/>
      <c r="AE932" s="9"/>
      <c r="AF932" s="7"/>
      <c r="AG932" s="92"/>
      <c r="AH932" s="28"/>
      <c r="AJ932" s="39"/>
      <c r="AK932" s="7"/>
      <c r="AL932" s="92"/>
      <c r="AM932" s="28"/>
      <c r="AO932" s="39"/>
      <c r="AP932" s="7"/>
      <c r="AQ932" s="92"/>
      <c r="AR932" s="28"/>
      <c r="AT932" s="39"/>
      <c r="AU932" s="7"/>
      <c r="AV932" s="92"/>
    </row>
    <row r="933" spans="1:48" s="27" customFormat="1" x14ac:dyDescent="0.3">
      <c r="A933" s="23"/>
      <c r="B933" s="24"/>
      <c r="C933" s="25"/>
      <c r="D933" s="25"/>
      <c r="E933" s="25"/>
      <c r="K933" s="90"/>
      <c r="M933" s="90"/>
      <c r="N933" s="28"/>
      <c r="P933" s="90"/>
      <c r="Q933" s="91"/>
      <c r="R933" s="92"/>
      <c r="S933" s="28"/>
      <c r="U933" s="39"/>
      <c r="V933" s="91"/>
      <c r="W933" s="92"/>
      <c r="X933" s="28"/>
      <c r="Z933" s="39"/>
      <c r="AA933" s="7"/>
      <c r="AB933" s="92"/>
      <c r="AC933" s="28"/>
      <c r="AE933" s="9"/>
      <c r="AF933" s="7"/>
      <c r="AG933" s="92"/>
      <c r="AH933" s="28"/>
      <c r="AJ933" s="39"/>
      <c r="AK933" s="7"/>
      <c r="AL933" s="92"/>
      <c r="AM933" s="28"/>
      <c r="AO933" s="39"/>
      <c r="AP933" s="7"/>
      <c r="AQ933" s="92"/>
      <c r="AR933" s="28"/>
      <c r="AT933" s="39"/>
      <c r="AU933" s="7"/>
      <c r="AV933" s="92"/>
    </row>
    <row r="934" spans="1:48" s="27" customFormat="1" x14ac:dyDescent="0.3">
      <c r="A934" s="23"/>
      <c r="B934" s="24"/>
      <c r="C934" s="25"/>
      <c r="D934" s="25"/>
      <c r="E934" s="25"/>
      <c r="K934" s="90"/>
      <c r="M934" s="90"/>
      <c r="N934" s="28"/>
      <c r="P934" s="90"/>
      <c r="Q934" s="91"/>
      <c r="R934" s="92"/>
      <c r="S934" s="28"/>
      <c r="U934" s="39"/>
      <c r="V934" s="91"/>
      <c r="W934" s="92"/>
      <c r="X934" s="28"/>
      <c r="Z934" s="39"/>
      <c r="AA934" s="7"/>
      <c r="AB934" s="92"/>
      <c r="AC934" s="28"/>
      <c r="AE934" s="9"/>
      <c r="AF934" s="7"/>
      <c r="AG934" s="92"/>
      <c r="AH934" s="28"/>
      <c r="AJ934" s="39"/>
      <c r="AK934" s="7"/>
      <c r="AL934" s="92"/>
      <c r="AM934" s="28"/>
      <c r="AO934" s="39"/>
      <c r="AP934" s="7"/>
      <c r="AQ934" s="92"/>
      <c r="AR934" s="28"/>
      <c r="AT934" s="39"/>
      <c r="AU934" s="7"/>
      <c r="AV934" s="92"/>
    </row>
    <row r="935" spans="1:48" s="27" customFormat="1" x14ac:dyDescent="0.3">
      <c r="A935" s="23"/>
      <c r="B935" s="24"/>
      <c r="C935" s="25"/>
      <c r="D935" s="25"/>
      <c r="E935" s="25"/>
      <c r="K935" s="90"/>
      <c r="M935" s="90"/>
      <c r="N935" s="28"/>
      <c r="P935" s="90"/>
      <c r="Q935" s="91"/>
      <c r="R935" s="92"/>
      <c r="S935" s="28"/>
      <c r="U935" s="39"/>
      <c r="V935" s="91"/>
      <c r="W935" s="92"/>
      <c r="X935" s="28"/>
      <c r="Z935" s="39"/>
      <c r="AA935" s="7"/>
      <c r="AB935" s="92"/>
      <c r="AC935" s="28"/>
      <c r="AE935" s="9"/>
      <c r="AF935" s="7"/>
      <c r="AG935" s="92"/>
      <c r="AH935" s="28"/>
      <c r="AJ935" s="39"/>
      <c r="AK935" s="7"/>
      <c r="AL935" s="92"/>
      <c r="AM935" s="28"/>
      <c r="AO935" s="39"/>
      <c r="AP935" s="7"/>
      <c r="AQ935" s="92"/>
      <c r="AR935" s="28"/>
      <c r="AT935" s="39"/>
      <c r="AU935" s="7"/>
      <c r="AV935" s="92"/>
    </row>
    <row r="936" spans="1:48" s="27" customFormat="1" x14ac:dyDescent="0.3">
      <c r="A936" s="23"/>
      <c r="B936" s="24"/>
      <c r="C936" s="25"/>
      <c r="D936" s="25"/>
      <c r="E936" s="25"/>
      <c r="K936" s="90"/>
      <c r="M936" s="90"/>
      <c r="N936" s="28"/>
      <c r="P936" s="90"/>
      <c r="Q936" s="91"/>
      <c r="R936" s="92"/>
      <c r="S936" s="28"/>
      <c r="U936" s="39"/>
      <c r="V936" s="91"/>
      <c r="W936" s="92"/>
      <c r="X936" s="28"/>
      <c r="Z936" s="39"/>
      <c r="AA936" s="7"/>
      <c r="AB936" s="92"/>
      <c r="AC936" s="28"/>
      <c r="AE936" s="9"/>
      <c r="AF936" s="7"/>
      <c r="AG936" s="92"/>
      <c r="AH936" s="28"/>
      <c r="AJ936" s="39"/>
      <c r="AK936" s="7"/>
      <c r="AL936" s="92"/>
      <c r="AM936" s="28"/>
      <c r="AO936" s="39"/>
      <c r="AP936" s="7"/>
      <c r="AQ936" s="92"/>
      <c r="AR936" s="28"/>
      <c r="AT936" s="39"/>
      <c r="AU936" s="7"/>
      <c r="AV936" s="92"/>
    </row>
    <row r="937" spans="1:48" s="27" customFormat="1" x14ac:dyDescent="0.3">
      <c r="A937" s="23"/>
      <c r="B937" s="24"/>
      <c r="C937" s="25"/>
      <c r="D937" s="25"/>
      <c r="E937" s="25"/>
      <c r="K937" s="90"/>
      <c r="M937" s="90"/>
      <c r="N937" s="28"/>
      <c r="P937" s="90"/>
      <c r="Q937" s="91"/>
      <c r="R937" s="92"/>
      <c r="S937" s="28"/>
      <c r="U937" s="39"/>
      <c r="V937" s="91"/>
      <c r="W937" s="92"/>
      <c r="X937" s="28"/>
      <c r="Z937" s="39"/>
      <c r="AA937" s="7"/>
      <c r="AB937" s="92"/>
      <c r="AC937" s="28"/>
      <c r="AE937" s="9"/>
      <c r="AF937" s="7"/>
      <c r="AG937" s="92"/>
      <c r="AH937" s="28"/>
      <c r="AJ937" s="39"/>
      <c r="AK937" s="7"/>
      <c r="AL937" s="92"/>
      <c r="AM937" s="28"/>
      <c r="AO937" s="39"/>
      <c r="AP937" s="7"/>
      <c r="AQ937" s="92"/>
      <c r="AR937" s="28"/>
      <c r="AT937" s="39"/>
      <c r="AU937" s="7"/>
      <c r="AV937" s="92"/>
    </row>
    <row r="938" spans="1:48" s="27" customFormat="1" x14ac:dyDescent="0.3">
      <c r="A938" s="23"/>
      <c r="B938" s="24"/>
      <c r="C938" s="25"/>
      <c r="D938" s="25"/>
      <c r="E938" s="25"/>
      <c r="K938" s="90"/>
      <c r="M938" s="90"/>
      <c r="N938" s="28"/>
      <c r="P938" s="90"/>
      <c r="Q938" s="91"/>
      <c r="R938" s="92"/>
      <c r="S938" s="28"/>
      <c r="U938" s="39"/>
      <c r="V938" s="91"/>
      <c r="W938" s="92"/>
      <c r="X938" s="28"/>
      <c r="Z938" s="39"/>
      <c r="AA938" s="7"/>
      <c r="AB938" s="92"/>
      <c r="AC938" s="28"/>
      <c r="AE938" s="9"/>
      <c r="AF938" s="7"/>
      <c r="AG938" s="92"/>
      <c r="AH938" s="28"/>
      <c r="AJ938" s="39"/>
      <c r="AK938" s="7"/>
      <c r="AL938" s="92"/>
      <c r="AM938" s="28"/>
      <c r="AO938" s="39"/>
      <c r="AP938" s="7"/>
      <c r="AQ938" s="92"/>
      <c r="AR938" s="28"/>
      <c r="AT938" s="39"/>
      <c r="AU938" s="7"/>
      <c r="AV938" s="92"/>
    </row>
    <row r="939" spans="1:48" s="27" customFormat="1" x14ac:dyDescent="0.3">
      <c r="A939" s="23"/>
      <c r="B939" s="24"/>
      <c r="C939" s="25"/>
      <c r="D939" s="25"/>
      <c r="E939" s="25"/>
      <c r="K939" s="90"/>
      <c r="M939" s="90"/>
      <c r="N939" s="28"/>
      <c r="P939" s="90"/>
      <c r="Q939" s="91"/>
      <c r="R939" s="92"/>
      <c r="S939" s="28"/>
      <c r="U939" s="39"/>
      <c r="V939" s="91"/>
      <c r="W939" s="92"/>
      <c r="X939" s="28"/>
      <c r="Z939" s="39"/>
      <c r="AA939" s="7"/>
      <c r="AB939" s="92"/>
      <c r="AC939" s="28"/>
      <c r="AE939" s="9"/>
      <c r="AF939" s="7"/>
      <c r="AG939" s="92"/>
      <c r="AH939" s="28"/>
      <c r="AJ939" s="39"/>
      <c r="AK939" s="7"/>
      <c r="AL939" s="92"/>
      <c r="AM939" s="28"/>
      <c r="AO939" s="39"/>
      <c r="AP939" s="7"/>
      <c r="AQ939" s="92"/>
      <c r="AR939" s="28"/>
      <c r="AT939" s="39"/>
      <c r="AU939" s="7"/>
      <c r="AV939" s="92"/>
    </row>
    <row r="940" spans="1:48" s="27" customFormat="1" x14ac:dyDescent="0.3">
      <c r="A940" s="23"/>
      <c r="B940" s="24"/>
      <c r="C940" s="25"/>
      <c r="D940" s="25"/>
      <c r="E940" s="25"/>
      <c r="K940" s="90"/>
      <c r="M940" s="90"/>
      <c r="N940" s="28"/>
      <c r="P940" s="90"/>
      <c r="Q940" s="91"/>
      <c r="R940" s="92"/>
      <c r="S940" s="28"/>
      <c r="U940" s="39"/>
      <c r="V940" s="91"/>
      <c r="W940" s="92"/>
      <c r="X940" s="28"/>
      <c r="Z940" s="39"/>
      <c r="AA940" s="7"/>
      <c r="AB940" s="92"/>
      <c r="AC940" s="28"/>
      <c r="AE940" s="9"/>
      <c r="AF940" s="7"/>
      <c r="AG940" s="92"/>
      <c r="AH940" s="28"/>
      <c r="AJ940" s="39"/>
      <c r="AK940" s="7"/>
      <c r="AL940" s="92"/>
      <c r="AM940" s="28"/>
      <c r="AO940" s="39"/>
      <c r="AP940" s="7"/>
      <c r="AQ940" s="92"/>
      <c r="AR940" s="28"/>
      <c r="AT940" s="39"/>
      <c r="AU940" s="7"/>
      <c r="AV940" s="92"/>
    </row>
    <row r="941" spans="1:48" s="27" customFormat="1" x14ac:dyDescent="0.3">
      <c r="A941" s="23"/>
      <c r="B941" s="24"/>
      <c r="C941" s="25"/>
      <c r="D941" s="25"/>
      <c r="E941" s="25"/>
      <c r="K941" s="90"/>
      <c r="M941" s="90"/>
      <c r="N941" s="28"/>
      <c r="P941" s="90"/>
      <c r="Q941" s="91"/>
      <c r="R941" s="92"/>
      <c r="S941" s="28"/>
      <c r="U941" s="39"/>
      <c r="V941" s="91"/>
      <c r="W941" s="92"/>
      <c r="X941" s="28"/>
      <c r="Z941" s="39"/>
      <c r="AA941" s="7"/>
      <c r="AB941" s="92"/>
      <c r="AC941" s="28"/>
      <c r="AE941" s="9"/>
      <c r="AF941" s="7"/>
      <c r="AG941" s="92"/>
      <c r="AH941" s="28"/>
      <c r="AJ941" s="39"/>
      <c r="AK941" s="7"/>
      <c r="AL941" s="92"/>
      <c r="AM941" s="28"/>
      <c r="AO941" s="39"/>
      <c r="AP941" s="7"/>
      <c r="AQ941" s="92"/>
      <c r="AR941" s="28"/>
      <c r="AT941" s="39"/>
      <c r="AU941" s="7"/>
      <c r="AV941" s="92"/>
    </row>
    <row r="942" spans="1:48" s="27" customFormat="1" x14ac:dyDescent="0.3">
      <c r="A942" s="23"/>
      <c r="B942" s="24"/>
      <c r="C942" s="25"/>
      <c r="D942" s="25"/>
      <c r="E942" s="25"/>
      <c r="K942" s="90"/>
      <c r="M942" s="90"/>
      <c r="N942" s="28"/>
      <c r="P942" s="90"/>
      <c r="Q942" s="91"/>
      <c r="R942" s="92"/>
      <c r="S942" s="28"/>
      <c r="U942" s="39"/>
      <c r="V942" s="91"/>
      <c r="W942" s="92"/>
      <c r="X942" s="28"/>
      <c r="Z942" s="39"/>
      <c r="AA942" s="7"/>
      <c r="AB942" s="92"/>
      <c r="AC942" s="28"/>
      <c r="AE942" s="9"/>
      <c r="AF942" s="7"/>
      <c r="AG942" s="92"/>
      <c r="AH942" s="28"/>
      <c r="AJ942" s="39"/>
      <c r="AK942" s="7"/>
      <c r="AL942" s="92"/>
      <c r="AM942" s="28"/>
      <c r="AO942" s="39"/>
      <c r="AP942" s="7"/>
      <c r="AQ942" s="92"/>
      <c r="AR942" s="28"/>
      <c r="AT942" s="39"/>
      <c r="AU942" s="7"/>
      <c r="AV942" s="92"/>
    </row>
    <row r="943" spans="1:48" s="27" customFormat="1" x14ac:dyDescent="0.3">
      <c r="A943" s="23"/>
      <c r="B943" s="24"/>
      <c r="C943" s="25"/>
      <c r="D943" s="25"/>
      <c r="E943" s="25"/>
      <c r="K943" s="90"/>
      <c r="M943" s="90"/>
      <c r="N943" s="28"/>
      <c r="P943" s="90"/>
      <c r="Q943" s="91"/>
      <c r="R943" s="92"/>
      <c r="S943" s="28"/>
      <c r="U943" s="39"/>
      <c r="V943" s="91"/>
      <c r="W943" s="92"/>
      <c r="X943" s="28"/>
      <c r="Z943" s="39"/>
      <c r="AA943" s="7"/>
      <c r="AB943" s="92"/>
      <c r="AC943" s="28"/>
      <c r="AE943" s="9"/>
      <c r="AF943" s="7"/>
      <c r="AG943" s="92"/>
      <c r="AH943" s="28"/>
      <c r="AJ943" s="39"/>
      <c r="AK943" s="7"/>
      <c r="AL943" s="92"/>
      <c r="AM943" s="28"/>
      <c r="AO943" s="39"/>
      <c r="AP943" s="7"/>
      <c r="AQ943" s="92"/>
      <c r="AR943" s="28"/>
      <c r="AT943" s="39"/>
      <c r="AU943" s="7"/>
      <c r="AV943" s="92"/>
    </row>
    <row r="944" spans="1:48" s="27" customFormat="1" x14ac:dyDescent="0.3">
      <c r="A944" s="23"/>
      <c r="B944" s="24"/>
      <c r="C944" s="25"/>
      <c r="D944" s="25"/>
      <c r="E944" s="25"/>
      <c r="K944" s="90"/>
      <c r="M944" s="90"/>
      <c r="N944" s="28"/>
      <c r="P944" s="90"/>
      <c r="Q944" s="91"/>
      <c r="R944" s="92"/>
      <c r="S944" s="28"/>
      <c r="U944" s="39"/>
      <c r="V944" s="91"/>
      <c r="W944" s="92"/>
      <c r="X944" s="28"/>
      <c r="Z944" s="39"/>
      <c r="AA944" s="7"/>
      <c r="AB944" s="92"/>
      <c r="AC944" s="28"/>
      <c r="AE944" s="9"/>
      <c r="AF944" s="7"/>
      <c r="AG944" s="92"/>
      <c r="AH944" s="28"/>
      <c r="AJ944" s="39"/>
      <c r="AK944" s="7"/>
      <c r="AL944" s="92"/>
      <c r="AM944" s="28"/>
      <c r="AO944" s="39"/>
      <c r="AP944" s="7"/>
      <c r="AQ944" s="92"/>
      <c r="AR944" s="28"/>
      <c r="AT944" s="39"/>
      <c r="AU944" s="7"/>
      <c r="AV944" s="92"/>
    </row>
    <row r="945" spans="1:48" s="27" customFormat="1" x14ac:dyDescent="0.3">
      <c r="A945" s="23"/>
      <c r="B945" s="24"/>
      <c r="C945" s="25"/>
      <c r="D945" s="25"/>
      <c r="E945" s="25"/>
      <c r="K945" s="90"/>
      <c r="M945" s="90"/>
      <c r="N945" s="28"/>
      <c r="P945" s="90"/>
      <c r="Q945" s="91"/>
      <c r="R945" s="92"/>
      <c r="S945" s="28"/>
      <c r="U945" s="39"/>
      <c r="V945" s="91"/>
      <c r="W945" s="92"/>
      <c r="X945" s="28"/>
      <c r="Z945" s="39"/>
      <c r="AA945" s="7"/>
      <c r="AB945" s="92"/>
      <c r="AC945" s="28"/>
      <c r="AE945" s="9"/>
      <c r="AF945" s="7"/>
      <c r="AG945" s="92"/>
      <c r="AH945" s="28"/>
      <c r="AJ945" s="39"/>
      <c r="AK945" s="7"/>
      <c r="AL945" s="92"/>
      <c r="AM945" s="28"/>
      <c r="AO945" s="39"/>
      <c r="AP945" s="7"/>
      <c r="AQ945" s="92"/>
      <c r="AR945" s="28"/>
      <c r="AT945" s="39"/>
      <c r="AU945" s="7"/>
      <c r="AV945" s="92"/>
    </row>
    <row r="946" spans="1:48" s="27" customFormat="1" x14ac:dyDescent="0.3">
      <c r="A946" s="23"/>
      <c r="B946" s="24"/>
      <c r="C946" s="25"/>
      <c r="D946" s="25"/>
      <c r="E946" s="25"/>
      <c r="K946" s="90"/>
      <c r="M946" s="90"/>
      <c r="N946" s="28"/>
      <c r="P946" s="90"/>
      <c r="Q946" s="91"/>
      <c r="R946" s="92"/>
      <c r="S946" s="28"/>
      <c r="U946" s="39"/>
      <c r="V946" s="91"/>
      <c r="W946" s="92"/>
      <c r="X946" s="28"/>
      <c r="Z946" s="39"/>
      <c r="AA946" s="7"/>
      <c r="AB946" s="92"/>
      <c r="AC946" s="28"/>
      <c r="AE946" s="9"/>
      <c r="AF946" s="7"/>
      <c r="AG946" s="92"/>
      <c r="AH946" s="28"/>
      <c r="AJ946" s="39"/>
      <c r="AK946" s="7"/>
      <c r="AL946" s="92"/>
      <c r="AM946" s="28"/>
      <c r="AO946" s="39"/>
      <c r="AP946" s="7"/>
      <c r="AQ946" s="92"/>
      <c r="AR946" s="28"/>
      <c r="AT946" s="39"/>
      <c r="AU946" s="7"/>
      <c r="AV946" s="92"/>
    </row>
    <row r="947" spans="1:48" s="27" customFormat="1" x14ac:dyDescent="0.3">
      <c r="A947" s="23"/>
      <c r="B947" s="24"/>
      <c r="C947" s="25"/>
      <c r="D947" s="25"/>
      <c r="E947" s="25"/>
      <c r="K947" s="90"/>
      <c r="M947" s="90"/>
      <c r="N947" s="28"/>
      <c r="P947" s="90"/>
      <c r="Q947" s="91"/>
      <c r="R947" s="92"/>
      <c r="S947" s="28"/>
      <c r="U947" s="39"/>
      <c r="V947" s="91"/>
      <c r="W947" s="92"/>
      <c r="X947" s="28"/>
      <c r="Z947" s="39"/>
      <c r="AA947" s="7"/>
      <c r="AB947" s="92"/>
      <c r="AC947" s="28"/>
      <c r="AE947" s="9"/>
      <c r="AF947" s="7"/>
      <c r="AG947" s="92"/>
      <c r="AH947" s="28"/>
      <c r="AJ947" s="39"/>
      <c r="AK947" s="7"/>
      <c r="AL947" s="92"/>
      <c r="AM947" s="28"/>
      <c r="AO947" s="39"/>
      <c r="AP947" s="7"/>
      <c r="AQ947" s="92"/>
      <c r="AR947" s="28"/>
      <c r="AT947" s="39"/>
      <c r="AU947" s="7"/>
      <c r="AV947" s="92"/>
    </row>
    <row r="948" spans="1:48" s="27" customFormat="1" x14ac:dyDescent="0.3">
      <c r="A948" s="23"/>
      <c r="B948" s="24"/>
      <c r="C948" s="25"/>
      <c r="D948" s="25"/>
      <c r="E948" s="25"/>
      <c r="K948" s="90"/>
      <c r="M948" s="90"/>
      <c r="N948" s="28"/>
      <c r="P948" s="90"/>
      <c r="Q948" s="91"/>
      <c r="R948" s="92"/>
      <c r="S948" s="28"/>
      <c r="U948" s="39"/>
      <c r="V948" s="91"/>
      <c r="W948" s="92"/>
      <c r="X948" s="28"/>
      <c r="Z948" s="39"/>
      <c r="AA948" s="7"/>
      <c r="AB948" s="92"/>
      <c r="AC948" s="28"/>
      <c r="AE948" s="9"/>
      <c r="AF948" s="7"/>
      <c r="AG948" s="92"/>
      <c r="AH948" s="28"/>
      <c r="AJ948" s="39"/>
      <c r="AK948" s="7"/>
      <c r="AL948" s="92"/>
      <c r="AM948" s="28"/>
      <c r="AO948" s="39"/>
      <c r="AP948" s="7"/>
      <c r="AQ948" s="92"/>
      <c r="AR948" s="28"/>
      <c r="AT948" s="39"/>
      <c r="AU948" s="7"/>
      <c r="AV948" s="92"/>
    </row>
    <row r="949" spans="1:48" s="27" customFormat="1" x14ac:dyDescent="0.3">
      <c r="A949" s="23"/>
      <c r="B949" s="24"/>
      <c r="C949" s="25"/>
      <c r="D949" s="25"/>
      <c r="E949" s="25"/>
      <c r="K949" s="90"/>
      <c r="M949" s="90"/>
      <c r="N949" s="28"/>
      <c r="P949" s="90"/>
      <c r="Q949" s="91"/>
      <c r="R949" s="92"/>
      <c r="S949" s="28"/>
      <c r="U949" s="39"/>
      <c r="V949" s="91"/>
      <c r="W949" s="92"/>
      <c r="X949" s="28"/>
      <c r="Z949" s="39"/>
      <c r="AA949" s="7"/>
      <c r="AB949" s="92"/>
      <c r="AC949" s="28"/>
      <c r="AE949" s="9"/>
      <c r="AF949" s="7"/>
      <c r="AG949" s="92"/>
      <c r="AH949" s="28"/>
      <c r="AJ949" s="39"/>
      <c r="AK949" s="7"/>
      <c r="AL949" s="92"/>
      <c r="AM949" s="28"/>
      <c r="AO949" s="39"/>
      <c r="AP949" s="7"/>
      <c r="AQ949" s="92"/>
      <c r="AR949" s="28"/>
      <c r="AT949" s="39"/>
      <c r="AU949" s="7"/>
      <c r="AV949" s="92"/>
    </row>
    <row r="950" spans="1:48" s="27" customFormat="1" x14ac:dyDescent="0.3">
      <c r="A950" s="23"/>
      <c r="B950" s="24"/>
      <c r="C950" s="25"/>
      <c r="D950" s="25"/>
      <c r="E950" s="25"/>
      <c r="K950" s="90"/>
      <c r="M950" s="90"/>
      <c r="N950" s="28"/>
      <c r="P950" s="90"/>
      <c r="Q950" s="91"/>
      <c r="R950" s="92"/>
      <c r="S950" s="28"/>
      <c r="U950" s="39"/>
      <c r="V950" s="91"/>
      <c r="W950" s="92"/>
      <c r="X950" s="28"/>
      <c r="Z950" s="39"/>
      <c r="AA950" s="7"/>
      <c r="AB950" s="92"/>
      <c r="AC950" s="28"/>
      <c r="AE950" s="9"/>
      <c r="AF950" s="7"/>
      <c r="AG950" s="92"/>
      <c r="AH950" s="28"/>
      <c r="AJ950" s="39"/>
      <c r="AK950" s="7"/>
      <c r="AL950" s="92"/>
      <c r="AM950" s="28"/>
      <c r="AO950" s="39"/>
      <c r="AP950" s="7"/>
      <c r="AQ950" s="92"/>
      <c r="AR950" s="28"/>
      <c r="AT950" s="39"/>
      <c r="AU950" s="7"/>
      <c r="AV950" s="92"/>
    </row>
    <row r="951" spans="1:48" s="27" customFormat="1" x14ac:dyDescent="0.3">
      <c r="A951" s="23"/>
      <c r="B951" s="24"/>
      <c r="C951" s="25"/>
      <c r="D951" s="25"/>
      <c r="E951" s="25"/>
      <c r="K951" s="90"/>
      <c r="M951" s="90"/>
      <c r="N951" s="28"/>
      <c r="P951" s="90"/>
      <c r="Q951" s="91"/>
      <c r="R951" s="92"/>
      <c r="S951" s="28"/>
      <c r="U951" s="39"/>
      <c r="V951" s="91"/>
      <c r="W951" s="92"/>
      <c r="X951" s="28"/>
      <c r="Z951" s="39"/>
      <c r="AA951" s="7"/>
      <c r="AB951" s="92"/>
      <c r="AC951" s="28"/>
      <c r="AE951" s="9"/>
      <c r="AF951" s="7"/>
      <c r="AG951" s="92"/>
      <c r="AH951" s="28"/>
      <c r="AJ951" s="39"/>
      <c r="AK951" s="7"/>
      <c r="AL951" s="92"/>
      <c r="AM951" s="28"/>
      <c r="AO951" s="39"/>
      <c r="AP951" s="7"/>
      <c r="AQ951" s="92"/>
      <c r="AR951" s="28"/>
      <c r="AT951" s="39"/>
      <c r="AU951" s="7"/>
      <c r="AV951" s="92"/>
    </row>
    <row r="952" spans="1:48" s="27" customFormat="1" x14ac:dyDescent="0.3">
      <c r="A952" s="23"/>
      <c r="B952" s="24"/>
      <c r="C952" s="25"/>
      <c r="D952" s="25"/>
      <c r="E952" s="25"/>
      <c r="K952" s="90"/>
      <c r="M952" s="90"/>
      <c r="N952" s="28"/>
      <c r="P952" s="90"/>
      <c r="Q952" s="91"/>
      <c r="R952" s="92"/>
      <c r="S952" s="28"/>
      <c r="U952" s="39"/>
      <c r="V952" s="91"/>
      <c r="W952" s="92"/>
      <c r="X952" s="28"/>
      <c r="Z952" s="39"/>
      <c r="AA952" s="7"/>
      <c r="AB952" s="92"/>
      <c r="AC952" s="28"/>
      <c r="AE952" s="9"/>
      <c r="AF952" s="7"/>
      <c r="AG952" s="92"/>
      <c r="AH952" s="28"/>
      <c r="AJ952" s="39"/>
      <c r="AK952" s="7"/>
      <c r="AL952" s="92"/>
      <c r="AM952" s="28"/>
      <c r="AO952" s="39"/>
      <c r="AP952" s="7"/>
      <c r="AQ952" s="92"/>
      <c r="AR952" s="28"/>
      <c r="AT952" s="39"/>
      <c r="AU952" s="7"/>
      <c r="AV952" s="92"/>
    </row>
    <row r="953" spans="1:48" s="27" customFormat="1" x14ac:dyDescent="0.3">
      <c r="A953" s="23"/>
      <c r="B953" s="24"/>
      <c r="C953" s="25"/>
      <c r="D953" s="25"/>
      <c r="E953" s="25"/>
      <c r="K953" s="90"/>
      <c r="M953" s="90"/>
      <c r="N953" s="28"/>
      <c r="P953" s="90"/>
      <c r="Q953" s="91"/>
      <c r="R953" s="92"/>
      <c r="S953" s="28"/>
      <c r="U953" s="39"/>
      <c r="V953" s="91"/>
      <c r="W953" s="92"/>
      <c r="X953" s="28"/>
      <c r="Z953" s="39"/>
      <c r="AA953" s="7"/>
      <c r="AB953" s="92"/>
      <c r="AC953" s="28"/>
      <c r="AE953" s="9"/>
      <c r="AF953" s="7"/>
      <c r="AG953" s="92"/>
      <c r="AH953" s="28"/>
      <c r="AJ953" s="39"/>
      <c r="AK953" s="7"/>
      <c r="AL953" s="92"/>
      <c r="AM953" s="28"/>
      <c r="AO953" s="39"/>
      <c r="AP953" s="7"/>
      <c r="AQ953" s="92"/>
      <c r="AR953" s="28"/>
      <c r="AT953" s="39"/>
      <c r="AU953" s="7"/>
      <c r="AV953" s="92"/>
    </row>
    <row r="954" spans="1:48" s="27" customFormat="1" x14ac:dyDescent="0.3">
      <c r="A954" s="23"/>
      <c r="B954" s="24"/>
      <c r="C954" s="25"/>
      <c r="D954" s="25"/>
      <c r="E954" s="25"/>
      <c r="K954" s="90"/>
      <c r="M954" s="90"/>
      <c r="N954" s="28"/>
      <c r="P954" s="90"/>
      <c r="Q954" s="91"/>
      <c r="R954" s="92"/>
      <c r="S954" s="28"/>
      <c r="U954" s="39"/>
      <c r="V954" s="91"/>
      <c r="W954" s="92"/>
      <c r="X954" s="28"/>
      <c r="Z954" s="39"/>
      <c r="AA954" s="7"/>
      <c r="AB954" s="92"/>
      <c r="AC954" s="28"/>
      <c r="AE954" s="9"/>
      <c r="AF954" s="7"/>
      <c r="AG954" s="92"/>
      <c r="AH954" s="28"/>
      <c r="AJ954" s="39"/>
      <c r="AK954" s="7"/>
      <c r="AL954" s="92"/>
      <c r="AM954" s="28"/>
      <c r="AO954" s="39"/>
      <c r="AP954" s="7"/>
      <c r="AQ954" s="92"/>
      <c r="AR954" s="28"/>
      <c r="AT954" s="39"/>
      <c r="AU954" s="7"/>
      <c r="AV954" s="92"/>
    </row>
    <row r="955" spans="1:48" s="27" customFormat="1" x14ac:dyDescent="0.3">
      <c r="A955" s="23"/>
      <c r="B955" s="24"/>
      <c r="C955" s="25"/>
      <c r="D955" s="25"/>
      <c r="E955" s="25"/>
      <c r="K955" s="90"/>
      <c r="M955" s="90"/>
      <c r="N955" s="28"/>
      <c r="P955" s="90"/>
      <c r="Q955" s="91"/>
      <c r="R955" s="92"/>
      <c r="S955" s="28"/>
      <c r="U955" s="39"/>
      <c r="V955" s="91"/>
      <c r="W955" s="92"/>
      <c r="X955" s="28"/>
      <c r="Z955" s="39"/>
      <c r="AA955" s="7"/>
      <c r="AB955" s="92"/>
      <c r="AC955" s="28"/>
      <c r="AE955" s="9"/>
      <c r="AF955" s="7"/>
      <c r="AG955" s="92"/>
      <c r="AH955" s="28"/>
      <c r="AJ955" s="39"/>
      <c r="AK955" s="7"/>
      <c r="AL955" s="92"/>
      <c r="AM955" s="28"/>
      <c r="AO955" s="39"/>
      <c r="AP955" s="7"/>
      <c r="AQ955" s="92"/>
      <c r="AR955" s="28"/>
      <c r="AT955" s="39"/>
      <c r="AU955" s="7"/>
      <c r="AV955" s="92"/>
    </row>
    <row r="956" spans="1:48" s="27" customFormat="1" x14ac:dyDescent="0.3">
      <c r="A956" s="23"/>
      <c r="B956" s="24"/>
      <c r="C956" s="25"/>
      <c r="D956" s="25"/>
      <c r="E956" s="25"/>
      <c r="K956" s="90"/>
      <c r="M956" s="90"/>
      <c r="N956" s="28"/>
      <c r="P956" s="90"/>
      <c r="Q956" s="91"/>
      <c r="R956" s="92"/>
      <c r="S956" s="28"/>
      <c r="U956" s="39"/>
      <c r="V956" s="91"/>
      <c r="W956" s="92"/>
      <c r="X956" s="28"/>
      <c r="Z956" s="39"/>
      <c r="AA956" s="7"/>
      <c r="AB956" s="92"/>
      <c r="AC956" s="28"/>
      <c r="AE956" s="9"/>
      <c r="AF956" s="7"/>
      <c r="AG956" s="92"/>
      <c r="AH956" s="28"/>
      <c r="AJ956" s="39"/>
      <c r="AK956" s="7"/>
      <c r="AL956" s="92"/>
      <c r="AM956" s="28"/>
      <c r="AO956" s="39"/>
      <c r="AP956" s="7"/>
      <c r="AQ956" s="92"/>
      <c r="AR956" s="28"/>
      <c r="AT956" s="39"/>
      <c r="AU956" s="7"/>
      <c r="AV956" s="92"/>
    </row>
    <row r="957" spans="1:48" s="27" customFormat="1" x14ac:dyDescent="0.3">
      <c r="A957" s="23"/>
      <c r="B957" s="24"/>
      <c r="C957" s="25"/>
      <c r="D957" s="25"/>
      <c r="E957" s="25"/>
      <c r="K957" s="90"/>
      <c r="M957" s="90"/>
      <c r="N957" s="28"/>
      <c r="P957" s="90"/>
      <c r="Q957" s="91"/>
      <c r="R957" s="92"/>
      <c r="S957" s="28"/>
      <c r="U957" s="39"/>
      <c r="V957" s="91"/>
      <c r="W957" s="92"/>
      <c r="X957" s="28"/>
      <c r="Z957" s="39"/>
      <c r="AA957" s="7"/>
      <c r="AB957" s="92"/>
      <c r="AC957" s="28"/>
      <c r="AE957" s="9"/>
      <c r="AF957" s="7"/>
      <c r="AG957" s="92"/>
      <c r="AH957" s="28"/>
      <c r="AJ957" s="39"/>
      <c r="AK957" s="7"/>
      <c r="AL957" s="92"/>
      <c r="AM957" s="28"/>
      <c r="AO957" s="39"/>
      <c r="AP957" s="7"/>
      <c r="AQ957" s="92"/>
      <c r="AR957" s="28"/>
      <c r="AT957" s="39"/>
      <c r="AU957" s="7"/>
      <c r="AV957" s="92"/>
    </row>
    <row r="958" spans="1:48" s="27" customFormat="1" x14ac:dyDescent="0.3">
      <c r="A958" s="23"/>
      <c r="B958" s="24"/>
      <c r="C958" s="25"/>
      <c r="D958" s="25"/>
      <c r="E958" s="25"/>
      <c r="K958" s="90"/>
      <c r="M958" s="90"/>
      <c r="N958" s="28"/>
      <c r="P958" s="90"/>
      <c r="Q958" s="91"/>
      <c r="R958" s="92"/>
      <c r="S958" s="28"/>
      <c r="U958" s="39"/>
      <c r="V958" s="91"/>
      <c r="W958" s="92"/>
      <c r="X958" s="28"/>
      <c r="Z958" s="39"/>
      <c r="AA958" s="7"/>
      <c r="AB958" s="92"/>
      <c r="AC958" s="28"/>
      <c r="AE958" s="9"/>
      <c r="AF958" s="7"/>
      <c r="AG958" s="92"/>
      <c r="AH958" s="28"/>
      <c r="AJ958" s="39"/>
      <c r="AK958" s="7"/>
      <c r="AL958" s="92"/>
      <c r="AM958" s="28"/>
      <c r="AO958" s="39"/>
      <c r="AP958" s="7"/>
      <c r="AQ958" s="92"/>
      <c r="AR958" s="28"/>
      <c r="AT958" s="39"/>
      <c r="AU958" s="7"/>
      <c r="AV958" s="92"/>
    </row>
    <row r="959" spans="1:48" s="27" customFormat="1" x14ac:dyDescent="0.3">
      <c r="A959" s="23"/>
      <c r="B959" s="24"/>
      <c r="C959" s="25"/>
      <c r="D959" s="25"/>
      <c r="E959" s="25"/>
      <c r="K959" s="90"/>
      <c r="M959" s="90"/>
      <c r="N959" s="28"/>
      <c r="P959" s="90"/>
      <c r="Q959" s="91"/>
      <c r="R959" s="92"/>
      <c r="S959" s="28"/>
      <c r="U959" s="39"/>
      <c r="V959" s="91"/>
      <c r="W959" s="92"/>
      <c r="X959" s="28"/>
      <c r="Z959" s="39"/>
      <c r="AA959" s="7"/>
      <c r="AB959" s="92"/>
      <c r="AC959" s="28"/>
      <c r="AE959" s="9"/>
      <c r="AF959" s="7"/>
      <c r="AG959" s="92"/>
      <c r="AH959" s="28"/>
      <c r="AJ959" s="39"/>
      <c r="AK959" s="7"/>
      <c r="AL959" s="92"/>
      <c r="AM959" s="28"/>
      <c r="AO959" s="39"/>
      <c r="AP959" s="7"/>
      <c r="AQ959" s="92"/>
      <c r="AR959" s="28"/>
      <c r="AT959" s="39"/>
      <c r="AU959" s="7"/>
      <c r="AV959" s="92"/>
    </row>
    <row r="960" spans="1:48" s="27" customFormat="1" x14ac:dyDescent="0.3">
      <c r="A960" s="23"/>
      <c r="B960" s="24"/>
      <c r="C960" s="25"/>
      <c r="D960" s="25"/>
      <c r="E960" s="25"/>
      <c r="K960" s="90"/>
      <c r="M960" s="90"/>
      <c r="N960" s="28"/>
      <c r="P960" s="90"/>
      <c r="Q960" s="91"/>
      <c r="R960" s="92"/>
      <c r="S960" s="28"/>
      <c r="U960" s="39"/>
      <c r="V960" s="91"/>
      <c r="W960" s="92"/>
      <c r="X960" s="28"/>
      <c r="Z960" s="39"/>
      <c r="AA960" s="7"/>
      <c r="AB960" s="92"/>
      <c r="AC960" s="28"/>
      <c r="AE960" s="9"/>
      <c r="AF960" s="7"/>
      <c r="AG960" s="92"/>
      <c r="AH960" s="28"/>
      <c r="AJ960" s="39"/>
      <c r="AK960" s="7"/>
      <c r="AL960" s="92"/>
      <c r="AM960" s="28"/>
      <c r="AO960" s="39"/>
      <c r="AP960" s="7"/>
      <c r="AQ960" s="92"/>
      <c r="AR960" s="28"/>
      <c r="AT960" s="39"/>
      <c r="AU960" s="7"/>
      <c r="AV960" s="92"/>
    </row>
    <row r="961" spans="1:48" s="27" customFormat="1" x14ac:dyDescent="0.3">
      <c r="A961" s="23"/>
      <c r="B961" s="24"/>
      <c r="C961" s="25"/>
      <c r="D961" s="25"/>
      <c r="E961" s="25"/>
      <c r="K961" s="90"/>
      <c r="M961" s="90"/>
      <c r="N961" s="28"/>
      <c r="P961" s="90"/>
      <c r="Q961" s="91"/>
      <c r="R961" s="92"/>
      <c r="S961" s="28"/>
      <c r="U961" s="39"/>
      <c r="V961" s="91"/>
      <c r="W961" s="92"/>
      <c r="X961" s="28"/>
      <c r="Z961" s="39"/>
      <c r="AA961" s="7"/>
      <c r="AB961" s="92"/>
      <c r="AC961" s="28"/>
      <c r="AE961" s="9"/>
      <c r="AF961" s="7"/>
      <c r="AG961" s="92"/>
      <c r="AH961" s="28"/>
      <c r="AJ961" s="39"/>
      <c r="AK961" s="7"/>
      <c r="AL961" s="92"/>
      <c r="AM961" s="28"/>
      <c r="AO961" s="39"/>
      <c r="AP961" s="7"/>
      <c r="AQ961" s="92"/>
      <c r="AR961" s="28"/>
      <c r="AT961" s="39"/>
      <c r="AU961" s="7"/>
      <c r="AV961" s="92"/>
    </row>
    <row r="962" spans="1:48" s="27" customFormat="1" x14ac:dyDescent="0.3">
      <c r="A962" s="23"/>
      <c r="B962" s="24"/>
      <c r="C962" s="25"/>
      <c r="D962" s="25"/>
      <c r="E962" s="25"/>
      <c r="K962" s="90"/>
      <c r="M962" s="90"/>
      <c r="N962" s="28"/>
      <c r="P962" s="90"/>
      <c r="Q962" s="91"/>
      <c r="R962" s="92"/>
      <c r="S962" s="28"/>
      <c r="U962" s="39"/>
      <c r="V962" s="91"/>
      <c r="W962" s="92"/>
      <c r="X962" s="28"/>
      <c r="Z962" s="39"/>
      <c r="AA962" s="7"/>
      <c r="AB962" s="92"/>
      <c r="AC962" s="28"/>
      <c r="AE962" s="9"/>
      <c r="AF962" s="7"/>
      <c r="AG962" s="92"/>
      <c r="AH962" s="28"/>
      <c r="AJ962" s="39"/>
      <c r="AK962" s="7"/>
      <c r="AL962" s="92"/>
      <c r="AM962" s="28"/>
      <c r="AO962" s="39"/>
      <c r="AP962" s="7"/>
      <c r="AQ962" s="92"/>
      <c r="AR962" s="28"/>
      <c r="AT962" s="39"/>
      <c r="AU962" s="7"/>
      <c r="AV962" s="92"/>
    </row>
    <row r="963" spans="1:48" s="27" customFormat="1" x14ac:dyDescent="0.3">
      <c r="A963" s="23"/>
      <c r="B963" s="24"/>
      <c r="C963" s="25"/>
      <c r="D963" s="25"/>
      <c r="E963" s="25"/>
      <c r="K963" s="90"/>
      <c r="M963" s="90"/>
      <c r="N963" s="28"/>
      <c r="P963" s="90"/>
      <c r="Q963" s="91"/>
      <c r="R963" s="92"/>
      <c r="S963" s="28"/>
      <c r="U963" s="39"/>
      <c r="V963" s="91"/>
      <c r="W963" s="92"/>
      <c r="X963" s="28"/>
      <c r="Z963" s="39"/>
      <c r="AA963" s="7"/>
      <c r="AB963" s="92"/>
      <c r="AC963" s="28"/>
      <c r="AE963" s="9"/>
      <c r="AF963" s="7"/>
      <c r="AG963" s="92"/>
      <c r="AH963" s="28"/>
      <c r="AJ963" s="39"/>
      <c r="AK963" s="7"/>
      <c r="AL963" s="92"/>
      <c r="AM963" s="28"/>
      <c r="AO963" s="39"/>
      <c r="AP963" s="7"/>
      <c r="AQ963" s="92"/>
      <c r="AR963" s="28"/>
      <c r="AT963" s="39"/>
      <c r="AU963" s="7"/>
      <c r="AV963" s="92"/>
    </row>
    <row r="964" spans="1:48" s="27" customFormat="1" x14ac:dyDescent="0.3">
      <c r="A964" s="23"/>
      <c r="B964" s="24"/>
      <c r="C964" s="25"/>
      <c r="D964" s="25"/>
      <c r="E964" s="25"/>
      <c r="K964" s="90"/>
      <c r="M964" s="90"/>
      <c r="N964" s="28"/>
      <c r="P964" s="90"/>
      <c r="Q964" s="91"/>
      <c r="R964" s="92"/>
      <c r="S964" s="28"/>
      <c r="U964" s="39"/>
      <c r="V964" s="91"/>
      <c r="W964" s="92"/>
      <c r="X964" s="28"/>
      <c r="Z964" s="39"/>
      <c r="AA964" s="7"/>
      <c r="AB964" s="92"/>
      <c r="AC964" s="28"/>
      <c r="AE964" s="9"/>
      <c r="AF964" s="7"/>
      <c r="AG964" s="92"/>
      <c r="AH964" s="28"/>
      <c r="AJ964" s="39"/>
      <c r="AK964" s="7"/>
      <c r="AL964" s="92"/>
      <c r="AM964" s="28"/>
      <c r="AO964" s="39"/>
      <c r="AP964" s="7"/>
      <c r="AQ964" s="92"/>
      <c r="AR964" s="28"/>
      <c r="AT964" s="39"/>
      <c r="AU964" s="7"/>
      <c r="AV964" s="92"/>
    </row>
    <row r="965" spans="1:48" s="27" customFormat="1" x14ac:dyDescent="0.3">
      <c r="A965" s="23"/>
      <c r="B965" s="24"/>
      <c r="C965" s="25"/>
      <c r="D965" s="25"/>
      <c r="E965" s="25"/>
      <c r="K965" s="90"/>
      <c r="M965" s="90"/>
      <c r="N965" s="28"/>
      <c r="P965" s="90"/>
      <c r="Q965" s="91"/>
      <c r="R965" s="92"/>
      <c r="S965" s="28"/>
      <c r="U965" s="39"/>
      <c r="V965" s="91"/>
      <c r="W965" s="92"/>
      <c r="X965" s="28"/>
      <c r="Z965" s="39"/>
      <c r="AA965" s="7"/>
      <c r="AB965" s="92"/>
      <c r="AC965" s="28"/>
      <c r="AE965" s="9"/>
      <c r="AF965" s="7"/>
      <c r="AG965" s="92"/>
      <c r="AH965" s="28"/>
      <c r="AJ965" s="39"/>
      <c r="AK965" s="7"/>
      <c r="AL965" s="92"/>
      <c r="AM965" s="28"/>
      <c r="AO965" s="39"/>
      <c r="AP965" s="7"/>
      <c r="AQ965" s="92"/>
      <c r="AR965" s="28"/>
      <c r="AT965" s="39"/>
      <c r="AU965" s="7"/>
      <c r="AV965" s="92"/>
    </row>
    <row r="966" spans="1:48" s="27" customFormat="1" x14ac:dyDescent="0.3">
      <c r="A966" s="23"/>
      <c r="B966" s="24"/>
      <c r="C966" s="25"/>
      <c r="D966" s="25"/>
      <c r="E966" s="25"/>
      <c r="K966" s="90"/>
      <c r="M966" s="90"/>
      <c r="N966" s="28"/>
      <c r="P966" s="90"/>
      <c r="Q966" s="91"/>
      <c r="R966" s="92"/>
      <c r="S966" s="28"/>
      <c r="U966" s="39"/>
      <c r="V966" s="91"/>
      <c r="W966" s="92"/>
      <c r="X966" s="28"/>
      <c r="Z966" s="39"/>
      <c r="AA966" s="7"/>
      <c r="AB966" s="92"/>
      <c r="AC966" s="28"/>
      <c r="AE966" s="9"/>
      <c r="AF966" s="7"/>
      <c r="AG966" s="92"/>
      <c r="AH966" s="28"/>
      <c r="AJ966" s="39"/>
      <c r="AK966" s="7"/>
      <c r="AL966" s="92"/>
      <c r="AM966" s="28"/>
      <c r="AO966" s="39"/>
      <c r="AP966" s="7"/>
      <c r="AQ966" s="92"/>
      <c r="AR966" s="28"/>
      <c r="AT966" s="39"/>
      <c r="AU966" s="7"/>
      <c r="AV966" s="92"/>
    </row>
    <row r="967" spans="1:48" s="27" customFormat="1" x14ac:dyDescent="0.3">
      <c r="A967" s="23"/>
      <c r="B967" s="24"/>
      <c r="C967" s="25"/>
      <c r="D967" s="25"/>
      <c r="E967" s="25"/>
      <c r="K967" s="90"/>
      <c r="M967" s="90"/>
      <c r="N967" s="28"/>
      <c r="P967" s="90"/>
      <c r="Q967" s="91"/>
      <c r="R967" s="92"/>
      <c r="S967" s="28"/>
      <c r="U967" s="39"/>
      <c r="V967" s="91"/>
      <c r="W967" s="92"/>
      <c r="X967" s="28"/>
      <c r="Z967" s="39"/>
      <c r="AA967" s="7"/>
      <c r="AB967" s="92"/>
      <c r="AC967" s="28"/>
      <c r="AE967" s="9"/>
      <c r="AF967" s="7"/>
      <c r="AG967" s="92"/>
      <c r="AH967" s="28"/>
      <c r="AJ967" s="39"/>
      <c r="AK967" s="7"/>
      <c r="AL967" s="92"/>
      <c r="AM967" s="28"/>
      <c r="AO967" s="39"/>
      <c r="AP967" s="7"/>
      <c r="AQ967" s="92"/>
      <c r="AR967" s="28"/>
      <c r="AT967" s="39"/>
      <c r="AU967" s="7"/>
      <c r="AV967" s="92"/>
    </row>
    <row r="968" spans="1:48" s="27" customFormat="1" x14ac:dyDescent="0.3">
      <c r="A968" s="23"/>
      <c r="B968" s="24"/>
      <c r="C968" s="25"/>
      <c r="D968" s="25"/>
      <c r="E968" s="25"/>
      <c r="K968" s="90"/>
      <c r="M968" s="90"/>
      <c r="N968" s="28"/>
      <c r="P968" s="90"/>
      <c r="Q968" s="91"/>
      <c r="R968" s="92"/>
      <c r="S968" s="28"/>
      <c r="U968" s="39"/>
      <c r="V968" s="91"/>
      <c r="W968" s="92"/>
      <c r="X968" s="28"/>
      <c r="Z968" s="39"/>
      <c r="AA968" s="7"/>
      <c r="AB968" s="92"/>
      <c r="AC968" s="28"/>
      <c r="AE968" s="9"/>
      <c r="AF968" s="7"/>
      <c r="AG968" s="92"/>
      <c r="AH968" s="28"/>
      <c r="AJ968" s="39"/>
      <c r="AK968" s="7"/>
      <c r="AL968" s="92"/>
      <c r="AM968" s="28"/>
      <c r="AO968" s="39"/>
      <c r="AP968" s="7"/>
      <c r="AQ968" s="92"/>
      <c r="AR968" s="28"/>
      <c r="AT968" s="39"/>
      <c r="AU968" s="7"/>
      <c r="AV968" s="92"/>
    </row>
    <row r="969" spans="1:48" s="27" customFormat="1" x14ac:dyDescent="0.3">
      <c r="A969" s="23"/>
      <c r="B969" s="24"/>
      <c r="C969" s="25"/>
      <c r="D969" s="25"/>
      <c r="E969" s="25"/>
      <c r="K969" s="90"/>
      <c r="M969" s="90"/>
      <c r="N969" s="28"/>
      <c r="P969" s="90"/>
      <c r="Q969" s="91"/>
      <c r="R969" s="92"/>
      <c r="S969" s="28"/>
      <c r="U969" s="39"/>
      <c r="V969" s="91"/>
      <c r="W969" s="92"/>
      <c r="X969" s="28"/>
      <c r="Z969" s="39"/>
      <c r="AA969" s="7"/>
      <c r="AB969" s="92"/>
      <c r="AC969" s="28"/>
      <c r="AE969" s="9"/>
      <c r="AF969" s="7"/>
      <c r="AG969" s="92"/>
      <c r="AH969" s="28"/>
      <c r="AJ969" s="39"/>
      <c r="AK969" s="7"/>
      <c r="AL969" s="92"/>
      <c r="AM969" s="28"/>
      <c r="AO969" s="39"/>
      <c r="AP969" s="7"/>
      <c r="AQ969" s="92"/>
      <c r="AR969" s="28"/>
      <c r="AT969" s="39"/>
      <c r="AU969" s="7"/>
      <c r="AV969" s="92"/>
    </row>
    <row r="970" spans="1:48" s="27" customFormat="1" x14ac:dyDescent="0.3">
      <c r="A970" s="23"/>
      <c r="B970" s="24"/>
      <c r="C970" s="25"/>
      <c r="D970" s="25"/>
      <c r="E970" s="25"/>
      <c r="K970" s="90"/>
      <c r="M970" s="90"/>
      <c r="N970" s="28"/>
      <c r="P970" s="90"/>
      <c r="Q970" s="91"/>
      <c r="R970" s="92"/>
      <c r="S970" s="28"/>
      <c r="U970" s="39"/>
      <c r="V970" s="91"/>
      <c r="W970" s="92"/>
      <c r="X970" s="28"/>
      <c r="Z970" s="39"/>
      <c r="AA970" s="7"/>
      <c r="AB970" s="92"/>
      <c r="AC970" s="28"/>
      <c r="AE970" s="9"/>
      <c r="AF970" s="7"/>
      <c r="AG970" s="92"/>
      <c r="AH970" s="28"/>
      <c r="AJ970" s="39"/>
      <c r="AK970" s="7"/>
      <c r="AL970" s="92"/>
      <c r="AM970" s="28"/>
      <c r="AO970" s="39"/>
      <c r="AP970" s="7"/>
      <c r="AQ970" s="92"/>
      <c r="AR970" s="28"/>
      <c r="AT970" s="39"/>
      <c r="AU970" s="7"/>
      <c r="AV970" s="92"/>
    </row>
    <row r="971" spans="1:48" s="27" customFormat="1" x14ac:dyDescent="0.3">
      <c r="A971" s="23"/>
      <c r="B971" s="24"/>
      <c r="C971" s="25"/>
      <c r="D971" s="25"/>
      <c r="E971" s="25"/>
      <c r="K971" s="90"/>
      <c r="M971" s="90"/>
      <c r="N971" s="28"/>
      <c r="P971" s="90"/>
      <c r="Q971" s="91"/>
      <c r="R971" s="92"/>
      <c r="S971" s="28"/>
      <c r="U971" s="39"/>
      <c r="V971" s="91"/>
      <c r="W971" s="92"/>
      <c r="X971" s="28"/>
      <c r="Z971" s="39"/>
      <c r="AA971" s="7"/>
      <c r="AB971" s="92"/>
      <c r="AC971" s="28"/>
      <c r="AE971" s="9"/>
      <c r="AF971" s="7"/>
      <c r="AG971" s="92"/>
      <c r="AH971" s="28"/>
      <c r="AJ971" s="39"/>
      <c r="AK971" s="7"/>
      <c r="AL971" s="92"/>
      <c r="AM971" s="28"/>
      <c r="AO971" s="39"/>
      <c r="AP971" s="7"/>
      <c r="AQ971" s="92"/>
      <c r="AR971" s="28"/>
      <c r="AT971" s="39"/>
      <c r="AU971" s="7"/>
      <c r="AV971" s="92"/>
    </row>
    <row r="972" spans="1:48" s="27" customFormat="1" x14ac:dyDescent="0.3">
      <c r="A972" s="23"/>
      <c r="B972" s="24"/>
      <c r="C972" s="25"/>
      <c r="D972" s="25"/>
      <c r="E972" s="25"/>
      <c r="K972" s="90"/>
      <c r="M972" s="90"/>
      <c r="N972" s="28"/>
      <c r="P972" s="90"/>
      <c r="Q972" s="91"/>
      <c r="R972" s="92"/>
      <c r="S972" s="28"/>
      <c r="U972" s="39"/>
      <c r="V972" s="91"/>
      <c r="W972" s="92"/>
      <c r="X972" s="28"/>
      <c r="Z972" s="39"/>
      <c r="AA972" s="7"/>
      <c r="AB972" s="92"/>
      <c r="AC972" s="28"/>
      <c r="AE972" s="9"/>
      <c r="AF972" s="7"/>
      <c r="AG972" s="92"/>
      <c r="AH972" s="28"/>
      <c r="AJ972" s="39"/>
      <c r="AK972" s="7"/>
      <c r="AL972" s="92"/>
      <c r="AM972" s="28"/>
      <c r="AO972" s="39"/>
      <c r="AP972" s="7"/>
      <c r="AQ972" s="92"/>
      <c r="AR972" s="28"/>
      <c r="AT972" s="39"/>
      <c r="AU972" s="7"/>
      <c r="AV972" s="92"/>
    </row>
    <row r="973" spans="1:48" s="27" customFormat="1" x14ac:dyDescent="0.3">
      <c r="A973" s="23"/>
      <c r="B973" s="24"/>
      <c r="C973" s="25"/>
      <c r="D973" s="25"/>
      <c r="E973" s="25"/>
      <c r="K973" s="90"/>
      <c r="M973" s="90"/>
      <c r="N973" s="28"/>
      <c r="P973" s="90"/>
      <c r="Q973" s="91"/>
      <c r="R973" s="92"/>
      <c r="S973" s="28"/>
      <c r="U973" s="39"/>
      <c r="V973" s="91"/>
      <c r="W973" s="92"/>
      <c r="X973" s="28"/>
      <c r="Z973" s="39"/>
      <c r="AA973" s="7"/>
      <c r="AB973" s="92"/>
      <c r="AC973" s="28"/>
      <c r="AE973" s="9"/>
      <c r="AF973" s="7"/>
      <c r="AG973" s="92"/>
      <c r="AH973" s="28"/>
      <c r="AJ973" s="39"/>
      <c r="AK973" s="7"/>
      <c r="AL973" s="92"/>
      <c r="AM973" s="28"/>
      <c r="AO973" s="39"/>
      <c r="AP973" s="7"/>
      <c r="AQ973" s="92"/>
      <c r="AR973" s="28"/>
      <c r="AT973" s="39"/>
      <c r="AU973" s="7"/>
      <c r="AV973" s="92"/>
    </row>
    <row r="974" spans="1:48" s="27" customFormat="1" x14ac:dyDescent="0.3">
      <c r="A974" s="23"/>
      <c r="B974" s="24"/>
      <c r="C974" s="25"/>
      <c r="D974" s="25"/>
      <c r="E974" s="25"/>
      <c r="K974" s="90"/>
      <c r="M974" s="90"/>
      <c r="N974" s="28"/>
      <c r="P974" s="90"/>
      <c r="Q974" s="91"/>
      <c r="R974" s="92"/>
      <c r="S974" s="28"/>
      <c r="U974" s="39"/>
      <c r="V974" s="91"/>
      <c r="W974" s="92"/>
      <c r="X974" s="28"/>
      <c r="Z974" s="39"/>
      <c r="AA974" s="7"/>
      <c r="AB974" s="92"/>
      <c r="AC974" s="28"/>
      <c r="AE974" s="9"/>
      <c r="AF974" s="7"/>
      <c r="AG974" s="92"/>
      <c r="AH974" s="28"/>
      <c r="AJ974" s="39"/>
      <c r="AK974" s="7"/>
      <c r="AL974" s="92"/>
      <c r="AM974" s="28"/>
      <c r="AO974" s="39"/>
      <c r="AP974" s="7"/>
      <c r="AQ974" s="92"/>
      <c r="AR974" s="28"/>
      <c r="AT974" s="39"/>
      <c r="AU974" s="7"/>
      <c r="AV974" s="92"/>
    </row>
    <row r="975" spans="1:48" s="27" customFormat="1" x14ac:dyDescent="0.3">
      <c r="A975" s="23"/>
      <c r="B975" s="24"/>
      <c r="C975" s="25"/>
      <c r="D975" s="25"/>
      <c r="E975" s="25"/>
      <c r="K975" s="90"/>
      <c r="M975" s="90"/>
      <c r="N975" s="28"/>
      <c r="P975" s="90"/>
      <c r="Q975" s="91"/>
      <c r="R975" s="92"/>
      <c r="S975" s="28"/>
      <c r="U975" s="39"/>
      <c r="V975" s="91"/>
      <c r="W975" s="92"/>
      <c r="X975" s="28"/>
      <c r="Z975" s="39"/>
      <c r="AA975" s="7"/>
      <c r="AB975" s="92"/>
      <c r="AC975" s="28"/>
      <c r="AE975" s="9"/>
      <c r="AF975" s="7"/>
      <c r="AG975" s="92"/>
      <c r="AH975" s="28"/>
      <c r="AJ975" s="39"/>
      <c r="AK975" s="7"/>
      <c r="AL975" s="92"/>
      <c r="AM975" s="28"/>
      <c r="AO975" s="39"/>
      <c r="AP975" s="7"/>
      <c r="AQ975" s="92"/>
      <c r="AR975" s="28"/>
      <c r="AT975" s="39"/>
      <c r="AU975" s="7"/>
      <c r="AV975" s="92"/>
    </row>
    <row r="976" spans="1:48" s="27" customFormat="1" x14ac:dyDescent="0.3">
      <c r="A976" s="23"/>
      <c r="B976" s="24"/>
      <c r="C976" s="25"/>
      <c r="D976" s="25"/>
      <c r="E976" s="25"/>
      <c r="K976" s="90"/>
      <c r="M976" s="90"/>
      <c r="N976" s="28"/>
      <c r="P976" s="90"/>
      <c r="Q976" s="91"/>
      <c r="R976" s="92"/>
      <c r="S976" s="28"/>
      <c r="U976" s="39"/>
      <c r="V976" s="91"/>
      <c r="W976" s="92"/>
      <c r="X976" s="28"/>
      <c r="Z976" s="39"/>
      <c r="AA976" s="7"/>
      <c r="AB976" s="92"/>
      <c r="AC976" s="28"/>
      <c r="AE976" s="9"/>
      <c r="AF976" s="7"/>
      <c r="AG976" s="92"/>
      <c r="AH976" s="28"/>
      <c r="AJ976" s="39"/>
      <c r="AK976" s="7"/>
      <c r="AL976" s="92"/>
      <c r="AM976" s="28"/>
      <c r="AO976" s="39"/>
      <c r="AP976" s="7"/>
      <c r="AQ976" s="92"/>
      <c r="AR976" s="28"/>
      <c r="AT976" s="39"/>
      <c r="AU976" s="7"/>
      <c r="AV976" s="92"/>
    </row>
    <row r="977" spans="1:48" s="27" customFormat="1" x14ac:dyDescent="0.3">
      <c r="A977" s="23"/>
      <c r="B977" s="24"/>
      <c r="C977" s="25"/>
      <c r="D977" s="25"/>
      <c r="E977" s="25"/>
      <c r="K977" s="90"/>
      <c r="M977" s="90"/>
      <c r="N977" s="28"/>
      <c r="P977" s="90"/>
      <c r="Q977" s="91"/>
      <c r="R977" s="92"/>
      <c r="S977" s="28"/>
      <c r="U977" s="39"/>
      <c r="V977" s="91"/>
      <c r="W977" s="92"/>
      <c r="X977" s="28"/>
      <c r="Z977" s="39"/>
      <c r="AA977" s="7"/>
      <c r="AB977" s="92"/>
      <c r="AC977" s="28"/>
      <c r="AE977" s="9"/>
      <c r="AF977" s="7"/>
      <c r="AG977" s="92"/>
      <c r="AH977" s="28"/>
      <c r="AJ977" s="39"/>
      <c r="AK977" s="7"/>
      <c r="AL977" s="92"/>
      <c r="AM977" s="28"/>
      <c r="AO977" s="39"/>
      <c r="AP977" s="7"/>
      <c r="AQ977" s="92"/>
      <c r="AR977" s="28"/>
      <c r="AT977" s="39"/>
      <c r="AU977" s="7"/>
      <c r="AV977" s="92"/>
    </row>
    <row r="978" spans="1:48" s="27" customFormat="1" x14ac:dyDescent="0.3">
      <c r="A978" s="23"/>
      <c r="B978" s="24"/>
      <c r="C978" s="25"/>
      <c r="D978" s="25"/>
      <c r="E978" s="25"/>
      <c r="K978" s="90"/>
      <c r="M978" s="90"/>
      <c r="N978" s="28"/>
      <c r="P978" s="90"/>
      <c r="Q978" s="91"/>
      <c r="R978" s="92"/>
      <c r="S978" s="28"/>
      <c r="U978" s="39"/>
      <c r="V978" s="91"/>
      <c r="W978" s="92"/>
      <c r="X978" s="28"/>
      <c r="Z978" s="39"/>
      <c r="AA978" s="7"/>
      <c r="AB978" s="92"/>
      <c r="AC978" s="28"/>
      <c r="AE978" s="9"/>
      <c r="AF978" s="7"/>
      <c r="AG978" s="92"/>
      <c r="AH978" s="28"/>
      <c r="AJ978" s="39"/>
      <c r="AK978" s="7"/>
      <c r="AL978" s="92"/>
      <c r="AM978" s="28"/>
      <c r="AO978" s="39"/>
      <c r="AP978" s="7"/>
      <c r="AQ978" s="92"/>
      <c r="AR978" s="28"/>
      <c r="AT978" s="39"/>
      <c r="AU978" s="7"/>
      <c r="AV978" s="92"/>
    </row>
    <row r="979" spans="1:48" s="27" customFormat="1" x14ac:dyDescent="0.3">
      <c r="A979" s="23"/>
      <c r="B979" s="24"/>
      <c r="C979" s="25"/>
      <c r="D979" s="25"/>
      <c r="E979" s="25"/>
      <c r="K979" s="90"/>
      <c r="M979" s="90"/>
      <c r="N979" s="28"/>
      <c r="P979" s="90"/>
      <c r="Q979" s="91"/>
      <c r="R979" s="92"/>
      <c r="S979" s="28"/>
      <c r="U979" s="39"/>
      <c r="V979" s="91"/>
      <c r="W979" s="92"/>
      <c r="X979" s="28"/>
      <c r="Z979" s="39"/>
      <c r="AA979" s="7"/>
      <c r="AB979" s="92"/>
      <c r="AC979" s="28"/>
      <c r="AE979" s="9"/>
      <c r="AF979" s="7"/>
      <c r="AG979" s="92"/>
      <c r="AH979" s="28"/>
      <c r="AJ979" s="39"/>
      <c r="AK979" s="7"/>
      <c r="AL979" s="92"/>
      <c r="AM979" s="28"/>
      <c r="AO979" s="39"/>
      <c r="AP979" s="7"/>
      <c r="AQ979" s="92"/>
      <c r="AR979" s="28"/>
      <c r="AT979" s="39"/>
      <c r="AU979" s="7"/>
      <c r="AV979" s="92"/>
    </row>
    <row r="980" spans="1:48" s="27" customFormat="1" x14ac:dyDescent="0.3">
      <c r="A980" s="23"/>
      <c r="B980" s="24"/>
      <c r="C980" s="25"/>
      <c r="D980" s="25"/>
      <c r="E980" s="25"/>
      <c r="K980" s="90"/>
      <c r="M980" s="90"/>
      <c r="N980" s="28"/>
      <c r="P980" s="90"/>
      <c r="Q980" s="91"/>
      <c r="R980" s="92"/>
      <c r="S980" s="28"/>
      <c r="U980" s="39"/>
      <c r="V980" s="91"/>
      <c r="W980" s="92"/>
      <c r="X980" s="28"/>
      <c r="Z980" s="39"/>
      <c r="AA980" s="7"/>
      <c r="AB980" s="92"/>
      <c r="AC980" s="28"/>
      <c r="AE980" s="9"/>
      <c r="AF980" s="7"/>
      <c r="AG980" s="92"/>
      <c r="AH980" s="28"/>
      <c r="AJ980" s="39"/>
      <c r="AK980" s="7"/>
      <c r="AL980" s="92"/>
      <c r="AM980" s="28"/>
      <c r="AO980" s="39"/>
      <c r="AP980" s="7"/>
      <c r="AQ980" s="92"/>
      <c r="AR980" s="28"/>
      <c r="AT980" s="39"/>
      <c r="AU980" s="7"/>
      <c r="AV980" s="92"/>
    </row>
    <row r="981" spans="1:48" s="27" customFormat="1" x14ac:dyDescent="0.3">
      <c r="A981" s="23"/>
      <c r="B981" s="24"/>
      <c r="C981" s="25"/>
      <c r="D981" s="25"/>
      <c r="E981" s="25"/>
      <c r="K981" s="90"/>
      <c r="M981" s="90"/>
      <c r="N981" s="28"/>
      <c r="P981" s="90"/>
      <c r="Q981" s="91"/>
      <c r="R981" s="92"/>
      <c r="S981" s="28"/>
      <c r="U981" s="39"/>
      <c r="V981" s="91"/>
      <c r="W981" s="92"/>
      <c r="X981" s="28"/>
      <c r="Z981" s="39"/>
      <c r="AA981" s="7"/>
      <c r="AB981" s="92"/>
      <c r="AC981" s="28"/>
      <c r="AE981" s="9"/>
      <c r="AF981" s="7"/>
      <c r="AG981" s="92"/>
      <c r="AH981" s="28"/>
      <c r="AJ981" s="39"/>
      <c r="AK981" s="7"/>
      <c r="AL981" s="92"/>
      <c r="AM981" s="28"/>
      <c r="AO981" s="39"/>
      <c r="AP981" s="7"/>
      <c r="AQ981" s="92"/>
      <c r="AR981" s="28"/>
      <c r="AT981" s="39"/>
      <c r="AU981" s="7"/>
      <c r="AV981" s="92"/>
    </row>
    <row r="982" spans="1:48" s="27" customFormat="1" x14ac:dyDescent="0.3">
      <c r="A982" s="23"/>
      <c r="B982" s="24"/>
      <c r="C982" s="25"/>
      <c r="D982" s="25"/>
      <c r="E982" s="25"/>
      <c r="K982" s="90"/>
      <c r="M982" s="90"/>
      <c r="N982" s="28"/>
      <c r="P982" s="90"/>
      <c r="Q982" s="91"/>
      <c r="R982" s="92"/>
      <c r="S982" s="28"/>
      <c r="U982" s="39"/>
      <c r="V982" s="91"/>
      <c r="W982" s="92"/>
      <c r="X982" s="28"/>
      <c r="Z982" s="39"/>
      <c r="AA982" s="7"/>
      <c r="AB982" s="92"/>
      <c r="AC982" s="28"/>
      <c r="AE982" s="9"/>
      <c r="AF982" s="7"/>
      <c r="AG982" s="92"/>
      <c r="AH982" s="28"/>
      <c r="AJ982" s="39"/>
      <c r="AK982" s="7"/>
      <c r="AL982" s="92"/>
      <c r="AM982" s="28"/>
      <c r="AO982" s="39"/>
      <c r="AP982" s="7"/>
      <c r="AQ982" s="92"/>
      <c r="AR982" s="28"/>
      <c r="AT982" s="39"/>
      <c r="AU982" s="7"/>
      <c r="AV982" s="92"/>
    </row>
    <row r="983" spans="1:48" s="27" customFormat="1" x14ac:dyDescent="0.3">
      <c r="A983" s="23"/>
      <c r="B983" s="24"/>
      <c r="C983" s="25"/>
      <c r="D983" s="25"/>
      <c r="E983" s="25"/>
      <c r="K983" s="90"/>
      <c r="M983" s="90"/>
      <c r="N983" s="28"/>
      <c r="P983" s="90"/>
      <c r="Q983" s="91"/>
      <c r="R983" s="92"/>
      <c r="S983" s="28"/>
      <c r="U983" s="39"/>
      <c r="V983" s="91"/>
      <c r="W983" s="92"/>
      <c r="X983" s="28"/>
      <c r="Z983" s="39"/>
      <c r="AA983" s="7"/>
      <c r="AB983" s="92"/>
      <c r="AC983" s="28"/>
      <c r="AE983" s="9"/>
      <c r="AF983" s="7"/>
      <c r="AG983" s="92"/>
      <c r="AH983" s="28"/>
      <c r="AJ983" s="39"/>
      <c r="AK983" s="7"/>
      <c r="AL983" s="92"/>
      <c r="AM983" s="28"/>
      <c r="AO983" s="39"/>
      <c r="AP983" s="7"/>
      <c r="AQ983" s="92"/>
      <c r="AR983" s="28"/>
      <c r="AT983" s="39"/>
      <c r="AU983" s="7"/>
      <c r="AV983" s="92"/>
    </row>
    <row r="984" spans="1:48" s="27" customFormat="1" x14ac:dyDescent="0.3">
      <c r="A984" s="23"/>
      <c r="B984" s="24"/>
      <c r="C984" s="25"/>
      <c r="D984" s="25"/>
      <c r="E984" s="25"/>
      <c r="K984" s="90"/>
      <c r="M984" s="90"/>
      <c r="N984" s="28"/>
      <c r="P984" s="90"/>
      <c r="Q984" s="91"/>
      <c r="R984" s="92"/>
      <c r="S984" s="28"/>
      <c r="U984" s="39"/>
      <c r="V984" s="91"/>
      <c r="W984" s="92"/>
      <c r="X984" s="28"/>
      <c r="Z984" s="39"/>
      <c r="AA984" s="7"/>
      <c r="AB984" s="92"/>
      <c r="AC984" s="28"/>
      <c r="AE984" s="9"/>
      <c r="AF984" s="7"/>
      <c r="AG984" s="92"/>
      <c r="AH984" s="28"/>
      <c r="AJ984" s="39"/>
      <c r="AK984" s="7"/>
      <c r="AL984" s="92"/>
      <c r="AM984" s="28"/>
      <c r="AO984" s="39"/>
      <c r="AP984" s="7"/>
      <c r="AQ984" s="92"/>
      <c r="AR984" s="28"/>
      <c r="AT984" s="39"/>
      <c r="AU984" s="7"/>
      <c r="AV984" s="92"/>
    </row>
    <row r="985" spans="1:48" s="27" customFormat="1" x14ac:dyDescent="0.3">
      <c r="A985" s="23"/>
      <c r="B985" s="24"/>
      <c r="C985" s="25"/>
      <c r="D985" s="25"/>
      <c r="E985" s="25"/>
      <c r="K985" s="90"/>
      <c r="M985" s="90"/>
      <c r="N985" s="28"/>
      <c r="P985" s="90"/>
      <c r="Q985" s="91"/>
      <c r="R985" s="92"/>
      <c r="S985" s="28"/>
      <c r="U985" s="39"/>
      <c r="V985" s="91"/>
      <c r="W985" s="92"/>
      <c r="X985" s="28"/>
      <c r="Z985" s="39"/>
      <c r="AA985" s="7"/>
      <c r="AB985" s="92"/>
      <c r="AC985" s="28"/>
      <c r="AE985" s="9"/>
      <c r="AF985" s="7"/>
      <c r="AG985" s="92"/>
      <c r="AH985" s="28"/>
      <c r="AJ985" s="39"/>
      <c r="AK985" s="7"/>
      <c r="AL985" s="92"/>
      <c r="AM985" s="28"/>
      <c r="AO985" s="39"/>
      <c r="AP985" s="7"/>
      <c r="AQ985" s="92"/>
      <c r="AR985" s="28"/>
      <c r="AT985" s="39"/>
      <c r="AU985" s="7"/>
      <c r="AV985" s="92"/>
    </row>
    <row r="986" spans="1:48" s="27" customFormat="1" x14ac:dyDescent="0.3">
      <c r="A986" s="23"/>
      <c r="B986" s="24"/>
      <c r="C986" s="25"/>
      <c r="D986" s="25"/>
      <c r="E986" s="25"/>
      <c r="K986" s="90"/>
      <c r="M986" s="90"/>
      <c r="N986" s="28"/>
      <c r="P986" s="90"/>
      <c r="Q986" s="91"/>
      <c r="R986" s="92"/>
      <c r="S986" s="28"/>
      <c r="U986" s="39"/>
      <c r="V986" s="91"/>
      <c r="W986" s="92"/>
      <c r="X986" s="28"/>
      <c r="Z986" s="39"/>
      <c r="AA986" s="7"/>
      <c r="AB986" s="92"/>
      <c r="AC986" s="28"/>
      <c r="AE986" s="9"/>
      <c r="AF986" s="7"/>
      <c r="AG986" s="92"/>
      <c r="AH986" s="28"/>
      <c r="AJ986" s="39"/>
      <c r="AK986" s="7"/>
      <c r="AL986" s="92"/>
      <c r="AM986" s="28"/>
      <c r="AO986" s="39"/>
      <c r="AP986" s="7"/>
      <c r="AQ986" s="92"/>
      <c r="AR986" s="28"/>
      <c r="AT986" s="39"/>
      <c r="AU986" s="7"/>
      <c r="AV986" s="92"/>
    </row>
    <row r="987" spans="1:48" s="27" customFormat="1" x14ac:dyDescent="0.3">
      <c r="A987" s="23"/>
      <c r="B987" s="24"/>
      <c r="C987" s="25"/>
      <c r="D987" s="25"/>
      <c r="E987" s="25"/>
      <c r="K987" s="90"/>
      <c r="M987" s="90"/>
      <c r="N987" s="28"/>
      <c r="P987" s="90"/>
      <c r="Q987" s="91"/>
      <c r="R987" s="92"/>
      <c r="S987" s="28"/>
      <c r="U987" s="39"/>
      <c r="V987" s="91"/>
      <c r="W987" s="92"/>
      <c r="X987" s="28"/>
      <c r="Z987" s="39"/>
      <c r="AA987" s="7"/>
      <c r="AB987" s="92"/>
      <c r="AC987" s="28"/>
      <c r="AE987" s="9"/>
      <c r="AF987" s="7"/>
      <c r="AG987" s="92"/>
      <c r="AH987" s="28"/>
      <c r="AJ987" s="39"/>
      <c r="AK987" s="7"/>
      <c r="AL987" s="92"/>
      <c r="AM987" s="28"/>
      <c r="AO987" s="39"/>
      <c r="AP987" s="7"/>
      <c r="AQ987" s="92"/>
      <c r="AR987" s="28"/>
      <c r="AT987" s="39"/>
      <c r="AU987" s="7"/>
      <c r="AV987" s="92"/>
    </row>
    <row r="988" spans="1:48" s="27" customFormat="1" x14ac:dyDescent="0.3">
      <c r="A988" s="23"/>
      <c r="B988" s="24"/>
      <c r="C988" s="25"/>
      <c r="D988" s="25"/>
      <c r="E988" s="25"/>
      <c r="K988" s="90"/>
      <c r="M988" s="90"/>
      <c r="N988" s="28"/>
      <c r="P988" s="90"/>
      <c r="Q988" s="91"/>
      <c r="R988" s="92"/>
      <c r="S988" s="28"/>
      <c r="U988" s="39"/>
      <c r="V988" s="91"/>
      <c r="W988" s="92"/>
      <c r="X988" s="28"/>
      <c r="Z988" s="39"/>
      <c r="AA988" s="7"/>
      <c r="AB988" s="92"/>
      <c r="AC988" s="28"/>
      <c r="AE988" s="9"/>
      <c r="AF988" s="7"/>
      <c r="AG988" s="92"/>
      <c r="AH988" s="28"/>
      <c r="AJ988" s="39"/>
      <c r="AK988" s="7"/>
      <c r="AL988" s="92"/>
      <c r="AM988" s="28"/>
      <c r="AO988" s="39"/>
      <c r="AP988" s="7"/>
      <c r="AQ988" s="92"/>
      <c r="AR988" s="28"/>
      <c r="AT988" s="39"/>
      <c r="AU988" s="7"/>
      <c r="AV988" s="92"/>
    </row>
    <row r="989" spans="1:48" s="27" customFormat="1" x14ac:dyDescent="0.3">
      <c r="A989" s="23"/>
      <c r="B989" s="24"/>
      <c r="C989" s="25"/>
      <c r="D989" s="25"/>
      <c r="E989" s="25"/>
      <c r="K989" s="90"/>
      <c r="M989" s="90"/>
      <c r="N989" s="28"/>
      <c r="P989" s="90"/>
      <c r="Q989" s="91"/>
      <c r="R989" s="92"/>
      <c r="S989" s="28"/>
      <c r="U989" s="39"/>
      <c r="V989" s="91"/>
      <c r="W989" s="92"/>
      <c r="X989" s="28"/>
      <c r="Z989" s="39"/>
      <c r="AA989" s="7"/>
      <c r="AB989" s="92"/>
      <c r="AC989" s="28"/>
      <c r="AE989" s="9"/>
      <c r="AF989" s="7"/>
      <c r="AG989" s="92"/>
      <c r="AH989" s="28"/>
      <c r="AJ989" s="39"/>
      <c r="AK989" s="7"/>
      <c r="AL989" s="92"/>
      <c r="AM989" s="28"/>
      <c r="AO989" s="39"/>
      <c r="AP989" s="7"/>
      <c r="AQ989" s="92"/>
      <c r="AR989" s="28"/>
      <c r="AT989" s="39"/>
      <c r="AU989" s="7"/>
      <c r="AV989" s="92"/>
    </row>
    <row r="990" spans="1:48" s="27" customFormat="1" x14ac:dyDescent="0.3">
      <c r="A990" s="23"/>
      <c r="B990" s="24"/>
      <c r="C990" s="25"/>
      <c r="D990" s="25"/>
      <c r="E990" s="25"/>
      <c r="K990" s="90"/>
      <c r="M990" s="90"/>
      <c r="N990" s="28"/>
      <c r="P990" s="90"/>
      <c r="Q990" s="91"/>
      <c r="R990" s="92"/>
      <c r="S990" s="28"/>
      <c r="U990" s="39"/>
      <c r="V990" s="91"/>
      <c r="W990" s="92"/>
      <c r="X990" s="28"/>
      <c r="Z990" s="39"/>
      <c r="AA990" s="7"/>
      <c r="AB990" s="92"/>
      <c r="AC990" s="28"/>
      <c r="AE990" s="9"/>
      <c r="AF990" s="7"/>
      <c r="AG990" s="92"/>
      <c r="AH990" s="28"/>
      <c r="AJ990" s="39"/>
      <c r="AK990" s="7"/>
      <c r="AL990" s="92"/>
      <c r="AM990" s="28"/>
      <c r="AO990" s="39"/>
      <c r="AP990" s="7"/>
      <c r="AQ990" s="92"/>
      <c r="AR990" s="28"/>
      <c r="AT990" s="39"/>
      <c r="AU990" s="7"/>
      <c r="AV990" s="92"/>
    </row>
    <row r="991" spans="1:48" s="27" customFormat="1" x14ac:dyDescent="0.3">
      <c r="A991" s="23"/>
      <c r="B991" s="24"/>
      <c r="C991" s="25"/>
      <c r="D991" s="25"/>
      <c r="E991" s="25"/>
      <c r="K991" s="90"/>
      <c r="M991" s="90"/>
      <c r="N991" s="28"/>
      <c r="P991" s="90"/>
      <c r="Q991" s="91"/>
      <c r="R991" s="92"/>
      <c r="S991" s="28"/>
      <c r="U991" s="39"/>
      <c r="V991" s="91"/>
      <c r="W991" s="92"/>
      <c r="X991" s="28"/>
      <c r="Z991" s="39"/>
      <c r="AA991" s="7"/>
      <c r="AB991" s="92"/>
      <c r="AC991" s="28"/>
      <c r="AE991" s="9"/>
      <c r="AF991" s="7"/>
      <c r="AG991" s="92"/>
      <c r="AH991" s="28"/>
      <c r="AJ991" s="39"/>
      <c r="AK991" s="7"/>
      <c r="AL991" s="92"/>
      <c r="AM991" s="28"/>
      <c r="AO991" s="39"/>
      <c r="AP991" s="7"/>
      <c r="AQ991" s="92"/>
      <c r="AR991" s="28"/>
      <c r="AT991" s="39"/>
      <c r="AU991" s="7"/>
      <c r="AV991" s="92"/>
    </row>
    <row r="992" spans="1:48" s="27" customFormat="1" x14ac:dyDescent="0.3">
      <c r="A992" s="23"/>
      <c r="B992" s="24"/>
      <c r="C992" s="25"/>
      <c r="D992" s="25"/>
      <c r="E992" s="25"/>
      <c r="K992" s="90"/>
      <c r="M992" s="90"/>
      <c r="N992" s="28"/>
      <c r="P992" s="90"/>
      <c r="Q992" s="91"/>
      <c r="R992" s="92"/>
      <c r="S992" s="28"/>
      <c r="U992" s="39"/>
      <c r="V992" s="91"/>
      <c r="W992" s="92"/>
      <c r="X992" s="28"/>
      <c r="Z992" s="39"/>
      <c r="AA992" s="7"/>
      <c r="AB992" s="92"/>
      <c r="AC992" s="28"/>
      <c r="AE992" s="9"/>
      <c r="AF992" s="7"/>
      <c r="AG992" s="92"/>
      <c r="AH992" s="28"/>
      <c r="AJ992" s="39"/>
      <c r="AK992" s="7"/>
      <c r="AL992" s="92"/>
      <c r="AM992" s="28"/>
      <c r="AO992" s="39"/>
      <c r="AP992" s="7"/>
      <c r="AQ992" s="92"/>
      <c r="AR992" s="28"/>
      <c r="AT992" s="39"/>
      <c r="AU992" s="7"/>
      <c r="AV992" s="92"/>
    </row>
    <row r="993" spans="1:48" s="27" customFormat="1" x14ac:dyDescent="0.3">
      <c r="A993" s="23"/>
      <c r="B993" s="24"/>
      <c r="C993" s="25"/>
      <c r="D993" s="25"/>
      <c r="E993" s="25"/>
      <c r="K993" s="90"/>
      <c r="M993" s="90"/>
      <c r="N993" s="28"/>
      <c r="P993" s="90"/>
      <c r="Q993" s="91"/>
      <c r="R993" s="92"/>
      <c r="S993" s="28"/>
      <c r="U993" s="39"/>
      <c r="V993" s="91"/>
      <c r="W993" s="92"/>
      <c r="X993" s="28"/>
      <c r="Z993" s="39"/>
      <c r="AA993" s="7"/>
      <c r="AB993" s="92"/>
      <c r="AC993" s="28"/>
      <c r="AE993" s="9"/>
      <c r="AF993" s="7"/>
      <c r="AG993" s="92"/>
      <c r="AH993" s="28"/>
      <c r="AJ993" s="39"/>
      <c r="AK993" s="7"/>
      <c r="AL993" s="92"/>
      <c r="AM993" s="28"/>
      <c r="AO993" s="39"/>
      <c r="AP993" s="7"/>
      <c r="AQ993" s="92"/>
      <c r="AR993" s="28"/>
      <c r="AT993" s="39"/>
      <c r="AU993" s="7"/>
      <c r="AV993" s="92"/>
    </row>
    <row r="994" spans="1:48" s="27" customFormat="1" x14ac:dyDescent="0.3">
      <c r="A994" s="23"/>
      <c r="B994" s="24"/>
      <c r="C994" s="25"/>
      <c r="D994" s="25"/>
      <c r="E994" s="25"/>
      <c r="K994" s="90"/>
      <c r="M994" s="90"/>
      <c r="N994" s="28"/>
      <c r="P994" s="90"/>
      <c r="Q994" s="91"/>
      <c r="R994" s="92"/>
      <c r="S994" s="28"/>
      <c r="U994" s="39"/>
      <c r="V994" s="91"/>
      <c r="W994" s="92"/>
      <c r="X994" s="28"/>
      <c r="Z994" s="39"/>
      <c r="AA994" s="7"/>
      <c r="AB994" s="92"/>
      <c r="AC994" s="28"/>
      <c r="AE994" s="9"/>
      <c r="AF994" s="7"/>
      <c r="AG994" s="92"/>
      <c r="AH994" s="28"/>
      <c r="AJ994" s="39"/>
      <c r="AK994" s="7"/>
      <c r="AL994" s="92"/>
      <c r="AM994" s="28"/>
      <c r="AO994" s="39"/>
      <c r="AP994" s="7"/>
      <c r="AQ994" s="92"/>
      <c r="AR994" s="28"/>
      <c r="AT994" s="39"/>
      <c r="AU994" s="7"/>
      <c r="AV994" s="92"/>
    </row>
  </sheetData>
  <conditionalFormatting sqref="A175:A217 A120:A149 A151:A173">
    <cfRule type="cellIs" dxfId="15" priority="13" operator="equal">
      <formula>6420</formula>
    </cfRule>
    <cfRule type="cellIs" dxfId="14" priority="14" operator="equal">
      <formula>6420</formula>
    </cfRule>
    <cfRule type="cellIs" dxfId="13" priority="15" operator="equal">
      <formula>6050</formula>
    </cfRule>
    <cfRule type="cellIs" dxfId="12" priority="16" operator="equal">
      <formula>606</formula>
    </cfRule>
    <cfRule type="cellIs" dxfId="11" priority="17" operator="equal">
      <formula>605</formula>
    </cfRule>
  </conditionalFormatting>
  <conditionalFormatting sqref="A174">
    <cfRule type="cellIs" dxfId="10" priority="8" operator="equal">
      <formula>6420</formula>
    </cfRule>
    <cfRule type="cellIs" dxfId="9" priority="9" operator="equal">
      <formula>6420</formula>
    </cfRule>
    <cfRule type="cellIs" dxfId="8" priority="10" operator="equal">
      <formula>6050</formula>
    </cfRule>
    <cfRule type="cellIs" dxfId="7" priority="11" operator="equal">
      <formula>606</formula>
    </cfRule>
    <cfRule type="cellIs" dxfId="6" priority="12" operator="equal">
      <formula>605</formula>
    </cfRule>
  </conditionalFormatting>
  <conditionalFormatting sqref="A150">
    <cfRule type="cellIs" dxfId="5" priority="3" operator="equal">
      <formula>6420</formula>
    </cfRule>
    <cfRule type="cellIs" dxfId="4" priority="4" operator="equal">
      <formula>6420</formula>
    </cfRule>
    <cfRule type="cellIs" dxfId="3" priority="5" operator="equal">
      <formula>6050</formula>
    </cfRule>
    <cfRule type="cellIs" dxfId="2" priority="6" operator="equal">
      <formula>606</formula>
    </cfRule>
    <cfRule type="cellIs" dxfId="1" priority="7" operator="equal">
      <formula>605</formula>
    </cfRule>
  </conditionalFormatting>
  <conditionalFormatting sqref="A81:E218">
    <cfRule type="expression" dxfId="0" priority="1">
      <formula>COUNTIF($E81,"*=*")</formula>
    </cfRule>
  </conditionalFormatting>
  <printOptions horizontalCentered="1"/>
  <pageMargins left="0.39370078740157483" right="0.39370078740157483" top="0.39370078740157483" bottom="0.39370078740157483" header="0" footer="0"/>
  <pageSetup paperSize="9" scale="94" fitToWidth="2" fitToHeight="0" orientation="portrait" r:id="rId1"/>
  <rowBreaks count="5" manualBreakCount="5">
    <brk id="78" max="16383" man="1"/>
    <brk id="125" max="16383" man="1"/>
    <brk id="153" max="16383" man="1"/>
    <brk id="260" max="16383" man="1"/>
    <brk id="800" max="30" man="1"/>
  </rowBreaks>
  <colBreaks count="1" manualBreakCount="1">
    <brk id="13" max="524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AllerVersAscenseurs">
                <anchor moveWithCells="1" sizeWithCells="1">
                  <from>
                    <xdr:col>1</xdr:col>
                    <xdr:colOff>1143000</xdr:colOff>
                    <xdr:row>672</xdr:row>
                    <xdr:rowOff>38100</xdr:rowOff>
                  </from>
                  <to>
                    <xdr:col>1</xdr:col>
                    <xdr:colOff>1838325</xdr:colOff>
                    <xdr:row>672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AllerVersChauffage">
                <anchor moveWithCells="1" sizeWithCells="1">
                  <from>
                    <xdr:col>1</xdr:col>
                    <xdr:colOff>1143000</xdr:colOff>
                    <xdr:row>660</xdr:row>
                    <xdr:rowOff>28575</xdr:rowOff>
                  </from>
                  <to>
                    <xdr:col>1</xdr:col>
                    <xdr:colOff>1838325</xdr:colOff>
                    <xdr:row>660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Comptes</vt:lpstr>
      <vt:lpstr>Comptes!Zone_d_impression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Thierry</dc:creator>
  <cp:lastModifiedBy>Michel</cp:lastModifiedBy>
  <dcterms:created xsi:type="dcterms:W3CDTF">2020-11-05T16:57:14Z</dcterms:created>
  <dcterms:modified xsi:type="dcterms:W3CDTF">2021-11-03T11:28:07Z</dcterms:modified>
</cp:coreProperties>
</file>