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u\Desktop\"/>
    </mc:Choice>
  </mc:AlternateContent>
  <xr:revisionPtr revIDLastSave="0" documentId="13_ncr:1_{D14F2DE0-9AAF-42AF-8624-9AEFDBE60801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réel" sheetId="45" r:id="rId1"/>
    <sheet name="navette" sheetId="42" r:id="rId2"/>
    <sheet name="notice" sheetId="43" r:id="rId3"/>
    <sheet name="synthese" sheetId="31" r:id="rId4"/>
    <sheet name="horaire" sheetId="1" r:id="rId5"/>
    <sheet name="type" sheetId="14" r:id="rId6"/>
    <sheet name="a" sheetId="15" r:id="rId7"/>
    <sheet name="b" sheetId="24" r:id="rId8"/>
    <sheet name="y" sheetId="25" r:id="rId9"/>
    <sheet name="semaine" sheetId="34" r:id="rId10"/>
    <sheet name="feries" sheetId="33" r:id="rId11"/>
    <sheet name="scol" sheetId="35" r:id="rId12"/>
  </sheets>
  <definedNames>
    <definedName name="An" localSheetId="10">feries!$B$3</definedName>
    <definedName name="An">feries!$B$3</definedName>
    <definedName name="Fériés">feries!$B$5:$B$16</definedName>
    <definedName name="_xlnm.Print_Titles" localSheetId="1">navette!$1:$4</definedName>
    <definedName name="Pâques">feries!$B$6</definedName>
  </definedNames>
  <calcPr calcId="191029"/>
</workbook>
</file>

<file path=xl/calcChain.xml><?xml version="1.0" encoding="utf-8"?>
<calcChain xmlns="http://schemas.openxmlformats.org/spreadsheetml/2006/main">
  <c r="O44" i="14" l="1"/>
  <c r="M44" i="14"/>
  <c r="K44" i="14"/>
  <c r="I44" i="14"/>
  <c r="G44" i="14"/>
  <c r="E44" i="14"/>
  <c r="C44" i="14"/>
  <c r="B44" i="14"/>
  <c r="A42" i="14"/>
  <c r="O41" i="14"/>
  <c r="M41" i="14"/>
  <c r="K41" i="14"/>
  <c r="I41" i="14"/>
  <c r="G41" i="14"/>
  <c r="E41" i="14"/>
  <c r="C41" i="14"/>
  <c r="B41" i="14" s="1"/>
  <c r="A39" i="14"/>
  <c r="O32" i="14"/>
  <c r="M32" i="14"/>
  <c r="K32" i="14"/>
  <c r="I32" i="14"/>
  <c r="G32" i="14"/>
  <c r="E32" i="14"/>
  <c r="C32" i="14"/>
  <c r="O29" i="14"/>
  <c r="M29" i="14"/>
  <c r="K29" i="14"/>
  <c r="I29" i="14"/>
  <c r="G29" i="14"/>
  <c r="E29" i="14"/>
  <c r="C29" i="14"/>
  <c r="E20" i="14"/>
  <c r="C20" i="14"/>
  <c r="O47" i="14" l="1"/>
  <c r="M47" i="14"/>
  <c r="K47" i="14"/>
  <c r="I47" i="14"/>
  <c r="G47" i="14"/>
  <c r="E47" i="14"/>
  <c r="C47" i="14"/>
  <c r="O35" i="14"/>
  <c r="M35" i="14"/>
  <c r="K35" i="14"/>
  <c r="I35" i="14"/>
  <c r="G35" i="14"/>
  <c r="E35" i="14"/>
  <c r="C35" i="14"/>
  <c r="B32" i="14" l="1"/>
  <c r="B35" i="14"/>
  <c r="B29" i="14"/>
  <c r="B47" i="14"/>
  <c r="M5" i="14"/>
  <c r="J1" i="42"/>
  <c r="B7" i="42" l="1"/>
  <c r="B6" i="42"/>
  <c r="B5" i="42"/>
  <c r="B6" i="34"/>
  <c r="B5" i="34"/>
  <c r="L1" i="42"/>
  <c r="A69" i="31"/>
  <c r="A67" i="31"/>
  <c r="A65" i="31"/>
  <c r="A58" i="31"/>
  <c r="A56" i="31"/>
  <c r="A54" i="31"/>
  <c r="A47" i="31"/>
  <c r="A45" i="31"/>
  <c r="A43" i="31"/>
  <c r="A36" i="31"/>
  <c r="A34" i="31"/>
  <c r="A32" i="31"/>
  <c r="A25" i="31"/>
  <c r="A23" i="31"/>
  <c r="A21" i="31"/>
  <c r="A74" i="31"/>
  <c r="A73" i="31"/>
  <c r="A72" i="31"/>
  <c r="A14" i="31"/>
  <c r="A12" i="31"/>
  <c r="A10" i="31"/>
  <c r="A79" i="45"/>
  <c r="A76" i="45"/>
  <c r="A73" i="45"/>
  <c r="A67" i="45"/>
  <c r="A64" i="45"/>
  <c r="A61" i="45"/>
  <c r="A55" i="45"/>
  <c r="A52" i="45"/>
  <c r="A49" i="45"/>
  <c r="A43" i="45"/>
  <c r="A40" i="45"/>
  <c r="A37" i="45"/>
  <c r="A31" i="45"/>
  <c r="A28" i="45"/>
  <c r="A25" i="45"/>
  <c r="A19" i="45"/>
  <c r="A16" i="45"/>
  <c r="A13" i="45"/>
  <c r="D2" i="45"/>
  <c r="B2" i="45"/>
  <c r="A79" i="1"/>
  <c r="A76" i="1"/>
  <c r="A73" i="1"/>
  <c r="K5" i="14"/>
  <c r="E5" i="14"/>
  <c r="D2" i="1"/>
  <c r="B3" i="45" l="1"/>
  <c r="B4" i="45" s="1"/>
  <c r="B5" i="45" s="1"/>
  <c r="C12" i="45" s="1"/>
  <c r="A2" i="25"/>
  <c r="A2" i="24"/>
  <c r="A2" i="15"/>
  <c r="B2" i="25"/>
  <c r="B2" i="24"/>
  <c r="B2" i="15"/>
  <c r="C8" i="14"/>
  <c r="B3" i="31"/>
  <c r="B7" i="34" s="1"/>
  <c r="C4" i="25" l="1"/>
  <c r="C4" i="24"/>
  <c r="C4" i="15"/>
  <c r="E12" i="45"/>
  <c r="D3" i="31"/>
  <c r="O23" i="14"/>
  <c r="O20" i="14"/>
  <c r="O17" i="14"/>
  <c r="O11" i="14"/>
  <c r="O8" i="14"/>
  <c r="O5" i="14"/>
  <c r="E2" i="24"/>
  <c r="B2" i="1"/>
  <c r="B3" i="1" s="1"/>
  <c r="A13" i="1"/>
  <c r="A16" i="1"/>
  <c r="A19" i="1"/>
  <c r="A25" i="1"/>
  <c r="A28" i="1"/>
  <c r="A31" i="1"/>
  <c r="A37" i="1"/>
  <c r="A40" i="1"/>
  <c r="A43" i="1"/>
  <c r="A49" i="1"/>
  <c r="A52" i="1"/>
  <c r="A55" i="1"/>
  <c r="A61" i="1"/>
  <c r="A64" i="1"/>
  <c r="A67" i="1"/>
  <c r="E2" i="25"/>
  <c r="E2" i="15"/>
  <c r="C5" i="14"/>
  <c r="G5" i="14"/>
  <c r="I5" i="14"/>
  <c r="E8" i="14"/>
  <c r="G8" i="14"/>
  <c r="I8" i="14"/>
  <c r="K8" i="14"/>
  <c r="M8" i="14"/>
  <c r="C11" i="14"/>
  <c r="E11" i="14"/>
  <c r="G11" i="14"/>
  <c r="I11" i="14"/>
  <c r="K11" i="14"/>
  <c r="M11" i="14"/>
  <c r="A15" i="14"/>
  <c r="C17" i="14"/>
  <c r="E17" i="14"/>
  <c r="G17" i="14"/>
  <c r="I17" i="14"/>
  <c r="K17" i="14"/>
  <c r="M17" i="14"/>
  <c r="A18" i="14"/>
  <c r="G20" i="14"/>
  <c r="I20" i="14"/>
  <c r="K20" i="14"/>
  <c r="M20" i="14"/>
  <c r="A21" i="14"/>
  <c r="C23" i="14"/>
  <c r="E23" i="14"/>
  <c r="G23" i="14"/>
  <c r="I23" i="14"/>
  <c r="K23" i="14"/>
  <c r="M23" i="14"/>
  <c r="E4" i="25" l="1"/>
  <c r="E4" i="24"/>
  <c r="E4" i="15"/>
  <c r="G12" i="45"/>
  <c r="B3" i="33"/>
  <c r="B16" i="33" s="1"/>
  <c r="B4" i="1"/>
  <c r="B5" i="1" s="1"/>
  <c r="C7" i="34"/>
  <c r="B11" i="14"/>
  <c r="B8" i="14"/>
  <c r="B5" i="14"/>
  <c r="B23" i="14"/>
  <c r="B20" i="14"/>
  <c r="B17" i="14"/>
  <c r="B4" i="31"/>
  <c r="B8" i="34" l="1"/>
  <c r="C8" i="34" s="1"/>
  <c r="D8" i="34" s="1"/>
  <c r="D3" i="1"/>
  <c r="D3" i="45"/>
  <c r="G4" i="25"/>
  <c r="G4" i="24"/>
  <c r="G4" i="15"/>
  <c r="I12" i="45"/>
  <c r="C12" i="1"/>
  <c r="B6" i="33"/>
  <c r="B10" i="33" s="1"/>
  <c r="B9" i="33"/>
  <c r="B13" i="33"/>
  <c r="B8" i="33"/>
  <c r="B5" i="33"/>
  <c r="B18" i="33"/>
  <c r="B14" i="33"/>
  <c r="B15" i="33"/>
  <c r="B12" i="33"/>
  <c r="B5" i="31"/>
  <c r="B9" i="34" s="1"/>
  <c r="D4" i="31"/>
  <c r="C9" i="34" l="1"/>
  <c r="D4" i="45"/>
  <c r="I4" i="25"/>
  <c r="I4" i="24"/>
  <c r="I4" i="15"/>
  <c r="K12" i="45"/>
  <c r="C7" i="31"/>
  <c r="D5" i="31"/>
  <c r="B7" i="31" s="1"/>
  <c r="B7" i="33"/>
  <c r="B11" i="33"/>
  <c r="B23" i="33"/>
  <c r="B27" i="33"/>
  <c r="B24" i="33"/>
  <c r="B30" i="33"/>
  <c r="B21" i="33"/>
  <c r="B20" i="33"/>
  <c r="B31" i="33"/>
  <c r="B28" i="33"/>
  <c r="B29" i="33"/>
  <c r="E12" i="1"/>
  <c r="D4" i="1"/>
  <c r="D9" i="34" l="1"/>
  <c r="B11" i="1" s="1"/>
  <c r="C6" i="31"/>
  <c r="E7" i="31"/>
  <c r="E6" i="31" s="1"/>
  <c r="D5" i="1"/>
  <c r="B12" i="1" s="1"/>
  <c r="B24" i="1" s="1"/>
  <c r="D5" i="45"/>
  <c r="B12" i="45" s="1"/>
  <c r="B18" i="31"/>
  <c r="K4" i="25"/>
  <c r="K4" i="24"/>
  <c r="K4" i="15"/>
  <c r="M12" i="45"/>
  <c r="B22" i="33"/>
  <c r="B26" i="33"/>
  <c r="G12" i="1"/>
  <c r="K20" i="1" l="1"/>
  <c r="C20" i="1"/>
  <c r="I19" i="1"/>
  <c r="K17" i="1"/>
  <c r="C17" i="1"/>
  <c r="I16" i="1"/>
  <c r="O14" i="1"/>
  <c r="G14" i="1"/>
  <c r="P20" i="1"/>
  <c r="L20" i="1"/>
  <c r="H20" i="1"/>
  <c r="D20" i="1"/>
  <c r="N19" i="1"/>
  <c r="J19" i="1"/>
  <c r="F19" i="1"/>
  <c r="P17" i="1"/>
  <c r="L17" i="1"/>
  <c r="H17" i="1"/>
  <c r="D17" i="1"/>
  <c r="N16" i="1"/>
  <c r="J16" i="1"/>
  <c r="F16" i="1"/>
  <c r="P14" i="1"/>
  <c r="L14" i="1"/>
  <c r="H14" i="1"/>
  <c r="D14" i="1"/>
  <c r="M20" i="1"/>
  <c r="E20" i="1"/>
  <c r="K19" i="1"/>
  <c r="G19" i="1"/>
  <c r="M17" i="1"/>
  <c r="E17" i="1"/>
  <c r="K16" i="1"/>
  <c r="C16" i="1"/>
  <c r="I14" i="1"/>
  <c r="I20" i="1"/>
  <c r="O19" i="1"/>
  <c r="C19" i="1"/>
  <c r="I17" i="1"/>
  <c r="O16" i="1"/>
  <c r="G16" i="1"/>
  <c r="M14" i="1"/>
  <c r="E14" i="1"/>
  <c r="N20" i="1"/>
  <c r="J20" i="1"/>
  <c r="F20" i="1"/>
  <c r="P19" i="1"/>
  <c r="L19" i="1"/>
  <c r="H19" i="1"/>
  <c r="D19" i="1"/>
  <c r="N17" i="1"/>
  <c r="J17" i="1"/>
  <c r="F17" i="1"/>
  <c r="P16" i="1"/>
  <c r="L16" i="1"/>
  <c r="H16" i="1"/>
  <c r="D16" i="1"/>
  <c r="N14" i="1"/>
  <c r="J14" i="1"/>
  <c r="F14" i="1"/>
  <c r="O20" i="1"/>
  <c r="G20" i="1"/>
  <c r="M19" i="1"/>
  <c r="E19" i="1"/>
  <c r="O17" i="1"/>
  <c r="G17" i="1"/>
  <c r="M16" i="1"/>
  <c r="E16" i="1"/>
  <c r="K14" i="1"/>
  <c r="C14" i="1"/>
  <c r="P13" i="1"/>
  <c r="L13" i="1"/>
  <c r="H13" i="1"/>
  <c r="D13" i="1"/>
  <c r="M13" i="1"/>
  <c r="I13" i="1"/>
  <c r="E13" i="1"/>
  <c r="N13" i="1"/>
  <c r="J13" i="1"/>
  <c r="F13" i="1"/>
  <c r="O13" i="1"/>
  <c r="K13" i="1"/>
  <c r="G13" i="1"/>
  <c r="C13" i="1"/>
  <c r="B23" i="1"/>
  <c r="G7" i="31"/>
  <c r="G6" i="31" s="1"/>
  <c r="B6" i="31"/>
  <c r="B29" i="31"/>
  <c r="B11" i="45"/>
  <c r="B4" i="24"/>
  <c r="B4" i="25"/>
  <c r="B4" i="15"/>
  <c r="B24" i="45"/>
  <c r="M4" i="25"/>
  <c r="M4" i="24"/>
  <c r="M4" i="15"/>
  <c r="C24" i="45"/>
  <c r="O12" i="45"/>
  <c r="B25" i="33"/>
  <c r="H12" i="45" s="1"/>
  <c r="I12" i="1"/>
  <c r="B36" i="1"/>
  <c r="H7" i="31" l="1"/>
  <c r="I7" i="31"/>
  <c r="I6" i="31" s="1"/>
  <c r="B35" i="1"/>
  <c r="B28" i="31" s="1"/>
  <c r="M32" i="1"/>
  <c r="I32" i="1"/>
  <c r="E32" i="1"/>
  <c r="O31" i="1"/>
  <c r="K31" i="1"/>
  <c r="G31" i="1"/>
  <c r="C31" i="1"/>
  <c r="M29" i="1"/>
  <c r="I29" i="1"/>
  <c r="E29" i="1"/>
  <c r="O28" i="1"/>
  <c r="K28" i="1"/>
  <c r="G28" i="1"/>
  <c r="C28" i="1"/>
  <c r="M26" i="1"/>
  <c r="I26" i="1"/>
  <c r="E26" i="1"/>
  <c r="O25" i="1"/>
  <c r="K25" i="1"/>
  <c r="G25" i="1"/>
  <c r="C25" i="1"/>
  <c r="O32" i="1"/>
  <c r="K32" i="1"/>
  <c r="G32" i="1"/>
  <c r="C32" i="1"/>
  <c r="M31" i="1"/>
  <c r="I31" i="1"/>
  <c r="E31" i="1"/>
  <c r="O29" i="1"/>
  <c r="K29" i="1"/>
  <c r="G29" i="1"/>
  <c r="C29" i="1"/>
  <c r="M28" i="1"/>
  <c r="I28" i="1"/>
  <c r="E28" i="1"/>
  <c r="O26" i="1"/>
  <c r="K26" i="1"/>
  <c r="G26" i="1"/>
  <c r="C26" i="1"/>
  <c r="M25" i="1"/>
  <c r="I25" i="1"/>
  <c r="E25" i="1"/>
  <c r="L32" i="1"/>
  <c r="D32" i="1"/>
  <c r="J31" i="1"/>
  <c r="P29" i="1"/>
  <c r="H29" i="1"/>
  <c r="N28" i="1"/>
  <c r="L26" i="1"/>
  <c r="D26" i="1"/>
  <c r="J25" i="1"/>
  <c r="N32" i="1"/>
  <c r="F32" i="1"/>
  <c r="L31" i="1"/>
  <c r="D31" i="1"/>
  <c r="J29" i="1"/>
  <c r="P28" i="1"/>
  <c r="H28" i="1"/>
  <c r="N26" i="1"/>
  <c r="F26" i="1"/>
  <c r="L25" i="1"/>
  <c r="D25" i="1"/>
  <c r="P26" i="1"/>
  <c r="P32" i="1"/>
  <c r="H32" i="1"/>
  <c r="N31" i="1"/>
  <c r="F31" i="1"/>
  <c r="L29" i="1"/>
  <c r="D29" i="1"/>
  <c r="J28" i="1"/>
  <c r="H26" i="1"/>
  <c r="N25" i="1"/>
  <c r="F25" i="1"/>
  <c r="J32" i="1"/>
  <c r="P31" i="1"/>
  <c r="H31" i="1"/>
  <c r="N29" i="1"/>
  <c r="F29" i="1"/>
  <c r="L28" i="1"/>
  <c r="D28" i="1"/>
  <c r="J26" i="1"/>
  <c r="P25" i="1"/>
  <c r="H25" i="1"/>
  <c r="F28" i="1"/>
  <c r="M20" i="45"/>
  <c r="M15" i="31" s="1"/>
  <c r="I20" i="45"/>
  <c r="I15" i="31" s="1"/>
  <c r="E20" i="45"/>
  <c r="O19" i="45"/>
  <c r="K19" i="45"/>
  <c r="G19" i="45"/>
  <c r="G14" i="31" s="1"/>
  <c r="C19" i="45"/>
  <c r="M17" i="45"/>
  <c r="M13" i="31" s="1"/>
  <c r="I17" i="45"/>
  <c r="I13" i="31" s="1"/>
  <c r="E17" i="45"/>
  <c r="E13" i="31" s="1"/>
  <c r="O16" i="45"/>
  <c r="O12" i="31" s="1"/>
  <c r="K16" i="45"/>
  <c r="K12" i="31" s="1"/>
  <c r="G16" i="45"/>
  <c r="G12" i="31" s="1"/>
  <c r="C16" i="45"/>
  <c r="C12" i="31" s="1"/>
  <c r="M14" i="45"/>
  <c r="I14" i="45"/>
  <c r="I11" i="31" s="1"/>
  <c r="E14" i="45"/>
  <c r="E6" i="15" s="1"/>
  <c r="O13" i="45"/>
  <c r="O5" i="15" s="1"/>
  <c r="K13" i="45"/>
  <c r="G13" i="45"/>
  <c r="G5" i="15" s="1"/>
  <c r="C13" i="45"/>
  <c r="O20" i="45"/>
  <c r="O6" i="25" s="1"/>
  <c r="K20" i="45"/>
  <c r="K6" i="25" s="1"/>
  <c r="G20" i="45"/>
  <c r="G15" i="31" s="1"/>
  <c r="C20" i="45"/>
  <c r="C15" i="31" s="1"/>
  <c r="M19" i="45"/>
  <c r="M14" i="31" s="1"/>
  <c r="I19" i="45"/>
  <c r="I5" i="25" s="1"/>
  <c r="E19" i="45"/>
  <c r="E5" i="25" s="1"/>
  <c r="O17" i="45"/>
  <c r="K17" i="45"/>
  <c r="G17" i="45"/>
  <c r="C17" i="45"/>
  <c r="M16" i="45"/>
  <c r="I16" i="45"/>
  <c r="E16" i="45"/>
  <c r="O14" i="45"/>
  <c r="O11" i="31" s="1"/>
  <c r="K14" i="45"/>
  <c r="K6" i="15" s="1"/>
  <c r="G14" i="45"/>
  <c r="G6" i="15" s="1"/>
  <c r="C14" i="45"/>
  <c r="C11" i="31" s="1"/>
  <c r="M13" i="45"/>
  <c r="M10" i="31" s="1"/>
  <c r="I13" i="45"/>
  <c r="I5" i="15" s="1"/>
  <c r="E13" i="45"/>
  <c r="E10" i="31" s="1"/>
  <c r="L20" i="45"/>
  <c r="D20" i="45"/>
  <c r="J19" i="45"/>
  <c r="P17" i="45"/>
  <c r="H17" i="45"/>
  <c r="H13" i="31" s="1"/>
  <c r="N16" i="45"/>
  <c r="N12" i="31" s="1"/>
  <c r="F16" i="45"/>
  <c r="F5" i="24" s="1"/>
  <c r="L14" i="45"/>
  <c r="D14" i="45"/>
  <c r="J13" i="45"/>
  <c r="J10" i="31" s="1"/>
  <c r="N20" i="45"/>
  <c r="F20" i="45"/>
  <c r="L19" i="45"/>
  <c r="L5" i="25" s="1"/>
  <c r="D19" i="45"/>
  <c r="D14" i="31" s="1"/>
  <c r="J17" i="45"/>
  <c r="J6" i="24" s="1"/>
  <c r="P16" i="45"/>
  <c r="H16" i="45"/>
  <c r="H12" i="31" s="1"/>
  <c r="N14" i="45"/>
  <c r="N11" i="31" s="1"/>
  <c r="F14" i="45"/>
  <c r="F11" i="31" s="1"/>
  <c r="L13" i="45"/>
  <c r="L10" i="31" s="1"/>
  <c r="D13" i="45"/>
  <c r="P20" i="45"/>
  <c r="H20" i="45"/>
  <c r="H15" i="31" s="1"/>
  <c r="N19" i="45"/>
  <c r="N14" i="31" s="1"/>
  <c r="F19" i="45"/>
  <c r="F5" i="25" s="1"/>
  <c r="L17" i="45"/>
  <c r="L13" i="31" s="1"/>
  <c r="D17" i="45"/>
  <c r="D6" i="24" s="1"/>
  <c r="J16" i="45"/>
  <c r="J12" i="31" s="1"/>
  <c r="P14" i="45"/>
  <c r="H14" i="45"/>
  <c r="N13" i="45"/>
  <c r="N5" i="15" s="1"/>
  <c r="F13" i="45"/>
  <c r="F10" i="31" s="1"/>
  <c r="J20" i="45"/>
  <c r="J15" i="31" s="1"/>
  <c r="P19" i="45"/>
  <c r="P5" i="25" s="1"/>
  <c r="H19" i="45"/>
  <c r="H14" i="31" s="1"/>
  <c r="N17" i="45"/>
  <c r="F17" i="45"/>
  <c r="F13" i="31" s="1"/>
  <c r="L16" i="45"/>
  <c r="D16" i="45"/>
  <c r="J14" i="45"/>
  <c r="P13" i="45"/>
  <c r="P10" i="31" s="1"/>
  <c r="H13" i="45"/>
  <c r="H10" i="31" s="1"/>
  <c r="K18" i="1"/>
  <c r="G18" i="1"/>
  <c r="G21" i="1"/>
  <c r="E18" i="1"/>
  <c r="O18" i="1"/>
  <c r="K15" i="1"/>
  <c r="B23" i="45"/>
  <c r="C18" i="1"/>
  <c r="I15" i="1"/>
  <c r="I18" i="1"/>
  <c r="B17" i="31"/>
  <c r="M15" i="1"/>
  <c r="E15" i="1"/>
  <c r="O21" i="1"/>
  <c r="K21" i="1"/>
  <c r="C15" i="1"/>
  <c r="M18" i="1"/>
  <c r="C21" i="1"/>
  <c r="E21" i="1"/>
  <c r="M21" i="1"/>
  <c r="I21" i="1"/>
  <c r="O15" i="1"/>
  <c r="G15" i="1"/>
  <c r="B40" i="31"/>
  <c r="H12" i="1"/>
  <c r="M11" i="31"/>
  <c r="C14" i="31"/>
  <c r="B36" i="45"/>
  <c r="B10" i="25"/>
  <c r="B10" i="15"/>
  <c r="B10" i="24"/>
  <c r="L12" i="45"/>
  <c r="D7" i="31"/>
  <c r="C10" i="25"/>
  <c r="C10" i="24"/>
  <c r="C10" i="15"/>
  <c r="O4" i="25"/>
  <c r="O4" i="24"/>
  <c r="O4" i="15"/>
  <c r="D12" i="1"/>
  <c r="E24" i="45"/>
  <c r="D24" i="45"/>
  <c r="P12" i="45"/>
  <c r="J12" i="45"/>
  <c r="F12" i="45"/>
  <c r="N12" i="45"/>
  <c r="D12" i="45"/>
  <c r="F12" i="1"/>
  <c r="F7" i="31"/>
  <c r="J12" i="1"/>
  <c r="K12" i="1"/>
  <c r="B48" i="1"/>
  <c r="K7" i="31"/>
  <c r="K6" i="31" s="1"/>
  <c r="J7" i="31"/>
  <c r="O5" i="24" l="1"/>
  <c r="E14" i="31"/>
  <c r="M5" i="25"/>
  <c r="K11" i="31"/>
  <c r="O10" i="31"/>
  <c r="O15" i="31"/>
  <c r="D13" i="31"/>
  <c r="H5" i="25"/>
  <c r="E6" i="24"/>
  <c r="G27" i="1"/>
  <c r="P14" i="31"/>
  <c r="C5" i="24"/>
  <c r="P5" i="15"/>
  <c r="E30" i="1"/>
  <c r="E11" i="31"/>
  <c r="I27" i="1"/>
  <c r="M30" i="1"/>
  <c r="F12" i="31"/>
  <c r="L14" i="31"/>
  <c r="K15" i="31"/>
  <c r="I14" i="31"/>
  <c r="N10" i="31"/>
  <c r="M6" i="24"/>
  <c r="B51" i="31"/>
  <c r="B47" i="1"/>
  <c r="B39" i="31" s="1"/>
  <c r="N44" i="1"/>
  <c r="J44" i="1"/>
  <c r="F44" i="1"/>
  <c r="P43" i="1"/>
  <c r="L43" i="1"/>
  <c r="H43" i="1"/>
  <c r="D43" i="1"/>
  <c r="N41" i="1"/>
  <c r="J41" i="1"/>
  <c r="F41" i="1"/>
  <c r="P40" i="1"/>
  <c r="L40" i="1"/>
  <c r="H40" i="1"/>
  <c r="D40" i="1"/>
  <c r="N38" i="1"/>
  <c r="J38" i="1"/>
  <c r="F38" i="1"/>
  <c r="P37" i="1"/>
  <c r="L37" i="1"/>
  <c r="H37" i="1"/>
  <c r="D37" i="1"/>
  <c r="P44" i="1"/>
  <c r="L44" i="1"/>
  <c r="H44" i="1"/>
  <c r="D44" i="1"/>
  <c r="N43" i="1"/>
  <c r="J43" i="1"/>
  <c r="F43" i="1"/>
  <c r="P41" i="1"/>
  <c r="L41" i="1"/>
  <c r="H41" i="1"/>
  <c r="D41" i="1"/>
  <c r="N40" i="1"/>
  <c r="J40" i="1"/>
  <c r="F40" i="1"/>
  <c r="P38" i="1"/>
  <c r="L38" i="1"/>
  <c r="H38" i="1"/>
  <c r="D38" i="1"/>
  <c r="N37" i="1"/>
  <c r="J37" i="1"/>
  <c r="F37" i="1"/>
  <c r="I44" i="1"/>
  <c r="O43" i="1"/>
  <c r="G43" i="1"/>
  <c r="M41" i="1"/>
  <c r="E41" i="1"/>
  <c r="K40" i="1"/>
  <c r="C40" i="1"/>
  <c r="I38" i="1"/>
  <c r="O37" i="1"/>
  <c r="G37" i="1"/>
  <c r="K44" i="1"/>
  <c r="C44" i="1"/>
  <c r="I43" i="1"/>
  <c r="O41" i="1"/>
  <c r="G41" i="1"/>
  <c r="M40" i="1"/>
  <c r="E40" i="1"/>
  <c r="K38" i="1"/>
  <c r="C38" i="1"/>
  <c r="I37" i="1"/>
  <c r="M44" i="1"/>
  <c r="E44" i="1"/>
  <c r="K43" i="1"/>
  <c r="C43" i="1"/>
  <c r="I41" i="1"/>
  <c r="O40" i="1"/>
  <c r="G40" i="1"/>
  <c r="M38" i="1"/>
  <c r="E38" i="1"/>
  <c r="K37" i="1"/>
  <c r="C37" i="1"/>
  <c r="O44" i="1"/>
  <c r="G44" i="1"/>
  <c r="M43" i="1"/>
  <c r="E43" i="1"/>
  <c r="K41" i="1"/>
  <c r="C41" i="1"/>
  <c r="I40" i="1"/>
  <c r="O38" i="1"/>
  <c r="G38" i="1"/>
  <c r="M37" i="1"/>
  <c r="E37" i="1"/>
  <c r="K30" i="1"/>
  <c r="O33" i="1"/>
  <c r="O27" i="1"/>
  <c r="M27" i="1"/>
  <c r="C27" i="1"/>
  <c r="O30" i="1"/>
  <c r="C30" i="1"/>
  <c r="G33" i="1"/>
  <c r="E27" i="1"/>
  <c r="I30" i="1"/>
  <c r="M33" i="1"/>
  <c r="G30" i="1"/>
  <c r="K33" i="1"/>
  <c r="I33" i="1"/>
  <c r="E33" i="1"/>
  <c r="C33" i="1"/>
  <c r="B35" i="45"/>
  <c r="P32" i="45"/>
  <c r="L32" i="45"/>
  <c r="H32" i="45"/>
  <c r="D32" i="45"/>
  <c r="N31" i="45"/>
  <c r="J31" i="45"/>
  <c r="F31" i="45"/>
  <c r="P29" i="45"/>
  <c r="L29" i="45"/>
  <c r="H29" i="45"/>
  <c r="D29" i="45"/>
  <c r="N28" i="45"/>
  <c r="J28" i="45"/>
  <c r="F28" i="45"/>
  <c r="P26" i="45"/>
  <c r="L26" i="45"/>
  <c r="H26" i="45"/>
  <c r="D26" i="45"/>
  <c r="N25" i="45"/>
  <c r="J25" i="45"/>
  <c r="F25" i="45"/>
  <c r="M32" i="45"/>
  <c r="I32" i="45"/>
  <c r="E32" i="45"/>
  <c r="O31" i="45"/>
  <c r="K31" i="45"/>
  <c r="G31" i="45"/>
  <c r="C31" i="45"/>
  <c r="M29" i="45"/>
  <c r="I29" i="45"/>
  <c r="E29" i="45"/>
  <c r="O28" i="45"/>
  <c r="K28" i="45"/>
  <c r="G28" i="45"/>
  <c r="C28" i="45"/>
  <c r="M26" i="45"/>
  <c r="I26" i="45"/>
  <c r="E26" i="45"/>
  <c r="O25" i="45"/>
  <c r="K25" i="45"/>
  <c r="G25" i="45"/>
  <c r="C25" i="45"/>
  <c r="N32" i="45"/>
  <c r="J32" i="45"/>
  <c r="F32" i="45"/>
  <c r="P31" i="45"/>
  <c r="L31" i="45"/>
  <c r="H31" i="45"/>
  <c r="D31" i="45"/>
  <c r="N29" i="45"/>
  <c r="J29" i="45"/>
  <c r="F29" i="45"/>
  <c r="P28" i="45"/>
  <c r="L28" i="45"/>
  <c r="H28" i="45"/>
  <c r="D28" i="45"/>
  <c r="N26" i="45"/>
  <c r="J26" i="45"/>
  <c r="F26" i="45"/>
  <c r="P25" i="45"/>
  <c r="L25" i="45"/>
  <c r="H25" i="45"/>
  <c r="D25" i="45"/>
  <c r="O32" i="45"/>
  <c r="K32" i="45"/>
  <c r="G32" i="45"/>
  <c r="C32" i="45"/>
  <c r="M31" i="45"/>
  <c r="I31" i="45"/>
  <c r="E31" i="45"/>
  <c r="O29" i="45"/>
  <c r="K29" i="45"/>
  <c r="G29" i="45"/>
  <c r="C29" i="45"/>
  <c r="M28" i="45"/>
  <c r="I28" i="45"/>
  <c r="E28" i="45"/>
  <c r="O26" i="45"/>
  <c r="K26" i="45"/>
  <c r="G26" i="45"/>
  <c r="C26" i="45"/>
  <c r="M25" i="45"/>
  <c r="I25" i="45"/>
  <c r="E25" i="45"/>
  <c r="K27" i="1"/>
  <c r="F6" i="15"/>
  <c r="D5" i="25"/>
  <c r="B18" i="1"/>
  <c r="I10" i="31"/>
  <c r="I6" i="24"/>
  <c r="G6" i="25"/>
  <c r="N6" i="15"/>
  <c r="O6" i="15"/>
  <c r="F5" i="15"/>
  <c r="C6" i="15"/>
  <c r="L5" i="15"/>
  <c r="O21" i="45"/>
  <c r="P21" i="45" s="1"/>
  <c r="L6" i="24"/>
  <c r="B21" i="1"/>
  <c r="B15" i="1"/>
  <c r="I21" i="45"/>
  <c r="J21" i="45" s="1"/>
  <c r="G5" i="24"/>
  <c r="H5" i="24"/>
  <c r="E18" i="45"/>
  <c r="F18" i="45" s="1"/>
  <c r="E5" i="15"/>
  <c r="G11" i="31"/>
  <c r="J5" i="15"/>
  <c r="J5" i="24"/>
  <c r="M5" i="15"/>
  <c r="K21" i="45"/>
  <c r="L21" i="45" s="1"/>
  <c r="M6" i="25"/>
  <c r="I6" i="25"/>
  <c r="N5" i="24"/>
  <c r="O15" i="45"/>
  <c r="P15" i="45" s="1"/>
  <c r="G10" i="31"/>
  <c r="C6" i="25"/>
  <c r="K5" i="24"/>
  <c r="C18" i="45"/>
  <c r="D18" i="45" s="1"/>
  <c r="J6" i="25"/>
  <c r="G5" i="25"/>
  <c r="J11" i="31"/>
  <c r="J6" i="15"/>
  <c r="G18" i="45"/>
  <c r="H18" i="45" s="1"/>
  <c r="C5" i="25"/>
  <c r="H6" i="24"/>
  <c r="I6" i="15"/>
  <c r="H5" i="15"/>
  <c r="G21" i="45"/>
  <c r="H21" i="45" s="1"/>
  <c r="K18" i="45"/>
  <c r="L18" i="45" s="1"/>
  <c r="I15" i="45"/>
  <c r="J15" i="45" s="1"/>
  <c r="N5" i="25"/>
  <c r="G15" i="45"/>
  <c r="H15" i="45" s="1"/>
  <c r="C21" i="45"/>
  <c r="D21" i="45" s="1"/>
  <c r="F6" i="24"/>
  <c r="F14" i="31"/>
  <c r="F15" i="31"/>
  <c r="F6" i="25"/>
  <c r="I12" i="31"/>
  <c r="I5" i="24"/>
  <c r="P15" i="31"/>
  <c r="P6" i="25"/>
  <c r="G13" i="31"/>
  <c r="G6" i="24"/>
  <c r="H6" i="25"/>
  <c r="M6" i="15"/>
  <c r="M15" i="45"/>
  <c r="N15" i="45" s="1"/>
  <c r="C13" i="31"/>
  <c r="C6" i="24"/>
  <c r="E12" i="31"/>
  <c r="E5" i="24"/>
  <c r="P13" i="31"/>
  <c r="P6" i="24"/>
  <c r="E15" i="45"/>
  <c r="F15" i="45" s="1"/>
  <c r="J13" i="31"/>
  <c r="I18" i="45"/>
  <c r="J18" i="45" s="1"/>
  <c r="N15" i="31"/>
  <c r="M21" i="45"/>
  <c r="N21" i="45" s="1"/>
  <c r="N6" i="25"/>
  <c r="K15" i="45"/>
  <c r="L15" i="45" s="1"/>
  <c r="J14" i="31"/>
  <c r="J5" i="25"/>
  <c r="P12" i="31"/>
  <c r="P5" i="24"/>
  <c r="H11" i="31"/>
  <c r="H6" i="15"/>
  <c r="K10" i="31"/>
  <c r="K5" i="15"/>
  <c r="D11" i="31"/>
  <c r="C15" i="45"/>
  <c r="D15" i="45" s="1"/>
  <c r="D6" i="15"/>
  <c r="P11" i="31"/>
  <c r="P6" i="15"/>
  <c r="L15" i="31"/>
  <c r="L6" i="25"/>
  <c r="K14" i="31"/>
  <c r="K5" i="25"/>
  <c r="K13" i="31"/>
  <c r="K6" i="24"/>
  <c r="D12" i="31"/>
  <c r="D5" i="24"/>
  <c r="M12" i="31"/>
  <c r="M5" i="24"/>
  <c r="L12" i="31"/>
  <c r="L5" i="24"/>
  <c r="L11" i="31"/>
  <c r="L6" i="15"/>
  <c r="C10" i="31"/>
  <c r="C5" i="15"/>
  <c r="D15" i="31"/>
  <c r="D6" i="25"/>
  <c r="E6" i="25"/>
  <c r="E21" i="45"/>
  <c r="F21" i="45" s="1"/>
  <c r="E15" i="31"/>
  <c r="O5" i="25"/>
  <c r="O14" i="31"/>
  <c r="D10" i="31"/>
  <c r="D5" i="15"/>
  <c r="O13" i="31"/>
  <c r="O18" i="45"/>
  <c r="P18" i="45" s="1"/>
  <c r="O6" i="24"/>
  <c r="N13" i="31"/>
  <c r="N6" i="24"/>
  <c r="M18" i="45"/>
  <c r="N18" i="45" s="1"/>
  <c r="B48" i="45"/>
  <c r="B16" i="25"/>
  <c r="B16" i="15"/>
  <c r="B16" i="24"/>
  <c r="E10" i="25"/>
  <c r="E10" i="24"/>
  <c r="E10" i="15"/>
  <c r="G24" i="45"/>
  <c r="F24" i="45"/>
  <c r="L12" i="1"/>
  <c r="M12" i="1"/>
  <c r="M7" i="31"/>
  <c r="M6" i="31" s="1"/>
  <c r="L7" i="31"/>
  <c r="B60" i="1"/>
  <c r="B72" i="1" s="1"/>
  <c r="B62" i="31" l="1"/>
  <c r="B27" i="1"/>
  <c r="E7" i="24"/>
  <c r="O7" i="15"/>
  <c r="I45" i="1"/>
  <c r="B30" i="1"/>
  <c r="G39" i="1"/>
  <c r="B33" i="1"/>
  <c r="E7" i="15"/>
  <c r="I7" i="24"/>
  <c r="M45" i="1"/>
  <c r="C45" i="1"/>
  <c r="B47" i="45"/>
  <c r="D53" i="45" s="1"/>
  <c r="P44" i="45"/>
  <c r="L44" i="45"/>
  <c r="H44" i="45"/>
  <c r="D44" i="45"/>
  <c r="N43" i="45"/>
  <c r="J43" i="45"/>
  <c r="F43" i="45"/>
  <c r="P41" i="45"/>
  <c r="L41" i="45"/>
  <c r="H41" i="45"/>
  <c r="D41" i="45"/>
  <c r="N40" i="45"/>
  <c r="J40" i="45"/>
  <c r="P38" i="45"/>
  <c r="L38" i="45"/>
  <c r="H38" i="45"/>
  <c r="D38" i="45"/>
  <c r="N37" i="45"/>
  <c r="J37" i="45"/>
  <c r="F37" i="45"/>
  <c r="M44" i="45"/>
  <c r="I44" i="45"/>
  <c r="E44" i="45"/>
  <c r="O43" i="45"/>
  <c r="K43" i="45"/>
  <c r="G43" i="45"/>
  <c r="C43" i="45"/>
  <c r="M41" i="45"/>
  <c r="I41" i="45"/>
  <c r="E41" i="45"/>
  <c r="O40" i="45"/>
  <c r="K40" i="45"/>
  <c r="G40" i="45"/>
  <c r="C40" i="45"/>
  <c r="M38" i="45"/>
  <c r="I38" i="45"/>
  <c r="E38" i="45"/>
  <c r="O37" i="45"/>
  <c r="K37" i="45"/>
  <c r="G37" i="45"/>
  <c r="C37" i="45"/>
  <c r="N44" i="45"/>
  <c r="J44" i="45"/>
  <c r="F44" i="45"/>
  <c r="P43" i="45"/>
  <c r="L43" i="45"/>
  <c r="H43" i="45"/>
  <c r="D43" i="45"/>
  <c r="N41" i="45"/>
  <c r="J41" i="45"/>
  <c r="F41" i="45"/>
  <c r="P40" i="45"/>
  <c r="L40" i="45"/>
  <c r="H40" i="45"/>
  <c r="D40" i="45"/>
  <c r="N38" i="45"/>
  <c r="J38" i="45"/>
  <c r="F38" i="45"/>
  <c r="P37" i="45"/>
  <c r="L37" i="45"/>
  <c r="H37" i="45"/>
  <c r="D37" i="45"/>
  <c r="O44" i="45"/>
  <c r="K44" i="45"/>
  <c r="G44" i="45"/>
  <c r="C44" i="45"/>
  <c r="M43" i="45"/>
  <c r="I43" i="45"/>
  <c r="E43" i="45"/>
  <c r="O41" i="45"/>
  <c r="K41" i="45"/>
  <c r="G41" i="45"/>
  <c r="C41" i="45"/>
  <c r="M40" i="45"/>
  <c r="I40" i="45"/>
  <c r="O38" i="45"/>
  <c r="K38" i="45"/>
  <c r="G38" i="45"/>
  <c r="C38" i="45"/>
  <c r="M37" i="45"/>
  <c r="I37" i="45"/>
  <c r="E37" i="45"/>
  <c r="B59" i="1"/>
  <c r="P56" i="1"/>
  <c r="L56" i="1"/>
  <c r="H56" i="1"/>
  <c r="D56" i="1"/>
  <c r="N55" i="1"/>
  <c r="J55" i="1"/>
  <c r="F55" i="1"/>
  <c r="P53" i="1"/>
  <c r="L53" i="1"/>
  <c r="H53" i="1"/>
  <c r="D53" i="1"/>
  <c r="N52" i="1"/>
  <c r="J52" i="1"/>
  <c r="F52" i="1"/>
  <c r="P50" i="1"/>
  <c r="L50" i="1"/>
  <c r="H50" i="1"/>
  <c r="D50" i="1"/>
  <c r="N49" i="1"/>
  <c r="J49" i="1"/>
  <c r="F49" i="1"/>
  <c r="M56" i="1"/>
  <c r="I56" i="1"/>
  <c r="E56" i="1"/>
  <c r="O55" i="1"/>
  <c r="K55" i="1"/>
  <c r="G55" i="1"/>
  <c r="C55" i="1"/>
  <c r="M53" i="1"/>
  <c r="I53" i="1"/>
  <c r="E53" i="1"/>
  <c r="O52" i="1"/>
  <c r="K52" i="1"/>
  <c r="G52" i="1"/>
  <c r="C52" i="1"/>
  <c r="M50" i="1"/>
  <c r="I50" i="1"/>
  <c r="E50" i="1"/>
  <c r="O49" i="1"/>
  <c r="K49" i="1"/>
  <c r="G49" i="1"/>
  <c r="C49" i="1"/>
  <c r="N56" i="1"/>
  <c r="J56" i="1"/>
  <c r="F56" i="1"/>
  <c r="P55" i="1"/>
  <c r="L55" i="1"/>
  <c r="H55" i="1"/>
  <c r="D55" i="1"/>
  <c r="N53" i="1"/>
  <c r="J53" i="1"/>
  <c r="F53" i="1"/>
  <c r="P52" i="1"/>
  <c r="L52" i="1"/>
  <c r="H52" i="1"/>
  <c r="D52" i="1"/>
  <c r="N50" i="1"/>
  <c r="J50" i="1"/>
  <c r="F50" i="1"/>
  <c r="P49" i="1"/>
  <c r="L49" i="1"/>
  <c r="H49" i="1"/>
  <c r="D49" i="1"/>
  <c r="O56" i="1"/>
  <c r="K56" i="1"/>
  <c r="G56" i="1"/>
  <c r="C56" i="1"/>
  <c r="M55" i="1"/>
  <c r="I55" i="1"/>
  <c r="E55" i="1"/>
  <c r="O53" i="1"/>
  <c r="K53" i="1"/>
  <c r="G53" i="1"/>
  <c r="C53" i="1"/>
  <c r="M52" i="1"/>
  <c r="I52" i="1"/>
  <c r="E52" i="1"/>
  <c r="O50" i="1"/>
  <c r="K50" i="1"/>
  <c r="G50" i="1"/>
  <c r="C50" i="1"/>
  <c r="M49" i="1"/>
  <c r="I49" i="1"/>
  <c r="E49" i="1"/>
  <c r="O39" i="1"/>
  <c r="C42" i="1"/>
  <c r="G45" i="1"/>
  <c r="C39" i="1"/>
  <c r="K39" i="1"/>
  <c r="O42" i="1"/>
  <c r="M39" i="1"/>
  <c r="E45" i="1"/>
  <c r="K42" i="1"/>
  <c r="O45" i="1"/>
  <c r="I39" i="1"/>
  <c r="M42" i="1"/>
  <c r="I42" i="1"/>
  <c r="E42" i="1"/>
  <c r="G42" i="1"/>
  <c r="K45" i="1"/>
  <c r="E39" i="1"/>
  <c r="G9" i="31"/>
  <c r="M7" i="24"/>
  <c r="M7" i="15"/>
  <c r="M8" i="31"/>
  <c r="C7" i="25"/>
  <c r="K7" i="25"/>
  <c r="I8" i="31"/>
  <c r="I7" i="15"/>
  <c r="G8" i="31"/>
  <c r="I7" i="25"/>
  <c r="G7" i="25"/>
  <c r="O7" i="24"/>
  <c r="A21" i="45"/>
  <c r="R15" i="31" s="1"/>
  <c r="C7" i="24"/>
  <c r="B15" i="45"/>
  <c r="A11" i="31" s="1"/>
  <c r="G7" i="15"/>
  <c r="M7" i="25"/>
  <c r="E9" i="31"/>
  <c r="G7" i="24"/>
  <c r="B21" i="45"/>
  <c r="A15" i="31" s="1"/>
  <c r="C8" i="31"/>
  <c r="B18" i="45"/>
  <c r="A13" i="31" s="1"/>
  <c r="A15" i="45"/>
  <c r="R11" i="31" s="1"/>
  <c r="A18" i="45"/>
  <c r="Q13" i="31" s="1"/>
  <c r="O8" i="31"/>
  <c r="O7" i="25"/>
  <c r="K9" i="31"/>
  <c r="I9" i="31"/>
  <c r="M9" i="31"/>
  <c r="E7" i="25"/>
  <c r="K7" i="15"/>
  <c r="C9" i="31"/>
  <c r="E8" i="31"/>
  <c r="K7" i="24"/>
  <c r="N23" i="31"/>
  <c r="N11" i="24"/>
  <c r="L22" i="31"/>
  <c r="K27" i="45"/>
  <c r="L12" i="15"/>
  <c r="G21" i="31"/>
  <c r="G11" i="15"/>
  <c r="O25" i="31"/>
  <c r="O11" i="25"/>
  <c r="M24" i="31"/>
  <c r="M12" i="24"/>
  <c r="J11" i="24"/>
  <c r="J23" i="31"/>
  <c r="H22" i="31"/>
  <c r="G27" i="45"/>
  <c r="H27" i="45" s="1"/>
  <c r="H12" i="15"/>
  <c r="P26" i="31"/>
  <c r="O33" i="45"/>
  <c r="P12" i="25"/>
  <c r="C21" i="31"/>
  <c r="C11" i="15"/>
  <c r="K25" i="31"/>
  <c r="K11" i="25"/>
  <c r="I12" i="24"/>
  <c r="I24" i="31"/>
  <c r="F23" i="31"/>
  <c r="F11" i="24"/>
  <c r="D22" i="31"/>
  <c r="C27" i="45"/>
  <c r="D12" i="15"/>
  <c r="L26" i="31"/>
  <c r="K33" i="45"/>
  <c r="L12" i="25"/>
  <c r="G11" i="25"/>
  <c r="G25" i="31"/>
  <c r="E24" i="31"/>
  <c r="E12" i="24"/>
  <c r="O22" i="31"/>
  <c r="O12" i="15"/>
  <c r="N11" i="15"/>
  <c r="N21" i="31"/>
  <c r="H26" i="31"/>
  <c r="G33" i="45"/>
  <c r="H33" i="45" s="1"/>
  <c r="H12" i="25"/>
  <c r="C11" i="25"/>
  <c r="C25" i="31"/>
  <c r="O23" i="31"/>
  <c r="O11" i="24"/>
  <c r="O9" i="31"/>
  <c r="C7" i="15"/>
  <c r="K22" i="31"/>
  <c r="K12" i="15"/>
  <c r="J21" i="31"/>
  <c r="J11" i="15"/>
  <c r="D26" i="31"/>
  <c r="C33" i="45"/>
  <c r="D12" i="25"/>
  <c r="N24" i="31"/>
  <c r="M30" i="45"/>
  <c r="N12" i="24"/>
  <c r="K23" i="31"/>
  <c r="K11" i="24"/>
  <c r="G12" i="15"/>
  <c r="G22" i="31"/>
  <c r="O12" i="25"/>
  <c r="O26" i="31"/>
  <c r="F21" i="31"/>
  <c r="F11" i="15"/>
  <c r="N25" i="31"/>
  <c r="N11" i="25"/>
  <c r="J24" i="31"/>
  <c r="I30" i="45"/>
  <c r="J12" i="24"/>
  <c r="G11" i="24"/>
  <c r="G23" i="31"/>
  <c r="C22" i="31"/>
  <c r="C12" i="15"/>
  <c r="K12" i="25"/>
  <c r="K26" i="31"/>
  <c r="J11" i="25"/>
  <c r="J25" i="31"/>
  <c r="F24" i="31"/>
  <c r="E30" i="45"/>
  <c r="F30" i="45" s="1"/>
  <c r="F12" i="24"/>
  <c r="C23" i="31"/>
  <c r="C11" i="24"/>
  <c r="M21" i="31"/>
  <c r="M11" i="15"/>
  <c r="G26" i="31"/>
  <c r="G12" i="25"/>
  <c r="F11" i="25"/>
  <c r="F25" i="31"/>
  <c r="P23" i="31"/>
  <c r="P11" i="24"/>
  <c r="N22" i="31"/>
  <c r="M27" i="45"/>
  <c r="N12" i="15"/>
  <c r="I21" i="31"/>
  <c r="I11" i="15"/>
  <c r="C26" i="31"/>
  <c r="C12" i="25"/>
  <c r="O24" i="31"/>
  <c r="O12" i="24"/>
  <c r="L23" i="31"/>
  <c r="L11" i="24"/>
  <c r="J22" i="31"/>
  <c r="I27" i="45"/>
  <c r="J12" i="15"/>
  <c r="E21" i="31"/>
  <c r="E11" i="15"/>
  <c r="M11" i="25"/>
  <c r="M25" i="31"/>
  <c r="K24" i="31"/>
  <c r="K12" i="24"/>
  <c r="H11" i="24"/>
  <c r="H23" i="31"/>
  <c r="F22" i="31"/>
  <c r="E27" i="45"/>
  <c r="F27" i="45" s="1"/>
  <c r="F12" i="15"/>
  <c r="N26" i="31"/>
  <c r="M33" i="45"/>
  <c r="N12" i="25"/>
  <c r="I11" i="25"/>
  <c r="I25" i="31"/>
  <c r="G12" i="24"/>
  <c r="G24" i="31"/>
  <c r="D23" i="31"/>
  <c r="D11" i="24"/>
  <c r="P11" i="15"/>
  <c r="P21" i="31"/>
  <c r="J26" i="31"/>
  <c r="I33" i="45"/>
  <c r="J12" i="25"/>
  <c r="E25" i="31"/>
  <c r="E11" i="25"/>
  <c r="C24" i="31"/>
  <c r="C12" i="24"/>
  <c r="M22" i="31"/>
  <c r="M12" i="15"/>
  <c r="L21" i="31"/>
  <c r="L11" i="15"/>
  <c r="F26" i="31"/>
  <c r="E33" i="45"/>
  <c r="F33" i="45" s="1"/>
  <c r="F12" i="25"/>
  <c r="K8" i="31"/>
  <c r="P24" i="31"/>
  <c r="P12" i="24"/>
  <c r="O30" i="45"/>
  <c r="M23" i="31"/>
  <c r="M11" i="24"/>
  <c r="I22" i="31"/>
  <c r="I12" i="15"/>
  <c r="H21" i="31"/>
  <c r="H11" i="15"/>
  <c r="P11" i="25"/>
  <c r="P25" i="31"/>
  <c r="L24" i="31"/>
  <c r="L12" i="24"/>
  <c r="K30" i="45"/>
  <c r="I23" i="31"/>
  <c r="I11" i="24"/>
  <c r="E22" i="31"/>
  <c r="E12" i="15"/>
  <c r="M26" i="31"/>
  <c r="M12" i="25"/>
  <c r="D21" i="31"/>
  <c r="D11" i="15"/>
  <c r="L11" i="25"/>
  <c r="L25" i="31"/>
  <c r="H24" i="31"/>
  <c r="H12" i="24"/>
  <c r="G30" i="45"/>
  <c r="H30" i="45" s="1"/>
  <c r="E23" i="31"/>
  <c r="E11" i="24"/>
  <c r="O11" i="15"/>
  <c r="O21" i="31"/>
  <c r="I12" i="25"/>
  <c r="I26" i="31"/>
  <c r="H25" i="31"/>
  <c r="H11" i="25"/>
  <c r="D24" i="31"/>
  <c r="D12" i="24"/>
  <c r="C30" i="45"/>
  <c r="P22" i="31"/>
  <c r="O27" i="45"/>
  <c r="P12" i="15"/>
  <c r="K21" i="31"/>
  <c r="K11" i="15"/>
  <c r="E12" i="25"/>
  <c r="E26" i="31"/>
  <c r="D25" i="31"/>
  <c r="D11" i="25"/>
  <c r="B60" i="45"/>
  <c r="B22" i="25"/>
  <c r="B22" i="15"/>
  <c r="B22" i="24"/>
  <c r="G10" i="25"/>
  <c r="G10" i="24"/>
  <c r="G10" i="15"/>
  <c r="I24" i="45"/>
  <c r="H24" i="45"/>
  <c r="O12" i="1"/>
  <c r="C24" i="1"/>
  <c r="N12" i="1"/>
  <c r="P12" i="1"/>
  <c r="B50" i="31"/>
  <c r="C18" i="31"/>
  <c r="C17" i="31" s="1"/>
  <c r="O7" i="31"/>
  <c r="O6" i="31" s="1"/>
  <c r="N7" i="31"/>
  <c r="I54" i="1" l="1"/>
  <c r="Q11" i="31"/>
  <c r="B39" i="1"/>
  <c r="B42" i="1"/>
  <c r="B45" i="1"/>
  <c r="B59" i="45"/>
  <c r="N56" i="45"/>
  <c r="J56" i="45"/>
  <c r="F56" i="45"/>
  <c r="P55" i="45"/>
  <c r="L55" i="45"/>
  <c r="H55" i="45"/>
  <c r="D55" i="45"/>
  <c r="N53" i="45"/>
  <c r="J53" i="45"/>
  <c r="F53" i="45"/>
  <c r="P52" i="45"/>
  <c r="L52" i="45"/>
  <c r="H52" i="45"/>
  <c r="D52" i="45"/>
  <c r="N50" i="45"/>
  <c r="J50" i="45"/>
  <c r="F50" i="45"/>
  <c r="P49" i="45"/>
  <c r="L49" i="45"/>
  <c r="H49" i="45"/>
  <c r="D49" i="45"/>
  <c r="P56" i="45"/>
  <c r="L56" i="45"/>
  <c r="H56" i="45"/>
  <c r="D56" i="45"/>
  <c r="N55" i="45"/>
  <c r="J55" i="45"/>
  <c r="F55" i="45"/>
  <c r="P53" i="45"/>
  <c r="L53" i="45"/>
  <c r="H53" i="45"/>
  <c r="N52" i="45"/>
  <c r="J52" i="45"/>
  <c r="F52" i="45"/>
  <c r="P50" i="45"/>
  <c r="L50" i="45"/>
  <c r="H50" i="45"/>
  <c r="D50" i="45"/>
  <c r="N49" i="45"/>
  <c r="J49" i="45"/>
  <c r="F49" i="45"/>
  <c r="K56" i="45"/>
  <c r="C56" i="45"/>
  <c r="I55" i="45"/>
  <c r="O53" i="45"/>
  <c r="G53" i="45"/>
  <c r="M52" i="45"/>
  <c r="E52" i="45"/>
  <c r="K50" i="45"/>
  <c r="C50" i="45"/>
  <c r="I49" i="45"/>
  <c r="M56" i="45"/>
  <c r="E56" i="45"/>
  <c r="K55" i="45"/>
  <c r="C55" i="45"/>
  <c r="I53" i="45"/>
  <c r="O52" i="45"/>
  <c r="G52" i="45"/>
  <c r="M50" i="45"/>
  <c r="E50" i="45"/>
  <c r="K49" i="45"/>
  <c r="C49" i="45"/>
  <c r="O56" i="45"/>
  <c r="G56" i="45"/>
  <c r="M55" i="45"/>
  <c r="E55" i="45"/>
  <c r="K53" i="45"/>
  <c r="C53" i="45"/>
  <c r="I52" i="45"/>
  <c r="O50" i="45"/>
  <c r="G50" i="45"/>
  <c r="M49" i="45"/>
  <c r="E49" i="45"/>
  <c r="I56" i="45"/>
  <c r="O55" i="45"/>
  <c r="G55" i="45"/>
  <c r="M53" i="45"/>
  <c r="E53" i="45"/>
  <c r="K52" i="45"/>
  <c r="C52" i="45"/>
  <c r="I50" i="45"/>
  <c r="O49" i="45"/>
  <c r="G49" i="45"/>
  <c r="G51" i="1"/>
  <c r="I51" i="1"/>
  <c r="M54" i="1"/>
  <c r="K51" i="1"/>
  <c r="O54" i="1"/>
  <c r="C57" i="1"/>
  <c r="B71" i="1"/>
  <c r="O68" i="1"/>
  <c r="K68" i="1"/>
  <c r="G68" i="1"/>
  <c r="C68" i="1"/>
  <c r="M67" i="1"/>
  <c r="I67" i="1"/>
  <c r="E67" i="1"/>
  <c r="O65" i="1"/>
  <c r="K65" i="1"/>
  <c r="G65" i="1"/>
  <c r="C65" i="1"/>
  <c r="M64" i="1"/>
  <c r="I64" i="1"/>
  <c r="E64" i="1"/>
  <c r="O62" i="1"/>
  <c r="K62" i="1"/>
  <c r="G62" i="1"/>
  <c r="C62" i="1"/>
  <c r="M61" i="1"/>
  <c r="I61" i="1"/>
  <c r="E61" i="1"/>
  <c r="P68" i="1"/>
  <c r="L68" i="1"/>
  <c r="H68" i="1"/>
  <c r="D68" i="1"/>
  <c r="N67" i="1"/>
  <c r="J67" i="1"/>
  <c r="F67" i="1"/>
  <c r="P65" i="1"/>
  <c r="L65" i="1"/>
  <c r="H65" i="1"/>
  <c r="D65" i="1"/>
  <c r="N64" i="1"/>
  <c r="J64" i="1"/>
  <c r="F64" i="1"/>
  <c r="P62" i="1"/>
  <c r="L62" i="1"/>
  <c r="H62" i="1"/>
  <c r="D62" i="1"/>
  <c r="N61" i="1"/>
  <c r="J61" i="1"/>
  <c r="F61" i="1"/>
  <c r="M68" i="1"/>
  <c r="I68" i="1"/>
  <c r="E68" i="1"/>
  <c r="O67" i="1"/>
  <c r="K67" i="1"/>
  <c r="G67" i="1"/>
  <c r="C67" i="1"/>
  <c r="M65" i="1"/>
  <c r="I65" i="1"/>
  <c r="E65" i="1"/>
  <c r="O64" i="1"/>
  <c r="K64" i="1"/>
  <c r="G64" i="1"/>
  <c r="C64" i="1"/>
  <c r="M62" i="1"/>
  <c r="I62" i="1"/>
  <c r="E62" i="1"/>
  <c r="O61" i="1"/>
  <c r="K61" i="1"/>
  <c r="G61" i="1"/>
  <c r="C61" i="1"/>
  <c r="N68" i="1"/>
  <c r="J68" i="1"/>
  <c r="F68" i="1"/>
  <c r="P67" i="1"/>
  <c r="L67" i="1"/>
  <c r="H67" i="1"/>
  <c r="D67" i="1"/>
  <c r="N65" i="1"/>
  <c r="J65" i="1"/>
  <c r="F65" i="1"/>
  <c r="P64" i="1"/>
  <c r="L64" i="1"/>
  <c r="H64" i="1"/>
  <c r="D64" i="1"/>
  <c r="N62" i="1"/>
  <c r="J62" i="1"/>
  <c r="F62" i="1"/>
  <c r="P61" i="1"/>
  <c r="L61" i="1"/>
  <c r="H61" i="1"/>
  <c r="D61" i="1"/>
  <c r="E51" i="1"/>
  <c r="M57" i="1"/>
  <c r="K54" i="1"/>
  <c r="O57" i="1"/>
  <c r="E54" i="1"/>
  <c r="I57" i="1"/>
  <c r="C51" i="1"/>
  <c r="G54" i="1"/>
  <c r="K57" i="1"/>
  <c r="M51" i="1"/>
  <c r="E57" i="1"/>
  <c r="O51" i="1"/>
  <c r="C54" i="1"/>
  <c r="G57" i="1"/>
  <c r="B7" i="25"/>
  <c r="R13" i="31"/>
  <c r="Q15" i="31"/>
  <c r="B7" i="15"/>
  <c r="B7" i="24"/>
  <c r="E13" i="25"/>
  <c r="I13" i="25"/>
  <c r="K13" i="24"/>
  <c r="O13" i="24"/>
  <c r="O13" i="15"/>
  <c r="G13" i="24"/>
  <c r="C33" i="31"/>
  <c r="C18" i="15"/>
  <c r="K37" i="31"/>
  <c r="K18" i="25"/>
  <c r="D33" i="31"/>
  <c r="C39" i="45"/>
  <c r="D18" i="15"/>
  <c r="L37" i="31"/>
  <c r="K45" i="45"/>
  <c r="L18" i="25"/>
  <c r="J35" i="31"/>
  <c r="I42" i="45"/>
  <c r="J18" i="24"/>
  <c r="I35" i="31"/>
  <c r="I18" i="24"/>
  <c r="M32" i="31"/>
  <c r="M17" i="15"/>
  <c r="G37" i="31"/>
  <c r="G18" i="25"/>
  <c r="N32" i="31"/>
  <c r="N17" i="15"/>
  <c r="H37" i="31"/>
  <c r="G45" i="45"/>
  <c r="H18" i="25"/>
  <c r="F35" i="31"/>
  <c r="E42" i="45"/>
  <c r="F18" i="24"/>
  <c r="E35" i="31"/>
  <c r="E18" i="24"/>
  <c r="I32" i="31"/>
  <c r="I17" i="15"/>
  <c r="C37" i="31"/>
  <c r="C18" i="25"/>
  <c r="J32" i="31"/>
  <c r="J17" i="15"/>
  <c r="D37" i="31"/>
  <c r="C45" i="45"/>
  <c r="D18" i="25"/>
  <c r="P34" i="31"/>
  <c r="P17" i="24"/>
  <c r="O34" i="31"/>
  <c r="O17" i="24"/>
  <c r="E32" i="31"/>
  <c r="E17" i="15"/>
  <c r="M36" i="31"/>
  <c r="M17" i="25"/>
  <c r="F32" i="31"/>
  <c r="F17" i="15"/>
  <c r="N36" i="31"/>
  <c r="N17" i="25"/>
  <c r="L34" i="31"/>
  <c r="L17" i="24"/>
  <c r="K34" i="31"/>
  <c r="K17" i="24"/>
  <c r="G32" i="31"/>
  <c r="G17" i="15"/>
  <c r="K19" i="31"/>
  <c r="C13" i="24"/>
  <c r="O20" i="31"/>
  <c r="E13" i="15"/>
  <c r="I13" i="15"/>
  <c r="I13" i="24"/>
  <c r="E20" i="31"/>
  <c r="G13" i="25"/>
  <c r="C13" i="15"/>
  <c r="D30" i="45"/>
  <c r="B30" i="45"/>
  <c r="I36" i="31"/>
  <c r="I17" i="25"/>
  <c r="J36" i="31"/>
  <c r="J17" i="25"/>
  <c r="H34" i="31"/>
  <c r="H17" i="24"/>
  <c r="G34" i="31"/>
  <c r="G17" i="24"/>
  <c r="E36" i="31"/>
  <c r="E17" i="25"/>
  <c r="F36" i="31"/>
  <c r="F17" i="25"/>
  <c r="D34" i="31"/>
  <c r="D17" i="24"/>
  <c r="C34" i="31"/>
  <c r="C17" i="24"/>
  <c r="P35" i="31"/>
  <c r="P18" i="24"/>
  <c r="O42" i="45"/>
  <c r="O35" i="31"/>
  <c r="O18" i="24"/>
  <c r="M33" i="31"/>
  <c r="M18" i="15"/>
  <c r="N33" i="31"/>
  <c r="M39" i="45"/>
  <c r="N18" i="15"/>
  <c r="L35" i="31"/>
  <c r="L18" i="24"/>
  <c r="K42" i="45"/>
  <c r="K35" i="31"/>
  <c r="K18" i="24"/>
  <c r="I33" i="31"/>
  <c r="I18" i="15"/>
  <c r="J33" i="31"/>
  <c r="I39" i="45"/>
  <c r="J18" i="15"/>
  <c r="D33" i="45"/>
  <c r="B33" i="45"/>
  <c r="M13" i="15"/>
  <c r="E13" i="24"/>
  <c r="O19" i="31"/>
  <c r="M20" i="31"/>
  <c r="O13" i="25"/>
  <c r="H35" i="31"/>
  <c r="H18" i="24"/>
  <c r="G42" i="45"/>
  <c r="G35" i="31"/>
  <c r="G18" i="24"/>
  <c r="E33" i="31"/>
  <c r="E18" i="15"/>
  <c r="M37" i="31"/>
  <c r="M18" i="25"/>
  <c r="F33" i="31"/>
  <c r="E39" i="45"/>
  <c r="F18" i="15"/>
  <c r="N37" i="31"/>
  <c r="M45" i="45"/>
  <c r="N18" i="25"/>
  <c r="D35" i="31"/>
  <c r="D18" i="24"/>
  <c r="C42" i="45"/>
  <c r="C35" i="31"/>
  <c r="C18" i="24"/>
  <c r="O32" i="31"/>
  <c r="O17" i="15"/>
  <c r="I37" i="31"/>
  <c r="I18" i="25"/>
  <c r="P32" i="31"/>
  <c r="P17" i="15"/>
  <c r="J37" i="31"/>
  <c r="I45" i="45"/>
  <c r="J18" i="25"/>
  <c r="N34" i="31"/>
  <c r="N17" i="24"/>
  <c r="M34" i="31"/>
  <c r="M17" i="24"/>
  <c r="K32" i="31"/>
  <c r="K17" i="15"/>
  <c r="E37" i="31"/>
  <c r="E18" i="25"/>
  <c r="L32" i="31"/>
  <c r="L17" i="15"/>
  <c r="F37" i="31"/>
  <c r="E45" i="45"/>
  <c r="F18" i="25"/>
  <c r="J34" i="31"/>
  <c r="J17" i="24"/>
  <c r="I34" i="31"/>
  <c r="I17" i="24"/>
  <c r="C32" i="31"/>
  <c r="C17" i="15"/>
  <c r="O36" i="31"/>
  <c r="O17" i="25"/>
  <c r="H32" i="31"/>
  <c r="H17" i="15"/>
  <c r="P36" i="31"/>
  <c r="P17" i="25"/>
  <c r="C20" i="31"/>
  <c r="G20" i="31"/>
  <c r="M13" i="24"/>
  <c r="C13" i="25"/>
  <c r="I20" i="31"/>
  <c r="C19" i="31"/>
  <c r="G13" i="15"/>
  <c r="I19" i="31"/>
  <c r="G19" i="31"/>
  <c r="F34" i="31"/>
  <c r="F17" i="24"/>
  <c r="E34" i="31"/>
  <c r="E17" i="24"/>
  <c r="K36" i="31"/>
  <c r="K17" i="25"/>
  <c r="D32" i="31"/>
  <c r="D17" i="15"/>
  <c r="L36" i="31"/>
  <c r="L17" i="25"/>
  <c r="O33" i="31"/>
  <c r="O18" i="15"/>
  <c r="P33" i="31"/>
  <c r="O39" i="45"/>
  <c r="P18" i="15"/>
  <c r="G36" i="31"/>
  <c r="G17" i="25"/>
  <c r="H36" i="31"/>
  <c r="H17" i="25"/>
  <c r="K33" i="31"/>
  <c r="K18" i="15"/>
  <c r="L33" i="31"/>
  <c r="K39" i="45"/>
  <c r="L18" i="15"/>
  <c r="C36" i="31"/>
  <c r="C17" i="25"/>
  <c r="D36" i="31"/>
  <c r="D17" i="25"/>
  <c r="G33" i="31"/>
  <c r="G18" i="15"/>
  <c r="O37" i="31"/>
  <c r="O18" i="25"/>
  <c r="H33" i="31"/>
  <c r="G39" i="45"/>
  <c r="H18" i="15"/>
  <c r="P37" i="31"/>
  <c r="O45" i="45"/>
  <c r="P18" i="25"/>
  <c r="N35" i="31"/>
  <c r="M42" i="45"/>
  <c r="N18" i="24"/>
  <c r="M35" i="31"/>
  <c r="M18" i="24"/>
  <c r="B27" i="45"/>
  <c r="D27" i="45"/>
  <c r="K20" i="31"/>
  <c r="M13" i="25"/>
  <c r="E19" i="31"/>
  <c r="M19" i="31"/>
  <c r="K13" i="25"/>
  <c r="K13" i="15"/>
  <c r="B72" i="45"/>
  <c r="B28" i="25"/>
  <c r="B28" i="15"/>
  <c r="B28" i="24"/>
  <c r="S13" i="31"/>
  <c r="S15" i="31"/>
  <c r="S11" i="31"/>
  <c r="P7" i="31"/>
  <c r="T10" i="31" s="1"/>
  <c r="T11" i="31" s="1"/>
  <c r="J30" i="45"/>
  <c r="J33" i="45"/>
  <c r="J27" i="45"/>
  <c r="I10" i="25"/>
  <c r="I10" i="24"/>
  <c r="I10" i="15"/>
  <c r="K24" i="45"/>
  <c r="J24" i="45"/>
  <c r="E24" i="1"/>
  <c r="D24" i="1"/>
  <c r="D18" i="31"/>
  <c r="E18" i="31"/>
  <c r="E17" i="31" s="1"/>
  <c r="I63" i="1" l="1"/>
  <c r="M66" i="1"/>
  <c r="E66" i="1"/>
  <c r="I69" i="1"/>
  <c r="M63" i="1"/>
  <c r="E69" i="1"/>
  <c r="E63" i="1"/>
  <c r="I66" i="1"/>
  <c r="M69" i="1"/>
  <c r="G66" i="1"/>
  <c r="B51" i="1"/>
  <c r="G63" i="1"/>
  <c r="B57" i="1"/>
  <c r="B54" i="1"/>
  <c r="O80" i="1"/>
  <c r="K80" i="1"/>
  <c r="G80" i="1"/>
  <c r="C80" i="1"/>
  <c r="M79" i="1"/>
  <c r="I79" i="1"/>
  <c r="E79" i="1"/>
  <c r="O77" i="1"/>
  <c r="K77" i="1"/>
  <c r="G77" i="1"/>
  <c r="C77" i="1"/>
  <c r="M76" i="1"/>
  <c r="I76" i="1"/>
  <c r="E76" i="1"/>
  <c r="O74" i="1"/>
  <c r="K74" i="1"/>
  <c r="G74" i="1"/>
  <c r="C74" i="1"/>
  <c r="M73" i="1"/>
  <c r="I73" i="1"/>
  <c r="E73" i="1"/>
  <c r="P80" i="1"/>
  <c r="L80" i="1"/>
  <c r="H80" i="1"/>
  <c r="D80" i="1"/>
  <c r="N79" i="1"/>
  <c r="J79" i="1"/>
  <c r="F79" i="1"/>
  <c r="P77" i="1"/>
  <c r="L77" i="1"/>
  <c r="H77" i="1"/>
  <c r="D77" i="1"/>
  <c r="N76" i="1"/>
  <c r="J76" i="1"/>
  <c r="F76" i="1"/>
  <c r="P74" i="1"/>
  <c r="L74" i="1"/>
  <c r="H74" i="1"/>
  <c r="D74" i="1"/>
  <c r="N73" i="1"/>
  <c r="J73" i="1"/>
  <c r="F73" i="1"/>
  <c r="M80" i="1"/>
  <c r="I80" i="1"/>
  <c r="E80" i="1"/>
  <c r="O79" i="1"/>
  <c r="K79" i="1"/>
  <c r="G79" i="1"/>
  <c r="C79" i="1"/>
  <c r="M77" i="1"/>
  <c r="I77" i="1"/>
  <c r="E77" i="1"/>
  <c r="O76" i="1"/>
  <c r="K76" i="1"/>
  <c r="G76" i="1"/>
  <c r="C76" i="1"/>
  <c r="M74" i="1"/>
  <c r="I74" i="1"/>
  <c r="E74" i="1"/>
  <c r="O73" i="1"/>
  <c r="K73" i="1"/>
  <c r="G73" i="1"/>
  <c r="C73" i="1"/>
  <c r="N80" i="1"/>
  <c r="J80" i="1"/>
  <c r="F80" i="1"/>
  <c r="P79" i="1"/>
  <c r="L79" i="1"/>
  <c r="H79" i="1"/>
  <c r="D79" i="1"/>
  <c r="N77" i="1"/>
  <c r="J77" i="1"/>
  <c r="F77" i="1"/>
  <c r="P76" i="1"/>
  <c r="L76" i="1"/>
  <c r="H76" i="1"/>
  <c r="D76" i="1"/>
  <c r="N74" i="1"/>
  <c r="J74" i="1"/>
  <c r="F74" i="1"/>
  <c r="P73" i="1"/>
  <c r="L73" i="1"/>
  <c r="H73" i="1"/>
  <c r="D73" i="1"/>
  <c r="B61" i="31"/>
  <c r="B71" i="45"/>
  <c r="M68" i="45"/>
  <c r="I68" i="45"/>
  <c r="E68" i="45"/>
  <c r="O67" i="45"/>
  <c r="K67" i="45"/>
  <c r="G67" i="45"/>
  <c r="C67" i="45"/>
  <c r="M65" i="45"/>
  <c r="I65" i="45"/>
  <c r="E65" i="45"/>
  <c r="O64" i="45"/>
  <c r="K64" i="45"/>
  <c r="G64" i="45"/>
  <c r="C64" i="45"/>
  <c r="M62" i="45"/>
  <c r="I62" i="45"/>
  <c r="E62" i="45"/>
  <c r="O61" i="45"/>
  <c r="K61" i="45"/>
  <c r="G61" i="45"/>
  <c r="C61" i="45"/>
  <c r="N68" i="45"/>
  <c r="J68" i="45"/>
  <c r="F68" i="45"/>
  <c r="P67" i="45"/>
  <c r="L67" i="45"/>
  <c r="H67" i="45"/>
  <c r="D67" i="45"/>
  <c r="N65" i="45"/>
  <c r="J65" i="45"/>
  <c r="F65" i="45"/>
  <c r="P64" i="45"/>
  <c r="L64" i="45"/>
  <c r="H64" i="45"/>
  <c r="D64" i="45"/>
  <c r="N62" i="45"/>
  <c r="J62" i="45"/>
  <c r="F62" i="45"/>
  <c r="P61" i="45"/>
  <c r="L61" i="45"/>
  <c r="H61" i="45"/>
  <c r="D61" i="45"/>
  <c r="P68" i="45"/>
  <c r="L68" i="45"/>
  <c r="H68" i="45"/>
  <c r="D68" i="45"/>
  <c r="N67" i="45"/>
  <c r="J67" i="45"/>
  <c r="F67" i="45"/>
  <c r="P65" i="45"/>
  <c r="L65" i="45"/>
  <c r="H65" i="45"/>
  <c r="D65" i="45"/>
  <c r="N64" i="45"/>
  <c r="J64" i="45"/>
  <c r="F64" i="45"/>
  <c r="P62" i="45"/>
  <c r="L62" i="45"/>
  <c r="H62" i="45"/>
  <c r="D62" i="45"/>
  <c r="N61" i="45"/>
  <c r="J61" i="45"/>
  <c r="F61" i="45"/>
  <c r="K68" i="45"/>
  <c r="I67" i="45"/>
  <c r="G65" i="45"/>
  <c r="E64" i="45"/>
  <c r="C62" i="45"/>
  <c r="O68" i="45"/>
  <c r="M67" i="45"/>
  <c r="K65" i="45"/>
  <c r="I64" i="45"/>
  <c r="G62" i="45"/>
  <c r="E61" i="45"/>
  <c r="C68" i="45"/>
  <c r="O65" i="45"/>
  <c r="M64" i="45"/>
  <c r="K62" i="45"/>
  <c r="I61" i="45"/>
  <c r="G68" i="45"/>
  <c r="E67" i="45"/>
  <c r="C65" i="45"/>
  <c r="O62" i="45"/>
  <c r="M61" i="45"/>
  <c r="K66" i="1"/>
  <c r="O69" i="1"/>
  <c r="G69" i="1"/>
  <c r="C63" i="1"/>
  <c r="K69" i="1"/>
  <c r="O63" i="1"/>
  <c r="C66" i="1"/>
  <c r="K63" i="1"/>
  <c r="O66" i="1"/>
  <c r="C69" i="1"/>
  <c r="M19" i="25"/>
  <c r="O19" i="15"/>
  <c r="O19" i="24"/>
  <c r="O19" i="25"/>
  <c r="I19" i="25"/>
  <c r="G19" i="15"/>
  <c r="E19" i="15"/>
  <c r="I19" i="15"/>
  <c r="E23" i="15"/>
  <c r="E43" i="31"/>
  <c r="M23" i="25"/>
  <c r="M47" i="31"/>
  <c r="K24" i="24"/>
  <c r="K46" i="31"/>
  <c r="H23" i="24"/>
  <c r="H45" i="31"/>
  <c r="F44" i="31"/>
  <c r="E51" i="45"/>
  <c r="F24" i="15"/>
  <c r="N48" i="31"/>
  <c r="N24" i="25"/>
  <c r="M57" i="45"/>
  <c r="I47" i="31"/>
  <c r="I23" i="25"/>
  <c r="G46" i="31"/>
  <c r="G24" i="24"/>
  <c r="D45" i="31"/>
  <c r="D23" i="24"/>
  <c r="P43" i="31"/>
  <c r="P23" i="15"/>
  <c r="J48" i="31"/>
  <c r="I57" i="45"/>
  <c r="J24" i="25"/>
  <c r="E47" i="31"/>
  <c r="E23" i="25"/>
  <c r="C46" i="31"/>
  <c r="C24" i="24"/>
  <c r="M44" i="31"/>
  <c r="M24" i="15"/>
  <c r="L43" i="31"/>
  <c r="L23" i="15"/>
  <c r="F48" i="31"/>
  <c r="E57" i="45"/>
  <c r="F24" i="25"/>
  <c r="P46" i="31"/>
  <c r="P24" i="24"/>
  <c r="O54" i="45"/>
  <c r="M45" i="31"/>
  <c r="M23" i="24"/>
  <c r="I44" i="31"/>
  <c r="I24" i="15"/>
  <c r="H43" i="31"/>
  <c r="H23" i="15"/>
  <c r="P47" i="31"/>
  <c r="P23" i="25"/>
  <c r="B13" i="25"/>
  <c r="O31" i="31"/>
  <c r="B42" i="45"/>
  <c r="B13" i="24"/>
  <c r="E30" i="31"/>
  <c r="I19" i="24"/>
  <c r="L46" i="31"/>
  <c r="K54" i="45"/>
  <c r="L24" i="24"/>
  <c r="I23" i="24"/>
  <c r="I45" i="31"/>
  <c r="E24" i="15"/>
  <c r="E44" i="31"/>
  <c r="M48" i="31"/>
  <c r="M24" i="25"/>
  <c r="D23" i="15"/>
  <c r="D43" i="31"/>
  <c r="L23" i="25"/>
  <c r="L47" i="31"/>
  <c r="H46" i="31"/>
  <c r="G54" i="45"/>
  <c r="H24" i="24"/>
  <c r="E45" i="31"/>
  <c r="E23" i="24"/>
  <c r="O43" i="31"/>
  <c r="O23" i="15"/>
  <c r="I48" i="31"/>
  <c r="I24" i="25"/>
  <c r="H47" i="31"/>
  <c r="H23" i="25"/>
  <c r="D46" i="31"/>
  <c r="D24" i="24"/>
  <c r="C54" i="45"/>
  <c r="P44" i="31"/>
  <c r="P24" i="15"/>
  <c r="O51" i="45"/>
  <c r="K43" i="31"/>
  <c r="K23" i="15"/>
  <c r="E24" i="25"/>
  <c r="E48" i="31"/>
  <c r="D47" i="31"/>
  <c r="D23" i="25"/>
  <c r="N45" i="31"/>
  <c r="N23" i="24"/>
  <c r="L44" i="31"/>
  <c r="K51" i="45"/>
  <c r="L24" i="15"/>
  <c r="G43" i="31"/>
  <c r="G23" i="15"/>
  <c r="O47" i="31"/>
  <c r="O23" i="25"/>
  <c r="M46" i="31"/>
  <c r="M24" i="24"/>
  <c r="M19" i="24"/>
  <c r="C30" i="31"/>
  <c r="K30" i="31"/>
  <c r="K19" i="24"/>
  <c r="G30" i="31"/>
  <c r="I30" i="31"/>
  <c r="G19" i="25"/>
  <c r="M31" i="31"/>
  <c r="K19" i="25"/>
  <c r="B39" i="45"/>
  <c r="J23" i="24"/>
  <c r="J45" i="31"/>
  <c r="H44" i="31"/>
  <c r="G51" i="45"/>
  <c r="H24" i="15"/>
  <c r="P48" i="31"/>
  <c r="P24" i="25"/>
  <c r="O57" i="45"/>
  <c r="C23" i="15"/>
  <c r="C43" i="31"/>
  <c r="K47" i="31"/>
  <c r="K23" i="25"/>
  <c r="I24" i="24"/>
  <c r="I46" i="31"/>
  <c r="F45" i="31"/>
  <c r="F23" i="24"/>
  <c r="D44" i="31"/>
  <c r="D24" i="15"/>
  <c r="C51" i="45"/>
  <c r="L48" i="31"/>
  <c r="K57" i="45"/>
  <c r="L24" i="25"/>
  <c r="G47" i="31"/>
  <c r="G23" i="25"/>
  <c r="E46" i="31"/>
  <c r="E24" i="24"/>
  <c r="O44" i="31"/>
  <c r="O24" i="15"/>
  <c r="N43" i="31"/>
  <c r="N23" i="15"/>
  <c r="H48" i="31"/>
  <c r="G57" i="45"/>
  <c r="H24" i="25"/>
  <c r="C23" i="25"/>
  <c r="C47" i="31"/>
  <c r="O45" i="31"/>
  <c r="O23" i="24"/>
  <c r="K44" i="31"/>
  <c r="K24" i="15"/>
  <c r="J43" i="31"/>
  <c r="J23" i="15"/>
  <c r="D48" i="31"/>
  <c r="D24" i="25"/>
  <c r="C57" i="45"/>
  <c r="N46" i="31"/>
  <c r="M54" i="45"/>
  <c r="N24" i="24"/>
  <c r="K45" i="31"/>
  <c r="K23" i="24"/>
  <c r="K19" i="15"/>
  <c r="O30" i="31"/>
  <c r="G19" i="24"/>
  <c r="M19" i="15"/>
  <c r="B13" i="15"/>
  <c r="E31" i="31"/>
  <c r="B45" i="45"/>
  <c r="C19" i="15"/>
  <c r="G24" i="15"/>
  <c r="G44" i="31"/>
  <c r="O24" i="25"/>
  <c r="O48" i="31"/>
  <c r="F23" i="15"/>
  <c r="F43" i="31"/>
  <c r="N23" i="25"/>
  <c r="N47" i="31"/>
  <c r="J46" i="31"/>
  <c r="I54" i="45"/>
  <c r="J24" i="24"/>
  <c r="G23" i="24"/>
  <c r="G45" i="31"/>
  <c r="C44" i="31"/>
  <c r="C24" i="15"/>
  <c r="K48" i="31"/>
  <c r="K24" i="25"/>
  <c r="J47" i="31"/>
  <c r="J23" i="25"/>
  <c r="F46" i="31"/>
  <c r="F24" i="24"/>
  <c r="E54" i="45"/>
  <c r="C45" i="31"/>
  <c r="C23" i="24"/>
  <c r="M43" i="31"/>
  <c r="M23" i="15"/>
  <c r="G48" i="31"/>
  <c r="G24" i="25"/>
  <c r="F47" i="31"/>
  <c r="F23" i="25"/>
  <c r="P45" i="31"/>
  <c r="P23" i="24"/>
  <c r="N44" i="31"/>
  <c r="N24" i="15"/>
  <c r="M51" i="45"/>
  <c r="I43" i="31"/>
  <c r="I23" i="15"/>
  <c r="C48" i="31"/>
  <c r="C24" i="25"/>
  <c r="O46" i="31"/>
  <c r="O24" i="24"/>
  <c r="L45" i="31"/>
  <c r="L23" i="24"/>
  <c r="J44" i="31"/>
  <c r="J24" i="15"/>
  <c r="I51" i="45"/>
  <c r="C31" i="31"/>
  <c r="G31" i="31"/>
  <c r="E19" i="25"/>
  <c r="K31" i="31"/>
  <c r="C19" i="24"/>
  <c r="C19" i="25"/>
  <c r="I31" i="31"/>
  <c r="E19" i="24"/>
  <c r="M30" i="31"/>
  <c r="B33" i="24"/>
  <c r="B33" i="25"/>
  <c r="B33" i="15"/>
  <c r="T12" i="31"/>
  <c r="T13" i="31" s="1"/>
  <c r="T14" i="31"/>
  <c r="T15" i="31" s="1"/>
  <c r="L33" i="45"/>
  <c r="L27" i="45"/>
  <c r="L30" i="45"/>
  <c r="K10" i="25"/>
  <c r="K10" i="24"/>
  <c r="K10" i="15"/>
  <c r="M24" i="45"/>
  <c r="L24" i="45"/>
  <c r="G24" i="1"/>
  <c r="F24" i="1"/>
  <c r="G18" i="31"/>
  <c r="G17" i="31" s="1"/>
  <c r="F18" i="31"/>
  <c r="B66" i="1" l="1"/>
  <c r="E78" i="1"/>
  <c r="I81" i="1"/>
  <c r="B69" i="1"/>
  <c r="I75" i="1"/>
  <c r="M78" i="1"/>
  <c r="M75" i="1"/>
  <c r="E81" i="1"/>
  <c r="B63" i="1"/>
  <c r="G75" i="1"/>
  <c r="E75" i="1"/>
  <c r="G78" i="1"/>
  <c r="M81" i="1"/>
  <c r="G81" i="1"/>
  <c r="C75" i="1"/>
  <c r="K81" i="1"/>
  <c r="I78" i="1"/>
  <c r="M80" i="45"/>
  <c r="I80" i="45"/>
  <c r="E80" i="45"/>
  <c r="O79" i="45"/>
  <c r="K79" i="45"/>
  <c r="G79" i="45"/>
  <c r="C79" i="45"/>
  <c r="M77" i="45"/>
  <c r="I77" i="45"/>
  <c r="E77" i="45"/>
  <c r="O76" i="45"/>
  <c r="K76" i="45"/>
  <c r="G76" i="45"/>
  <c r="C76" i="45"/>
  <c r="M74" i="45"/>
  <c r="I74" i="45"/>
  <c r="E74" i="45"/>
  <c r="O73" i="45"/>
  <c r="K73" i="45"/>
  <c r="G73" i="45"/>
  <c r="C73" i="45"/>
  <c r="N80" i="45"/>
  <c r="J80" i="45"/>
  <c r="F80" i="45"/>
  <c r="P79" i="45"/>
  <c r="L79" i="45"/>
  <c r="H79" i="45"/>
  <c r="D79" i="45"/>
  <c r="N77" i="45"/>
  <c r="J77" i="45"/>
  <c r="F77" i="45"/>
  <c r="P76" i="45"/>
  <c r="L76" i="45"/>
  <c r="H76" i="45"/>
  <c r="D76" i="45"/>
  <c r="N74" i="45"/>
  <c r="J74" i="45"/>
  <c r="F74" i="45"/>
  <c r="P73" i="45"/>
  <c r="L73" i="45"/>
  <c r="H73" i="45"/>
  <c r="D73" i="45"/>
  <c r="O80" i="45"/>
  <c r="K80" i="45"/>
  <c r="G80" i="45"/>
  <c r="C80" i="45"/>
  <c r="M79" i="45"/>
  <c r="I79" i="45"/>
  <c r="E79" i="45"/>
  <c r="O77" i="45"/>
  <c r="K77" i="45"/>
  <c r="G77" i="45"/>
  <c r="C77" i="45"/>
  <c r="M76" i="45"/>
  <c r="I76" i="45"/>
  <c r="E76" i="45"/>
  <c r="P80" i="45"/>
  <c r="L80" i="45"/>
  <c r="H80" i="45"/>
  <c r="D80" i="45"/>
  <c r="N79" i="45"/>
  <c r="J79" i="45"/>
  <c r="F79" i="45"/>
  <c r="P77" i="45"/>
  <c r="L77" i="45"/>
  <c r="H77" i="45"/>
  <c r="D77" i="45"/>
  <c r="N76" i="45"/>
  <c r="J76" i="45"/>
  <c r="F76" i="45"/>
  <c r="P74" i="45"/>
  <c r="L74" i="45"/>
  <c r="H74" i="45"/>
  <c r="D74" i="45"/>
  <c r="N73" i="45"/>
  <c r="J73" i="45"/>
  <c r="F73" i="45"/>
  <c r="C74" i="45"/>
  <c r="G74" i="45"/>
  <c r="E73" i="45"/>
  <c r="K74" i="45"/>
  <c r="I73" i="45"/>
  <c r="O74" i="45"/>
  <c r="M73" i="45"/>
  <c r="O75" i="1"/>
  <c r="C78" i="1"/>
  <c r="K75" i="1"/>
  <c r="O78" i="1"/>
  <c r="C81" i="1"/>
  <c r="K78" i="1"/>
  <c r="O81" i="1"/>
  <c r="I25" i="15"/>
  <c r="I41" i="31"/>
  <c r="M25" i="15"/>
  <c r="E25" i="24"/>
  <c r="I25" i="24"/>
  <c r="B19" i="15"/>
  <c r="B51" i="45"/>
  <c r="M41" i="31"/>
  <c r="M25" i="24"/>
  <c r="B57" i="45"/>
  <c r="K25" i="25"/>
  <c r="G25" i="25"/>
  <c r="I30" i="15"/>
  <c r="I55" i="31"/>
  <c r="M57" i="31"/>
  <c r="M30" i="24"/>
  <c r="L57" i="31"/>
  <c r="L30" i="24"/>
  <c r="K66" i="45"/>
  <c r="H55" i="31"/>
  <c r="G63" i="45"/>
  <c r="H30" i="15"/>
  <c r="P59" i="31"/>
  <c r="O69" i="45"/>
  <c r="P30" i="25"/>
  <c r="E30" i="15"/>
  <c r="E55" i="31"/>
  <c r="M59" i="31"/>
  <c r="M30" i="25"/>
  <c r="I30" i="24"/>
  <c r="I57" i="31"/>
  <c r="H57" i="31"/>
  <c r="H30" i="24"/>
  <c r="G66" i="45"/>
  <c r="D55" i="31"/>
  <c r="C63" i="45"/>
  <c r="D30" i="15"/>
  <c r="L59" i="31"/>
  <c r="L30" i="25"/>
  <c r="K69" i="45"/>
  <c r="O54" i="31"/>
  <c r="O29" i="15"/>
  <c r="I59" i="31"/>
  <c r="I30" i="25"/>
  <c r="E30" i="24"/>
  <c r="E57" i="31"/>
  <c r="D57" i="31"/>
  <c r="D30" i="24"/>
  <c r="C66" i="45"/>
  <c r="N54" i="31"/>
  <c r="N29" i="15"/>
  <c r="H59" i="31"/>
  <c r="G69" i="45"/>
  <c r="H30" i="25"/>
  <c r="K54" i="31"/>
  <c r="K29" i="15"/>
  <c r="E30" i="25"/>
  <c r="E59" i="31"/>
  <c r="O56" i="31"/>
  <c r="O29" i="24"/>
  <c r="N29" i="24"/>
  <c r="N56" i="31"/>
  <c r="J29" i="15"/>
  <c r="J54" i="31"/>
  <c r="D59" i="31"/>
  <c r="C69" i="45"/>
  <c r="D30" i="25"/>
  <c r="E42" i="31"/>
  <c r="K25" i="15"/>
  <c r="B54" i="45"/>
  <c r="K25" i="24"/>
  <c r="G42" i="31"/>
  <c r="E25" i="25"/>
  <c r="K42" i="31"/>
  <c r="I25" i="25"/>
  <c r="O42" i="31"/>
  <c r="G29" i="15"/>
  <c r="G54" i="31"/>
  <c r="O29" i="25"/>
  <c r="O58" i="31"/>
  <c r="K56" i="31"/>
  <c r="K29" i="24"/>
  <c r="J29" i="24"/>
  <c r="J56" i="31"/>
  <c r="F29" i="15"/>
  <c r="F54" i="31"/>
  <c r="N29" i="25"/>
  <c r="N58" i="31"/>
  <c r="C29" i="15"/>
  <c r="C54" i="31"/>
  <c r="K58" i="31"/>
  <c r="K29" i="25"/>
  <c r="G29" i="24"/>
  <c r="G56" i="31"/>
  <c r="F56" i="31"/>
  <c r="F29" i="24"/>
  <c r="J58" i="31"/>
  <c r="J29" i="25"/>
  <c r="G58" i="31"/>
  <c r="G29" i="25"/>
  <c r="C29" i="24"/>
  <c r="C56" i="31"/>
  <c r="O55" i="31"/>
  <c r="O30" i="15"/>
  <c r="F58" i="31"/>
  <c r="F29" i="25"/>
  <c r="C29" i="25"/>
  <c r="C58" i="31"/>
  <c r="N55" i="31"/>
  <c r="M63" i="45"/>
  <c r="N30" i="15"/>
  <c r="K30" i="15"/>
  <c r="K55" i="31"/>
  <c r="O30" i="24"/>
  <c r="O57" i="31"/>
  <c r="B19" i="25"/>
  <c r="B19" i="24"/>
  <c r="C25" i="25"/>
  <c r="G25" i="15"/>
  <c r="G25" i="24"/>
  <c r="E25" i="15"/>
  <c r="E41" i="31"/>
  <c r="N57" i="31"/>
  <c r="N30" i="24"/>
  <c r="M66" i="45"/>
  <c r="J55" i="31"/>
  <c r="I63" i="45"/>
  <c r="J30" i="15"/>
  <c r="G30" i="15"/>
  <c r="G55" i="31"/>
  <c r="O30" i="25"/>
  <c r="O59" i="31"/>
  <c r="K30" i="24"/>
  <c r="K57" i="31"/>
  <c r="J57" i="31"/>
  <c r="I66" i="45"/>
  <c r="J30" i="24"/>
  <c r="F55" i="31"/>
  <c r="F30" i="15"/>
  <c r="E63" i="45"/>
  <c r="N59" i="31"/>
  <c r="M69" i="45"/>
  <c r="N30" i="25"/>
  <c r="C55" i="31"/>
  <c r="C30" i="15"/>
  <c r="K59" i="31"/>
  <c r="K30" i="25"/>
  <c r="G57" i="31"/>
  <c r="G30" i="24"/>
  <c r="F57" i="31"/>
  <c r="E66" i="45"/>
  <c r="F30" i="24"/>
  <c r="P54" i="31"/>
  <c r="P29" i="15"/>
  <c r="J59" i="31"/>
  <c r="J30" i="25"/>
  <c r="I69" i="45"/>
  <c r="M54" i="31"/>
  <c r="M29" i="15"/>
  <c r="G59" i="31"/>
  <c r="G30" i="25"/>
  <c r="C57" i="31"/>
  <c r="C30" i="24"/>
  <c r="P56" i="31"/>
  <c r="P29" i="24"/>
  <c r="L54" i="31"/>
  <c r="L29" i="15"/>
  <c r="F59" i="31"/>
  <c r="F30" i="25"/>
  <c r="E69" i="45"/>
  <c r="I29" i="15"/>
  <c r="I54" i="31"/>
  <c r="C30" i="25"/>
  <c r="C59" i="31"/>
  <c r="M29" i="24"/>
  <c r="M56" i="31"/>
  <c r="I42" i="31"/>
  <c r="C25" i="15"/>
  <c r="C41" i="31"/>
  <c r="C42" i="31"/>
  <c r="L29" i="24"/>
  <c r="L56" i="31"/>
  <c r="H29" i="15"/>
  <c r="H54" i="31"/>
  <c r="P58" i="31"/>
  <c r="P29" i="25"/>
  <c r="E29" i="15"/>
  <c r="E54" i="31"/>
  <c r="M29" i="25"/>
  <c r="M58" i="31"/>
  <c r="I29" i="24"/>
  <c r="I56" i="31"/>
  <c r="H29" i="24"/>
  <c r="H56" i="31"/>
  <c r="D29" i="15"/>
  <c r="D54" i="31"/>
  <c r="L29" i="25"/>
  <c r="L58" i="31"/>
  <c r="I58" i="31"/>
  <c r="I29" i="25"/>
  <c r="E56" i="31"/>
  <c r="E29" i="24"/>
  <c r="D56" i="31"/>
  <c r="D29" i="24"/>
  <c r="H29" i="25"/>
  <c r="H58" i="31"/>
  <c r="E58" i="31"/>
  <c r="E29" i="25"/>
  <c r="P55" i="31"/>
  <c r="O63" i="45"/>
  <c r="P30" i="15"/>
  <c r="M55" i="31"/>
  <c r="M30" i="15"/>
  <c r="D58" i="31"/>
  <c r="D29" i="25"/>
  <c r="P57" i="31"/>
  <c r="O66" i="45"/>
  <c r="P30" i="24"/>
  <c r="L55" i="31"/>
  <c r="L30" i="15"/>
  <c r="K63" i="45"/>
  <c r="M42" i="31"/>
  <c r="O25" i="25"/>
  <c r="G41" i="31"/>
  <c r="K41" i="31"/>
  <c r="O25" i="15"/>
  <c r="C25" i="24"/>
  <c r="O41" i="31"/>
  <c r="O25" i="24"/>
  <c r="M25" i="25"/>
  <c r="N30" i="45"/>
  <c r="N33" i="45"/>
  <c r="N27" i="45"/>
  <c r="M10" i="25"/>
  <c r="M10" i="24"/>
  <c r="M10" i="15"/>
  <c r="C36" i="45"/>
  <c r="O24" i="45"/>
  <c r="P24" i="45"/>
  <c r="N24" i="45"/>
  <c r="H24" i="1"/>
  <c r="I24" i="1"/>
  <c r="I18" i="31"/>
  <c r="I17" i="31" s="1"/>
  <c r="H18" i="31"/>
  <c r="B78" i="1" l="1"/>
  <c r="B81" i="1"/>
  <c r="B75" i="1"/>
  <c r="K31" i="15"/>
  <c r="O31" i="15"/>
  <c r="O31" i="24"/>
  <c r="I31" i="24"/>
  <c r="I31" i="15"/>
  <c r="M31" i="24"/>
  <c r="H67" i="31"/>
  <c r="H34" i="24"/>
  <c r="M69" i="31"/>
  <c r="M34" i="25"/>
  <c r="E66" i="31"/>
  <c r="E35" i="15"/>
  <c r="M70" i="31"/>
  <c r="M35" i="25"/>
  <c r="D65" i="31"/>
  <c r="D34" i="15"/>
  <c r="L69" i="31"/>
  <c r="L34" i="25"/>
  <c r="L68" i="31"/>
  <c r="K78" i="45"/>
  <c r="L35" i="24"/>
  <c r="I34" i="24"/>
  <c r="I67" i="31"/>
  <c r="D67" i="31"/>
  <c r="D34" i="24"/>
  <c r="P65" i="31"/>
  <c r="P34" i="15"/>
  <c r="J70" i="31"/>
  <c r="I81" i="45"/>
  <c r="J35" i="25"/>
  <c r="I69" i="31"/>
  <c r="I34" i="25"/>
  <c r="G68" i="31"/>
  <c r="G35" i="24"/>
  <c r="M66" i="31"/>
  <c r="M35" i="15"/>
  <c r="L65" i="31"/>
  <c r="L34" i="15"/>
  <c r="F70" i="31"/>
  <c r="F35" i="25"/>
  <c r="E81" i="45"/>
  <c r="E69" i="31"/>
  <c r="E34" i="25"/>
  <c r="C68" i="31"/>
  <c r="C35" i="24"/>
  <c r="I66" i="31"/>
  <c r="I35" i="15"/>
  <c r="H65" i="31"/>
  <c r="H34" i="15"/>
  <c r="P69" i="31"/>
  <c r="P34" i="25"/>
  <c r="P68" i="31"/>
  <c r="P35" i="24"/>
  <c r="O78" i="45"/>
  <c r="M67" i="31"/>
  <c r="M34" i="24"/>
  <c r="B25" i="24"/>
  <c r="E31" i="25"/>
  <c r="E31" i="24"/>
  <c r="K52" i="31"/>
  <c r="G31" i="25"/>
  <c r="M53" i="31"/>
  <c r="O52" i="31"/>
  <c r="C31" i="15"/>
  <c r="G31" i="15"/>
  <c r="K31" i="24"/>
  <c r="C65" i="31"/>
  <c r="C34" i="15"/>
  <c r="K69" i="31"/>
  <c r="K34" i="25"/>
  <c r="I68" i="31"/>
  <c r="I35" i="24"/>
  <c r="J34" i="24"/>
  <c r="J67" i="31"/>
  <c r="H66" i="31"/>
  <c r="H35" i="15"/>
  <c r="G75" i="45"/>
  <c r="P70" i="31"/>
  <c r="O81" i="45"/>
  <c r="P35" i="25"/>
  <c r="O65" i="31"/>
  <c r="O34" i="15"/>
  <c r="I70" i="31"/>
  <c r="I35" i="25"/>
  <c r="H69" i="31"/>
  <c r="H34" i="25"/>
  <c r="H68" i="31"/>
  <c r="G78" i="45"/>
  <c r="H35" i="24"/>
  <c r="E67" i="31"/>
  <c r="E34" i="24"/>
  <c r="K65" i="31"/>
  <c r="K34" i="15"/>
  <c r="E70" i="31"/>
  <c r="E35" i="25"/>
  <c r="D69" i="31"/>
  <c r="D34" i="25"/>
  <c r="D68" i="31"/>
  <c r="D35" i="24"/>
  <c r="C78" i="45"/>
  <c r="P66" i="31"/>
  <c r="P35" i="15"/>
  <c r="O75" i="45"/>
  <c r="G65" i="31"/>
  <c r="G34" i="15"/>
  <c r="O69" i="31"/>
  <c r="O34" i="25"/>
  <c r="M68" i="31"/>
  <c r="M35" i="24"/>
  <c r="N67" i="31"/>
  <c r="N34" i="24"/>
  <c r="L66" i="31"/>
  <c r="K75" i="45"/>
  <c r="L35" i="15"/>
  <c r="C53" i="31"/>
  <c r="B25" i="15"/>
  <c r="K53" i="31"/>
  <c r="I31" i="25"/>
  <c r="M31" i="25"/>
  <c r="E31" i="15"/>
  <c r="M31" i="15"/>
  <c r="G52" i="31"/>
  <c r="B69" i="45"/>
  <c r="C31" i="24"/>
  <c r="J68" i="31"/>
  <c r="J35" i="24"/>
  <c r="I78" i="45"/>
  <c r="G34" i="24"/>
  <c r="G67" i="31"/>
  <c r="G35" i="15"/>
  <c r="G66" i="31"/>
  <c r="O35" i="25"/>
  <c r="O70" i="31"/>
  <c r="F65" i="31"/>
  <c r="F34" i="15"/>
  <c r="N34" i="25"/>
  <c r="N69" i="31"/>
  <c r="G69" i="31"/>
  <c r="G34" i="25"/>
  <c r="E68" i="31"/>
  <c r="E35" i="24"/>
  <c r="F67" i="31"/>
  <c r="F34" i="24"/>
  <c r="D66" i="31"/>
  <c r="C75" i="45"/>
  <c r="D35" i="15"/>
  <c r="L70" i="31"/>
  <c r="L35" i="25"/>
  <c r="K81" i="45"/>
  <c r="C69" i="31"/>
  <c r="C34" i="25"/>
  <c r="O67" i="31"/>
  <c r="O34" i="24"/>
  <c r="O66" i="31"/>
  <c r="O35" i="15"/>
  <c r="N65" i="31"/>
  <c r="N34" i="15"/>
  <c r="H70" i="31"/>
  <c r="G81" i="45"/>
  <c r="H35" i="25"/>
  <c r="N68" i="31"/>
  <c r="N35" i="24"/>
  <c r="M78" i="45"/>
  <c r="K67" i="31"/>
  <c r="K34" i="24"/>
  <c r="K35" i="15"/>
  <c r="K66" i="31"/>
  <c r="J65" i="31"/>
  <c r="J34" i="15"/>
  <c r="D70" i="31"/>
  <c r="D35" i="25"/>
  <c r="C81" i="45"/>
  <c r="E52" i="31"/>
  <c r="I52" i="31"/>
  <c r="M52" i="31"/>
  <c r="O53" i="31"/>
  <c r="B25" i="25"/>
  <c r="C31" i="25"/>
  <c r="B66" i="45"/>
  <c r="K31" i="25"/>
  <c r="F66" i="31"/>
  <c r="E75" i="45"/>
  <c r="F35" i="15"/>
  <c r="N70" i="31"/>
  <c r="N35" i="25"/>
  <c r="M81" i="45"/>
  <c r="E65" i="31"/>
  <c r="E34" i="15"/>
  <c r="K35" i="24"/>
  <c r="K68" i="31"/>
  <c r="F68" i="31"/>
  <c r="E78" i="45"/>
  <c r="F35" i="24"/>
  <c r="C67" i="31"/>
  <c r="C34" i="24"/>
  <c r="C66" i="31"/>
  <c r="C35" i="15"/>
  <c r="K70" i="31"/>
  <c r="K35" i="25"/>
  <c r="J69" i="31"/>
  <c r="J34" i="25"/>
  <c r="P67" i="31"/>
  <c r="P34" i="24"/>
  <c r="N66" i="31"/>
  <c r="N35" i="15"/>
  <c r="M75" i="45"/>
  <c r="M65" i="31"/>
  <c r="M34" i="15"/>
  <c r="G70" i="31"/>
  <c r="G35" i="25"/>
  <c r="F69" i="31"/>
  <c r="F34" i="25"/>
  <c r="L67" i="31"/>
  <c r="L34" i="24"/>
  <c r="J66" i="31"/>
  <c r="J35" i="15"/>
  <c r="I75" i="45"/>
  <c r="I65" i="31"/>
  <c r="I34" i="15"/>
  <c r="C70" i="31"/>
  <c r="C35" i="25"/>
  <c r="O68" i="31"/>
  <c r="O35" i="24"/>
  <c r="G53" i="31"/>
  <c r="C52" i="31"/>
  <c r="E53" i="31"/>
  <c r="I53" i="31"/>
  <c r="B63" i="45"/>
  <c r="G31" i="24"/>
  <c r="O31" i="25"/>
  <c r="D45" i="45"/>
  <c r="D39" i="45"/>
  <c r="D42" i="45"/>
  <c r="C16" i="25"/>
  <c r="C16" i="24"/>
  <c r="C16" i="15"/>
  <c r="P33" i="45"/>
  <c r="A26" i="31" s="1"/>
  <c r="P27" i="45"/>
  <c r="A22" i="31" s="1"/>
  <c r="P30" i="45"/>
  <c r="A24" i="31" s="1"/>
  <c r="O10" i="25"/>
  <c r="O10" i="24"/>
  <c r="O10" i="15"/>
  <c r="E36" i="45"/>
  <c r="D36" i="45"/>
  <c r="J24" i="1"/>
  <c r="K24" i="1"/>
  <c r="J18" i="31"/>
  <c r="K18" i="31"/>
  <c r="K17" i="31" s="1"/>
  <c r="M36" i="25" l="1"/>
  <c r="E36" i="24"/>
  <c r="I63" i="31"/>
  <c r="I36" i="15"/>
  <c r="E36" i="15"/>
  <c r="I36" i="24"/>
  <c r="M63" i="31"/>
  <c r="M36" i="15"/>
  <c r="M36" i="24"/>
  <c r="C36" i="25"/>
  <c r="G36" i="25"/>
  <c r="M64" i="31"/>
  <c r="C36" i="15"/>
  <c r="E64" i="31"/>
  <c r="G36" i="24"/>
  <c r="K64" i="31"/>
  <c r="E63" i="31"/>
  <c r="O36" i="25"/>
  <c r="G36" i="15"/>
  <c r="O36" i="24"/>
  <c r="K36" i="24"/>
  <c r="C64" i="31"/>
  <c r="B31" i="25"/>
  <c r="B81" i="45"/>
  <c r="I64" i="31"/>
  <c r="K36" i="25"/>
  <c r="K36" i="15"/>
  <c r="G63" i="31"/>
  <c r="O36" i="15"/>
  <c r="C36" i="24"/>
  <c r="K63" i="31"/>
  <c r="O63" i="31"/>
  <c r="C63" i="31"/>
  <c r="B31" i="15"/>
  <c r="I36" i="25"/>
  <c r="O64" i="31"/>
  <c r="B75" i="45"/>
  <c r="B31" i="24"/>
  <c r="B78" i="45"/>
  <c r="G64" i="31"/>
  <c r="E36" i="25"/>
  <c r="A33" i="45"/>
  <c r="A30" i="45"/>
  <c r="R24" i="31" s="1"/>
  <c r="A27" i="45"/>
  <c r="R22" i="31" s="1"/>
  <c r="F45" i="45"/>
  <c r="F39" i="45"/>
  <c r="F42" i="45"/>
  <c r="E16" i="25"/>
  <c r="E16" i="24"/>
  <c r="E16" i="15"/>
  <c r="G36" i="45"/>
  <c r="F36" i="45"/>
  <c r="L24" i="1"/>
  <c r="M24" i="1"/>
  <c r="M18" i="31"/>
  <c r="M17" i="31" s="1"/>
  <c r="L18" i="31"/>
  <c r="B36" i="25" l="1"/>
  <c r="B36" i="15"/>
  <c r="Q22" i="31"/>
  <c r="B36" i="24"/>
  <c r="Q24" i="31"/>
  <c r="R26" i="31"/>
  <c r="Q26" i="31"/>
  <c r="H45" i="45"/>
  <c r="H39" i="45"/>
  <c r="H42" i="45"/>
  <c r="G16" i="25"/>
  <c r="G16" i="24"/>
  <c r="G16" i="15"/>
  <c r="I36" i="45"/>
  <c r="H36" i="45"/>
  <c r="O24" i="1"/>
  <c r="P24" i="1"/>
  <c r="C36" i="1"/>
  <c r="N24" i="1"/>
  <c r="C29" i="31"/>
  <c r="C28" i="31" s="1"/>
  <c r="N18" i="31"/>
  <c r="O18" i="31"/>
  <c r="O17" i="31" s="1"/>
  <c r="S26" i="31" l="1"/>
  <c r="S24" i="31"/>
  <c r="S22" i="31"/>
  <c r="P18" i="31"/>
  <c r="J45" i="45"/>
  <c r="J39" i="45"/>
  <c r="J42" i="45"/>
  <c r="I16" i="25"/>
  <c r="I16" i="24"/>
  <c r="I16" i="15"/>
  <c r="K36" i="45"/>
  <c r="J36" i="45"/>
  <c r="D36" i="1"/>
  <c r="E36" i="1"/>
  <c r="D29" i="31"/>
  <c r="E29" i="31"/>
  <c r="E28" i="31" s="1"/>
  <c r="T25" i="31" l="1"/>
  <c r="T26" i="31" s="1"/>
  <c r="T21" i="31"/>
  <c r="T22" i="31" s="1"/>
  <c r="T23" i="31"/>
  <c r="T24" i="31" s="1"/>
  <c r="L45" i="45"/>
  <c r="L39" i="45"/>
  <c r="L42" i="45"/>
  <c r="K16" i="25"/>
  <c r="K16" i="24"/>
  <c r="K16" i="15"/>
  <c r="M36" i="45"/>
  <c r="L36" i="45"/>
  <c r="G36" i="1"/>
  <c r="F36" i="1"/>
  <c r="F29" i="31"/>
  <c r="G29" i="31"/>
  <c r="G28" i="31" s="1"/>
  <c r="N45" i="45" l="1"/>
  <c r="N39" i="45"/>
  <c r="N42" i="45"/>
  <c r="M16" i="25"/>
  <c r="M16" i="24"/>
  <c r="M16" i="15"/>
  <c r="C48" i="45"/>
  <c r="O36" i="45"/>
  <c r="P36" i="45"/>
  <c r="N36" i="45"/>
  <c r="H36" i="1"/>
  <c r="I36" i="1"/>
  <c r="I29" i="31"/>
  <c r="I28" i="31" s="1"/>
  <c r="H29" i="31"/>
  <c r="D57" i="45" l="1"/>
  <c r="D51" i="45"/>
  <c r="D54" i="45"/>
  <c r="C22" i="25"/>
  <c r="C22" i="24"/>
  <c r="C22" i="15"/>
  <c r="P45" i="45"/>
  <c r="A37" i="31" s="1"/>
  <c r="P39" i="45"/>
  <c r="A33" i="31" s="1"/>
  <c r="P42" i="45"/>
  <c r="A35" i="31" s="1"/>
  <c r="O16" i="25"/>
  <c r="O16" i="24"/>
  <c r="O16" i="15"/>
  <c r="E48" i="45"/>
  <c r="D48" i="45"/>
  <c r="J36" i="1"/>
  <c r="K36" i="1"/>
  <c r="K29" i="31"/>
  <c r="K28" i="31" s="1"/>
  <c r="J29" i="31"/>
  <c r="A45" i="45" l="1"/>
  <c r="A39" i="45"/>
  <c r="A42" i="45"/>
  <c r="F57" i="45"/>
  <c r="F51" i="45"/>
  <c r="F54" i="45"/>
  <c r="E22" i="25"/>
  <c r="E22" i="24"/>
  <c r="E22" i="15"/>
  <c r="G48" i="45"/>
  <c r="F48" i="45"/>
  <c r="L36" i="1"/>
  <c r="M36" i="1"/>
  <c r="L29" i="31"/>
  <c r="M29" i="31"/>
  <c r="M28" i="31" s="1"/>
  <c r="R33" i="31" l="1"/>
  <c r="Q33" i="31"/>
  <c r="Q37" i="31"/>
  <c r="R37" i="31"/>
  <c r="R35" i="31"/>
  <c r="Q35" i="31"/>
  <c r="H57" i="45"/>
  <c r="H51" i="45"/>
  <c r="H54" i="45"/>
  <c r="G22" i="25"/>
  <c r="G22" i="24"/>
  <c r="G22" i="15"/>
  <c r="I48" i="45"/>
  <c r="H48" i="45"/>
  <c r="O36" i="1"/>
  <c r="N36" i="1"/>
  <c r="P36" i="1"/>
  <c r="C48" i="1"/>
  <c r="O29" i="31"/>
  <c r="O28" i="31" s="1"/>
  <c r="C40" i="31"/>
  <c r="C39" i="31" s="1"/>
  <c r="N29" i="31"/>
  <c r="S35" i="31" l="1"/>
  <c r="S37" i="31"/>
  <c r="S33" i="31"/>
  <c r="P29" i="31"/>
  <c r="J57" i="45"/>
  <c r="J51" i="45"/>
  <c r="J54" i="45"/>
  <c r="I22" i="25"/>
  <c r="I22" i="24"/>
  <c r="I22" i="15"/>
  <c r="K48" i="45"/>
  <c r="J48" i="45"/>
  <c r="E48" i="1"/>
  <c r="D48" i="1"/>
  <c r="E40" i="31"/>
  <c r="E39" i="31" s="1"/>
  <c r="D40" i="31"/>
  <c r="T32" i="31" l="1"/>
  <c r="T33" i="31" s="1"/>
  <c r="T36" i="31"/>
  <c r="T37" i="31" s="1"/>
  <c r="T34" i="31"/>
  <c r="T35" i="31" s="1"/>
  <c r="L57" i="45"/>
  <c r="L51" i="45"/>
  <c r="L54" i="45"/>
  <c r="K22" i="25"/>
  <c r="K22" i="24"/>
  <c r="K22" i="15"/>
  <c r="M48" i="45"/>
  <c r="L48" i="45"/>
  <c r="F48" i="1"/>
  <c r="G48" i="1"/>
  <c r="G40" i="31"/>
  <c r="G39" i="31" s="1"/>
  <c r="F40" i="31"/>
  <c r="N57" i="45" l="1"/>
  <c r="N51" i="45"/>
  <c r="N54" i="45"/>
  <c r="M22" i="25"/>
  <c r="M22" i="24"/>
  <c r="M22" i="15"/>
  <c r="C60" i="45"/>
  <c r="O48" i="45"/>
  <c r="P48" i="45"/>
  <c r="N48" i="45"/>
  <c r="H48" i="1"/>
  <c r="I48" i="1"/>
  <c r="H40" i="31"/>
  <c r="I40" i="31"/>
  <c r="I39" i="31" s="1"/>
  <c r="P57" i="45" l="1"/>
  <c r="A48" i="31" s="1"/>
  <c r="P51" i="45"/>
  <c r="A44" i="31" s="1"/>
  <c r="P54" i="45"/>
  <c r="A46" i="31" s="1"/>
  <c r="O22" i="25"/>
  <c r="O22" i="24"/>
  <c r="O22" i="15"/>
  <c r="D69" i="45"/>
  <c r="D63" i="45"/>
  <c r="D66" i="45"/>
  <c r="C28" i="25"/>
  <c r="C28" i="24"/>
  <c r="C28" i="15"/>
  <c r="E60" i="45"/>
  <c r="D60" i="45"/>
  <c r="J48" i="1"/>
  <c r="K48" i="1"/>
  <c r="K40" i="31"/>
  <c r="K39" i="31" s="1"/>
  <c r="J40" i="31"/>
  <c r="A57" i="45" l="1"/>
  <c r="A51" i="45"/>
  <c r="A54" i="45"/>
  <c r="F69" i="45"/>
  <c r="F63" i="45"/>
  <c r="F66" i="45"/>
  <c r="E28" i="25"/>
  <c r="E28" i="24"/>
  <c r="E28" i="15"/>
  <c r="G60" i="45"/>
  <c r="F60" i="45"/>
  <c r="L48" i="1"/>
  <c r="M48" i="1"/>
  <c r="L40" i="31"/>
  <c r="M40" i="31"/>
  <c r="M39" i="31" s="1"/>
  <c r="Q44" i="31" l="1"/>
  <c r="R44" i="31"/>
  <c r="R48" i="31"/>
  <c r="Q48" i="31"/>
  <c r="R46" i="31"/>
  <c r="Q46" i="31"/>
  <c r="H69" i="45"/>
  <c r="H63" i="45"/>
  <c r="H66" i="45"/>
  <c r="G28" i="25"/>
  <c r="G28" i="24"/>
  <c r="G28" i="15"/>
  <c r="I60" i="45"/>
  <c r="H60" i="45"/>
  <c r="O48" i="1"/>
  <c r="P48" i="1"/>
  <c r="N48" i="1"/>
  <c r="C60" i="1"/>
  <c r="O40" i="31"/>
  <c r="O39" i="31" s="1"/>
  <c r="C51" i="31"/>
  <c r="C50" i="31" s="1"/>
  <c r="N40" i="31"/>
  <c r="S44" i="31" l="1"/>
  <c r="S48" i="31"/>
  <c r="S46" i="31"/>
  <c r="P40" i="31"/>
  <c r="J69" i="45"/>
  <c r="J63" i="45"/>
  <c r="J66" i="45"/>
  <c r="I28" i="25"/>
  <c r="I28" i="24"/>
  <c r="I28" i="15"/>
  <c r="K60" i="45"/>
  <c r="J60" i="45"/>
  <c r="E60" i="1"/>
  <c r="D60" i="1"/>
  <c r="D51" i="31"/>
  <c r="E51" i="31"/>
  <c r="E50" i="31" s="1"/>
  <c r="T45" i="31" l="1"/>
  <c r="T46" i="31" s="1"/>
  <c r="T43" i="31"/>
  <c r="T44" i="31" s="1"/>
  <c r="T47" i="31"/>
  <c r="T48" i="31" s="1"/>
  <c r="L69" i="45"/>
  <c r="L63" i="45"/>
  <c r="L66" i="45"/>
  <c r="K28" i="25"/>
  <c r="K28" i="24"/>
  <c r="K28" i="15"/>
  <c r="M60" i="45"/>
  <c r="L60" i="45"/>
  <c r="F60" i="1"/>
  <c r="G60" i="1"/>
  <c r="G51" i="31"/>
  <c r="G50" i="31" s="1"/>
  <c r="F51" i="31"/>
  <c r="N69" i="45" l="1"/>
  <c r="N63" i="45"/>
  <c r="N66" i="45"/>
  <c r="M28" i="25"/>
  <c r="M28" i="24"/>
  <c r="M28" i="15"/>
  <c r="C72" i="45"/>
  <c r="O60" i="45"/>
  <c r="P60" i="45"/>
  <c r="N60" i="45"/>
  <c r="I60" i="1"/>
  <c r="H60" i="1"/>
  <c r="I51" i="31"/>
  <c r="I50" i="31" s="1"/>
  <c r="H51" i="31"/>
  <c r="D81" i="45" l="1"/>
  <c r="D75" i="45"/>
  <c r="D78" i="45"/>
  <c r="C33" i="25"/>
  <c r="C33" i="24"/>
  <c r="C33" i="15"/>
  <c r="P69" i="45"/>
  <c r="A59" i="31" s="1"/>
  <c r="P63" i="45"/>
  <c r="A55" i="31" s="1"/>
  <c r="P66" i="45"/>
  <c r="A57" i="31" s="1"/>
  <c r="O28" i="25"/>
  <c r="O28" i="24"/>
  <c r="O28" i="15"/>
  <c r="E72" i="45"/>
  <c r="D72" i="45"/>
  <c r="K60" i="1"/>
  <c r="J60" i="1"/>
  <c r="K51" i="31"/>
  <c r="K50" i="31" s="1"/>
  <c r="J51" i="31"/>
  <c r="A69" i="45" l="1"/>
  <c r="A63" i="45"/>
  <c r="A66" i="45"/>
  <c r="F81" i="45"/>
  <c r="F75" i="45"/>
  <c r="F78" i="45"/>
  <c r="E33" i="25"/>
  <c r="E33" i="24"/>
  <c r="E33" i="15"/>
  <c r="G72" i="45"/>
  <c r="F72" i="45"/>
  <c r="M60" i="1"/>
  <c r="C72" i="1" s="1"/>
  <c r="L60" i="1"/>
  <c r="L51" i="31"/>
  <c r="M51" i="31"/>
  <c r="M50" i="31" s="1"/>
  <c r="R55" i="31" l="1"/>
  <c r="Q55" i="31"/>
  <c r="Q59" i="31"/>
  <c r="R59" i="31"/>
  <c r="Q57" i="31"/>
  <c r="R57" i="31"/>
  <c r="C62" i="31"/>
  <c r="C61" i="31" s="1"/>
  <c r="H81" i="45"/>
  <c r="H75" i="45"/>
  <c r="H78" i="45"/>
  <c r="G33" i="25"/>
  <c r="G33" i="24"/>
  <c r="G33" i="15"/>
  <c r="I72" i="45"/>
  <c r="H72" i="45"/>
  <c r="E72" i="1"/>
  <c r="D72" i="1"/>
  <c r="N51" i="31"/>
  <c r="O51" i="31"/>
  <c r="O50" i="31" s="1"/>
  <c r="O60" i="1"/>
  <c r="P60" i="1"/>
  <c r="N60" i="1"/>
  <c r="E62" i="31" l="1"/>
  <c r="E61" i="31" s="1"/>
  <c r="S57" i="31"/>
  <c r="S59" i="31"/>
  <c r="S55" i="31"/>
  <c r="D62" i="31"/>
  <c r="P51" i="31"/>
  <c r="T58" i="31" s="1"/>
  <c r="T59" i="31" s="1"/>
  <c r="J81" i="45"/>
  <c r="J75" i="45"/>
  <c r="J78" i="45"/>
  <c r="I33" i="25"/>
  <c r="I33" i="24"/>
  <c r="I33" i="15"/>
  <c r="K72" i="45"/>
  <c r="J72" i="45"/>
  <c r="F72" i="1"/>
  <c r="G72" i="1"/>
  <c r="G62" i="31" l="1"/>
  <c r="G61" i="31" s="1"/>
  <c r="F62" i="31"/>
  <c r="T56" i="31"/>
  <c r="T57" i="31" s="1"/>
  <c r="T54" i="31"/>
  <c r="T55" i="31" s="1"/>
  <c r="L81" i="45"/>
  <c r="L75" i="45"/>
  <c r="L78" i="45"/>
  <c r="K33" i="25"/>
  <c r="K33" i="24"/>
  <c r="K33" i="15"/>
  <c r="M72" i="45"/>
  <c r="L72" i="45"/>
  <c r="H72" i="1"/>
  <c r="I72" i="1"/>
  <c r="I62" i="31" l="1"/>
  <c r="I61" i="31" s="1"/>
  <c r="H62" i="31"/>
  <c r="N81" i="45"/>
  <c r="N75" i="45"/>
  <c r="N78" i="45"/>
  <c r="M33" i="25"/>
  <c r="M33" i="24"/>
  <c r="M33" i="15"/>
  <c r="O72" i="45"/>
  <c r="P72" i="45"/>
  <c r="N72" i="45"/>
  <c r="J72" i="1"/>
  <c r="K72" i="1"/>
  <c r="K62" i="31" l="1"/>
  <c r="K61" i="31" s="1"/>
  <c r="J62" i="31"/>
  <c r="P81" i="45"/>
  <c r="A70" i="31" s="1"/>
  <c r="P75" i="45"/>
  <c r="A66" i="31" s="1"/>
  <c r="P78" i="45"/>
  <c r="A68" i="31" s="1"/>
  <c r="O33" i="25"/>
  <c r="O33" i="24"/>
  <c r="O33" i="15"/>
  <c r="L72" i="1"/>
  <c r="M72" i="1"/>
  <c r="L62" i="31" l="1"/>
  <c r="M62" i="31"/>
  <c r="M61" i="31" s="1"/>
  <c r="A81" i="45"/>
  <c r="A75" i="45"/>
  <c r="A78" i="45"/>
  <c r="P72" i="1"/>
  <c r="O72" i="1"/>
  <c r="N72" i="1"/>
  <c r="O62" i="31" l="1"/>
  <c r="O61" i="31" s="1"/>
  <c r="N62" i="31"/>
  <c r="Q66" i="31"/>
  <c r="D72" i="31" s="1"/>
  <c r="G5" i="42" s="1"/>
  <c r="R66" i="31"/>
  <c r="E72" i="31" s="1"/>
  <c r="H5" i="42" s="1"/>
  <c r="Q70" i="31"/>
  <c r="D74" i="31" s="1"/>
  <c r="G7" i="42" s="1"/>
  <c r="R70" i="31"/>
  <c r="E74" i="31" s="1"/>
  <c r="H7" i="42" s="1"/>
  <c r="Q68" i="31"/>
  <c r="D73" i="31" s="1"/>
  <c r="G6" i="42" s="1"/>
  <c r="R68" i="31"/>
  <c r="E73" i="31" s="1"/>
  <c r="H6" i="42" s="1"/>
  <c r="P62" i="31" l="1"/>
  <c r="T65" i="31" s="1"/>
  <c r="T66" i="31" s="1"/>
  <c r="J5" i="42" s="1"/>
  <c r="S66" i="31"/>
  <c r="F72" i="31" s="1"/>
  <c r="I5" i="42" s="1"/>
  <c r="S68" i="31"/>
  <c r="F73" i="31" s="1"/>
  <c r="I6" i="42" s="1"/>
  <c r="S70" i="31"/>
  <c r="F74" i="31" s="1"/>
  <c r="I7" i="42" s="1"/>
  <c r="T69" i="31" l="1"/>
  <c r="T70" i="31" s="1"/>
  <c r="G74" i="31" s="1"/>
  <c r="J7" i="42" s="1"/>
  <c r="T67" i="31"/>
  <c r="T68" i="31" s="1"/>
  <c r="J6" i="42" s="1"/>
</calcChain>
</file>

<file path=xl/sharedStrings.xml><?xml version="1.0" encoding="utf-8"?>
<sst xmlns="http://schemas.openxmlformats.org/spreadsheetml/2006/main" count="527" uniqueCount="133">
  <si>
    <t>matin</t>
  </si>
  <si>
    <t>après-midi</t>
  </si>
  <si>
    <t>LUN</t>
  </si>
  <si>
    <t>MAR</t>
  </si>
  <si>
    <t>MER</t>
  </si>
  <si>
    <t>JEU</t>
  </si>
  <si>
    <t>VEN</t>
  </si>
  <si>
    <t>SAM</t>
  </si>
  <si>
    <t>HORAIRES</t>
  </si>
  <si>
    <t>ANNEE</t>
  </si>
  <si>
    <t>SEMAINE</t>
  </si>
  <si>
    <t>1er jour du mois</t>
  </si>
  <si>
    <t>Sem</t>
  </si>
  <si>
    <t>Mois</t>
  </si>
  <si>
    <t>TYPE SEMAINE</t>
  </si>
  <si>
    <t>1er lundi du mois</t>
  </si>
  <si>
    <t xml:space="preserve"> </t>
  </si>
  <si>
    <t>Pâques</t>
  </si>
  <si>
    <t>Lundi de Pâques</t>
  </si>
  <si>
    <t>Victoire 1945</t>
  </si>
  <si>
    <t>Ascension</t>
  </si>
  <si>
    <t>Pentecôte</t>
  </si>
  <si>
    <t>Assomption</t>
  </si>
  <si>
    <t>Toussaint</t>
  </si>
  <si>
    <t>Armistice</t>
  </si>
  <si>
    <t>Noël</t>
  </si>
  <si>
    <t>Fériés</t>
  </si>
  <si>
    <t>Premier de l'an</t>
  </si>
  <si>
    <t>Fête du travail</t>
  </si>
  <si>
    <t>Fête nat.</t>
  </si>
  <si>
    <t>Calcul automatique des jours fériés</t>
  </si>
  <si>
    <t>date début</t>
  </si>
  <si>
    <t>numéro</t>
  </si>
  <si>
    <t>type</t>
  </si>
  <si>
    <t>1er lundi semaine initiale</t>
  </si>
  <si>
    <t>1er jour mois courant</t>
  </si>
  <si>
    <t>mois courant</t>
  </si>
  <si>
    <t>année courante</t>
  </si>
  <si>
    <t>semaine</t>
  </si>
  <si>
    <t>EFFECTIF</t>
  </si>
  <si>
    <t>Hiver</t>
  </si>
  <si>
    <t>Printemps</t>
  </si>
  <si>
    <t>Eté</t>
  </si>
  <si>
    <t>début</t>
  </si>
  <si>
    <t>fin</t>
  </si>
  <si>
    <t>DIM</t>
  </si>
  <si>
    <t>1er lundi mois courant</t>
  </si>
  <si>
    <r>
      <t xml:space="preserve">c.p. </t>
    </r>
    <r>
      <rPr>
        <b/>
        <sz val="8"/>
        <rFont val="Times New Roman"/>
        <family val="1"/>
      </rPr>
      <t>(e)</t>
    </r>
  </si>
  <si>
    <r>
      <t xml:space="preserve">mois </t>
    </r>
    <r>
      <rPr>
        <b/>
        <sz val="8"/>
        <rFont val="Times New Roman"/>
        <family val="1"/>
      </rPr>
      <t>(d)</t>
    </r>
  </si>
  <si>
    <r>
      <t xml:space="preserve">abs </t>
    </r>
    <r>
      <rPr>
        <b/>
        <sz val="10"/>
        <rFont val="Times New Roman"/>
        <family val="1"/>
      </rPr>
      <t>(c)</t>
    </r>
  </si>
  <si>
    <t>(b)</t>
  </si>
  <si>
    <t>(a)</t>
  </si>
  <si>
    <t>fériés</t>
  </si>
  <si>
    <t>nuit&gt;=20h</t>
  </si>
  <si>
    <t>&gt;43</t>
  </si>
  <si>
    <t>&lt;=43</t>
  </si>
  <si>
    <t>&lt;=39</t>
  </si>
  <si>
    <t>mois</t>
  </si>
  <si>
    <t>Nbre j.</t>
  </si>
  <si>
    <t>heures</t>
  </si>
  <si>
    <t xml:space="preserve">Heures </t>
  </si>
  <si>
    <t xml:space="preserve">du      au </t>
  </si>
  <si>
    <t>code</t>
  </si>
  <si>
    <t>supplém.</t>
  </si>
  <si>
    <t xml:space="preserve">d’heures </t>
  </si>
  <si>
    <t>mat.</t>
  </si>
  <si>
    <t>Gestion des absences</t>
  </si>
  <si>
    <t>HS</t>
  </si>
  <si>
    <t>Nbre H.</t>
  </si>
  <si>
    <t>Nombre</t>
  </si>
  <si>
    <t>Nom et Prénom</t>
  </si>
  <si>
    <t>N°</t>
  </si>
  <si>
    <t>Navette de salaire</t>
  </si>
  <si>
    <t>Notice navette de salaire</t>
  </si>
  <si>
    <t>( a )</t>
  </si>
  <si>
    <t>( b )</t>
  </si>
  <si>
    <r>
      <t xml:space="preserve">abs </t>
    </r>
    <r>
      <rPr>
        <b/>
        <sz val="10"/>
        <rFont val="Times New Roman"/>
        <family val="1"/>
      </rPr>
      <t>( g )</t>
    </r>
  </si>
  <si>
    <r>
      <t xml:space="preserve">mois </t>
    </r>
    <r>
      <rPr>
        <b/>
        <sz val="8"/>
        <rFont val="Times New Roman"/>
        <family val="1"/>
      </rPr>
      <t>( h )</t>
    </r>
  </si>
  <si>
    <r>
      <t xml:space="preserve">c.p. </t>
    </r>
    <r>
      <rPr>
        <b/>
        <sz val="8"/>
        <rFont val="Times New Roman"/>
        <family val="1"/>
      </rPr>
      <t>( i )</t>
    </r>
  </si>
  <si>
    <t xml:space="preserve"> (a) CODES ABSENCES : </t>
  </si>
  <si>
    <t>DIFP</t>
  </si>
  <si>
    <t>dates et nombre d'heures du droit individuel à la formation pendant le temps de travail (mention commentaire/salaire)</t>
  </si>
  <si>
    <t>DIFH</t>
  </si>
  <si>
    <t>dates et nombre d'heures du droit individuel à la formation hors temps de travail (allocation DIF: 50% tx h net par heure )</t>
  </si>
  <si>
    <r>
      <t>MAL</t>
    </r>
    <r>
      <rPr>
        <i/>
        <sz val="10"/>
        <rFont val="Times New Roman"/>
        <family val="1"/>
      </rPr>
      <t xml:space="preserve"> </t>
    </r>
  </si>
  <si>
    <t>Absence Maladie</t>
  </si>
  <si>
    <t>AT</t>
  </si>
  <si>
    <t>Absence Accident du Travail</t>
  </si>
  <si>
    <t>MP</t>
  </si>
  <si>
    <t>Absence Maladie Professionnelle</t>
  </si>
  <si>
    <t>CP</t>
  </si>
  <si>
    <t xml:space="preserve">Congés payés </t>
  </si>
  <si>
    <t>MAT</t>
  </si>
  <si>
    <t>Absence Maternité</t>
  </si>
  <si>
    <t>PAT</t>
  </si>
  <si>
    <t xml:space="preserve"> absence congé de paternité</t>
  </si>
  <si>
    <t>NA</t>
  </si>
  <si>
    <t>Absence non autorisée</t>
  </si>
  <si>
    <t xml:space="preserve">A </t>
  </si>
  <si>
    <t>Absence autorisée</t>
  </si>
  <si>
    <t>(b) période du      au          :</t>
  </si>
  <si>
    <r>
      <t xml:space="preserve">*  </t>
    </r>
    <r>
      <rPr>
        <b/>
        <sz val="10"/>
        <rFont val="Times New Roman"/>
        <family val="1"/>
      </rPr>
      <t>cas général</t>
    </r>
    <r>
      <rPr>
        <sz val="10"/>
        <rFont val="Times New Roman"/>
        <family val="1"/>
      </rPr>
      <t xml:space="preserve"> : du premier jour d'absence au dernier jour inclus</t>
    </r>
  </si>
  <si>
    <r>
      <t xml:space="preserve">*  </t>
    </r>
    <r>
      <rPr>
        <b/>
        <sz val="10"/>
        <rFont val="Times New Roman"/>
        <family val="1"/>
      </rPr>
      <t>pour l'arrêt maladie ou l'accident du travail</t>
    </r>
    <r>
      <rPr>
        <sz val="10"/>
        <rFont val="Times New Roman"/>
        <family val="1"/>
      </rPr>
      <t xml:space="preserve"> mettre les dates exactes figurant sur l'arrêt de travail, du premier jour au dernier jour prescrit</t>
    </r>
  </si>
  <si>
    <r>
      <t xml:space="preserve">*  pour les congés payés : </t>
    </r>
    <r>
      <rPr>
        <sz val="10"/>
        <rFont val="Times New Roman"/>
        <family val="1"/>
      </rPr>
      <t>du premier jour normalement travaillé au dernier jour ouvrable précédant la reprise</t>
    </r>
  </si>
  <si>
    <t>(c) Heures d'absence</t>
  </si>
  <si>
    <r>
      <t xml:space="preserve">* </t>
    </r>
    <r>
      <rPr>
        <b/>
        <sz val="10"/>
        <rFont val="Times New Roman"/>
        <family val="1"/>
      </rPr>
      <t>cas général</t>
    </r>
    <r>
      <rPr>
        <sz val="10"/>
        <rFont val="Times New Roman"/>
        <family val="1"/>
      </rPr>
      <t xml:space="preserve"> : indiquer le nombre d'heures que le salarié aurait dû effectuer s'il avait travaillé ( y compris les jours fériés, tombant un jour ouvré)</t>
    </r>
  </si>
  <si>
    <r>
      <t xml:space="preserve">* attention en cas d'accident du travail : </t>
    </r>
    <r>
      <rPr>
        <sz val="10"/>
        <rFont val="Times New Roman"/>
        <family val="1"/>
      </rPr>
      <t>ne pas compter le jour de l'accident en absence, celui-ci est à la charge de l'employeur</t>
    </r>
  </si>
  <si>
    <t xml:space="preserve"> (d)  Heures mois</t>
  </si>
  <si>
    <r>
      <t>*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heures mois</t>
    </r>
    <r>
      <rPr>
        <sz val="10"/>
        <rFont val="Times New Roman"/>
        <family val="1"/>
      </rPr>
      <t xml:space="preserve"> : indiquer le nombre d'heures que le salarié aurait dû faire dans le mois s'il avait travaillé ( y compris les jours fériés tombant un jour ouvré )</t>
    </r>
  </si>
  <si>
    <t>(e) Nombre de jours de congés payés pris</t>
  </si>
  <si>
    <r>
      <t xml:space="preserve">* </t>
    </r>
    <r>
      <rPr>
        <b/>
        <sz val="10"/>
        <rFont val="Times New Roman"/>
        <family val="1"/>
      </rPr>
      <t xml:space="preserve">Indiquer le nombre de jours de congés payés pris : </t>
    </r>
    <r>
      <rPr>
        <sz val="10"/>
        <rFont val="Times New Roman"/>
        <family val="1"/>
      </rPr>
      <t>le premier jour à décompter est le premier jour normalement travaillé jusqu'au</t>
    </r>
  </si>
  <si>
    <t xml:space="preserve">   dernier jour ouvrable précédent la reprise.Les seuls jours qu'il ne faut pas décompter sont :</t>
  </si>
  <si>
    <t xml:space="preserve">   le jour de repos hebdomadaire ( en général le dimanche ) et les jours fériés  inclus dans la période de vacances.</t>
  </si>
  <si>
    <t>Ce classeur ne sert que de modèle général</t>
  </si>
  <si>
    <t>Enregistrer chaque mois une copie "planning-mois" elle modifiable</t>
  </si>
  <si>
    <t>1er lundi</t>
  </si>
  <si>
    <t>horaire type semaine</t>
  </si>
  <si>
    <t>HS25%</t>
  </si>
  <si>
    <t>HS50%</t>
  </si>
  <si>
    <t>Nuit20%</t>
  </si>
  <si>
    <t>Férié100%</t>
  </si>
  <si>
    <t>Ne modifier chaque mois que les dates en rouge, "réel" et "navette"</t>
  </si>
  <si>
    <t>Changements  définitifs seulement dans "type" et "fériés"-"scolaires" 1 fois par an</t>
  </si>
  <si>
    <t>heures sup du mois</t>
  </si>
  <si>
    <t>HS25</t>
  </si>
  <si>
    <t>HS50</t>
  </si>
  <si>
    <t>NUIT</t>
  </si>
  <si>
    <t>FERIE</t>
  </si>
  <si>
    <t>Ne pas oublier d'entrer 0,00 pour chaque période de congé</t>
  </si>
  <si>
    <t>y</t>
  </si>
  <si>
    <t>Vacances scolaires zone B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</si>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</sst>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0.0"/>
    <numFmt numFmtId="165" formatCode="dddd\ dd"/>
    <numFmt numFmtId="166" formatCode="ddd\ dd"/>
    <numFmt numFmtId="167" formatCode="dd\ mmm\ yyyy"/>
    <numFmt numFmtId="168" formatCode="ddd\ dd\ mmm"/>
    <numFmt numFmtId="169" formatCode="dd\ mm\ yyyy"/>
    <numFmt numFmtId="170" formatCode="ddd\ dd\ mm\ yy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 Unicode MS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10"/>
      <name val="Comic Sans MS"/>
      <family val="4"/>
    </font>
    <font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sz val="18"/>
      <name val="Times New Roman"/>
      <family val="1"/>
    </font>
    <font>
      <sz val="14"/>
      <name val="Times New Roman"/>
      <family val="1"/>
    </font>
    <font>
      <sz val="10"/>
      <name val="Script MT Bold"/>
      <family val="4"/>
    </font>
    <font>
      <b/>
      <sz val="11"/>
      <name val="Script MT Bold"/>
    </font>
    <font>
      <sz val="12"/>
      <name val="Script MT Bold"/>
    </font>
    <font>
      <b/>
      <i/>
      <sz val="10"/>
      <name val="Script MT Bold"/>
    </font>
    <font>
      <i/>
      <sz val="10"/>
      <name val="Script MT Bold"/>
    </font>
    <font>
      <b/>
      <i/>
      <sz val="10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i/>
      <u/>
      <sz val="11"/>
      <name val="Times New Roman"/>
      <family val="1"/>
    </font>
    <font>
      <sz val="9"/>
      <name val="Arial Narrow"/>
      <family val="2"/>
    </font>
    <font>
      <sz val="9"/>
      <name val="Times New Roman"/>
      <family val="1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sz val="10"/>
      <color rgb="FFFF0000"/>
      <name val="Arial"/>
      <family val="2"/>
    </font>
    <font>
      <b/>
      <sz val="10"/>
      <color rgb="FFFF0000"/>
      <name val="Arial Unicode MS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277">
    <xf numFmtId="0" fontId="0" fillId="0" borderId="0" xfId="0"/>
    <xf numFmtId="164" fontId="0" fillId="0" borderId="0" xfId="0" applyNumberFormat="1"/>
    <xf numFmtId="0" fontId="2" fillId="0" borderId="1" xfId="0" applyFont="1" applyBorder="1"/>
    <xf numFmtId="0" fontId="0" fillId="0" borderId="0" xfId="0" applyAlignment="1"/>
    <xf numFmtId="164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2" fontId="0" fillId="0" borderId="7" xfId="0" applyNumberFormat="1" applyFill="1" applyBorder="1"/>
    <xf numFmtId="2" fontId="0" fillId="0" borderId="9" xfId="0" applyNumberFormat="1" applyFill="1" applyBorder="1"/>
    <xf numFmtId="2" fontId="0" fillId="0" borderId="0" xfId="0" applyNumberFormat="1" applyBorder="1"/>
    <xf numFmtId="49" fontId="2" fillId="0" borderId="5" xfId="0" applyNumberFormat="1" applyFont="1" applyBorder="1"/>
    <xf numFmtId="0" fontId="2" fillId="0" borderId="0" xfId="0" applyFont="1"/>
    <xf numFmtId="0" fontId="2" fillId="0" borderId="17" xfId="0" applyFont="1" applyBorder="1"/>
    <xf numFmtId="2" fontId="0" fillId="0" borderId="16" xfId="0" applyNumberFormat="1" applyFill="1" applyBorder="1"/>
    <xf numFmtId="2" fontId="0" fillId="0" borderId="8" xfId="0" applyNumberFormat="1" applyFill="1" applyBorder="1"/>
    <xf numFmtId="0" fontId="3" fillId="0" borderId="0" xfId="0" applyFont="1" applyAlignment="1"/>
    <xf numFmtId="0" fontId="0" fillId="0" borderId="0" xfId="0" applyBorder="1"/>
    <xf numFmtId="164" fontId="2" fillId="0" borderId="3" xfId="0" applyNumberFormat="1" applyFont="1" applyBorder="1"/>
    <xf numFmtId="2" fontId="0" fillId="0" borderId="13" xfId="0" applyNumberFormat="1" applyFill="1" applyBorder="1"/>
    <xf numFmtId="164" fontId="2" fillId="0" borderId="0" xfId="0" applyNumberFormat="1" applyFont="1" applyBorder="1"/>
    <xf numFmtId="0" fontId="0" fillId="0" borderId="0" xfId="0" applyAlignment="1">
      <alignment horizontal="right"/>
    </xf>
    <xf numFmtId="1" fontId="2" fillId="0" borderId="17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5" fillId="0" borderId="0" xfId="0" applyFont="1" applyAlignment="1"/>
    <xf numFmtId="1" fontId="3" fillId="0" borderId="0" xfId="0" applyNumberFormat="1" applyFont="1" applyBorder="1" applyAlignment="1">
      <alignment horizontal="center"/>
    </xf>
    <xf numFmtId="0" fontId="5" fillId="0" borderId="0" xfId="0" applyFont="1"/>
    <xf numFmtId="0" fontId="0" fillId="0" borderId="5" xfId="0" applyBorder="1" applyAlignment="1"/>
    <xf numFmtId="167" fontId="3" fillId="0" borderId="0" xfId="0" applyNumberFormat="1" applyFont="1"/>
    <xf numFmtId="0" fontId="3" fillId="0" borderId="0" xfId="0" applyFont="1" applyAlignment="1">
      <alignment horizontal="right"/>
    </xf>
    <xf numFmtId="1" fontId="3" fillId="0" borderId="0" xfId="0" applyNumberFormat="1" applyFont="1"/>
    <xf numFmtId="0" fontId="2" fillId="0" borderId="22" xfId="0" applyFont="1" applyBorder="1" applyAlignment="1">
      <alignment horizontal="center"/>
    </xf>
    <xf numFmtId="165" fontId="5" fillId="0" borderId="0" xfId="0" applyNumberFormat="1" applyFont="1" applyAlignment="1"/>
    <xf numFmtId="166" fontId="2" fillId="0" borderId="23" xfId="0" applyNumberFormat="1" applyFont="1" applyBorder="1"/>
    <xf numFmtId="2" fontId="0" fillId="0" borderId="12" xfId="0" applyNumberFormat="1" applyFill="1" applyBorder="1"/>
    <xf numFmtId="166" fontId="2" fillId="0" borderId="23" xfId="0" applyNumberFormat="1" applyFont="1" applyFill="1" applyBorder="1"/>
    <xf numFmtId="0" fontId="2" fillId="0" borderId="5" xfId="0" applyFont="1" applyFill="1" applyBorder="1"/>
    <xf numFmtId="0" fontId="0" fillId="0" borderId="0" xfId="0" applyFill="1"/>
    <xf numFmtId="2" fontId="0" fillId="0" borderId="24" xfId="0" applyNumberFormat="1" applyFill="1" applyBorder="1"/>
    <xf numFmtId="2" fontId="0" fillId="0" borderId="25" xfId="0" applyNumberFormat="1" applyFill="1" applyBorder="1"/>
    <xf numFmtId="49" fontId="2" fillId="0" borderId="5" xfId="0" applyNumberFormat="1" applyFont="1" applyFill="1" applyBorder="1"/>
    <xf numFmtId="0" fontId="0" fillId="0" borderId="5" xfId="0" applyFill="1" applyBorder="1" applyAlignment="1"/>
    <xf numFmtId="0" fontId="2" fillId="0" borderId="1" xfId="0" applyFont="1" applyFill="1" applyBorder="1"/>
    <xf numFmtId="0" fontId="2" fillId="0" borderId="6" xfId="0" applyFont="1" applyFill="1" applyBorder="1"/>
    <xf numFmtId="164" fontId="2" fillId="0" borderId="3" xfId="0" applyNumberFormat="1" applyFont="1" applyFill="1" applyBorder="1"/>
    <xf numFmtId="2" fontId="0" fillId="0" borderId="14" xfId="0" applyNumberFormat="1" applyFill="1" applyBorder="1"/>
    <xf numFmtId="1" fontId="2" fillId="0" borderId="17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0" fontId="2" fillId="0" borderId="26" xfId="0" applyFont="1" applyBorder="1"/>
    <xf numFmtId="0" fontId="0" fillId="0" borderId="27" xfId="0" applyBorder="1"/>
    <xf numFmtId="164" fontId="0" fillId="0" borderId="27" xfId="0" applyNumberFormat="1" applyBorder="1"/>
    <xf numFmtId="0" fontId="3" fillId="0" borderId="0" xfId="0" applyFont="1"/>
    <xf numFmtId="165" fontId="6" fillId="0" borderId="0" xfId="0" applyNumberFormat="1" applyFont="1"/>
    <xf numFmtId="0" fontId="2" fillId="4" borderId="17" xfId="0" applyFont="1" applyFill="1" applyBorder="1"/>
    <xf numFmtId="0" fontId="2" fillId="4" borderId="1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2" fontId="0" fillId="0" borderId="19" xfId="0" applyNumberFormat="1" applyFill="1" applyBorder="1"/>
    <xf numFmtId="0" fontId="2" fillId="0" borderId="2" xfId="0" applyFont="1" applyBorder="1"/>
    <xf numFmtId="0" fontId="2" fillId="0" borderId="37" xfId="0" applyFont="1" applyBorder="1"/>
    <xf numFmtId="2" fontId="0" fillId="5" borderId="16" xfId="0" applyNumberFormat="1" applyFill="1" applyBorder="1"/>
    <xf numFmtId="2" fontId="0" fillId="5" borderId="9" xfId="0" applyNumberFormat="1" applyFill="1" applyBorder="1"/>
    <xf numFmtId="0" fontId="0" fillId="0" borderId="0" xfId="0" applyFill="1" applyBorder="1"/>
    <xf numFmtId="0" fontId="2" fillId="0" borderId="3" xfId="0" applyFont="1" applyBorder="1"/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center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168" fontId="0" fillId="0" borderId="17" xfId="0" quotePrefix="1" applyNumberFormat="1" applyBorder="1" applyAlignment="1">
      <alignment vertical="center"/>
    </xf>
    <xf numFmtId="168" fontId="0" fillId="0" borderId="4" xfId="0" quotePrefix="1" applyNumberFormat="1" applyBorder="1" applyAlignment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168" fontId="0" fillId="0" borderId="39" xfId="0" quotePrefix="1" applyNumberFormat="1" applyBorder="1" applyAlignment="1">
      <alignment vertical="center"/>
    </xf>
    <xf numFmtId="1" fontId="3" fillId="2" borderId="0" xfId="0" applyNumberFormat="1" applyFont="1" applyFill="1" applyAlignment="1">
      <alignment horizontal="center"/>
    </xf>
    <xf numFmtId="0" fontId="0" fillId="0" borderId="0" xfId="0" applyNumberFormat="1"/>
    <xf numFmtId="166" fontId="2" fillId="2" borderId="23" xfId="0" applyNumberFormat="1" applyFont="1" applyFill="1" applyBorder="1"/>
    <xf numFmtId="0" fontId="2" fillId="6" borderId="17" xfId="0" applyFont="1" applyFill="1" applyBorder="1" applyAlignment="1">
      <alignment horizontal="center"/>
    </xf>
    <xf numFmtId="2" fontId="0" fillId="2" borderId="18" xfId="0" applyNumberFormat="1" applyFill="1" applyBorder="1"/>
    <xf numFmtId="2" fontId="0" fillId="2" borderId="25" xfId="0" applyNumberFormat="1" applyFill="1" applyBorder="1"/>
    <xf numFmtId="0" fontId="2" fillId="0" borderId="0" xfId="0" applyFont="1" applyAlignment="1"/>
    <xf numFmtId="0" fontId="2" fillId="0" borderId="0" xfId="0" applyFont="1" applyBorder="1"/>
    <xf numFmtId="9" fontId="2" fillId="0" borderId="0" xfId="0" applyNumberFormat="1" applyFont="1" applyBorder="1"/>
    <xf numFmtId="0" fontId="0" fillId="0" borderId="40" xfId="0" applyBorder="1"/>
    <xf numFmtId="0" fontId="2" fillId="0" borderId="40" xfId="0" applyFont="1" applyBorder="1" applyAlignment="1">
      <alignment horizontal="center"/>
    </xf>
    <xf numFmtId="169" fontId="0" fillId="0" borderId="40" xfId="0" applyNumberFormat="1" applyBorder="1"/>
    <xf numFmtId="1" fontId="0" fillId="0" borderId="40" xfId="0" applyNumberFormat="1" applyBorder="1"/>
    <xf numFmtId="2" fontId="0" fillId="0" borderId="18" xfId="0" applyNumberFormat="1" applyFill="1" applyBorder="1"/>
    <xf numFmtId="0" fontId="2" fillId="7" borderId="38" xfId="0" applyFont="1" applyFill="1" applyBorder="1" applyAlignment="1">
      <alignment horizontal="center"/>
    </xf>
    <xf numFmtId="1" fontId="2" fillId="7" borderId="4" xfId="0" applyNumberFormat="1" applyFont="1" applyFill="1" applyBorder="1" applyAlignment="1">
      <alignment horizontal="left"/>
    </xf>
    <xf numFmtId="166" fontId="2" fillId="0" borderId="0" xfId="0" applyNumberFormat="1" applyFont="1" applyBorder="1"/>
    <xf numFmtId="2" fontId="2" fillId="5" borderId="16" xfId="0" applyNumberFormat="1" applyFont="1" applyFill="1" applyBorder="1"/>
    <xf numFmtId="165" fontId="3" fillId="0" borderId="0" xfId="0" applyNumberFormat="1" applyFont="1" applyAlignment="1">
      <alignment horizontal="left"/>
    </xf>
    <xf numFmtId="170" fontId="8" fillId="0" borderId="17" xfId="0" applyNumberFormat="1" applyFont="1" applyBorder="1" applyAlignment="1">
      <alignment horizontal="left"/>
    </xf>
    <xf numFmtId="0" fontId="8" fillId="0" borderId="0" xfId="0" applyNumberFormat="1" applyFont="1"/>
    <xf numFmtId="0" fontId="2" fillId="8" borderId="5" xfId="0" applyFont="1" applyFill="1" applyBorder="1" applyProtection="1">
      <protection locked="0"/>
    </xf>
    <xf numFmtId="0" fontId="4" fillId="0" borderId="40" xfId="0" applyFont="1" applyBorder="1"/>
    <xf numFmtId="0" fontId="10" fillId="0" borderId="0" xfId="2"/>
    <xf numFmtId="0" fontId="11" fillId="0" borderId="40" xfId="2" applyFont="1" applyBorder="1" applyAlignment="1">
      <alignment horizontal="center"/>
    </xf>
    <xf numFmtId="0" fontId="11" fillId="0" borderId="40" xfId="2" applyFont="1" applyBorder="1" applyAlignment="1" applyProtection="1">
      <alignment horizontal="center"/>
      <protection locked="0"/>
    </xf>
    <xf numFmtId="0" fontId="11" fillId="0" borderId="0" xfId="2" applyFont="1" applyBorder="1"/>
    <xf numFmtId="0" fontId="11" fillId="0" borderId="0" xfId="2" applyFont="1" applyBorder="1" applyProtection="1">
      <protection locked="0"/>
    </xf>
    <xf numFmtId="0" fontId="11" fillId="0" borderId="40" xfId="2" applyFont="1" applyBorder="1" applyProtection="1">
      <protection locked="0"/>
    </xf>
    <xf numFmtId="0" fontId="12" fillId="0" borderId="0" xfId="2" applyFont="1" applyFill="1" applyAlignment="1">
      <alignment horizontal="center"/>
    </xf>
    <xf numFmtId="0" fontId="19" fillId="0" borderId="0" xfId="2" applyFont="1" applyFill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22" fillId="0" borderId="21" xfId="2" applyFont="1" applyBorder="1"/>
    <xf numFmtId="0" fontId="22" fillId="0" borderId="23" xfId="2" applyFont="1" applyBorder="1"/>
    <xf numFmtId="0" fontId="10" fillId="0" borderId="5" xfId="2" applyBorder="1"/>
    <xf numFmtId="0" fontId="10" fillId="0" borderId="23" xfId="2" applyBorder="1"/>
    <xf numFmtId="0" fontId="19" fillId="3" borderId="38" xfId="2" applyFont="1" applyFill="1" applyBorder="1" applyAlignment="1">
      <alignment horizontal="center"/>
    </xf>
    <xf numFmtId="0" fontId="19" fillId="3" borderId="4" xfId="2" applyFont="1" applyFill="1" applyBorder="1" applyAlignment="1">
      <alignment horizontal="center"/>
    </xf>
    <xf numFmtId="0" fontId="19" fillId="3" borderId="34" xfId="2" applyFont="1" applyFill="1" applyBorder="1" applyAlignment="1">
      <alignment horizontal="center"/>
    </xf>
    <xf numFmtId="0" fontId="19" fillId="3" borderId="43" xfId="2" applyFont="1" applyFill="1" applyBorder="1" applyAlignment="1">
      <alignment horizontal="center"/>
    </xf>
    <xf numFmtId="0" fontId="19" fillId="3" borderId="44" xfId="2" applyFont="1" applyFill="1" applyBorder="1" applyAlignment="1">
      <alignment horizontal="center"/>
    </xf>
    <xf numFmtId="0" fontId="19" fillId="3" borderId="29" xfId="2" applyFont="1" applyFill="1" applyBorder="1" applyAlignment="1">
      <alignment horizontal="center"/>
    </xf>
    <xf numFmtId="0" fontId="19" fillId="3" borderId="39" xfId="2" applyFont="1" applyFill="1" applyBorder="1" applyAlignment="1">
      <alignment horizontal="center"/>
    </xf>
    <xf numFmtId="0" fontId="19" fillId="3" borderId="2" xfId="2" applyFont="1" applyFill="1" applyBorder="1" applyAlignment="1">
      <alignment horizontal="center"/>
    </xf>
    <xf numFmtId="0" fontId="19" fillId="3" borderId="45" xfId="2" applyFont="1" applyFill="1" applyBorder="1" applyAlignment="1">
      <alignment horizontal="center"/>
    </xf>
    <xf numFmtId="9" fontId="19" fillId="3" borderId="45" xfId="2" applyNumberFormat="1" applyFont="1" applyFill="1" applyBorder="1" applyAlignment="1">
      <alignment horizontal="center"/>
    </xf>
    <xf numFmtId="0" fontId="19" fillId="3" borderId="0" xfId="2" applyFont="1" applyFill="1" applyBorder="1" applyAlignment="1">
      <alignment horizontal="center"/>
    </xf>
    <xf numFmtId="0" fontId="19" fillId="3" borderId="46" xfId="2" applyFont="1" applyFill="1" applyBorder="1" applyAlignment="1">
      <alignment horizontal="center"/>
    </xf>
    <xf numFmtId="0" fontId="19" fillId="3" borderId="31" xfId="2" applyFont="1" applyFill="1" applyBorder="1" applyAlignment="1">
      <alignment horizontal="center"/>
    </xf>
    <xf numFmtId="0" fontId="19" fillId="3" borderId="47" xfId="2" applyFont="1" applyFill="1" applyBorder="1" applyAlignment="1">
      <alignment horizontal="center"/>
    </xf>
    <xf numFmtId="0" fontId="19" fillId="3" borderId="48" xfId="2" applyFont="1" applyFill="1" applyBorder="1" applyAlignment="1">
      <alignment horizontal="center"/>
    </xf>
    <xf numFmtId="0" fontId="20" fillId="3" borderId="49" xfId="2" applyFont="1" applyFill="1" applyBorder="1" applyAlignment="1">
      <alignment horizontal="center"/>
    </xf>
    <xf numFmtId="0" fontId="20" fillId="3" borderId="50" xfId="2" applyFont="1" applyFill="1" applyBorder="1" applyAlignment="1">
      <alignment horizontal="center"/>
    </xf>
    <xf numFmtId="0" fontId="13" fillId="3" borderId="51" xfId="2" applyFont="1" applyFill="1" applyBorder="1" applyAlignment="1">
      <alignment horizontal="center"/>
    </xf>
    <xf numFmtId="0" fontId="12" fillId="3" borderId="41" xfId="2" applyFont="1" applyFill="1" applyBorder="1" applyAlignment="1">
      <alignment horizontal="center"/>
    </xf>
    <xf numFmtId="0" fontId="12" fillId="3" borderId="3" xfId="2" applyFont="1" applyFill="1" applyBorder="1" applyAlignment="1">
      <alignment horizontal="center"/>
    </xf>
    <xf numFmtId="0" fontId="18" fillId="3" borderId="33" xfId="2" applyFont="1" applyFill="1" applyBorder="1" applyAlignment="1">
      <alignment horizontal="center"/>
    </xf>
    <xf numFmtId="0" fontId="18" fillId="3" borderId="52" xfId="2" applyFont="1" applyFill="1" applyBorder="1" applyAlignment="1">
      <alignment horizontal="center"/>
    </xf>
    <xf numFmtId="0" fontId="12" fillId="3" borderId="53" xfId="2" applyFont="1" applyFill="1" applyBorder="1" applyAlignment="1">
      <alignment horizontal="center"/>
    </xf>
    <xf numFmtId="0" fontId="17" fillId="3" borderId="53" xfId="2" applyFont="1" applyFill="1" applyBorder="1" applyAlignment="1">
      <alignment horizontal="center"/>
    </xf>
    <xf numFmtId="0" fontId="19" fillId="3" borderId="54" xfId="2" applyFont="1" applyFill="1" applyBorder="1" applyAlignment="1">
      <alignment horizontal="center"/>
    </xf>
    <xf numFmtId="0" fontId="12" fillId="3" borderId="13" xfId="2" applyFont="1" applyFill="1" applyBorder="1" applyAlignment="1">
      <alignment horizontal="center"/>
    </xf>
    <xf numFmtId="0" fontId="16" fillId="3" borderId="55" xfId="2" applyFont="1" applyFill="1" applyBorder="1" applyAlignment="1">
      <alignment horizontal="center"/>
    </xf>
    <xf numFmtId="0" fontId="16" fillId="3" borderId="56" xfId="2" applyFont="1" applyFill="1" applyBorder="1" applyAlignment="1">
      <alignment horizontal="center"/>
    </xf>
    <xf numFmtId="0" fontId="15" fillId="3" borderId="57" xfId="2" applyFont="1" applyFill="1" applyBorder="1" applyAlignment="1">
      <alignment horizontal="center"/>
    </xf>
    <xf numFmtId="0" fontId="13" fillId="3" borderId="58" xfId="2" applyFont="1" applyFill="1" applyBorder="1" applyAlignment="1">
      <alignment horizontal="center"/>
    </xf>
    <xf numFmtId="0" fontId="13" fillId="3" borderId="25" xfId="2" applyFont="1" applyFill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23" fillId="0" borderId="0" xfId="2" applyFont="1"/>
    <xf numFmtId="0" fontId="10" fillId="0" borderId="0" xfId="2" applyAlignment="1">
      <alignment horizontal="center"/>
    </xf>
    <xf numFmtId="0" fontId="24" fillId="0" borderId="38" xfId="2" applyFont="1" applyBorder="1"/>
    <xf numFmtId="0" fontId="25" fillId="0" borderId="43" xfId="2" applyFont="1" applyBorder="1"/>
    <xf numFmtId="0" fontId="23" fillId="0" borderId="43" xfId="2" applyFont="1" applyBorder="1"/>
    <xf numFmtId="0" fontId="10" fillId="0" borderId="43" xfId="2" applyBorder="1"/>
    <xf numFmtId="0" fontId="10" fillId="0" borderId="26" xfId="2" applyBorder="1"/>
    <xf numFmtId="0" fontId="26" fillId="0" borderId="39" xfId="2" applyFont="1" applyBorder="1"/>
    <xf numFmtId="0" fontId="27" fillId="0" borderId="0" xfId="2" applyFont="1" applyBorder="1"/>
    <xf numFmtId="0" fontId="23" fillId="0" borderId="0" xfId="2" applyFont="1" applyBorder="1"/>
    <xf numFmtId="0" fontId="10" fillId="0" borderId="0" xfId="2" applyBorder="1"/>
    <xf numFmtId="0" fontId="10" fillId="0" borderId="27" xfId="2" applyBorder="1"/>
    <xf numFmtId="0" fontId="28" fillId="0" borderId="39" xfId="2" applyFont="1" applyBorder="1"/>
    <xf numFmtId="0" fontId="18" fillId="0" borderId="0" xfId="2" applyFont="1" applyBorder="1"/>
    <xf numFmtId="0" fontId="29" fillId="0" borderId="0" xfId="2" applyFont="1" applyBorder="1"/>
    <xf numFmtId="0" fontId="28" fillId="0" borderId="0" xfId="2" applyFont="1" applyBorder="1"/>
    <xf numFmtId="0" fontId="30" fillId="0" borderId="0" xfId="2" applyFont="1" applyBorder="1"/>
    <xf numFmtId="0" fontId="10" fillId="0" borderId="0" xfId="2" applyBorder="1" applyAlignment="1">
      <alignment horizontal="center"/>
    </xf>
    <xf numFmtId="0" fontId="28" fillId="0" borderId="41" xfId="2" applyFont="1" applyBorder="1"/>
    <xf numFmtId="0" fontId="18" fillId="0" borderId="22" xfId="2" applyFont="1" applyBorder="1"/>
    <xf numFmtId="0" fontId="10" fillId="0" borderId="22" xfId="2" applyBorder="1" applyAlignment="1">
      <alignment horizontal="center"/>
    </xf>
    <xf numFmtId="0" fontId="10" fillId="0" borderId="22" xfId="2" applyBorder="1"/>
    <xf numFmtId="0" fontId="10" fillId="0" borderId="14" xfId="2" applyBorder="1"/>
    <xf numFmtId="0" fontId="31" fillId="0" borderId="0" xfId="2" applyFont="1" applyAlignment="1">
      <alignment horizontal="left"/>
    </xf>
    <xf numFmtId="0" fontId="28" fillId="0" borderId="0" xfId="2" applyFont="1"/>
    <xf numFmtId="0" fontId="18" fillId="0" borderId="0" xfId="2" applyFont="1"/>
    <xf numFmtId="0" fontId="15" fillId="0" borderId="0" xfId="2" applyFont="1"/>
    <xf numFmtId="0" fontId="15" fillId="0" borderId="0" xfId="2" applyFont="1" applyAlignment="1">
      <alignment horizontal="center"/>
    </xf>
    <xf numFmtId="0" fontId="10" fillId="0" borderId="0" xfId="2" applyFont="1"/>
    <xf numFmtId="0" fontId="32" fillId="0" borderId="0" xfId="2" applyFont="1" applyAlignment="1">
      <alignment horizontal="center"/>
    </xf>
    <xf numFmtId="0" fontId="16" fillId="0" borderId="0" xfId="2" applyFont="1"/>
    <xf numFmtId="0" fontId="33" fillId="0" borderId="0" xfId="2" applyFont="1" applyAlignment="1">
      <alignment horizontal="center"/>
    </xf>
    <xf numFmtId="0" fontId="31" fillId="0" borderId="0" xfId="2" applyFont="1"/>
    <xf numFmtId="0" fontId="34" fillId="0" borderId="0" xfId="2" applyFont="1"/>
    <xf numFmtId="0" fontId="30" fillId="0" borderId="0" xfId="2" applyFont="1"/>
    <xf numFmtId="0" fontId="10" fillId="0" borderId="0" xfId="2" applyFont="1" applyAlignment="1">
      <alignment horizontal="center"/>
    </xf>
    <xf numFmtId="0" fontId="35" fillId="0" borderId="0" xfId="2" applyFont="1" applyAlignment="1">
      <alignment horizontal="center"/>
    </xf>
    <xf numFmtId="0" fontId="36" fillId="0" borderId="0" xfId="0" applyFont="1" applyAlignment="1"/>
    <xf numFmtId="1" fontId="36" fillId="0" borderId="0" xfId="0" applyNumberFormat="1" applyFont="1" applyBorder="1" applyAlignment="1">
      <alignment horizontal="center"/>
    </xf>
    <xf numFmtId="0" fontId="36" fillId="0" borderId="0" xfId="0" applyFont="1"/>
    <xf numFmtId="0" fontId="36" fillId="0" borderId="0" xfId="0" applyFont="1" applyAlignment="1">
      <alignment horizontal="right"/>
    </xf>
    <xf numFmtId="165" fontId="36" fillId="0" borderId="0" xfId="0" applyNumberFormat="1" applyFont="1" applyAlignment="1"/>
    <xf numFmtId="165" fontId="37" fillId="0" borderId="0" xfId="0" applyNumberFormat="1" applyFont="1"/>
    <xf numFmtId="0" fontId="36" fillId="0" borderId="0" xfId="0" applyFont="1" applyBorder="1"/>
    <xf numFmtId="166" fontId="36" fillId="0" borderId="0" xfId="0" applyNumberFormat="1" applyFont="1" applyBorder="1"/>
    <xf numFmtId="1" fontId="2" fillId="0" borderId="2" xfId="0" applyNumberFormat="1" applyFont="1" applyBorder="1"/>
    <xf numFmtId="1" fontId="2" fillId="0" borderId="3" xfId="0" applyNumberFormat="1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Border="1" applyAlignment="1"/>
    <xf numFmtId="0" fontId="21" fillId="0" borderId="0" xfId="2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2" fontId="0" fillId="0" borderId="0" xfId="0" applyNumberFormat="1"/>
    <xf numFmtId="0" fontId="1" fillId="0" borderId="2" xfId="0" applyFont="1" applyBorder="1"/>
    <xf numFmtId="0" fontId="0" fillId="0" borderId="26" xfId="0" applyBorder="1"/>
    <xf numFmtId="0" fontId="2" fillId="0" borderId="14" xfId="0" applyFont="1" applyBorder="1"/>
    <xf numFmtId="0" fontId="0" fillId="0" borderId="4" xfId="0" applyBorder="1"/>
    <xf numFmtId="2" fontId="2" fillId="2" borderId="17" xfId="0" applyNumberFormat="1" applyFont="1" applyFill="1" applyBorder="1"/>
    <xf numFmtId="2" fontId="0" fillId="2" borderId="17" xfId="0" applyNumberFormat="1" applyFill="1" applyBorder="1"/>
    <xf numFmtId="2" fontId="11" fillId="0" borderId="40" xfId="2" applyNumberFormat="1" applyFont="1" applyBorder="1" applyProtection="1">
      <protection locked="0"/>
    </xf>
    <xf numFmtId="2" fontId="11" fillId="0" borderId="40" xfId="2" applyNumberFormat="1" applyFont="1" applyBorder="1" applyProtection="1"/>
    <xf numFmtId="0" fontId="0" fillId="0" borderId="0" xfId="0" applyBorder="1" applyAlignment="1"/>
    <xf numFmtId="0" fontId="0" fillId="8" borderId="0" xfId="0" applyFill="1" applyBorder="1"/>
    <xf numFmtId="0" fontId="36" fillId="0" borderId="0" xfId="0" applyFont="1" applyBorder="1" applyAlignment="1"/>
    <xf numFmtId="0" fontId="2" fillId="0" borderId="21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Alignment="1"/>
    <xf numFmtId="2" fontId="0" fillId="0" borderId="9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32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28" xfId="0" applyNumberFormat="1" applyFill="1" applyBorder="1" applyProtection="1">
      <protection locked="0"/>
    </xf>
    <xf numFmtId="2" fontId="0" fillId="0" borderId="34" xfId="0" applyNumberFormat="1" applyFill="1" applyBorder="1" applyProtection="1">
      <protection locked="0"/>
    </xf>
    <xf numFmtId="2" fontId="0" fillId="0" borderId="35" xfId="0" applyNumberFormat="1" applyFill="1" applyBorder="1" applyProtection="1">
      <protection locked="0"/>
    </xf>
    <xf numFmtId="2" fontId="0" fillId="0" borderId="36" xfId="0" applyNumberFormat="1" applyFill="1" applyBorder="1" applyProtection="1">
      <protection locked="0"/>
    </xf>
    <xf numFmtId="169" fontId="38" fillId="0" borderId="40" xfId="0" applyNumberFormat="1" applyFont="1" applyBorder="1" applyProtection="1">
      <protection locked="0"/>
    </xf>
    <xf numFmtId="0" fontId="38" fillId="0" borderId="40" xfId="0" applyFont="1" applyBorder="1" applyProtection="1">
      <protection locked="0"/>
    </xf>
    <xf numFmtId="0" fontId="19" fillId="3" borderId="40" xfId="2" applyFont="1" applyFill="1" applyBorder="1" applyAlignment="1" applyProtection="1">
      <alignment horizontal="center"/>
    </xf>
    <xf numFmtId="0" fontId="12" fillId="3" borderId="40" xfId="2" applyFont="1" applyFill="1" applyBorder="1" applyAlignment="1" applyProtection="1">
      <alignment horizontal="center"/>
    </xf>
    <xf numFmtId="0" fontId="18" fillId="3" borderId="40" xfId="2" applyFont="1" applyFill="1" applyBorder="1" applyAlignment="1" applyProtection="1">
      <alignment horizontal="center"/>
    </xf>
    <xf numFmtId="0" fontId="17" fillId="3" borderId="40" xfId="2" applyFont="1" applyFill="1" applyBorder="1" applyAlignment="1" applyProtection="1">
      <alignment horizontal="center"/>
    </xf>
    <xf numFmtId="0" fontId="16" fillId="3" borderId="40" xfId="2" applyFont="1" applyFill="1" applyBorder="1" applyAlignment="1" applyProtection="1">
      <alignment horizontal="center"/>
    </xf>
    <xf numFmtId="0" fontId="21" fillId="0" borderId="0" xfId="2" applyFont="1" applyAlignment="1" applyProtection="1">
      <alignment horizontal="center"/>
    </xf>
    <xf numFmtId="0" fontId="10" fillId="0" borderId="0" xfId="2" applyProtection="1"/>
    <xf numFmtId="2" fontId="11" fillId="0" borderId="40" xfId="2" applyNumberFormat="1" applyFont="1" applyBorder="1" applyAlignment="1" applyProtection="1">
      <alignment horizontal="center"/>
      <protection locked="0"/>
    </xf>
    <xf numFmtId="1" fontId="7" fillId="0" borderId="0" xfId="0" applyNumberFormat="1" applyFont="1" applyProtection="1">
      <protection locked="0"/>
    </xf>
    <xf numFmtId="0" fontId="21" fillId="0" borderId="0" xfId="0" applyFont="1"/>
    <xf numFmtId="0" fontId="21" fillId="0" borderId="57" xfId="2" applyNumberFormat="1" applyFont="1" applyBorder="1" applyAlignment="1" applyProtection="1">
      <alignment horizontal="left"/>
    </xf>
    <xf numFmtId="0" fontId="2" fillId="7" borderId="17" xfId="0" applyFont="1" applyFill="1" applyBorder="1" applyAlignment="1">
      <alignment horizontal="center"/>
    </xf>
    <xf numFmtId="2" fontId="0" fillId="5" borderId="8" xfId="0" applyNumberFormat="1" applyFill="1" applyBorder="1"/>
    <xf numFmtId="0" fontId="19" fillId="3" borderId="48" xfId="2" applyFont="1" applyFill="1" applyBorder="1" applyAlignment="1" applyProtection="1">
      <alignment horizontal="center"/>
    </xf>
    <xf numFmtId="9" fontId="19" fillId="3" borderId="56" xfId="2" applyNumberFormat="1" applyFont="1" applyFill="1" applyBorder="1" applyAlignment="1" applyProtection="1">
      <alignment horizontal="center"/>
    </xf>
    <xf numFmtId="0" fontId="20" fillId="3" borderId="48" xfId="2" applyFont="1" applyFill="1" applyBorder="1" applyAlignment="1" applyProtection="1">
      <alignment horizontal="center"/>
    </xf>
    <xf numFmtId="0" fontId="15" fillId="3" borderId="56" xfId="2" applyFont="1" applyFill="1" applyBorder="1" applyAlignment="1" applyProtection="1">
      <alignment horizontal="center"/>
    </xf>
    <xf numFmtId="0" fontId="13" fillId="3" borderId="56" xfId="2" applyFont="1" applyFill="1" applyBorder="1" applyAlignment="1" applyProtection="1">
      <alignment horizontal="center"/>
    </xf>
    <xf numFmtId="0" fontId="13" fillId="3" borderId="48" xfId="2" applyFont="1" applyFill="1" applyBorder="1" applyAlignment="1" applyProtection="1">
      <alignment horizontal="center"/>
    </xf>
    <xf numFmtId="0" fontId="19" fillId="3" borderId="45" xfId="2" applyFont="1" applyFill="1" applyBorder="1" applyAlignment="1" applyProtection="1">
      <alignment horizontal="center"/>
    </xf>
    <xf numFmtId="0" fontId="12" fillId="3" borderId="56" xfId="2" applyFont="1" applyFill="1" applyBorder="1" applyAlignment="1" applyProtection="1">
      <alignment horizontal="center"/>
    </xf>
    <xf numFmtId="1" fontId="0" fillId="0" borderId="0" xfId="0" applyNumberFormat="1"/>
    <xf numFmtId="0" fontId="2" fillId="0" borderId="21" xfId="0" applyFont="1" applyBorder="1" applyAlignment="1">
      <alignment horizontal="center"/>
    </xf>
    <xf numFmtId="0" fontId="0" fillId="0" borderId="5" xfId="0" applyBorder="1" applyAlignment="1"/>
    <xf numFmtId="2" fontId="0" fillId="0" borderId="1" xfId="0" applyNumberFormat="1" applyFill="1" applyBorder="1"/>
    <xf numFmtId="2" fontId="0" fillId="0" borderId="3" xfId="0" applyNumberFormat="1" applyFill="1" applyBorder="1"/>
    <xf numFmtId="2" fontId="0" fillId="0" borderId="59" xfId="0" applyNumberFormat="1" applyFill="1" applyBorder="1"/>
    <xf numFmtId="2" fontId="0" fillId="2" borderId="60" xfId="0" applyNumberFormat="1" applyFill="1" applyBorder="1"/>
    <xf numFmtId="2" fontId="0" fillId="2" borderId="13" xfId="0" applyNumberFormat="1" applyFill="1" applyBorder="1"/>
    <xf numFmtId="164" fontId="0" fillId="0" borderId="3" xfId="0" applyNumberFormat="1" applyBorder="1"/>
    <xf numFmtId="0" fontId="2" fillId="0" borderId="0" xfId="0" applyFont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2" fontId="2" fillId="0" borderId="2" xfId="0" applyNumberFormat="1" applyFont="1" applyBorder="1"/>
    <xf numFmtId="0" fontId="19" fillId="3" borderId="48" xfId="2" applyFont="1" applyFill="1" applyBorder="1" applyAlignment="1" applyProtection="1">
      <alignment horizontal="center"/>
    </xf>
    <xf numFmtId="0" fontId="19" fillId="3" borderId="56" xfId="2" applyFont="1" applyFill="1" applyBorder="1" applyAlignment="1" applyProtection="1">
      <alignment horizontal="center"/>
    </xf>
    <xf numFmtId="0" fontId="19" fillId="3" borderId="40" xfId="2" applyFont="1" applyFill="1" applyBorder="1" applyAlignment="1" applyProtection="1">
      <alignment horizontal="center"/>
    </xf>
    <xf numFmtId="0" fontId="21" fillId="0" borderId="57" xfId="2" applyFont="1" applyBorder="1" applyAlignment="1" applyProtection="1">
      <alignment horizontal="center"/>
    </xf>
    <xf numFmtId="0" fontId="19" fillId="3" borderId="38" xfId="2" applyFont="1" applyFill="1" applyBorder="1" applyAlignment="1">
      <alignment horizontal="center"/>
    </xf>
    <xf numFmtId="0" fontId="19" fillId="3" borderId="32" xfId="2" applyFont="1" applyFill="1" applyBorder="1" applyAlignment="1">
      <alignment horizontal="center"/>
    </xf>
    <xf numFmtId="0" fontId="19" fillId="3" borderId="43" xfId="2" applyFont="1" applyFill="1" applyBorder="1" applyAlignment="1">
      <alignment horizontal="center"/>
    </xf>
    <xf numFmtId="0" fontId="19" fillId="3" borderId="26" xfId="2" applyFont="1" applyFill="1" applyBorder="1" applyAlignment="1">
      <alignment horizontal="center"/>
    </xf>
    <xf numFmtId="0" fontId="19" fillId="3" borderId="39" xfId="2" applyFont="1" applyFill="1" applyBorder="1" applyAlignment="1">
      <alignment horizontal="center"/>
    </xf>
    <xf numFmtId="0" fontId="19" fillId="3" borderId="30" xfId="2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5" xfId="0" applyBorder="1" applyAlignment="1"/>
    <xf numFmtId="0" fontId="2" fillId="7" borderId="21" xfId="0" applyNumberFormat="1" applyFont="1" applyFill="1" applyBorder="1" applyAlignment="1">
      <alignment horizontal="center"/>
    </xf>
    <xf numFmtId="0" fontId="0" fillId="7" borderId="5" xfId="0" applyNumberForma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Alignment="1"/>
    <xf numFmtId="0" fontId="9" fillId="0" borderId="0" xfId="0" applyFont="1" applyAlignment="1"/>
    <xf numFmtId="0" fontId="0" fillId="0" borderId="0" xfId="0" applyAlignment="1"/>
  </cellXfs>
  <cellStyles count="3">
    <cellStyle name="Euro" xfId="1" xr:uid="{00000000-0005-0000-0000-000000000000}"/>
    <cellStyle name="Normal" xfId="0" builtinId="0"/>
    <cellStyle name="Normal_Navette de  Salaires KPMG spéciale pharmacie 2005" xfId="2" xr:uid="{00000000-0005-0000-0000-000002000000}"/>
  </cellStyles>
  <dxfs count="20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"/>
  <sheetViews>
    <sheetView topLeftCell="A53" workbookViewId="0">
      <selection activeCell="C49" sqref="C49"/>
    </sheetView>
  </sheetViews>
  <sheetFormatPr baseColWidth="10" defaultRowHeight="13.2" x14ac:dyDescent="0.25"/>
  <cols>
    <col min="1" max="1" width="19.44140625" bestFit="1" customWidth="1"/>
    <col min="2" max="2" width="15.5546875" bestFit="1" customWidth="1"/>
    <col min="3" max="3" width="9" bestFit="1" customWidth="1"/>
    <col min="4" max="4" width="6" customWidth="1"/>
    <col min="5" max="5" width="6.88671875" customWidth="1"/>
    <col min="6" max="6" width="5.88671875" customWidth="1"/>
    <col min="7" max="7" width="10.109375" bestFit="1" customWidth="1"/>
    <col min="8" max="8" width="6.33203125" customWidth="1"/>
    <col min="9" max="9" width="9" bestFit="1" customWidth="1"/>
    <col min="10" max="10" width="6.33203125" customWidth="1"/>
    <col min="11" max="11" width="9.33203125" bestFit="1" customWidth="1"/>
    <col min="12" max="12" width="6.109375" customWidth="1"/>
    <col min="13" max="13" width="7.44140625" customWidth="1"/>
    <col min="14" max="14" width="6.44140625" customWidth="1"/>
    <col min="15" max="15" width="7.88671875" bestFit="1" customWidth="1"/>
    <col min="16" max="16" width="5.88671875" bestFit="1" customWidth="1"/>
  </cols>
  <sheetData>
    <row r="1" spans="1:16" ht="15.6" x14ac:dyDescent="0.3">
      <c r="A1" s="192" t="s">
        <v>8</v>
      </c>
      <c r="B1" s="30"/>
      <c r="C1" s="193"/>
      <c r="D1" s="193"/>
      <c r="G1" s="27"/>
      <c r="H1" s="192"/>
      <c r="I1" s="28"/>
      <c r="L1" s="23"/>
    </row>
    <row r="2" spans="1:16" ht="15.6" x14ac:dyDescent="0.3">
      <c r="A2" s="31" t="s">
        <v>9</v>
      </c>
      <c r="B2" s="32">
        <f>synthese!$B$2</f>
        <v>2021</v>
      </c>
      <c r="C2" s="31" t="s">
        <v>13</v>
      </c>
      <c r="D2" s="32">
        <f>synthese!$D$2</f>
        <v>10</v>
      </c>
      <c r="E2" s="192"/>
      <c r="F2" s="26"/>
      <c r="G2" s="27"/>
      <c r="H2" s="26"/>
      <c r="I2" s="28"/>
      <c r="L2" s="23"/>
    </row>
    <row r="3" spans="1:16" ht="16.2" x14ac:dyDescent="0.35">
      <c r="A3" s="31" t="s">
        <v>11</v>
      </c>
      <c r="B3" s="92">
        <f>DATE($B$2,$D$2,1)</f>
        <v>44470</v>
      </c>
      <c r="C3" s="31" t="s">
        <v>12</v>
      </c>
      <c r="D3" s="32">
        <f>semaine!$C$7</f>
        <v>39</v>
      </c>
      <c r="F3" s="34"/>
      <c r="G3" s="54"/>
      <c r="H3" s="26"/>
      <c r="I3" s="28"/>
      <c r="L3" s="23"/>
    </row>
    <row r="4" spans="1:16" ht="15.6" x14ac:dyDescent="0.3">
      <c r="A4" s="31" t="s">
        <v>15</v>
      </c>
      <c r="B4" s="92">
        <f>$B$3-DAY($B$3)+8-WEEKDAY($B$3-DAY($B$3)+6)</f>
        <v>44473</v>
      </c>
      <c r="C4" s="31" t="s">
        <v>12</v>
      </c>
      <c r="D4" s="32">
        <f>semaine!$C$8</f>
        <v>40</v>
      </c>
      <c r="E4" s="192"/>
      <c r="F4" s="26"/>
      <c r="G4" s="27"/>
      <c r="H4" s="26"/>
      <c r="I4" s="28"/>
      <c r="L4" s="23"/>
    </row>
    <row r="5" spans="1:16" ht="15.6" x14ac:dyDescent="0.3">
      <c r="A5" s="31" t="s">
        <v>115</v>
      </c>
      <c r="B5" s="92">
        <f>IF(WEEKDAY(B3)=2,B4,B4-7)</f>
        <v>44466</v>
      </c>
      <c r="C5" s="31" t="s">
        <v>12</v>
      </c>
      <c r="D5" s="32">
        <f>semaine!$C$9</f>
        <v>39</v>
      </c>
      <c r="E5" s="190"/>
      <c r="F5" s="190"/>
      <c r="G5" s="190"/>
      <c r="H5" s="63"/>
    </row>
    <row r="6" spans="1:16" x14ac:dyDescent="0.25">
      <c r="A6" s="81"/>
      <c r="B6" s="81"/>
      <c r="C6" s="14"/>
      <c r="E6" s="190"/>
      <c r="F6" s="203"/>
      <c r="G6" s="203"/>
      <c r="H6" s="63"/>
    </row>
    <row r="7" spans="1:16" x14ac:dyDescent="0.25">
      <c r="A7" s="82"/>
      <c r="B7" s="81"/>
      <c r="E7" s="190"/>
      <c r="F7" s="190"/>
      <c r="G7" s="205" t="s">
        <v>128</v>
      </c>
      <c r="H7" s="63"/>
    </row>
    <row r="8" spans="1:16" x14ac:dyDescent="0.25">
      <c r="A8" s="82"/>
      <c r="B8" s="81"/>
      <c r="E8" s="190"/>
      <c r="F8" s="190"/>
      <c r="G8" s="190"/>
      <c r="H8" s="63"/>
    </row>
    <row r="9" spans="1:16" x14ac:dyDescent="0.25">
      <c r="A9" s="82"/>
      <c r="B9" s="81"/>
      <c r="D9" s="190" t="s">
        <v>16</v>
      </c>
      <c r="E9" s="190"/>
      <c r="F9" s="190"/>
      <c r="G9" s="190"/>
      <c r="H9" s="204"/>
    </row>
    <row r="10" spans="1:16" ht="13.8" thickBot="1" x14ac:dyDescent="0.3">
      <c r="B10" s="19"/>
      <c r="C10" s="19"/>
      <c r="D10" s="19"/>
      <c r="E10" s="19"/>
    </row>
    <row r="11" spans="1:16" ht="13.8" thickBot="1" x14ac:dyDescent="0.3">
      <c r="A11" s="77" t="s">
        <v>14</v>
      </c>
      <c r="B11" s="77">
        <f>semaine!D9</f>
        <v>2</v>
      </c>
      <c r="C11" s="105" t="s">
        <v>16</v>
      </c>
      <c r="D11" s="33"/>
      <c r="E11" s="33"/>
      <c r="K11" s="75"/>
    </row>
    <row r="12" spans="1:16" ht="13.8" thickBot="1" x14ac:dyDescent="0.3">
      <c r="A12" s="25" t="s">
        <v>10</v>
      </c>
      <c r="B12" s="24">
        <f>D5</f>
        <v>39</v>
      </c>
      <c r="C12" s="35">
        <f>$B$5</f>
        <v>44466</v>
      </c>
      <c r="D12" s="8" t="str">
        <f>IF(ISNA(VLOOKUP($C12,feries!$B$5:$B$31,1,FALSE)),"",IF(VLOOKUP($C12,feries!$B$5:$B$31,1,FALSE)=$C12,"férié",""))</f>
        <v/>
      </c>
      <c r="E12" s="35">
        <f>C12+1</f>
        <v>44467</v>
      </c>
      <c r="F12" s="8" t="str">
        <f>IF(ISNA(VLOOKUP($E12,feries!$B$5:$B$31,1,FALSE)),"",IF(VLOOKUP($E12,feries!$B$5:$B$31,1,FALSE)=$E12,"férié",""))</f>
        <v/>
      </c>
      <c r="G12" s="35">
        <f>E12+1</f>
        <v>44468</v>
      </c>
      <c r="H12" s="8" t="str">
        <f>IF(ISNA(VLOOKUP($G12,feries!$B$5:$B$31,1,FALSE)),"",IF(VLOOKUP($G12,feries!$B$5:$B$31,1,FALSE)=$G12,"férié",""))</f>
        <v/>
      </c>
      <c r="I12" s="35">
        <f>G12+1</f>
        <v>44469</v>
      </c>
      <c r="J12" s="8" t="str">
        <f>IF(ISNA(VLOOKUP($I12,feries!$B$5:$B$31,1,FALSE)),"",IF(VLOOKUP($I12,feries!$B$5:$B$31,1,FALSE)=$I12,"férié",""))</f>
        <v/>
      </c>
      <c r="K12" s="35">
        <f>I12+1</f>
        <v>44470</v>
      </c>
      <c r="L12" s="8" t="str">
        <f>IF(ISNA(VLOOKUP($K12,feries!$B$5:$B$31,1,FALSE)),"",IF(VLOOKUP($K12,feries!$B$5:$B$31,1,FALSE)=$K12,"férié",""))</f>
        <v/>
      </c>
      <c r="M12" s="76">
        <f>K12+1</f>
        <v>44471</v>
      </c>
      <c r="N12" s="8" t="str">
        <f>IF(ISNA(VLOOKUP($M12,feries!$B$5:$B$31,1,FALSE)),"",IF(VLOOKUP($M12,feries!$B$5:$B$31,1,FALSE)=$M12,"férié",""))</f>
        <v/>
      </c>
      <c r="O12" s="76">
        <f>M12+1</f>
        <v>44472</v>
      </c>
      <c r="P12" s="8" t="str">
        <f>IF(ISNA(VLOOKUP($M12,feries!$B$5:$B$31,1,FALSE)),"",IF(VLOOKUP($M12,feries!$B$5:$B$31,1,FALSE)=$M12,"férié",""))</f>
        <v/>
      </c>
    </row>
    <row r="13" spans="1:16" x14ac:dyDescent="0.25">
      <c r="A13" s="7" t="str">
        <f>type!$A$3</f>
        <v>a</v>
      </c>
      <c r="B13" s="2" t="s">
        <v>0</v>
      </c>
      <c r="C13" s="247">
        <f>IF($B$11=1,type!C$3,IF($B$11=2,type!C$15,IF($B$11=3,type!C$27,type!C$39)))</f>
        <v>8.75</v>
      </c>
      <c r="D13" s="10">
        <f>IF($B$11=1,type!D$3,IF($B$11=2,type!D$15,IF($B$11=3,type!D$27,type!D$39)))</f>
        <v>13</v>
      </c>
      <c r="E13" s="247">
        <f>IF($B$11=1,type!E$3,IF($B$11=2,type!E$15,IF($B$11=3,type!E$27,type!E$39)))</f>
        <v>8.75</v>
      </c>
      <c r="F13" s="10">
        <f>IF($B$11=1,type!F$3,IF($B$11=2,type!F$15,IF($B$11=3,type!F$27,type!F$39)))</f>
        <v>13</v>
      </c>
      <c r="G13" s="247">
        <f>IF($B$11=1,type!G$3,IF($B$11=2,type!G$15,IF($B$11=3,type!G$27,type!G$39)))</f>
        <v>0</v>
      </c>
      <c r="H13" s="10">
        <f>IF($B$11=1,type!H$3,IF($B$11=2,type!H$15,IF($B$11=3,type!H$27,type!H$39)))</f>
        <v>0</v>
      </c>
      <c r="I13" s="247">
        <f>IF($B$11=1,type!I$3,IF($B$11=2,type!I$15,IF($B$11=3,type!I$27,type!I$39)))</f>
        <v>0</v>
      </c>
      <c r="J13" s="10">
        <f>IF($B$11=1,type!J$3,IF($B$11=2,type!J$15,IF($B$11=3,type!J$27,type!J$39)))</f>
        <v>0</v>
      </c>
      <c r="K13" s="247">
        <f>IF($B$11=1,type!K$3,IF($B$11=2,type!K$15,IF($B$11=3,type!K$27,type!K$39)))</f>
        <v>8.75</v>
      </c>
      <c r="L13" s="10">
        <f>IF($B$11=1,type!L$3,IF($B$11=2,type!L$15,IF($B$11=3,type!L$27,type!L$39)))</f>
        <v>13</v>
      </c>
      <c r="M13" s="247">
        <f>IF($B$11=1,type!M$3,IF($B$11=2,type!M$15,IF($B$11=3,type!M$27,type!M$39)))</f>
        <v>0</v>
      </c>
      <c r="N13" s="10">
        <f>IF($B$11=1,type!N$3,IF($B$11=2,type!N$15,IF($B$11=3,type!N$27,type!N$39)))</f>
        <v>0</v>
      </c>
      <c r="O13" s="247">
        <f>IF($B$11=1,type!O$3,IF($B$11=2,type!O$15,IF($B$11=3,type!O$27,type!O$39)))</f>
        <v>0</v>
      </c>
      <c r="P13" s="247">
        <f>IF($B$11=1,type!P$3,IF($B$11=2,type!P$15,IF($B$11=3,type!P$27,type!P$39)))</f>
        <v>0</v>
      </c>
    </row>
    <row r="14" spans="1:16" x14ac:dyDescent="0.25">
      <c r="A14" s="195" t="s">
        <v>123</v>
      </c>
      <c r="B14" s="9" t="s">
        <v>1</v>
      </c>
      <c r="C14" s="249">
        <f>IF($B$11=1,type!C$4,IF($B$11=2,type!C$16,IF($B$11=3,type!C$28,type!C$40)))</f>
        <v>14</v>
      </c>
      <c r="D14" s="40">
        <f>IF($B$11=1,type!D$4,IF($B$11=2,type!D$16,IF($B$11=3,type!D$28,type!D$40)))</f>
        <v>20</v>
      </c>
      <c r="E14" s="249">
        <f>IF($B$11=1,type!E$4,IF($B$11=2,type!E$16,IF($B$11=3,type!E$28,type!E$40)))</f>
        <v>14.5</v>
      </c>
      <c r="F14" s="40">
        <f>IF($B$11=1,type!F$4,IF($B$11=2,type!F$16,IF($B$11=3,type!F$28,type!F$40)))</f>
        <v>19</v>
      </c>
      <c r="G14" s="249">
        <f>IF($B$11=1,type!G$4,IF($B$11=2,type!G$16,IF($B$11=3,type!G$28,type!G$40)))</f>
        <v>14</v>
      </c>
      <c r="H14" s="40">
        <f>IF($B$11=1,type!H$4,IF($B$11=2,type!H$16,IF($B$11=3,type!H$28,type!H$40)))</f>
        <v>20</v>
      </c>
      <c r="I14" s="249">
        <f>IF($B$11=1,type!I$4,IF($B$11=2,type!I$16,IF($B$11=3,type!I$28,type!I$40)))</f>
        <v>14</v>
      </c>
      <c r="J14" s="40">
        <f>IF($B$11=1,type!J$4,IF($B$11=2,type!J$16,IF($B$11=3,type!J$28,type!J$40)))</f>
        <v>20</v>
      </c>
      <c r="K14" s="249">
        <f>IF($B$11=1,type!K$4,IF($B$11=2,type!K$16,IF($B$11=3,type!K$28,type!K$40)))</f>
        <v>0</v>
      </c>
      <c r="L14" s="40">
        <f>IF($B$11=1,type!L$4,IF($B$11=2,type!L$16,IF($B$11=3,type!L$28,type!L$40)))</f>
        <v>0</v>
      </c>
      <c r="M14" s="249">
        <f>IF($B$11=1,type!M$4,IF($B$11=2,type!M$16,IF($B$11=3,type!M$28,type!M$40)))</f>
        <v>0</v>
      </c>
      <c r="N14" s="40">
        <f>IF($B$11=1,type!N$4,IF($B$11=2,type!N$16,IF($B$11=3,type!N$28,type!N$40)))</f>
        <v>0</v>
      </c>
      <c r="O14" s="249">
        <f>IF($B$11=1,type!O$4,IF($B$11=2,type!O$16,IF($B$11=3,type!O$28,type!O$40)))</f>
        <v>0</v>
      </c>
      <c r="P14" s="249">
        <f>IF($B$11=1,type!P$4,IF($B$11=2,type!P$16,IF($B$11=3,type!P$28,type!P$40)))</f>
        <v>0</v>
      </c>
    </row>
    <row r="15" spans="1:16" s="1" customFormat="1" ht="13.8" thickBot="1" x14ac:dyDescent="0.3">
      <c r="A15" s="4">
        <f>D15+F15+H15+J15+L15+N15+P15</f>
        <v>0</v>
      </c>
      <c r="B15" s="20">
        <f>C15+E15+G15+I15+K15+M15+O15</f>
        <v>35.25</v>
      </c>
      <c r="C15" s="36">
        <f>D14-C14+D13-C13</f>
        <v>10.25</v>
      </c>
      <c r="D15" s="21">
        <f>IF(MONTH($C$12)&lt;&gt;MONTH($B$3),0,C15-horaire!C15)</f>
        <v>0</v>
      </c>
      <c r="E15" s="36">
        <f>F14-E14+F13-E13</f>
        <v>8.75</v>
      </c>
      <c r="F15" s="21">
        <f>IF(MONTH($E$12)&lt;&gt;MONTH($B$3),0,E15-horaire!E15)</f>
        <v>0</v>
      </c>
      <c r="G15" s="36">
        <f>H14-G14+H13-G13</f>
        <v>6</v>
      </c>
      <c r="H15" s="21">
        <f>IF(MONTH($G$12)&lt;&gt;MONTH($B$3),0,G15-horaire!G15)</f>
        <v>0</v>
      </c>
      <c r="I15" s="36">
        <f>J14-I14+J13-I13</f>
        <v>6</v>
      </c>
      <c r="J15" s="21">
        <f>IF(MONTH($I$12)&lt;&gt;MONTH($B$3),0,I15-horaire!I15)</f>
        <v>0</v>
      </c>
      <c r="K15" s="36">
        <f>L14-K14+L13-K13</f>
        <v>4.25</v>
      </c>
      <c r="L15" s="21">
        <f>IF(MONTH($K$12)&lt;&gt;MONTH($B$3),0,K15-horaire!K15)</f>
        <v>0</v>
      </c>
      <c r="M15" s="36">
        <f>N14-M14+N13-M13</f>
        <v>0</v>
      </c>
      <c r="N15" s="21">
        <f>IF(MONTH($M$12)&lt;&gt;MONTH($B$3),0,M15-horaire!M15)</f>
        <v>0</v>
      </c>
      <c r="O15" s="36">
        <f>P14-O14+P13-O13</f>
        <v>0</v>
      </c>
      <c r="P15" s="21">
        <f>IF(MONTH($O$12)&lt;&gt;MONTH($B$3),0,O15-horaire!O15)</f>
        <v>0</v>
      </c>
    </row>
    <row r="16" spans="1:16" x14ac:dyDescent="0.25">
      <c r="A16" s="7" t="str">
        <f>type!$A$6</f>
        <v>b</v>
      </c>
      <c r="B16" s="2" t="s">
        <v>0</v>
      </c>
      <c r="C16" s="247">
        <f>IF($B$11=1,type!C$6,IF($B$11=2,type!C$18,IF($B$11=3,type!C$30,type!C$42)))</f>
        <v>8.75</v>
      </c>
      <c r="D16" s="10">
        <f>IF($B$11=1,type!D$6,IF($B$11=2,type!D$18,IF($B$11=3,type!D$30,type!D$42)))</f>
        <v>12</v>
      </c>
      <c r="E16" s="247">
        <f>IF($B$11=1,type!E$6,IF($B$11=2,type!E$18,IF($B$11=3,type!E$30,type!E$42)))</f>
        <v>0</v>
      </c>
      <c r="F16" s="10">
        <f>IF($B$11=1,type!F$6,IF($B$11=2,type!F$18,IF($B$11=3,type!F$30,type!F$42)))</f>
        <v>0</v>
      </c>
      <c r="G16" s="247">
        <f>IF($B$11=1,type!G$6,IF($B$11=2,type!G$18,IF($B$11=3,type!G$30,type!G$42)))</f>
        <v>8.75</v>
      </c>
      <c r="H16" s="10">
        <f>IF($B$11=1,type!H$6,IF($B$11=2,type!H$18,IF($B$11=3,type!H$30,type!H$42)))</f>
        <v>13</v>
      </c>
      <c r="I16" s="247">
        <f>IF($B$11=1,type!I$6,IF($B$11=2,type!I$18,IF($B$11=3,type!I$30,type!I$42)))</f>
        <v>0</v>
      </c>
      <c r="J16" s="10">
        <f>IF($B$11=1,type!J$6,IF($B$11=2,type!J$18,IF($B$11=3,type!J$30,type!J$42)))</f>
        <v>0</v>
      </c>
      <c r="K16" s="247">
        <f>IF($B$11=1,type!K$6,IF($B$11=2,type!K$18,IF($B$11=3,type!K$30,type!K$42)))</f>
        <v>8.75</v>
      </c>
      <c r="L16" s="10">
        <f>IF($B$11=1,type!L$6,IF($B$11=2,type!L$18,IF($B$11=3,type!L$30,type!L$42)))</f>
        <v>12</v>
      </c>
      <c r="M16" s="247">
        <f>IF($B$11=1,type!M$6,IF($B$11=2,type!M$18,IF($B$11=3,type!M$30,type!M$42)))</f>
        <v>0</v>
      </c>
      <c r="N16" s="10">
        <f>IF($B$11=1,type!N$6,IF($B$11=2,type!N$18,IF($B$11=3,type!N$30,type!N$42)))</f>
        <v>0</v>
      </c>
      <c r="O16" s="247">
        <f>IF($B$11=1,type!O$6,IF($B$11=2,type!O$18,IF($B$11=3,type!O$30,type!O$42)))</f>
        <v>0</v>
      </c>
      <c r="P16" s="247">
        <f>IF($B$11=1,type!P$6,IF($B$11=2,type!P$18,IF($B$11=3,type!P$30,type!P$42)))</f>
        <v>0</v>
      </c>
    </row>
    <row r="17" spans="1:16" x14ac:dyDescent="0.25">
      <c r="A17" s="195" t="s">
        <v>123</v>
      </c>
      <c r="B17" s="9" t="s">
        <v>1</v>
      </c>
      <c r="C17" s="249">
        <f>IF($B$11=1,type!C$7,IF($B$11=2,type!C$19,IF($B$11=3,type!C$31,type!C$43)))</f>
        <v>14</v>
      </c>
      <c r="D17" s="40">
        <f>IF($B$11=1,type!D$7,IF($B$11=2,type!D$19,IF($B$11=3,type!D$31,type!D$43)))</f>
        <v>19</v>
      </c>
      <c r="E17" s="249">
        <f>IF($B$11=1,type!E$7,IF($B$11=2,type!E$19,IF($B$11=3,type!E$31,type!E$43)))</f>
        <v>14</v>
      </c>
      <c r="F17" s="40">
        <f>IF($B$11=1,type!F$7,IF($B$11=2,type!F$19,IF($B$11=3,type!F$31,type!F$43)))</f>
        <v>20</v>
      </c>
      <c r="G17" s="249">
        <f>IF($B$11=1,type!G$7,IF($B$11=2,type!G$19,IF($B$11=3,type!G$31,type!G$43)))</f>
        <v>14.5</v>
      </c>
      <c r="H17" s="40">
        <f>IF($B$11=1,type!H$7,IF($B$11=2,type!H$19,IF($B$11=3,type!H$31,type!H$43)))</f>
        <v>19</v>
      </c>
      <c r="I17" s="249">
        <f>IF($B$11=1,type!I$7,IF($B$11=2,type!I$19,IF($B$11=3,type!I$31,type!I$43)))</f>
        <v>14</v>
      </c>
      <c r="J17" s="40">
        <f>IF($B$11=1,type!J$7,IF($B$11=2,type!J$19,IF($B$11=3,type!J$31,type!J$43)))</f>
        <v>19</v>
      </c>
      <c r="K17" s="249">
        <f>IF($B$11=1,type!K$7,IF($B$11=2,type!K$19,IF($B$11=3,type!K$31,type!K$43)))</f>
        <v>14</v>
      </c>
      <c r="L17" s="40">
        <f>IF($B$11=1,type!L$7,IF($B$11=2,type!L$19,IF($B$11=3,type!L$31,type!L$43)))</f>
        <v>19.75</v>
      </c>
      <c r="M17" s="249">
        <f>IF($B$11=1,type!M$7,IF($B$11=2,type!M$19,IF($B$11=3,type!M$31,type!M$43)))</f>
        <v>0</v>
      </c>
      <c r="N17" s="40">
        <f>IF($B$11=1,type!N$7,IF($B$11=2,type!N$19,IF($B$11=3,type!N$31,type!N$43)))</f>
        <v>0</v>
      </c>
      <c r="O17" s="249">
        <f>IF($B$11=1,type!O$7,IF($B$11=2,type!O$19,IF($B$11=3,type!O$31,type!O$43)))</f>
        <v>0</v>
      </c>
      <c r="P17" s="249">
        <f>IF($B$11=1,type!P$7,IF($B$11=2,type!P$19,IF($B$11=3,type!P$31,type!P$43)))</f>
        <v>0</v>
      </c>
    </row>
    <row r="18" spans="1:16" ht="13.8" thickBot="1" x14ac:dyDescent="0.3">
      <c r="A18" s="4">
        <f>D18+F18+H18+J18+L18+N18+P18</f>
        <v>0</v>
      </c>
      <c r="B18" s="20">
        <f>C18+E18+G18+I18+K18+M18+O18</f>
        <v>37</v>
      </c>
      <c r="C18" s="36">
        <f>D17-C17+D16-C16</f>
        <v>8.25</v>
      </c>
      <c r="D18" s="21">
        <f>IF(MONTH($C$12)&lt;&gt;MONTH($B$3),0,C18-horaire!C18)</f>
        <v>0</v>
      </c>
      <c r="E18" s="36">
        <f>F17-E17+F16-E16</f>
        <v>6</v>
      </c>
      <c r="F18" s="21">
        <f>IF(MONTH($E$12)&lt;&gt;MONTH($B$3),0,E18-horaire!E18)</f>
        <v>0</v>
      </c>
      <c r="G18" s="36">
        <f>H17-G17+H16-G16</f>
        <v>8.75</v>
      </c>
      <c r="H18" s="21">
        <f>IF(MONTH($G$12)&lt;&gt;MONTH($B$3),0,G18-horaire!G18)</f>
        <v>0</v>
      </c>
      <c r="I18" s="36">
        <f>J17-I17+J16-I16</f>
        <v>5</v>
      </c>
      <c r="J18" s="21">
        <f>IF(MONTH($I$12)&lt;&gt;MONTH($B$3),0,I18-horaire!I18)</f>
        <v>0</v>
      </c>
      <c r="K18" s="36">
        <f>L17-K17+L16-K16</f>
        <v>9</v>
      </c>
      <c r="L18" s="21">
        <f>IF(MONTH($K$12)&lt;&gt;MONTH($B$3),0,K18-horaire!K18)</f>
        <v>0</v>
      </c>
      <c r="M18" s="36">
        <f>N17-M17+N16-M16</f>
        <v>0</v>
      </c>
      <c r="N18" s="21">
        <f>IF(MONTH($K$12)&lt;&gt;MONTH($B$3),0,M18-horaire!M18)</f>
        <v>0</v>
      </c>
      <c r="O18" s="36">
        <f>P17-O17+P16-O16</f>
        <v>0</v>
      </c>
      <c r="P18" s="21">
        <f>IF(MONTH($O$12)&lt;&gt;MONTH($B$3),0,O18-horaire!O18)</f>
        <v>0</v>
      </c>
    </row>
    <row r="19" spans="1:16" x14ac:dyDescent="0.25">
      <c r="A19" s="7" t="str">
        <f>type!$A$9</f>
        <v>y</v>
      </c>
      <c r="B19" s="2" t="s">
        <v>0</v>
      </c>
      <c r="C19" s="247">
        <f>IF($B$11=1,type!C$9,IF($B$11=2,type!C$21,IF($B$11=3,type!C$33,type!C$45)))</f>
        <v>0</v>
      </c>
      <c r="D19" s="10">
        <f>IF($B$11=1,type!D$9,IF($B$11=2,type!D$21,IF($B$11=3,type!D$33,type!D$45)))</f>
        <v>0</v>
      </c>
      <c r="E19" s="247">
        <f>IF($B$11=1,type!E$9,IF($B$11=2,type!E$21,IF($B$11=3,type!E$33,type!E$45)))</f>
        <v>0</v>
      </c>
      <c r="F19" s="10">
        <f>IF($B$11=1,type!F$9,IF($B$11=2,type!F$21,IF($B$11=3,type!F$33,type!F$45)))</f>
        <v>0</v>
      </c>
      <c r="G19" s="247">
        <f>IF($B$11=1,type!G$9,IF($B$11=2,type!G$21,IF($B$11=3,type!G$33,type!G$45)))</f>
        <v>0</v>
      </c>
      <c r="H19" s="10">
        <f>IF($B$11=1,type!H$9,IF($B$11=2,type!H$21,IF($B$11=3,type!H$33,type!H$45)))</f>
        <v>0</v>
      </c>
      <c r="I19" s="247">
        <f>IF($B$11=1,type!I$9,IF($B$11=2,type!I$21,IF($B$11=3,type!I$33,type!I$45)))</f>
        <v>0</v>
      </c>
      <c r="J19" s="10">
        <f>IF($B$11=1,type!J$9,IF($B$11=2,type!J$21,IF($B$11=3,type!J$33,type!J$45)))</f>
        <v>0</v>
      </c>
      <c r="K19" s="247">
        <f>IF($B$11=1,type!K$9,IF($B$11=2,type!K$21,IF($B$11=3,type!K$33,type!K$45)))</f>
        <v>0</v>
      </c>
      <c r="L19" s="10">
        <f>IF($B$11=1,type!L$9,IF($B$11=2,type!L$21,IF($B$11=3,type!L$33,type!L$45)))</f>
        <v>0</v>
      </c>
      <c r="M19" s="247">
        <f>IF($B$11=1,type!M$9,IF($B$11=2,type!M$21,IF($B$11=3,type!M$33,type!M$45)))</f>
        <v>0</v>
      </c>
      <c r="N19" s="10">
        <f>IF($B$11=1,type!N$9,IF($B$11=2,type!N$21,IF($B$11=3,type!N$33,type!N$45)))</f>
        <v>0</v>
      </c>
      <c r="O19" s="247">
        <f>IF($B$11=1,type!O$9,IF($B$11=2,type!O$21,IF($B$11=3,type!O$33,type!O$45)))</f>
        <v>0</v>
      </c>
      <c r="P19" s="247">
        <f>IF($B$11=1,type!P$9,IF($B$11=2,type!P$21,IF($B$11=3,type!P$33,type!P$45)))</f>
        <v>0</v>
      </c>
    </row>
    <row r="20" spans="1:16" x14ac:dyDescent="0.25">
      <c r="A20" s="195" t="s">
        <v>123</v>
      </c>
      <c r="B20" s="9" t="s">
        <v>1</v>
      </c>
      <c r="C20" s="249">
        <f>IF($B$11=1,type!C$10,IF($B$11=2,type!C$22,IF($B$11=3,type!C$34,type!C$46)))</f>
        <v>0</v>
      </c>
      <c r="D20" s="40">
        <f>IF($B$11=1,type!D$10,IF($B$11=2,type!D$22,IF($B$11=3,type!D$34,type!D$46)))</f>
        <v>0</v>
      </c>
      <c r="E20" s="249">
        <f>IF($B$11=1,type!E$10,IF($B$11=2,type!E$22,IF($B$11=3,type!E$34,type!E$46)))</f>
        <v>0</v>
      </c>
      <c r="F20" s="40">
        <f>IF($B$11=1,type!F$10,IF($B$11=2,type!F$22,IF($B$11=3,type!F$34,type!F$46)))</f>
        <v>0</v>
      </c>
      <c r="G20" s="249">
        <f>IF($B$11=1,type!G$10,IF($B$11=2,type!G$22,IF($B$11=3,type!G$34,type!G$46)))</f>
        <v>0</v>
      </c>
      <c r="H20" s="40">
        <f>IF($B$11=1,type!H$10,IF($B$11=2,type!H$22,IF($B$11=3,type!H$34,type!H$46)))</f>
        <v>0</v>
      </c>
      <c r="I20" s="249">
        <f>IF($B$11=1,type!I$10,IF($B$11=2,type!I$22,IF($B$11=3,type!I$34,type!I$46)))</f>
        <v>0</v>
      </c>
      <c r="J20" s="40">
        <f>IF($B$11=1,type!J$10,IF($B$11=2,type!J$22,IF($B$11=3,type!J$34,type!J$46)))</f>
        <v>0</v>
      </c>
      <c r="K20" s="249">
        <f>IF($B$11=1,type!K$10,IF($B$11=2,type!K$22,IF($B$11=3,type!K$34,type!K$46)))</f>
        <v>0</v>
      </c>
      <c r="L20" s="40">
        <f>IF($B$11=1,type!L$10,IF($B$11=2,type!L$22,IF($B$11=3,type!L$34,type!L$46)))</f>
        <v>0</v>
      </c>
      <c r="M20" s="249">
        <f>IF($B$11=1,type!M$10,IF($B$11=2,type!M$22,IF($B$11=3,type!M$34,type!M$46)))</f>
        <v>0</v>
      </c>
      <c r="N20" s="40">
        <f>IF($B$11=1,type!N$10,IF($B$11=2,type!N$22,IF($B$11=3,type!N$34,type!N$46)))</f>
        <v>0</v>
      </c>
      <c r="O20" s="249">
        <f>IF($B$11=1,type!O$10,IF($B$11=2,type!O$22,IF($B$11=3,type!O$34,type!O$46)))</f>
        <v>0</v>
      </c>
      <c r="P20" s="249">
        <f>IF($B$11=1,type!P$10,IF($B$11=2,type!P$22,IF($B$11=3,type!P$34,type!P$46)))</f>
        <v>0</v>
      </c>
    </row>
    <row r="21" spans="1:16" ht="13.8" thickBot="1" x14ac:dyDescent="0.3">
      <c r="A21" s="252">
        <f>D21+F21+H21+J21+L21+N21+P21</f>
        <v>0</v>
      </c>
      <c r="B21" s="20">
        <f>C21+E21+G21+I21+K21+M21+O21</f>
        <v>0</v>
      </c>
      <c r="C21" s="36">
        <f>D20-C20+D19-C19</f>
        <v>0</v>
      </c>
      <c r="D21" s="21">
        <f>IF(MONTH($C$12)&lt;&gt;MONTH($B$3),0,C21-horaire!C21)</f>
        <v>0</v>
      </c>
      <c r="E21" s="36">
        <f>F20-E20+F19-E19</f>
        <v>0</v>
      </c>
      <c r="F21" s="21">
        <f>IF(MONTH($E$12)&lt;&gt;MONTH($B$3),0,E21-horaire!E21)</f>
        <v>0</v>
      </c>
      <c r="G21" s="36">
        <f>H20-G20+H19-G19</f>
        <v>0</v>
      </c>
      <c r="H21" s="21">
        <f>IF(MONTH($G$12)&lt;&gt;MONTH($B$3),0,G21-horaire!G21)</f>
        <v>0</v>
      </c>
      <c r="I21" s="36">
        <f>J20-I20+J19-I19</f>
        <v>0</v>
      </c>
      <c r="J21" s="21">
        <f>IF(MONTH($I$12)&lt;&gt;MONTH($B$3),0,I21-horaire!I21)</f>
        <v>0</v>
      </c>
      <c r="K21" s="36">
        <f>L20-K20+L19-K19</f>
        <v>0</v>
      </c>
      <c r="L21" s="21">
        <f>IF(MONTH($K$12)&lt;&gt;MONTH($B$3),0,K21-horaire!K21)</f>
        <v>0</v>
      </c>
      <c r="M21" s="36">
        <f>N20-M20+N19-M19</f>
        <v>0</v>
      </c>
      <c r="N21" s="21">
        <f>IF(MONTH($K$12)&lt;&gt;MONTH($B$3),0,M21-horaire!M21)</f>
        <v>0</v>
      </c>
      <c r="O21" s="36">
        <f>P20-O20+P19-O19</f>
        <v>0</v>
      </c>
      <c r="P21" s="21">
        <f>IF(MONTH($O$12)&lt;&gt;MONTH($B$3),0,O21-horaire!O21)</f>
        <v>0</v>
      </c>
    </row>
    <row r="22" spans="1:16" ht="13.8" thickBot="1" x14ac:dyDescent="0.3">
      <c r="A22" s="19"/>
      <c r="B22" s="22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1:16" ht="13.8" thickBot="1" x14ac:dyDescent="0.3">
      <c r="A23" s="77" t="s">
        <v>14</v>
      </c>
      <c r="B23" s="77">
        <f>IF($B$11=4,1,$B11+1)</f>
        <v>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  <row r="24" spans="1:16" ht="13.8" thickBot="1" x14ac:dyDescent="0.3">
      <c r="A24" s="25" t="s">
        <v>10</v>
      </c>
      <c r="B24" s="24">
        <f>IF($B$12=53,1,$B$12+1)</f>
        <v>40</v>
      </c>
      <c r="C24" s="37">
        <f>M12+2</f>
        <v>44473</v>
      </c>
      <c r="D24" s="38" t="str">
        <f>IF(ISNA(VLOOKUP($C24,feries!$B$5:$B$31,1,FALSE)),"",IF(VLOOKUP($C24,feries!$B$5:$B$31,1,FALSE)=$C24,"férié",""))</f>
        <v/>
      </c>
      <c r="E24" s="37">
        <f>C24+1</f>
        <v>44474</v>
      </c>
      <c r="F24" s="38" t="str">
        <f>IF(ISNA(VLOOKUP($E24,feries!$B$5:$B$31,1,FALSE)),"",IF(VLOOKUP($E24,feries!$B$5:$B$31,1,FALSE)=$E24,"férié",""))</f>
        <v/>
      </c>
      <c r="G24" s="37">
        <f>E24+1</f>
        <v>44475</v>
      </c>
      <c r="H24" s="38" t="str">
        <f>IF(ISNA(VLOOKUP($G24,feries!$B$5:$B$31,1,FALSE)),"",IF(VLOOKUP($G24,feries!$B$5:$B$31,1,FALSE)=$G24,"férié",""))</f>
        <v/>
      </c>
      <c r="I24" s="37">
        <f>G24+1</f>
        <v>44476</v>
      </c>
      <c r="J24" s="38" t="str">
        <f>IF(ISNA(VLOOKUP($I24,feries!$B$5:$B$31,1,FALSE)),"",IF(VLOOKUP($I24,feries!$B$5:$B$31,1,FALSE)=$I24,"férié",""))</f>
        <v/>
      </c>
      <c r="K24" s="37">
        <f>I24+1</f>
        <v>44477</v>
      </c>
      <c r="L24" s="38" t="str">
        <f>IF(ISNA(VLOOKUP($K24,feries!$B$5:$B$31,1,FALSE)),"",IF(VLOOKUP($K24,feries!$B$5:$B$31,1,FALSE)=$K24,"férié",""))</f>
        <v/>
      </c>
      <c r="M24" s="37">
        <f>K24+1</f>
        <v>44478</v>
      </c>
      <c r="N24" s="38" t="str">
        <f>IF(ISNA(VLOOKUP($M24,feries!$B$5:$B$31,1,FALSE)),"",IF(VLOOKUP($M24,feries!$B$5:$B$31,1,FALSE)=$M24,"férié",""))</f>
        <v/>
      </c>
      <c r="O24" s="37">
        <f>M24+1</f>
        <v>44479</v>
      </c>
      <c r="P24" s="38" t="str">
        <f>IF(ISNA(VLOOKUP($M24,feries!$B$5:$B$31,1,FALSE)),"",IF(VLOOKUP($M24,feries!$B$5:$B$31,1,FALSE)=$M24,"férié",""))</f>
        <v/>
      </c>
    </row>
    <row r="25" spans="1:16" x14ac:dyDescent="0.25">
      <c r="A25" s="7" t="str">
        <f>type!$A$3</f>
        <v>a</v>
      </c>
      <c r="B25" s="2" t="s">
        <v>0</v>
      </c>
      <c r="C25" s="247">
        <f>IF($B$23=1,type!C$3,IF($B$23=2,type!C$15,IF($B$23=3,type!C$27,type!C$39)))</f>
        <v>8.75</v>
      </c>
      <c r="D25" s="10">
        <f>IF($B$23=1,type!D$3,IF($B$23=2,type!D$15,IF($B$23=3,type!D$27,type!D$39)))</f>
        <v>12</v>
      </c>
      <c r="E25" s="247">
        <f>IF($B$23=1,type!E$3,IF($B$23=2,type!E$15,IF($B$23=3,type!E$27,type!E$39)))</f>
        <v>8.75</v>
      </c>
      <c r="F25" s="10">
        <f>IF($B$23=1,type!F$3,IF($B$23=2,type!F$15,IF($B$23=3,type!F$27,type!F$39)))</f>
        <v>13</v>
      </c>
      <c r="G25" s="247">
        <f>IF($B$23=1,type!G$3,IF($B$23=2,type!G$15,IF($B$23=3,type!G$27,type!G$39)))</f>
        <v>0</v>
      </c>
      <c r="H25" s="10">
        <f>IF($B$23=1,type!H$3,IF($B$23=2,type!H$15,IF($B$23=3,type!H$27,type!H$39)))</f>
        <v>0</v>
      </c>
      <c r="I25" s="247">
        <f>IF($B$23=1,type!I$3,IF($B$23=2,type!I$15,IF($B$23=3,type!I$27,type!I$39)))</f>
        <v>0</v>
      </c>
      <c r="J25" s="10">
        <f>IF($B$23=1,type!J$3,IF($B$23=2,type!J$15,IF($B$23=3,type!J$27,type!J$39)))</f>
        <v>0</v>
      </c>
      <c r="K25" s="247">
        <f>IF($B$23=1,type!K$3,IF($B$23=2,type!K$15,IF($B$23=3,type!K$27,type!K$39)))</f>
        <v>8.75</v>
      </c>
      <c r="L25" s="10">
        <f>IF($B$23=1,type!L$3,IF($B$23=2,type!L$15,IF($B$23=3,type!L$27,type!L$39)))</f>
        <v>12</v>
      </c>
      <c r="M25" s="247">
        <f>IF($B$23=1,type!M$3,IF($B$23=2,type!M$15,IF($B$23=3,type!M$27,type!M$39)))</f>
        <v>0</v>
      </c>
      <c r="N25" s="10">
        <f>IF($B$23=1,type!N$3,IF($B$23=2,type!N$15,IF($B$23=3,type!N$27,type!N$39)))</f>
        <v>0</v>
      </c>
      <c r="O25" s="247">
        <f>IF($B$23=1,type!O$3,IF($B$23=2,type!O$15,IF($B$23=3,type!O$27,type!O$39)))</f>
        <v>0</v>
      </c>
      <c r="P25" s="247">
        <f>IF($B$23=1,type!P$3,IF($B$23=2,type!P$15,IF($B$23=3,type!P$27,type!P$39)))</f>
        <v>0</v>
      </c>
    </row>
    <row r="26" spans="1:16" x14ac:dyDescent="0.25">
      <c r="A26" s="195" t="s">
        <v>123</v>
      </c>
      <c r="B26" s="9" t="s">
        <v>1</v>
      </c>
      <c r="C26" s="249">
        <f>IF($B$23=1,type!C$4,IF($B$23=2,type!C$16,IF($B$23=3,type!C$28,type!C$40)))</f>
        <v>14</v>
      </c>
      <c r="D26" s="40">
        <f>IF($B$23=1,type!D$4,IF($B$23=2,type!D$16,IF($B$23=3,type!D$28,type!D$40)))</f>
        <v>19</v>
      </c>
      <c r="E26" s="249">
        <f>IF($B$23=1,type!E$4,IF($B$23=2,type!E$16,IF($B$23=3,type!E$28,type!E$40)))</f>
        <v>14.5</v>
      </c>
      <c r="F26" s="40">
        <f>IF($B$23=1,type!F$4,IF($B$23=2,type!F$16,IF($B$23=3,type!F$28,type!F$40)))</f>
        <v>20</v>
      </c>
      <c r="G26" s="249">
        <f>IF($B$23=1,type!G$4,IF($B$23=2,type!G$16,IF($B$23=3,type!G$28,type!G$40)))</f>
        <v>14</v>
      </c>
      <c r="H26" s="40">
        <f>IF($B$23=1,type!H$4,IF($B$23=2,type!H$16,IF($B$23=3,type!H$28,type!H$40)))</f>
        <v>19</v>
      </c>
      <c r="I26" s="249">
        <f>IF($B$23=1,type!I$4,IF($B$23=2,type!I$16,IF($B$23=3,type!I$28,type!I$40)))</f>
        <v>14</v>
      </c>
      <c r="J26" s="40">
        <f>IF($B$23=1,type!J$4,IF($B$23=2,type!J$16,IF($B$23=3,type!J$28,type!J$40)))</f>
        <v>19</v>
      </c>
      <c r="K26" s="249">
        <f>IF($B$23=1,type!K$4,IF($B$23=2,type!K$16,IF($B$23=3,type!K$28,type!K$40)))</f>
        <v>14</v>
      </c>
      <c r="L26" s="40">
        <f>IF($B$23=1,type!L$4,IF($B$23=2,type!L$16,IF($B$23=3,type!L$28,type!L$40)))</f>
        <v>19.75</v>
      </c>
      <c r="M26" s="249">
        <f>IF($B$23=1,type!M$4,IF($B$23=2,type!M$16,IF($B$23=3,type!M$28,type!M$40)))</f>
        <v>0</v>
      </c>
      <c r="N26" s="40">
        <f>IF($B$23=1,type!N$4,IF($B$23=2,type!N$16,IF($B$23=3,type!N$28,type!N$40)))</f>
        <v>0</v>
      </c>
      <c r="O26" s="249">
        <f>IF($B$23=1,type!O$4,IF($B$23=2,type!O$16,IF($B$23=3,type!O$28,type!O$40)))</f>
        <v>0</v>
      </c>
      <c r="P26" s="249">
        <f>IF($B$23=1,type!P$4,IF($B$23=2,type!P$16,IF($B$23=3,type!P$28,type!P$40)))</f>
        <v>0</v>
      </c>
    </row>
    <row r="27" spans="1:16" ht="13.8" thickBot="1" x14ac:dyDescent="0.3">
      <c r="A27" s="4">
        <f>D27+F27+H27+J27+L27+N27+P27</f>
        <v>0</v>
      </c>
      <c r="B27" s="20">
        <f>C27+E27+G27+I27+K27+M27+O27</f>
        <v>37</v>
      </c>
      <c r="C27" s="36">
        <f>D26-C26+D25-C25</f>
        <v>8.25</v>
      </c>
      <c r="D27" s="21">
        <f>IF(MONTH($C$24)&lt;&gt;MONTH($B$3),0,C27-horaire!C27)</f>
        <v>0</v>
      </c>
      <c r="E27" s="36">
        <f>F26-E26+F25-E25</f>
        <v>9.75</v>
      </c>
      <c r="F27" s="21">
        <f>IF(MONTH($E$24)&lt;&gt;MONTH($B$3),0,E27-horaire!E27)</f>
        <v>0</v>
      </c>
      <c r="G27" s="36">
        <f>H26-G26+H25-G25</f>
        <v>5</v>
      </c>
      <c r="H27" s="21">
        <f>IF(MONTH($G$24)&lt;&gt;MONTH($B$3),0,G27-horaire!G27)</f>
        <v>0</v>
      </c>
      <c r="I27" s="36">
        <f>J26-I26+J25-I25</f>
        <v>5</v>
      </c>
      <c r="J27" s="21">
        <f>IF(MONTH($I$24)&lt;&gt;MONTH($B$3),0,I27-horaire!I27)</f>
        <v>0</v>
      </c>
      <c r="K27" s="36">
        <f>L26-K26+L25-K25</f>
        <v>9</v>
      </c>
      <c r="L27" s="21">
        <f>IF(MONTH($K$24)&lt;&gt;MONTH($B$3),0,K27-horaire!K27)</f>
        <v>0</v>
      </c>
      <c r="M27" s="36">
        <f>N26-M26+N25-M25</f>
        <v>0</v>
      </c>
      <c r="N27" s="21">
        <f>IF(MONTH($M$24)&lt;&gt;MONTH($B$3),0,M27-horaire!M27)</f>
        <v>0</v>
      </c>
      <c r="O27" s="36">
        <f>P26-O26+P25-O25</f>
        <v>0</v>
      </c>
      <c r="P27" s="21">
        <f>IF(MONTH($O$24)&lt;&gt;MONTH($B$3),0,O27-horaire!O27)</f>
        <v>0</v>
      </c>
    </row>
    <row r="28" spans="1:16" x14ac:dyDescent="0.25">
      <c r="A28" s="7" t="str">
        <f>type!$A$6</f>
        <v>b</v>
      </c>
      <c r="B28" s="2" t="s">
        <v>0</v>
      </c>
      <c r="C28" s="247">
        <f>IF($B$23=1,type!C$6,IF($B$23=2,type!C$18,IF($B$23=3,type!C$30,type!C$42)))</f>
        <v>8.75</v>
      </c>
      <c r="D28" s="10">
        <f>IF($B$23=1,type!D$6,IF($B$23=2,type!D$18,IF($B$23=3,type!D$30,type!D$42)))</f>
        <v>13</v>
      </c>
      <c r="E28" s="247">
        <f>IF($B$23=1,type!E$6,IF($B$23=2,type!E$18,IF($B$23=3,type!E$30,type!E$42)))</f>
        <v>0</v>
      </c>
      <c r="F28" s="10">
        <f>IF($B$23=1,type!F$6,IF($B$23=2,type!F$18,IF($B$23=3,type!F$30,type!F$42)))</f>
        <v>0</v>
      </c>
      <c r="G28" s="247">
        <f>IF($B$23=1,type!G$6,IF($B$23=2,type!G$18,IF($B$23=3,type!G$30,type!G$42)))</f>
        <v>8.75</v>
      </c>
      <c r="H28" s="10">
        <f>IF($B$23=1,type!H$6,IF($B$23=2,type!H$18,IF($B$23=3,type!H$30,type!H$42)))</f>
        <v>13</v>
      </c>
      <c r="I28" s="247">
        <f>IF($B$23=1,type!I$6,IF($B$23=2,type!I$18,IF($B$23=3,type!I$30,type!I$42)))</f>
        <v>0</v>
      </c>
      <c r="J28" s="10">
        <f>IF($B$23=1,type!J$6,IF($B$23=2,type!J$18,IF($B$23=3,type!J$30,type!J$42)))</f>
        <v>0</v>
      </c>
      <c r="K28" s="247">
        <f>IF($B$23=1,type!K$6,IF($B$23=2,type!K$18,IF($B$23=3,type!K$30,type!K$42)))</f>
        <v>8.75</v>
      </c>
      <c r="L28" s="10">
        <f>IF($B$23=1,type!L$6,IF($B$23=2,type!L$18,IF($B$23=3,type!L$30,type!L$42)))</f>
        <v>13</v>
      </c>
      <c r="M28" s="247">
        <f>IF($B$23=1,type!M$6,IF($B$23=2,type!M$18,IF($B$23=3,type!M$30,type!M$42)))</f>
        <v>0</v>
      </c>
      <c r="N28" s="10">
        <f>IF($B$23=1,type!N$6,IF($B$23=2,type!N$18,IF($B$23=3,type!N$30,type!N$42)))</f>
        <v>0</v>
      </c>
      <c r="O28" s="247">
        <f>IF($B$23=1,type!O$6,IF($B$23=2,type!O$18,IF($B$23=3,type!O$30,type!O$42)))</f>
        <v>0</v>
      </c>
      <c r="P28" s="247">
        <f>IF($B$23=1,type!P$6,IF($B$23=2,type!P$18,IF($B$23=3,type!P$30,type!P$42)))</f>
        <v>0</v>
      </c>
    </row>
    <row r="29" spans="1:16" x14ac:dyDescent="0.25">
      <c r="A29" s="195" t="s">
        <v>123</v>
      </c>
      <c r="B29" s="9" t="s">
        <v>1</v>
      </c>
      <c r="C29" s="249">
        <f>IF($B$23=1,type!C$7,IF($B$23=2,type!C$19,IF($B$23=3,type!C$31,type!C$43)))</f>
        <v>14.5</v>
      </c>
      <c r="D29" s="40">
        <f>IF($B$23=1,type!D$7,IF($B$23=2,type!D$19,IF($B$23=3,type!D$31,type!D$43)))</f>
        <v>20</v>
      </c>
      <c r="E29" s="249">
        <f>IF($B$23=1,type!E$7,IF($B$23=2,type!E$19,IF($B$23=3,type!E$31,type!E$43)))</f>
        <v>14</v>
      </c>
      <c r="F29" s="40">
        <f>IF($B$23=1,type!F$7,IF($B$23=2,type!F$19,IF($B$23=3,type!F$31,type!F$43)))</f>
        <v>19</v>
      </c>
      <c r="G29" s="249">
        <f>IF($B$23=1,type!G$7,IF($B$23=2,type!G$19,IF($B$23=3,type!G$31,type!G$43)))</f>
        <v>14.5</v>
      </c>
      <c r="H29" s="40">
        <f>IF($B$23=1,type!H$7,IF($B$23=2,type!H$19,IF($B$23=3,type!H$31,type!H$43)))</f>
        <v>20</v>
      </c>
      <c r="I29" s="249">
        <f>IF($B$23=1,type!I$7,IF($B$23=2,type!I$19,IF($B$23=3,type!I$31,type!I$43)))</f>
        <v>14</v>
      </c>
      <c r="J29" s="40">
        <f>IF($B$23=1,type!J$7,IF($B$23=2,type!J$19,IF($B$23=3,type!J$31,type!J$43)))</f>
        <v>20</v>
      </c>
      <c r="K29" s="249">
        <f>IF($B$23=1,type!K$7,IF($B$23=2,type!K$19,IF($B$23=3,type!K$31,type!K$43)))</f>
        <v>0</v>
      </c>
      <c r="L29" s="40">
        <f>IF($B$23=1,type!L$7,IF($B$23=2,type!L$19,IF($B$23=3,type!L$31,type!L$43)))</f>
        <v>0</v>
      </c>
      <c r="M29" s="249">
        <f>IF($B$23=1,type!M$7,IF($B$23=2,type!M$19,IF($B$23=3,type!M$31,type!M$43)))</f>
        <v>0</v>
      </c>
      <c r="N29" s="40">
        <f>IF($B$23=1,type!N$7,IF($B$23=2,type!N$19,IF($B$23=3,type!N$31,type!N$43)))</f>
        <v>0</v>
      </c>
      <c r="O29" s="249">
        <f>IF($B$23=1,type!O$7,IF($B$23=2,type!O$19,IF($B$23=3,type!O$31,type!O$43)))</f>
        <v>0</v>
      </c>
      <c r="P29" s="249">
        <f>IF($B$23=1,type!P$7,IF($B$23=2,type!P$19,IF($B$23=3,type!P$31,type!P$43)))</f>
        <v>0</v>
      </c>
    </row>
    <row r="30" spans="1:16" ht="13.8" thickBot="1" x14ac:dyDescent="0.3">
      <c r="A30" s="4">
        <f>D30+F30+H30+J30+L30+N30+P30</f>
        <v>0</v>
      </c>
      <c r="B30" s="20">
        <f>C30+E30+G30+I30+K30+M30+O30</f>
        <v>34.75</v>
      </c>
      <c r="C30" s="36">
        <f>D29-C29+D28-C28</f>
        <v>9.75</v>
      </c>
      <c r="D30" s="21">
        <f>IF(MONTH($C$24)&lt;&gt;MONTH($B$3),0,C30-horaire!C30)</f>
        <v>0</v>
      </c>
      <c r="E30" s="36">
        <f>F29-E29+F28-E28</f>
        <v>5</v>
      </c>
      <c r="F30" s="21">
        <f>IF(MONTH($E$24)&lt;&gt;MONTH($B$3),0,E30-horaire!E30)</f>
        <v>0</v>
      </c>
      <c r="G30" s="36">
        <f>H29-G29+H28-G28</f>
        <v>9.75</v>
      </c>
      <c r="H30" s="21">
        <f>IF(MONTH($G$24)&lt;&gt;MONTH($B$3),0,G30-horaire!G30)</f>
        <v>0</v>
      </c>
      <c r="I30" s="36">
        <f>J29-I29+J28-I28</f>
        <v>6</v>
      </c>
      <c r="J30" s="21">
        <f>IF(MONTH($I$24)&lt;&gt;MONTH($B$3),0,I30-horaire!I30)</f>
        <v>0</v>
      </c>
      <c r="K30" s="36">
        <f>L29-K29+L28-K28</f>
        <v>4.25</v>
      </c>
      <c r="L30" s="21">
        <f>IF(MONTH($K$24)&lt;&gt;MONTH($B$3),0,K30-horaire!K30)</f>
        <v>0</v>
      </c>
      <c r="M30" s="36">
        <f>N29-M29+N28-M28</f>
        <v>0</v>
      </c>
      <c r="N30" s="21">
        <f>IF(MONTH($M$24)&lt;&gt;MONTH($B$3),0,M30-horaire!M30)</f>
        <v>0</v>
      </c>
      <c r="O30" s="36">
        <f>P29-O29+P28-O28</f>
        <v>0</v>
      </c>
      <c r="P30" s="21">
        <f>IF(MONTH($O$24)&lt;&gt;MONTH($B$3),0,O30-horaire!O30)</f>
        <v>0</v>
      </c>
    </row>
    <row r="31" spans="1:16" x14ac:dyDescent="0.25">
      <c r="A31" s="7" t="str">
        <f>type!$A$9</f>
        <v>y</v>
      </c>
      <c r="B31" s="2" t="s">
        <v>0</v>
      </c>
      <c r="C31" s="247">
        <f>IF($B$23=1,type!C$9,IF($B$23=2,type!C$21,IF($B$23=3,type!C$33,type!C$45)))</f>
        <v>0</v>
      </c>
      <c r="D31" s="10">
        <f>IF($B$23=1,type!D$9,IF($B$23=2,type!D$21,IF($B$23=3,type!D$33,type!D$45)))</f>
        <v>0</v>
      </c>
      <c r="E31" s="247">
        <f>IF($B$23=1,type!E$9,IF($B$23=2,type!E$21,IF($B$23=3,type!E$33,type!E$45)))</f>
        <v>0</v>
      </c>
      <c r="F31" s="10">
        <f>IF($B$23=1,type!F$9,IF($B$23=2,type!F$21,IF($B$23=3,type!F$33,type!F$45)))</f>
        <v>0</v>
      </c>
      <c r="G31" s="247">
        <f>IF($B$23=1,type!G$9,IF($B$23=2,type!G$21,IF($B$23=3,type!G$33,type!G$45)))</f>
        <v>0</v>
      </c>
      <c r="H31" s="10">
        <f>IF($B$23=1,type!H$9,IF($B$23=2,type!H$21,IF($B$23=3,type!H$33,type!H$45)))</f>
        <v>0</v>
      </c>
      <c r="I31" s="247">
        <f>IF($B$23=1,type!I$9,IF($B$23=2,type!I$21,IF($B$23=3,type!I$33,type!I$45)))</f>
        <v>0</v>
      </c>
      <c r="J31" s="10">
        <f>IF($B$23=1,type!J$9,IF($B$23=2,type!J$21,IF($B$23=3,type!J$33,type!J$45)))</f>
        <v>0</v>
      </c>
      <c r="K31" s="247">
        <f>IF($B$23=1,type!K$9,IF($B$23=2,type!K$21,IF($B$23=3,type!K$33,type!K$45)))</f>
        <v>0</v>
      </c>
      <c r="L31" s="10">
        <f>IF($B$23=1,type!L$9,IF($B$23=2,type!L$21,IF($B$23=3,type!L$33,type!L$45)))</f>
        <v>0</v>
      </c>
      <c r="M31" s="247">
        <f>IF($B$23=1,type!M$9,IF($B$23=2,type!M$21,IF($B$23=3,type!M$33,type!M$45)))</f>
        <v>0</v>
      </c>
      <c r="N31" s="10">
        <f>IF($B$23=1,type!N$9,IF($B$23=2,type!N$21,IF($B$23=3,type!N$33,type!N$45)))</f>
        <v>0</v>
      </c>
      <c r="O31" s="247">
        <f>IF($B$23=1,type!O$9,IF($B$23=2,type!O$21,IF($B$23=3,type!O$33,type!O$45)))</f>
        <v>0</v>
      </c>
      <c r="P31" s="247">
        <f>IF($B$23=1,type!P$9,IF($B$23=2,type!P$21,IF($B$23=3,type!P$33,type!P$45)))</f>
        <v>0</v>
      </c>
    </row>
    <row r="32" spans="1:16" x14ac:dyDescent="0.25">
      <c r="A32" s="195" t="s">
        <v>123</v>
      </c>
      <c r="B32" s="9" t="s">
        <v>1</v>
      </c>
      <c r="C32" s="249">
        <f>IF($B$23=1,type!C$10,IF($B$23=2,type!C$22,IF($B$23=3,type!C$34,type!C$46)))</f>
        <v>0</v>
      </c>
      <c r="D32" s="40">
        <f>IF($B$23=1,type!D$10,IF($B$23=2,type!D$22,IF($B$23=3,type!D$34,type!D$46)))</f>
        <v>0</v>
      </c>
      <c r="E32" s="249">
        <f>IF($B$23=1,type!E$10,IF($B$23=2,type!E$22,IF($B$23=3,type!E$34,type!E$46)))</f>
        <v>0</v>
      </c>
      <c r="F32" s="40">
        <f>IF($B$23=1,type!F$10,IF($B$23=2,type!F$22,IF($B$23=3,type!F$34,type!F$46)))</f>
        <v>0</v>
      </c>
      <c r="G32" s="249">
        <f>IF($B$23=1,type!G$10,IF($B$23=2,type!G$22,IF($B$23=3,type!G$34,type!G$46)))</f>
        <v>0</v>
      </c>
      <c r="H32" s="40">
        <f>IF($B$23=1,type!H$10,IF($B$23=2,type!H$22,IF($B$23=3,type!H$34,type!H$46)))</f>
        <v>0</v>
      </c>
      <c r="I32" s="249">
        <f>IF($B$23=1,type!I$10,IF($B$23=2,type!I$22,IF($B$23=3,type!I$34,type!I$46)))</f>
        <v>0</v>
      </c>
      <c r="J32" s="40">
        <f>IF($B$23=1,type!J$10,IF($B$23=2,type!J$22,IF($B$23=3,type!J$34,type!J$46)))</f>
        <v>0</v>
      </c>
      <c r="K32" s="249">
        <f>IF($B$23=1,type!K$10,IF($B$23=2,type!K$22,IF($B$23=3,type!K$34,type!K$46)))</f>
        <v>0</v>
      </c>
      <c r="L32" s="40">
        <f>IF($B$23=1,type!L$10,IF($B$23=2,type!L$22,IF($B$23=3,type!L$34,type!L$46)))</f>
        <v>0</v>
      </c>
      <c r="M32" s="249">
        <f>IF($B$23=1,type!M$10,IF($B$23=2,type!M$22,IF($B$23=3,type!M$34,type!M$46)))</f>
        <v>0</v>
      </c>
      <c r="N32" s="40">
        <f>IF($B$23=1,type!N$10,IF($B$23=2,type!N$22,IF($B$23=3,type!N$34,type!N$46)))</f>
        <v>0</v>
      </c>
      <c r="O32" s="249">
        <f>IF($B$23=1,type!O$10,IF($B$23=2,type!O$22,IF($B$23=3,type!O$34,type!O$46)))</f>
        <v>0</v>
      </c>
      <c r="P32" s="249">
        <f>IF($B$23=1,type!P$10,IF($B$23=2,type!P$22,IF($B$23=3,type!P$34,type!P$46)))</f>
        <v>0</v>
      </c>
    </row>
    <row r="33" spans="1:16" ht="13.8" thickBot="1" x14ac:dyDescent="0.3">
      <c r="A33" s="252">
        <f>D33+F33+H33+J33+L33+N33+P33</f>
        <v>0</v>
      </c>
      <c r="B33" s="20">
        <f>C33+E33+G33+I33+K33+M33+O33</f>
        <v>0</v>
      </c>
      <c r="C33" s="36">
        <f>D32-C32+D31-C31</f>
        <v>0</v>
      </c>
      <c r="D33" s="21">
        <f>IF(MONTH($C$24)&lt;&gt;MONTH($B$3),0,C33-horaire!C33)</f>
        <v>0</v>
      </c>
      <c r="E33" s="36">
        <f>F32-E32+F31-E31</f>
        <v>0</v>
      </c>
      <c r="F33" s="21">
        <f>IF(MONTH($E$24)&lt;&gt;MONTH($B$3),0,E33-horaire!E33)</f>
        <v>0</v>
      </c>
      <c r="G33" s="36">
        <f>H32-G32+H31-G31</f>
        <v>0</v>
      </c>
      <c r="H33" s="21">
        <f>IF(MONTH($G$24)&lt;&gt;MONTH($B$3),0,G33-horaire!G33)</f>
        <v>0</v>
      </c>
      <c r="I33" s="36">
        <f>J32-I32+J31-I31</f>
        <v>0</v>
      </c>
      <c r="J33" s="21">
        <f>IF(MONTH($I$24)&lt;&gt;MONTH($B$3),0,I33-horaire!I33)</f>
        <v>0</v>
      </c>
      <c r="K33" s="36">
        <f>L32-K32+L31-K31</f>
        <v>0</v>
      </c>
      <c r="L33" s="21">
        <f>IF(MONTH($K$24)&lt;&gt;MONTH($B$3),0,K33-horaire!K33)</f>
        <v>0</v>
      </c>
      <c r="M33" s="36">
        <f>N32-M32+N31-M31</f>
        <v>0</v>
      </c>
      <c r="N33" s="21">
        <f>IF(MONTH($M$24)&lt;&gt;MONTH($B$3),0,M33-horaire!M33)</f>
        <v>0</v>
      </c>
      <c r="O33" s="36">
        <f>P32-O32+P31-O31</f>
        <v>0</v>
      </c>
      <c r="P33" s="21">
        <f>IF(MONTH($O$24)&lt;&gt;MONTH($B$3),0,O33-horaire!O33)</f>
        <v>0</v>
      </c>
    </row>
    <row r="34" spans="1:16" ht="13.8" thickBot="1" x14ac:dyDescent="0.3">
      <c r="A34" s="19"/>
      <c r="B34" s="22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</row>
    <row r="35" spans="1:16" ht="13.8" thickBot="1" x14ac:dyDescent="0.3">
      <c r="A35" s="77" t="s">
        <v>14</v>
      </c>
      <c r="B35" s="77">
        <f>IF($B$23=4,1,$B$23+1)</f>
        <v>4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</row>
    <row r="36" spans="1:16" ht="13.8" thickBot="1" x14ac:dyDescent="0.3">
      <c r="A36" s="25" t="s">
        <v>10</v>
      </c>
      <c r="B36" s="24">
        <f>$B$24+1</f>
        <v>41</v>
      </c>
      <c r="C36" s="37">
        <f>M24+2</f>
        <v>44480</v>
      </c>
      <c r="D36" s="38" t="str">
        <f>IF(ISNA(VLOOKUP($C36,feries!$B$5:$B$31,1,FALSE)),"",IF(VLOOKUP($C36,feries!$B$5:$B$31,1,FALSE)=$C36,"férié",""))</f>
        <v/>
      </c>
      <c r="E36" s="37">
        <f>C36+1</f>
        <v>44481</v>
      </c>
      <c r="F36" s="38" t="str">
        <f>IF(ISNA(VLOOKUP($E36,feries!$B$5:$B$31,1,FALSE)),"",IF(VLOOKUP($E36,feries!$B$5:$B$31,1,FALSE)=$E36,"férié",""))</f>
        <v/>
      </c>
      <c r="G36" s="37">
        <f>E36+1</f>
        <v>44482</v>
      </c>
      <c r="H36" s="38" t="str">
        <f>IF(ISNA(VLOOKUP($G36,feries!$B$5:$B$31,1,FALSE)),"",IF(VLOOKUP($G36,feries!$B$5:$B$31,1,FALSE)=$G36,"férié",""))</f>
        <v/>
      </c>
      <c r="I36" s="37">
        <f>G36+1</f>
        <v>44483</v>
      </c>
      <c r="J36" s="38" t="str">
        <f>IF(ISNA(VLOOKUP($I36,feries!$B$5:$B$31,1,FALSE)),"",IF(VLOOKUP($I36,feries!$B$5:$B$31,1,FALSE)=$I36,"férié",""))</f>
        <v/>
      </c>
      <c r="K36" s="37">
        <f>I36+1</f>
        <v>44484</v>
      </c>
      <c r="L36" s="38" t="str">
        <f>IF(ISNA(VLOOKUP($K36,feries!$B$5:$B$31,1,FALSE)),"",IF(VLOOKUP($K36,feries!$B$5:$B$31,1,FALSE)=$K36,"férié",""))</f>
        <v/>
      </c>
      <c r="M36" s="37">
        <f>K36+1</f>
        <v>44485</v>
      </c>
      <c r="N36" s="38" t="str">
        <f>IF(ISNA(VLOOKUP($M36,feries!$B$5:$B$31,1,FALSE)),"",IF(VLOOKUP($M36,feries!$B$5:$B$31,1,FALSE)=$M36,"férié",""))</f>
        <v/>
      </c>
      <c r="O36" s="37">
        <f>M36+1</f>
        <v>44486</v>
      </c>
      <c r="P36" s="38" t="str">
        <f>IF(ISNA(VLOOKUP($M36,feries!$B$5:$B$31,1,FALSE)),"",IF(VLOOKUP($M36,feries!$B$5:$B$31,1,FALSE)=$M36,"férié",""))</f>
        <v/>
      </c>
    </row>
    <row r="37" spans="1:16" x14ac:dyDescent="0.25">
      <c r="A37" s="7" t="str">
        <f>type!$A$3</f>
        <v>a</v>
      </c>
      <c r="B37" s="2" t="s">
        <v>0</v>
      </c>
      <c r="C37" s="247">
        <f>IF($B$35=1,type!C$3,IF($B$35=2,type!C$15,IF($B$35=3,type!C$27,type!C$39)))</f>
        <v>8.75</v>
      </c>
      <c r="D37" s="10">
        <f>IF($B$35=1,type!D$3,IF($B$35=2,type!D$15,IF($B$35=3,type!D$27,type!D$39)))</f>
        <v>13</v>
      </c>
      <c r="E37" s="247">
        <f>IF($B$35=1,type!E$3,IF($B$35=2,type!E$15,IF($B$35=3,type!E$27,type!E$39)))</f>
        <v>8.75</v>
      </c>
      <c r="F37" s="10">
        <f>IF($B$35=1,type!F$3,IF($B$35=2,type!F$15,IF($B$35=3,type!F$27,type!F$39)))</f>
        <v>13</v>
      </c>
      <c r="G37" s="247">
        <f>IF($B$35=1,type!G$3,IF($B$35=2,type!G$15,IF($B$35=3,type!G$27,type!G$39)))</f>
        <v>0</v>
      </c>
      <c r="H37" s="10">
        <f>IF($B$35=1,type!H$3,IF($B$35=2,type!H$15,IF($B$35=3,type!H$27,type!H$39)))</f>
        <v>0</v>
      </c>
      <c r="I37" s="247">
        <f>IF($B$35=1,type!I$3,IF($B$35=2,type!I$15,IF($B$35=3,type!I$27,type!I$39)))</f>
        <v>0</v>
      </c>
      <c r="J37" s="10">
        <f>IF($B$35=1,type!J$3,IF($B$35=2,type!J$15,IF($B$35=3,type!J$27,type!J$39)))</f>
        <v>0</v>
      </c>
      <c r="K37" s="247">
        <f>IF($B$35=1,type!K$3,IF($B$35=2,type!K$15,IF($B$35=3,type!K$27,type!K$39)))</f>
        <v>8.75</v>
      </c>
      <c r="L37" s="10">
        <f>IF($B$35=1,type!L$3,IF($B$35=2,type!L$15,IF($B$35=3,type!L$27,type!L$39)))</f>
        <v>13</v>
      </c>
      <c r="M37" s="247">
        <f>IF($B$35=1,type!M$3,IF($B$35=2,type!M$15,IF($B$35=3,type!M$27,type!M$39)))</f>
        <v>0</v>
      </c>
      <c r="N37" s="10">
        <f>IF($B$35=1,type!N$3,IF($B$35=2,type!N$15,IF($B$35=3,type!N$27,type!N$39)))</f>
        <v>0</v>
      </c>
      <c r="O37" s="247">
        <f>IF($B$35=1,type!O$3,IF($B$35=2,type!O$15,IF($B$35=3,type!O$27,type!O$39)))</f>
        <v>0</v>
      </c>
      <c r="P37" s="247">
        <f>IF($B$35=1,type!P$3,IF($B$35=2,type!P$15,IF($B$35=3,type!P$27,type!P$39)))</f>
        <v>0</v>
      </c>
    </row>
    <row r="38" spans="1:16" x14ac:dyDescent="0.25">
      <c r="A38" s="195" t="s">
        <v>123</v>
      </c>
      <c r="B38" s="9" t="s">
        <v>1</v>
      </c>
      <c r="C38" s="249">
        <f>IF($B$35=1,type!C$4,IF($B$35=2,type!C$16,IF($B$35=3,type!C$28,type!C$40)))</f>
        <v>14</v>
      </c>
      <c r="D38" s="40">
        <f>IF($B$35=1,type!D$4,IF($B$35=2,type!D$16,IF($B$35=3,type!D$28,type!D$40)))</f>
        <v>20</v>
      </c>
      <c r="E38" s="249">
        <f>IF($B$35=1,type!E$4,IF($B$35=2,type!E$16,IF($B$35=3,type!E$28,type!E$40)))</f>
        <v>14.5</v>
      </c>
      <c r="F38" s="40">
        <f>IF($B$35=1,type!F$4,IF($B$35=2,type!F$16,IF($B$35=3,type!F$28,type!F$40)))</f>
        <v>19</v>
      </c>
      <c r="G38" s="249">
        <f>IF($B$35=1,type!G$4,IF($B$35=2,type!G$16,IF($B$35=3,type!G$28,type!G$40)))</f>
        <v>14</v>
      </c>
      <c r="H38" s="40">
        <f>IF($B$35=1,type!H$4,IF($B$35=2,type!H$16,IF($B$35=3,type!H$28,type!H$40)))</f>
        <v>20</v>
      </c>
      <c r="I38" s="249">
        <f>IF($B$35=1,type!I$4,IF($B$35=2,type!I$16,IF($B$35=3,type!I$28,type!I$40)))</f>
        <v>14</v>
      </c>
      <c r="J38" s="40">
        <f>IF($B$35=1,type!J$4,IF($B$35=2,type!J$16,IF($B$35=3,type!J$28,type!J$40)))</f>
        <v>20</v>
      </c>
      <c r="K38" s="249">
        <f>IF($B$35=1,type!K$4,IF($B$35=2,type!K$16,IF($B$35=3,type!K$28,type!K$40)))</f>
        <v>0</v>
      </c>
      <c r="L38" s="40">
        <f>IF($B$35=1,type!L$4,IF($B$35=2,type!L$16,IF($B$35=3,type!L$28,type!L$40)))</f>
        <v>0</v>
      </c>
      <c r="M38" s="249">
        <f>IF($B$35=1,type!M$4,IF($B$35=2,type!M$16,IF($B$35=3,type!M$28,type!M$40)))</f>
        <v>0</v>
      </c>
      <c r="N38" s="40">
        <f>IF($B$35=1,type!N$4,IF($B$35=2,type!N$16,IF($B$35=3,type!N$28,type!N$40)))</f>
        <v>0</v>
      </c>
      <c r="O38" s="249">
        <f>IF($B$35=1,type!O$4,IF($B$35=2,type!O$16,IF($B$35=3,type!O$28,type!O$40)))</f>
        <v>0</v>
      </c>
      <c r="P38" s="249">
        <f>IF($B$35=1,type!P$4,IF($B$35=2,type!P$16,IF($B$35=3,type!P$28,type!P$40)))</f>
        <v>0</v>
      </c>
    </row>
    <row r="39" spans="1:16" ht="13.8" thickBot="1" x14ac:dyDescent="0.3">
      <c r="A39" s="4">
        <f>D39+F39+H39+J39+L39+N39+P39</f>
        <v>0</v>
      </c>
      <c r="B39" s="20">
        <f>C39+E39+G39+I39+K39+M39+O39</f>
        <v>35.25</v>
      </c>
      <c r="C39" s="36">
        <f>D38-C38+D37-C37</f>
        <v>10.25</v>
      </c>
      <c r="D39" s="21">
        <f>IF(MONTH($C$36)&lt;&gt;MONTH($B$3),0,C39-horaire!C39)</f>
        <v>0</v>
      </c>
      <c r="E39" s="36">
        <f>F38-E38+F37-E37</f>
        <v>8.75</v>
      </c>
      <c r="F39" s="21">
        <f>IF(MONTH($E$36)&lt;&gt;MONTH($B$3),0,E39-horaire!E39)</f>
        <v>0</v>
      </c>
      <c r="G39" s="36">
        <f>H38-G38+H37-G37</f>
        <v>6</v>
      </c>
      <c r="H39" s="21">
        <f>IF(MONTH($G$36)&lt;&gt;MONTH($B$3),0,G39-horaire!G39)</f>
        <v>0</v>
      </c>
      <c r="I39" s="36">
        <f>J38-I38+J37-I37</f>
        <v>6</v>
      </c>
      <c r="J39" s="21">
        <f>IF(MONTH($I$36)&lt;&gt;MONTH($B$3),0,I39-horaire!I39)</f>
        <v>0</v>
      </c>
      <c r="K39" s="36">
        <f>L38-K38+L37-K37</f>
        <v>4.25</v>
      </c>
      <c r="L39" s="21">
        <f>IF(MONTH($K$36)&lt;&gt;MONTH($B$3),0,K39-horaire!K39)</f>
        <v>0</v>
      </c>
      <c r="M39" s="36">
        <f>N38-M38+N37-M37</f>
        <v>0</v>
      </c>
      <c r="N39" s="21">
        <f>IF(MONTH($M$36)&lt;&gt;MONTH($B$3),0,M39-horaire!M39)</f>
        <v>0</v>
      </c>
      <c r="O39" s="36">
        <f>P38-O38+P37-O37</f>
        <v>0</v>
      </c>
      <c r="P39" s="21">
        <f>IF(MONTH($O$36)&lt;&gt;MONTH($B$3),0,O39-horaire!O39)</f>
        <v>0</v>
      </c>
    </row>
    <row r="40" spans="1:16" x14ac:dyDescent="0.25">
      <c r="A40" s="7" t="str">
        <f>type!$A$6</f>
        <v>b</v>
      </c>
      <c r="B40" s="2" t="s">
        <v>0</v>
      </c>
      <c r="C40" s="247">
        <f>IF($B$35=1,type!C$6,IF($B$35=2,type!C$18,IF($B$35=3,type!C$30,type!C$42)))</f>
        <v>8.75</v>
      </c>
      <c r="D40" s="10">
        <f>IF($B$35=1,type!D$6,IF($B$35=2,type!D$18,IF($B$35=3,type!D$30,type!D$42)))</f>
        <v>12</v>
      </c>
      <c r="E40" s="247">
        <v>8.75</v>
      </c>
      <c r="F40" s="10">
        <v>12</v>
      </c>
      <c r="G40" s="247">
        <f>IF($B$35=1,type!G$6,IF($B$35=2,type!G$18,IF($B$35=3,type!G$30,type!G$42)))</f>
        <v>8.75</v>
      </c>
      <c r="H40" s="10">
        <f>IF($B$35=1,type!H$6,IF($B$35=2,type!H$18,IF($B$35=3,type!H$30,type!H$42)))</f>
        <v>13</v>
      </c>
      <c r="I40" s="247">
        <f>IF($B$35=1,type!I$6,IF($B$35=2,type!I$18,IF($B$35=3,type!I$30,type!I$42)))</f>
        <v>0</v>
      </c>
      <c r="J40" s="10">
        <f>IF($B$35=1,type!J$6,IF($B$35=2,type!J$18,IF($B$35=3,type!J$30,type!J$42)))</f>
        <v>0</v>
      </c>
      <c r="K40" s="247">
        <f>IF($B$35=1,type!K$6,IF($B$35=2,type!K$18,IF($B$35=3,type!K$30,type!K$42)))</f>
        <v>8.75</v>
      </c>
      <c r="L40" s="10">
        <f>IF($B$35=1,type!L$6,IF($B$35=2,type!L$18,IF($B$35=3,type!L$30,type!L$42)))</f>
        <v>12</v>
      </c>
      <c r="M40" s="247">
        <f>IF($B$35=1,type!M$6,IF($B$35=2,type!M$18,IF($B$35=3,type!M$30,type!M$42)))</f>
        <v>0</v>
      </c>
      <c r="N40" s="10">
        <f>IF($B$35=1,type!N$6,IF($B$35=2,type!N$18,IF($B$35=3,type!N$30,type!N$42)))</f>
        <v>0</v>
      </c>
      <c r="O40" s="247">
        <f>IF($B$35=1,type!O$6,IF($B$35=2,type!O$18,IF($B$35=3,type!O$30,type!O$42)))</f>
        <v>0</v>
      </c>
      <c r="P40" s="247">
        <f>IF($B$35=1,type!P$6,IF($B$35=2,type!P$18,IF($B$35=3,type!P$30,type!P$42)))</f>
        <v>0</v>
      </c>
    </row>
    <row r="41" spans="1:16" x14ac:dyDescent="0.25">
      <c r="A41" s="195" t="s">
        <v>123</v>
      </c>
      <c r="B41" s="9" t="s">
        <v>1</v>
      </c>
      <c r="C41" s="249">
        <f>IF($B$35=1,type!C$7,IF($B$35=2,type!C$19,IF($B$35=3,type!C$31,type!C$43)))</f>
        <v>14</v>
      </c>
      <c r="D41" s="40">
        <f>IF($B$35=1,type!D$7,IF($B$35=2,type!D$19,IF($B$35=3,type!D$31,type!D$43)))</f>
        <v>19</v>
      </c>
      <c r="E41" s="249">
        <f>IF($B$35=1,type!E$7,IF($B$35=2,type!E$19,IF($B$35=3,type!E$31,type!E$43)))</f>
        <v>14</v>
      </c>
      <c r="F41" s="40">
        <f>IF($B$35=1,type!F$7,IF($B$35=2,type!F$19,IF($B$35=3,type!F$31,type!F$43)))</f>
        <v>20</v>
      </c>
      <c r="G41" s="249">
        <f>IF($B$35=1,type!G$7,IF($B$35=2,type!G$19,IF($B$35=3,type!G$31,type!G$43)))</f>
        <v>14.5</v>
      </c>
      <c r="H41" s="40">
        <f>IF($B$35=1,type!H$7,IF($B$35=2,type!H$19,IF($B$35=3,type!H$31,type!H$43)))</f>
        <v>19</v>
      </c>
      <c r="I41" s="249">
        <f>IF($B$35=1,type!I$7,IF($B$35=2,type!I$19,IF($B$35=3,type!I$31,type!I$43)))</f>
        <v>14</v>
      </c>
      <c r="J41" s="40">
        <f>IF($B$35=1,type!J$7,IF($B$35=2,type!J$19,IF($B$35=3,type!J$31,type!J$43)))</f>
        <v>19</v>
      </c>
      <c r="K41" s="249">
        <f>IF($B$35=1,type!K$7,IF($B$35=2,type!K$19,IF($B$35=3,type!K$31,type!K$43)))</f>
        <v>14</v>
      </c>
      <c r="L41" s="40">
        <f>IF($B$35=1,type!L$7,IF($B$35=2,type!L$19,IF($B$35=3,type!L$31,type!L$43)))</f>
        <v>19.75</v>
      </c>
      <c r="M41" s="249">
        <f>IF($B$35=1,type!M$7,IF($B$35=2,type!M$19,IF($B$35=3,type!M$31,type!M$43)))</f>
        <v>0</v>
      </c>
      <c r="N41" s="40">
        <f>IF($B$35=1,type!N$7,IF($B$35=2,type!N$19,IF($B$35=3,type!N$31,type!N$43)))</f>
        <v>0</v>
      </c>
      <c r="O41" s="249">
        <f>IF($B$35=1,type!O$7,IF($B$35=2,type!O$19,IF($B$35=3,type!O$31,type!O$43)))</f>
        <v>0</v>
      </c>
      <c r="P41" s="249">
        <f>IF($B$35=1,type!P$7,IF($B$35=2,type!P$19,IF($B$35=3,type!P$31,type!P$43)))</f>
        <v>0</v>
      </c>
    </row>
    <row r="42" spans="1:16" ht="13.8" thickBot="1" x14ac:dyDescent="0.3">
      <c r="A42" s="4">
        <f>D42+F42+H42+J42+L42+N42+P42</f>
        <v>3.25</v>
      </c>
      <c r="B42" s="20">
        <f>C42+E42+G42+I42+K42+M42+O42</f>
        <v>40.25</v>
      </c>
      <c r="C42" s="36">
        <f>D41-C41+D40-C40</f>
        <v>8.25</v>
      </c>
      <c r="D42" s="21">
        <f>IF(MONTH($C$36)&lt;&gt;MONTH($B$3),0,C42-horaire!C42)</f>
        <v>0</v>
      </c>
      <c r="E42" s="36">
        <f>F41-E41+F40-E40</f>
        <v>9.25</v>
      </c>
      <c r="F42" s="21">
        <f>IF(MONTH($E$36)&lt;&gt;MONTH($B$3),0,E42-horaire!E42)</f>
        <v>3.25</v>
      </c>
      <c r="G42" s="36">
        <f>H41-G41+H40-G40</f>
        <v>8.75</v>
      </c>
      <c r="H42" s="21">
        <f>IF(MONTH($G$36)&lt;&gt;MONTH($B$3),0,G42-horaire!G42)</f>
        <v>0</v>
      </c>
      <c r="I42" s="36">
        <f>J41-I41+J40-I40</f>
        <v>5</v>
      </c>
      <c r="J42" s="21">
        <f>IF(MONTH($I$36)&lt;&gt;MONTH($B$3),0,I42-horaire!I42)</f>
        <v>0</v>
      </c>
      <c r="K42" s="36">
        <f>L41-K41+L40-K40</f>
        <v>9</v>
      </c>
      <c r="L42" s="21">
        <f>IF(MONTH($K$36)&lt;&gt;MONTH($B$3),0,K42-horaire!K42)</f>
        <v>0</v>
      </c>
      <c r="M42" s="36">
        <f>N41-M41+N40-M40</f>
        <v>0</v>
      </c>
      <c r="N42" s="21">
        <f>IF(MONTH($M$36)&lt;&gt;MONTH($B$3),0,M42-horaire!M42)</f>
        <v>0</v>
      </c>
      <c r="O42" s="36">
        <f>P41-O41+P40-O40</f>
        <v>0</v>
      </c>
      <c r="P42" s="21">
        <f>IF(MONTH($O$36)&lt;&gt;MONTH($B$3),0,O42-horaire!O42)</f>
        <v>0</v>
      </c>
    </row>
    <row r="43" spans="1:16" x14ac:dyDescent="0.25">
      <c r="A43" s="7" t="str">
        <f>type!$A$9</f>
        <v>y</v>
      </c>
      <c r="B43" s="2" t="s">
        <v>0</v>
      </c>
      <c r="C43" s="247">
        <f>IF($B$35=1,type!C$9,IF($B$35=2,type!C$21,IF($B$35=3,type!C$33,type!C$45)))</f>
        <v>0</v>
      </c>
      <c r="D43" s="10">
        <f>IF($B$35=1,type!D$9,IF($B$35=2,type!D$21,IF($B$35=3,type!D$33,type!D$45)))</f>
        <v>0</v>
      </c>
      <c r="E43" s="247">
        <f>IF($B$35=1,type!E$9,IF($B$35=2,type!E$21,IF($B$35=3,type!E$33,type!E$45)))</f>
        <v>0</v>
      </c>
      <c r="F43" s="10">
        <f>IF($B$35=1,type!F$9,IF($B$35=2,type!F$21,IF($B$35=3,type!F$33,type!F$45)))</f>
        <v>0</v>
      </c>
      <c r="G43" s="247">
        <f>IF($B$35=1,type!G$9,IF($B$35=2,type!G$21,IF($B$35=3,type!G$33,type!G$45)))</f>
        <v>0</v>
      </c>
      <c r="H43" s="10">
        <f>IF($B$35=1,type!H$9,IF($B$35=2,type!H$21,IF($B$35=3,type!H$33,type!H$45)))</f>
        <v>0</v>
      </c>
      <c r="I43" s="247">
        <f>IF($B$35=1,type!I$9,IF($B$35=2,type!I$21,IF($B$35=3,type!I$33,type!I$45)))</f>
        <v>0</v>
      </c>
      <c r="J43" s="10">
        <f>IF($B$35=1,type!J$9,IF($B$35=2,type!J$21,IF($B$35=3,type!J$33,type!J$45)))</f>
        <v>0</v>
      </c>
      <c r="K43" s="247">
        <f>IF($B$35=1,type!K$9,IF($B$35=2,type!K$21,IF($B$35=3,type!K$33,type!K$45)))</f>
        <v>0</v>
      </c>
      <c r="L43" s="10">
        <f>IF($B$35=1,type!L$9,IF($B$35=2,type!L$21,IF($B$35=3,type!L$33,type!L$45)))</f>
        <v>0</v>
      </c>
      <c r="M43" s="247">
        <f>IF($B$35=1,type!M$9,IF($B$35=2,type!M$21,IF($B$35=3,type!M$33,type!M$45)))</f>
        <v>0</v>
      </c>
      <c r="N43" s="10">
        <f>IF($B$35=1,type!N$9,IF($B$35=2,type!N$21,IF($B$35=3,type!N$33,type!N$45)))</f>
        <v>0</v>
      </c>
      <c r="O43" s="247">
        <f>IF($B$35=1,type!O$9,IF($B$35=2,type!O$21,IF($B$35=3,type!O$33,type!O$45)))</f>
        <v>0</v>
      </c>
      <c r="P43" s="247">
        <f>IF($B$35=1,type!P$9,IF($B$35=2,type!P$21,IF($B$35=3,type!P$33,type!P$45)))</f>
        <v>0</v>
      </c>
    </row>
    <row r="44" spans="1:16" x14ac:dyDescent="0.25">
      <c r="A44" s="195" t="s">
        <v>123</v>
      </c>
      <c r="B44" s="9" t="s">
        <v>1</v>
      </c>
      <c r="C44" s="249">
        <f>IF($B$35=1,type!C$10,IF($B$35=2,type!C$22,IF($B$35=3,type!C$34,type!C$46)))</f>
        <v>0</v>
      </c>
      <c r="D44" s="40">
        <f>IF($B$35=1,type!D$10,IF($B$35=2,type!D$22,IF($B$35=3,type!D$34,type!D$46)))</f>
        <v>0</v>
      </c>
      <c r="E44" s="249">
        <f>IF($B$35=1,type!E$10,IF($B$35=2,type!E$22,IF($B$35=3,type!E$34,type!E$46)))</f>
        <v>0</v>
      </c>
      <c r="F44" s="40">
        <f>IF($B$35=1,type!F$10,IF($B$35=2,type!F$22,IF($B$35=3,type!F$34,type!F$46)))</f>
        <v>0</v>
      </c>
      <c r="G44" s="249">
        <f>IF($B$35=1,type!G$10,IF($B$35=2,type!G$22,IF($B$35=3,type!G$34,type!G$46)))</f>
        <v>0</v>
      </c>
      <c r="H44" s="40">
        <f>IF($B$35=1,type!H$10,IF($B$35=2,type!H$22,IF($B$35=3,type!H$34,type!H$46)))</f>
        <v>0</v>
      </c>
      <c r="I44" s="249">
        <f>IF($B$35=1,type!I$10,IF($B$35=2,type!I$22,IF($B$35=3,type!I$34,type!I$46)))</f>
        <v>0</v>
      </c>
      <c r="J44" s="40">
        <f>IF($B$35=1,type!J$10,IF($B$35=2,type!J$22,IF($B$35=3,type!J$34,type!J$46)))</f>
        <v>0</v>
      </c>
      <c r="K44" s="249">
        <f>IF($B$35=1,type!K$10,IF($B$35=2,type!K$22,IF($B$35=3,type!K$34,type!K$46)))</f>
        <v>0</v>
      </c>
      <c r="L44" s="40">
        <f>IF($B$35=1,type!L$10,IF($B$35=2,type!L$22,IF($B$35=3,type!L$34,type!L$46)))</f>
        <v>0</v>
      </c>
      <c r="M44" s="249">
        <f>IF($B$35=1,type!M$10,IF($B$35=2,type!M$22,IF($B$35=3,type!M$34,type!M$46)))</f>
        <v>0</v>
      </c>
      <c r="N44" s="40">
        <f>IF($B$35=1,type!N$10,IF($B$35=2,type!N$22,IF($B$35=3,type!N$34,type!N$46)))</f>
        <v>0</v>
      </c>
      <c r="O44" s="249">
        <f>IF($B$35=1,type!O$10,IF($B$35=2,type!O$22,IF($B$35=3,type!O$34,type!O$46)))</f>
        <v>0</v>
      </c>
      <c r="P44" s="249">
        <f>IF($B$35=1,type!P$10,IF($B$35=2,type!P$22,IF($B$35=3,type!P$34,type!P$46)))</f>
        <v>0</v>
      </c>
    </row>
    <row r="45" spans="1:16" ht="13.8" thickBot="1" x14ac:dyDescent="0.3">
      <c r="A45" s="252">
        <f>D45+F45+H45+J45+L45+N45+P45</f>
        <v>0</v>
      </c>
      <c r="B45" s="20">
        <f>C45+E45+G45+I45+K45+M45+O45</f>
        <v>0</v>
      </c>
      <c r="C45" s="36">
        <f>D44-C44+D43-C43</f>
        <v>0</v>
      </c>
      <c r="D45" s="21">
        <f>IF(MONTH($C$36)&lt;&gt;MONTH($B$3),0,C45-horaire!C45)</f>
        <v>0</v>
      </c>
      <c r="E45" s="36">
        <f>F44-E44+F43-E43</f>
        <v>0</v>
      </c>
      <c r="F45" s="21">
        <f>IF(MONTH($E$36)&lt;&gt;MONTH($B$3),0,E45-horaire!E45)</f>
        <v>0</v>
      </c>
      <c r="G45" s="36">
        <f>H44-G44+H43-G43</f>
        <v>0</v>
      </c>
      <c r="H45" s="21">
        <f>IF(MONTH($G$36)&lt;&gt;MONTH($B$3),0,G45-horaire!G45)</f>
        <v>0</v>
      </c>
      <c r="I45" s="36">
        <f>J44-I44+J43-I43</f>
        <v>0</v>
      </c>
      <c r="J45" s="21">
        <f>IF(MONTH($I$36)&lt;&gt;MONTH($B$3),0,I45-horaire!I45)</f>
        <v>0</v>
      </c>
      <c r="K45" s="36">
        <f>L44-K44+L43-K43</f>
        <v>0</v>
      </c>
      <c r="L45" s="21">
        <f>IF(MONTH($K$36)&lt;&gt;MONTH($B$3),0,K45-horaire!K45)</f>
        <v>0</v>
      </c>
      <c r="M45" s="36">
        <f>N44-M44+N43-M43</f>
        <v>0</v>
      </c>
      <c r="N45" s="21">
        <f>IF(MONTH($M$36)&lt;&gt;MONTH($B$3),0,M45-horaire!M45)</f>
        <v>0</v>
      </c>
      <c r="O45" s="36">
        <f>P44-O44+P43-O43</f>
        <v>0</v>
      </c>
      <c r="P45" s="21">
        <f>IF(MONTH($O$36)&lt;&gt;MONTH($B$3),0,O45-horaire!O45)</f>
        <v>0</v>
      </c>
    </row>
    <row r="46" spans="1:16" ht="13.8" thickBot="1" x14ac:dyDescent="0.3">
      <c r="A46" s="19"/>
      <c r="B46" s="22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</row>
    <row r="47" spans="1:16" ht="13.8" thickBot="1" x14ac:dyDescent="0.3">
      <c r="A47" s="77" t="s">
        <v>14</v>
      </c>
      <c r="B47" s="77">
        <f>IF($B$35=4,1,$B$35+1)</f>
        <v>1</v>
      </c>
      <c r="C47" s="49"/>
      <c r="D47" s="49"/>
      <c r="E47" s="49"/>
      <c r="F47" s="49"/>
      <c r="G47" s="49"/>
      <c r="H47" s="49"/>
      <c r="I47" s="49"/>
      <c r="J47" s="49"/>
      <c r="K47" s="49" t="s">
        <v>16</v>
      </c>
      <c r="L47" s="49"/>
      <c r="M47" s="49"/>
      <c r="N47" s="49"/>
      <c r="O47" s="49"/>
      <c r="P47" s="49"/>
    </row>
    <row r="48" spans="1:16" ht="13.8" thickBot="1" x14ac:dyDescent="0.3">
      <c r="A48" s="25" t="s">
        <v>10</v>
      </c>
      <c r="B48" s="24">
        <f>IF($B$36=52,1,$B$36+1)</f>
        <v>42</v>
      </c>
      <c r="C48" s="37">
        <f>M36+2</f>
        <v>44487</v>
      </c>
      <c r="D48" s="38" t="str">
        <f>IF(ISNA(VLOOKUP($C48,feries!$B$5:$B$31,1,FALSE)),"",IF(VLOOKUP($C48,feries!$B$5:$B$31,1,FALSE)=$C48,"férié",""))</f>
        <v/>
      </c>
      <c r="E48" s="37">
        <f>C48+1</f>
        <v>44488</v>
      </c>
      <c r="F48" s="38" t="str">
        <f>IF(ISNA(VLOOKUP($E48,feries!$B$5:$B$31,1,FALSE)),"",IF(VLOOKUP($E48,feries!$B$5:$B$31,1,FALSE)=$E48,"férié",""))</f>
        <v/>
      </c>
      <c r="G48" s="37">
        <f>E48+1</f>
        <v>44489</v>
      </c>
      <c r="H48" s="38" t="str">
        <f>IF(ISNA(VLOOKUP($G48,feries!$B$5:$B$31,1,FALSE)),"",IF(VLOOKUP($G48,feries!$B$5:$B$31,1,FALSE)=$G48,"férié",""))</f>
        <v/>
      </c>
      <c r="I48" s="37">
        <f>G48+1</f>
        <v>44490</v>
      </c>
      <c r="J48" s="38" t="str">
        <f>IF(ISNA(VLOOKUP($I48,feries!$B$5:$B$31,1,FALSE)),"",IF(VLOOKUP($I48,feries!$B$5:$B$31,1,FALSE)=$I48,"férié",""))</f>
        <v/>
      </c>
      <c r="K48" s="37">
        <f>I48+1</f>
        <v>44491</v>
      </c>
      <c r="L48" s="38" t="str">
        <f>IF(ISNA(VLOOKUP($K48,feries!$B$5:$B$31,1,FALSE)),"",IF(VLOOKUP($K48,feries!$B$5:$B$31,1,FALSE)=$K48,"férié",""))</f>
        <v/>
      </c>
      <c r="M48" s="37">
        <f>K48+1</f>
        <v>44492</v>
      </c>
      <c r="N48" s="38" t="str">
        <f>IF(ISNA(VLOOKUP($M48,feries!$B$5:$B$31,1,FALSE)),"",IF(VLOOKUP($M48,feries!$B$5:$B$31,1,FALSE)=$M48,"férié",""))</f>
        <v/>
      </c>
      <c r="O48" s="37">
        <f>M48+1</f>
        <v>44493</v>
      </c>
      <c r="P48" s="38" t="str">
        <f>IF(ISNA(VLOOKUP($M48,feries!$B$5:$B$31,1,FALSE)),"",IF(VLOOKUP($M48,feries!$B$5:$B$31,1,FALSE)=$M48,"férié",""))</f>
        <v/>
      </c>
    </row>
    <row r="49" spans="1:16" x14ac:dyDescent="0.25">
      <c r="A49" s="7" t="str">
        <f>type!$A$3</f>
        <v>a</v>
      </c>
      <c r="B49" s="2" t="s">
        <v>0</v>
      </c>
      <c r="C49" s="247">
        <f>IF($B$47=1,type!C$3,IF($B$47=2,type!C$15,IF($B$47=3,type!C$27,type!C$39)))</f>
        <v>8.75</v>
      </c>
      <c r="D49" s="10">
        <f>IF($B$47=1,type!D$3,IF($B$47=2,type!D$15,IF($B$47=3,type!D$27,type!D$39)))</f>
        <v>12</v>
      </c>
      <c r="E49" s="247">
        <f>IF($B$47=1,type!E$3,IF($B$47=2,type!E$15,IF($B$47=3,type!E$27,type!E$39)))</f>
        <v>8.75</v>
      </c>
      <c r="F49" s="10">
        <f>IF($B$47=1,type!F$3,IF($B$47=2,type!F$15,IF($B$47=3,type!F$27,type!F$39)))</f>
        <v>13</v>
      </c>
      <c r="G49" s="247">
        <f>IF($B$47=1,type!G$3,IF($B$47=2,type!G$15,IF($B$47=3,type!G$27,type!G$39)))</f>
        <v>0</v>
      </c>
      <c r="H49" s="10">
        <f>IF($B$47=1,type!H$3,IF($B$47=2,type!H$15,IF($B$47=3,type!H$27,type!H$39)))</f>
        <v>0</v>
      </c>
      <c r="I49" s="247">
        <f>IF($B$47=1,type!I$3,IF($B$47=2,type!I$15,IF($B$47=3,type!I$27,type!I$39)))</f>
        <v>0</v>
      </c>
      <c r="J49" s="10">
        <f>IF($B$47=1,type!J$3,IF($B$47=2,type!J$15,IF($B$47=3,type!J$27,type!J$39)))</f>
        <v>0</v>
      </c>
      <c r="K49" s="247">
        <f>IF($B$47=1,type!K$3,IF($B$47=2,type!K$15,IF($B$47=3,type!K$27,type!K$39)))</f>
        <v>8.75</v>
      </c>
      <c r="L49" s="10">
        <f>IF($B$47=1,type!L$3,IF($B$47=2,type!L$15,IF($B$47=3,type!L$27,type!L$39)))</f>
        <v>12</v>
      </c>
      <c r="M49" s="247">
        <f>IF($B$47=1,type!M$3,IF($B$47=2,type!M$15,IF($B$47=3,type!M$27,type!M$39)))</f>
        <v>0</v>
      </c>
      <c r="N49" s="10">
        <f>IF($B$47=1,type!N$3,IF($B$47=2,type!N$15,IF($B$47=3,type!N$27,type!N$39)))</f>
        <v>0</v>
      </c>
      <c r="O49" s="247">
        <f>IF($B$47=1,type!O$3,IF($B$47=2,type!O$15,IF($B$47=3,type!O$27,type!O$39)))</f>
        <v>0</v>
      </c>
      <c r="P49" s="247">
        <f>IF($B$47=1,type!P$3,IF($B$47=2,type!P$15,IF($B$47=3,type!P$27,type!P$39)))</f>
        <v>0</v>
      </c>
    </row>
    <row r="50" spans="1:16" x14ac:dyDescent="0.25">
      <c r="A50" s="195" t="s">
        <v>123</v>
      </c>
      <c r="B50" s="9" t="s">
        <v>1</v>
      </c>
      <c r="C50" s="249">
        <f>IF($B$47=1,type!C$4,IF($B$47=2,type!C$16,IF($B$47=3,type!C$28,type!C$40)))</f>
        <v>14</v>
      </c>
      <c r="D50" s="40">
        <f>IF($B$47=1,type!D$4,IF($B$47=2,type!D$16,IF($B$47=3,type!D$28,type!D$40)))</f>
        <v>19</v>
      </c>
      <c r="E50" s="249">
        <f>IF($B$47=1,type!E$4,IF($B$47=2,type!E$16,IF($B$47=3,type!E$28,type!E$40)))</f>
        <v>14.5</v>
      </c>
      <c r="F50" s="40">
        <f>IF($B$47=1,type!F$4,IF($B$47=2,type!F$16,IF($B$47=3,type!F$28,type!F$40)))</f>
        <v>20</v>
      </c>
      <c r="G50" s="249">
        <f>IF($B$47=1,type!G$4,IF($B$47=2,type!G$16,IF($B$47=3,type!G$28,type!G$40)))</f>
        <v>14</v>
      </c>
      <c r="H50" s="40">
        <f>IF($B$47=1,type!H$4,IF($B$47=2,type!H$16,IF($B$47=3,type!H$28,type!H$40)))</f>
        <v>19</v>
      </c>
      <c r="I50" s="249">
        <f>IF($B$47=1,type!I$4,IF($B$47=2,type!I$16,IF($B$47=3,type!I$28,type!I$40)))</f>
        <v>14</v>
      </c>
      <c r="J50" s="40">
        <f>IF($B$47=1,type!J$4,IF($B$47=2,type!J$16,IF($B$47=3,type!J$28,type!J$40)))</f>
        <v>19</v>
      </c>
      <c r="K50" s="249">
        <f>IF($B$47=1,type!K$4,IF($B$47=2,type!K$16,IF($B$47=3,type!K$28,type!K$40)))</f>
        <v>14</v>
      </c>
      <c r="L50" s="40">
        <f>IF($B$47=1,type!L$4,IF($B$47=2,type!L$16,IF($B$47=3,type!L$28,type!L$40)))</f>
        <v>19.75</v>
      </c>
      <c r="M50" s="249">
        <f>IF($B$47=1,type!M$4,IF($B$47=2,type!M$16,IF($B$47=3,type!M$28,type!M$40)))</f>
        <v>0</v>
      </c>
      <c r="N50" s="40">
        <f>IF($B$47=1,type!N$4,IF($B$47=2,type!N$16,IF($B$47=3,type!N$28,type!N$40)))</f>
        <v>0</v>
      </c>
      <c r="O50" s="249">
        <f>IF($B$47=1,type!O$4,IF($B$47=2,type!O$16,IF($B$47=3,type!O$28,type!O$40)))</f>
        <v>0</v>
      </c>
      <c r="P50" s="249">
        <f>IF($B$47=1,type!P$4,IF($B$47=2,type!P$16,IF($B$47=3,type!P$28,type!P$40)))</f>
        <v>0</v>
      </c>
    </row>
    <row r="51" spans="1:16" ht="13.8" thickBot="1" x14ac:dyDescent="0.3">
      <c r="A51" s="4">
        <f>D51+F51+H51+J51+L51+N51+P51</f>
        <v>0</v>
      </c>
      <c r="B51" s="20">
        <f>C51+E51+G51+I51+K51+M51+O51</f>
        <v>37</v>
      </c>
      <c r="C51" s="36">
        <f>D50-C50+D49-C49</f>
        <v>8.25</v>
      </c>
      <c r="D51" s="21">
        <f>IF(MONTH($C$48)&lt;&gt;MONTH($B$3),0,C51-horaire!C51)</f>
        <v>0</v>
      </c>
      <c r="E51" s="36">
        <f>F50-E50+F49-E49</f>
        <v>9.75</v>
      </c>
      <c r="F51" s="21">
        <f>IF(MONTH($E$48)&lt;&gt;MONTH($B$3),0,E51-horaire!E51)</f>
        <v>0</v>
      </c>
      <c r="G51" s="36">
        <f>H50-G50+H49-G49</f>
        <v>5</v>
      </c>
      <c r="H51" s="21">
        <f>IF(MONTH($G$48)&lt;&gt;MONTH($B$3),0,G51-horaire!G51)</f>
        <v>0</v>
      </c>
      <c r="I51" s="36">
        <f>J50-I50+J49-I49</f>
        <v>5</v>
      </c>
      <c r="J51" s="21">
        <f>IF(MONTH($I$48)&lt;&gt;MONTH($B$3),0,I51-horaire!I51)</f>
        <v>0</v>
      </c>
      <c r="K51" s="36">
        <f>L50-K50+L49-K49</f>
        <v>9</v>
      </c>
      <c r="L51" s="21">
        <f>IF(MONTH($K$48)&lt;&gt;MONTH($B$3),0,K51-horaire!K51)</f>
        <v>0</v>
      </c>
      <c r="M51" s="36">
        <f>N50-M50+N49-M49</f>
        <v>0</v>
      </c>
      <c r="N51" s="21">
        <f>IF(MONTH($M$48)&lt;&gt;MONTH($B$3),0,M51-horaire!M51)</f>
        <v>0</v>
      </c>
      <c r="O51" s="36">
        <f>P50-O50+P49-O49</f>
        <v>0</v>
      </c>
      <c r="P51" s="21">
        <f>IF(MONTH($O$48)&lt;&gt;MONTH($B$3),0,O51-horaire!O51)</f>
        <v>0</v>
      </c>
    </row>
    <row r="52" spans="1:16" x14ac:dyDescent="0.25">
      <c r="A52" s="7" t="str">
        <f>type!$A$6</f>
        <v>b</v>
      </c>
      <c r="B52" s="2" t="s">
        <v>0</v>
      </c>
      <c r="C52" s="247">
        <f>IF($B$47=1,type!C$6,IF($B$47=2,type!C$18,IF($B$47=3,type!C$30,type!C$42)))</f>
        <v>8.75</v>
      </c>
      <c r="D52" s="10">
        <f>IF($B$47=1,type!D$6,IF($B$47=2,type!D$18,IF($B$47=3,type!D$30,type!D$42)))</f>
        <v>13</v>
      </c>
      <c r="E52" s="247">
        <f>IF($B$47=1,type!E$6,IF($B$47=2,type!E$18,IF($B$47=3,type!E$30,type!E$42)))</f>
        <v>0</v>
      </c>
      <c r="F52" s="10">
        <f>IF($B$47=1,type!F$6,IF($B$47=2,type!F$18,IF($B$47=3,type!F$30,type!F$42)))</f>
        <v>0</v>
      </c>
      <c r="G52" s="247">
        <f>IF($B$47=1,type!G$6,IF($B$47=2,type!G$18,IF($B$47=3,type!G$30,type!G$42)))</f>
        <v>8.75</v>
      </c>
      <c r="H52" s="10">
        <f>IF($B$47=1,type!H$6,IF($B$47=2,type!H$18,IF($B$47=3,type!H$30,type!H$42)))</f>
        <v>13</v>
      </c>
      <c r="I52" s="247">
        <f>IF($B$47=1,type!I$6,IF($B$47=2,type!I$18,IF($B$47=3,type!I$30,type!I$42)))</f>
        <v>0</v>
      </c>
      <c r="J52" s="10">
        <f>IF($B$47=1,type!J$6,IF($B$47=2,type!J$18,IF($B$47=3,type!J$30,type!J$42)))</f>
        <v>0</v>
      </c>
      <c r="K52" s="247">
        <f>IF($B$47=1,type!K$6,IF($B$47=2,type!K$18,IF($B$47=3,type!K$30,type!K$42)))</f>
        <v>8.75</v>
      </c>
      <c r="L52" s="10">
        <f>IF($B$47=1,type!L$6,IF($B$47=2,type!L$18,IF($B$47=3,type!L$30,type!L$42)))</f>
        <v>13</v>
      </c>
      <c r="M52" s="247">
        <f>IF($B$47=1,type!M$6,IF($B$47=2,type!M$18,IF($B$47=3,type!M$30,type!M$42)))</f>
        <v>0</v>
      </c>
      <c r="N52" s="10">
        <f>IF($B$47=1,type!N$6,IF($B$47=2,type!N$18,IF($B$47=3,type!N$30,type!N$42)))</f>
        <v>0</v>
      </c>
      <c r="O52" s="247">
        <f>IF($B$47=1,type!O$6,IF($B$47=2,type!O$18,IF($B$47=3,type!O$30,type!O$42)))</f>
        <v>0</v>
      </c>
      <c r="P52" s="247">
        <f>IF($B$47=1,type!P$6,IF($B$47=2,type!P$18,IF($B$47=3,type!P$30,type!P$42)))</f>
        <v>0</v>
      </c>
    </row>
    <row r="53" spans="1:16" x14ac:dyDescent="0.25">
      <c r="A53" s="195" t="s">
        <v>123</v>
      </c>
      <c r="B53" s="9" t="s">
        <v>1</v>
      </c>
      <c r="C53" s="249">
        <f>IF($B$47=1,type!C$7,IF($B$47=2,type!C$19,IF($B$47=3,type!C$31,type!C$43)))</f>
        <v>14.5</v>
      </c>
      <c r="D53" s="40">
        <f>IF($B$47=1,type!D$7,IF($B$47=2,type!D$19,IF($B$47=3,type!D$31,type!D$43)))</f>
        <v>20</v>
      </c>
      <c r="E53" s="249">
        <f>IF($B$47=1,type!E$7,IF($B$47=2,type!E$19,IF($B$47=3,type!E$31,type!E$43)))</f>
        <v>14</v>
      </c>
      <c r="F53" s="40">
        <f>IF($B$47=1,type!F$7,IF($B$47=2,type!F$19,IF($B$47=3,type!F$31,type!F$43)))</f>
        <v>19</v>
      </c>
      <c r="G53" s="249">
        <f>IF($B$47=1,type!G$7,IF($B$47=2,type!G$19,IF($B$47=3,type!G$31,type!G$43)))</f>
        <v>14.5</v>
      </c>
      <c r="H53" s="40">
        <f>IF($B$47=1,type!H$7,IF($B$47=2,type!H$19,IF($B$47=3,type!H$31,type!H$43)))</f>
        <v>20</v>
      </c>
      <c r="I53" s="249">
        <f>IF($B$47=1,type!I$7,IF($B$47=2,type!I$19,IF($B$47=3,type!I$31,type!I$43)))</f>
        <v>14</v>
      </c>
      <c r="J53" s="40">
        <f>IF($B$47=1,type!J$7,IF($B$47=2,type!J$19,IF($B$47=3,type!J$31,type!J$43)))</f>
        <v>20</v>
      </c>
      <c r="K53" s="249">
        <f>IF($B$47=1,type!K$7,IF($B$47=2,type!K$19,IF($B$47=3,type!K$31,type!K$43)))</f>
        <v>0</v>
      </c>
      <c r="L53" s="40">
        <f>IF($B$47=1,type!L$7,IF($B$47=2,type!L$19,IF($B$47=3,type!L$31,type!L$43)))</f>
        <v>0</v>
      </c>
      <c r="M53" s="249">
        <f>IF($B$47=1,type!M$7,IF($B$47=2,type!M$19,IF($B$47=3,type!M$31,type!M$43)))</f>
        <v>0</v>
      </c>
      <c r="N53" s="40">
        <f>IF($B$47=1,type!N$7,IF($B$47=2,type!N$19,IF($B$47=3,type!N$31,type!N$43)))</f>
        <v>0</v>
      </c>
      <c r="O53" s="249">
        <f>IF($B$47=1,type!O$7,IF($B$47=2,type!O$19,IF($B$47=3,type!O$31,type!O$43)))</f>
        <v>0</v>
      </c>
      <c r="P53" s="249">
        <f>IF($B$47=1,type!P$7,IF($B$47=2,type!P$19,IF($B$47=3,type!P$31,type!P$43)))</f>
        <v>0</v>
      </c>
    </row>
    <row r="54" spans="1:16" ht="13.8" thickBot="1" x14ac:dyDescent="0.3">
      <c r="A54" s="4">
        <f>D54+F54+H54+J54+L54+N54+P54</f>
        <v>0</v>
      </c>
      <c r="B54" s="20">
        <f>C54+E54+G54+I54+K54+M54+O54</f>
        <v>34.75</v>
      </c>
      <c r="C54" s="36">
        <f>D53-C53+D52-C52</f>
        <v>9.75</v>
      </c>
      <c r="D54" s="21">
        <f>IF(MONTH($C$48)&lt;&gt;MONTH($B$3),0,C54-horaire!C54)</f>
        <v>0</v>
      </c>
      <c r="E54" s="36">
        <f>F53-E53+F52-E52</f>
        <v>5</v>
      </c>
      <c r="F54" s="21">
        <f>IF(MONTH($E$48)&lt;&gt;MONTH($B$3),0,E54-horaire!E54)</f>
        <v>0</v>
      </c>
      <c r="G54" s="36">
        <f>H53-G53+H52-G52</f>
        <v>9.75</v>
      </c>
      <c r="H54" s="21">
        <f>IF(MONTH($G$48)&lt;&gt;MONTH($B$3),0,G54-horaire!G54)</f>
        <v>0</v>
      </c>
      <c r="I54" s="36">
        <f>J53-I53+J52-I52</f>
        <v>6</v>
      </c>
      <c r="J54" s="21">
        <f>IF(MONTH($I$48)&lt;&gt;MONTH($B$3),0,I54-horaire!I54)</f>
        <v>0</v>
      </c>
      <c r="K54" s="36">
        <f>L53-K53+L52-K52</f>
        <v>4.25</v>
      </c>
      <c r="L54" s="21">
        <f>IF(MONTH($K$48)&lt;&gt;MONTH($B$3),0,K54-horaire!K54)</f>
        <v>0</v>
      </c>
      <c r="M54" s="36">
        <f>N53-M53+N52-M52</f>
        <v>0</v>
      </c>
      <c r="N54" s="21">
        <f>IF(MONTH($M$48)&lt;&gt;MONTH($B$3),0,M54-horaire!M54)</f>
        <v>0</v>
      </c>
      <c r="O54" s="36">
        <f>P53-O53+P52-O52</f>
        <v>0</v>
      </c>
      <c r="P54" s="21">
        <f>IF(MONTH($O$48)&lt;&gt;MONTH($B$3),0,O54-horaire!O54)</f>
        <v>0</v>
      </c>
    </row>
    <row r="55" spans="1:16" x14ac:dyDescent="0.25">
      <c r="A55" s="7" t="str">
        <f>type!$A$9</f>
        <v>y</v>
      </c>
      <c r="B55" s="2" t="s">
        <v>0</v>
      </c>
      <c r="C55" s="247">
        <f>IF($B$47=1,type!C$9,IF($B$47=2,type!C$21,IF($B$47=3,type!C$33,type!C$45)))</f>
        <v>0</v>
      </c>
      <c r="D55" s="10">
        <f>IF($B$47=1,type!D$9,IF($B$47=2,type!D$21,IF($B$47=3,type!D$33,type!D$45)))</f>
        <v>0</v>
      </c>
      <c r="E55" s="247">
        <f>IF($B$47=1,type!E$9,IF($B$47=2,type!E$21,IF($B$47=3,type!E$33,type!E$45)))</f>
        <v>0</v>
      </c>
      <c r="F55" s="10">
        <f>IF($B$47=1,type!F$9,IF($B$47=2,type!F$21,IF($B$47=3,type!F$33,type!F$45)))</f>
        <v>0</v>
      </c>
      <c r="G55" s="247">
        <f>IF($B$47=1,type!G$9,IF($B$47=2,type!G$21,IF($B$47=3,type!G$33,type!G$45)))</f>
        <v>0</v>
      </c>
      <c r="H55" s="10">
        <f>IF($B$47=1,type!H$9,IF($B$47=2,type!H$21,IF($B$47=3,type!H$33,type!H$45)))</f>
        <v>0</v>
      </c>
      <c r="I55" s="247">
        <f>IF($B$47=1,type!I$9,IF($B$47=2,type!I$21,IF($B$47=3,type!I$33,type!I$45)))</f>
        <v>0</v>
      </c>
      <c r="J55" s="10">
        <f>IF($B$47=1,type!J$9,IF($B$47=2,type!J$21,IF($B$47=3,type!J$33,type!J$45)))</f>
        <v>0</v>
      </c>
      <c r="K55" s="247">
        <f>IF($B$47=1,type!K$9,IF($B$47=2,type!K$21,IF($B$47=3,type!K$33,type!K$45)))</f>
        <v>0</v>
      </c>
      <c r="L55" s="10">
        <f>IF($B$47=1,type!L$9,IF($B$47=2,type!L$21,IF($B$47=3,type!L$33,type!L$45)))</f>
        <v>0</v>
      </c>
      <c r="M55" s="247">
        <f>IF($B$47=1,type!M$9,IF($B$47=2,type!M$21,IF($B$47=3,type!M$33,type!M$45)))</f>
        <v>0</v>
      </c>
      <c r="N55" s="10">
        <f>IF($B$47=1,type!N$9,IF($B$47=2,type!N$21,IF($B$47=3,type!N$33,type!N$45)))</f>
        <v>0</v>
      </c>
      <c r="O55" s="247">
        <f>IF($B$47=1,type!O$9,IF($B$47=2,type!O$21,IF($B$47=3,type!O$33,type!O$45)))</f>
        <v>0</v>
      </c>
      <c r="P55" s="247">
        <f>IF($B$47=1,type!P$9,IF($B$47=2,type!P$21,IF($B$47=3,type!P$33,type!P$45)))</f>
        <v>0</v>
      </c>
    </row>
    <row r="56" spans="1:16" x14ac:dyDescent="0.25">
      <c r="A56" s="195" t="s">
        <v>123</v>
      </c>
      <c r="B56" s="9" t="s">
        <v>1</v>
      </c>
      <c r="C56" s="249">
        <f>IF($B$47=1,type!C$10,IF($B$47=2,type!C$22,IF($B$47=3,type!C$34,type!C$46)))</f>
        <v>0</v>
      </c>
      <c r="D56" s="40">
        <f>IF($B$47=1,type!D$10,IF($B$47=2,type!D$22,IF($B$47=3,type!D$34,type!D$46)))</f>
        <v>0</v>
      </c>
      <c r="E56" s="249">
        <f>IF($B$47=1,type!E$10,IF($B$47=2,type!E$22,IF($B$47=3,type!E$34,type!E$46)))</f>
        <v>0</v>
      </c>
      <c r="F56" s="40">
        <f>IF($B$47=1,type!F$10,IF($B$47=2,type!F$22,IF($B$47=3,type!F$34,type!F$46)))</f>
        <v>0</v>
      </c>
      <c r="G56" s="249">
        <f>IF($B$47=1,type!G$10,IF($B$47=2,type!G$22,IF($B$47=3,type!G$34,type!G$46)))</f>
        <v>0</v>
      </c>
      <c r="H56" s="40">
        <f>IF($B$47=1,type!H$10,IF($B$47=2,type!H$22,IF($B$47=3,type!H$34,type!H$46)))</f>
        <v>0</v>
      </c>
      <c r="I56" s="249">
        <f>IF($B$47=1,type!I$10,IF($B$47=2,type!I$22,IF($B$47=3,type!I$34,type!I$46)))</f>
        <v>0</v>
      </c>
      <c r="J56" s="40">
        <f>IF($B$47=1,type!J$10,IF($B$47=2,type!J$22,IF($B$47=3,type!J$34,type!J$46)))</f>
        <v>0</v>
      </c>
      <c r="K56" s="249">
        <f>IF($B$47=1,type!K$10,IF($B$47=2,type!K$22,IF($B$47=3,type!K$34,type!K$46)))</f>
        <v>0</v>
      </c>
      <c r="L56" s="40">
        <f>IF($B$47=1,type!L$10,IF($B$47=2,type!L$22,IF($B$47=3,type!L$34,type!L$46)))</f>
        <v>0</v>
      </c>
      <c r="M56" s="249">
        <f>IF($B$47=1,type!M$10,IF($B$47=2,type!M$22,IF($B$47=3,type!M$34,type!M$46)))</f>
        <v>0</v>
      </c>
      <c r="N56" s="40">
        <f>IF($B$47=1,type!N$10,IF($B$47=2,type!N$22,IF($B$47=3,type!N$34,type!N$46)))</f>
        <v>0</v>
      </c>
      <c r="O56" s="249">
        <f>IF($B$47=1,type!O$10,IF($B$47=2,type!O$22,IF($B$47=3,type!O$34,type!O$46)))</f>
        <v>0</v>
      </c>
      <c r="P56" s="249">
        <f>IF($B$47=1,type!P$10,IF($B$47=2,type!P$22,IF($B$47=3,type!P$34,type!P$46)))</f>
        <v>0</v>
      </c>
    </row>
    <row r="57" spans="1:16" ht="13.8" thickBot="1" x14ac:dyDescent="0.3">
      <c r="A57" s="252">
        <f>D57+F57+H57+J57+L57+N57+P57</f>
        <v>0</v>
      </c>
      <c r="B57" s="20">
        <f>C57+E57+G57+I57+K57+M57+O57</f>
        <v>0</v>
      </c>
      <c r="C57" s="36">
        <f>D56-C56+D55-C55</f>
        <v>0</v>
      </c>
      <c r="D57" s="21">
        <f>IF(MONTH($C$48)&lt;&gt;MONTH($B$3),0,C57-horaire!C57)</f>
        <v>0</v>
      </c>
      <c r="E57" s="36">
        <f>F56-E56+F55-E55</f>
        <v>0</v>
      </c>
      <c r="F57" s="21">
        <f>IF(MONTH($E$48)&lt;&gt;MONTH($B$3),0,E57-horaire!E57)</f>
        <v>0</v>
      </c>
      <c r="G57" s="36">
        <f>H56-G56+H55-G55</f>
        <v>0</v>
      </c>
      <c r="H57" s="21">
        <f>IF(MONTH($G$48)&lt;&gt;MONTH($B$3),0,G57-horaire!G57)</f>
        <v>0</v>
      </c>
      <c r="I57" s="36">
        <f>J56-I56+J55-I55</f>
        <v>0</v>
      </c>
      <c r="J57" s="21">
        <f>IF(MONTH($I$48)&lt;&gt;MONTH($B$3),0,I57-horaire!I57)</f>
        <v>0</v>
      </c>
      <c r="K57" s="36">
        <f>L56-K56+L55-K55</f>
        <v>0</v>
      </c>
      <c r="L57" s="21">
        <f>IF(MONTH($K$48)&lt;&gt;MONTH($B$3),0,K57-horaire!K57)</f>
        <v>0</v>
      </c>
      <c r="M57" s="36">
        <f>N56-M56+N55-M55</f>
        <v>0</v>
      </c>
      <c r="N57" s="21">
        <f>IF(MONTH($M$48)&lt;&gt;MONTH($B$3),0,M57-horaire!M57)</f>
        <v>0</v>
      </c>
      <c r="O57" s="36">
        <f>P56-O56+P55-O55</f>
        <v>0</v>
      </c>
      <c r="P57" s="21">
        <f>IF(MONTH($O$48)&lt;&gt;MONTH($B$3),0,O57-horaire!O57)</f>
        <v>0</v>
      </c>
    </row>
    <row r="58" spans="1:16" ht="13.8" thickBot="1" x14ac:dyDescent="0.3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59" spans="1:16" ht="13.8" thickBot="1" x14ac:dyDescent="0.3">
      <c r="A59" s="77" t="s">
        <v>14</v>
      </c>
      <c r="B59" s="77">
        <f>IF($B$47=4,1,$B$47+1)</f>
        <v>2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</row>
    <row r="60" spans="1:16" ht="13.8" thickBot="1" x14ac:dyDescent="0.3">
      <c r="A60" s="25" t="s">
        <v>10</v>
      </c>
      <c r="B60" s="24">
        <f>$B$48+1</f>
        <v>43</v>
      </c>
      <c r="C60" s="37">
        <f>M48+2</f>
        <v>44494</v>
      </c>
      <c r="D60" s="38" t="str">
        <f>IF(ISNA(VLOOKUP($C60,feries!$B$5:$B$31,1,FALSE)),"",IF(VLOOKUP($C60,feries!$B$5:$B$31,1,FALSE)=$C60,"férié",""))</f>
        <v/>
      </c>
      <c r="E60" s="37">
        <f>C60+1</f>
        <v>44495</v>
      </c>
      <c r="F60" s="38" t="str">
        <f>IF(ISNA(VLOOKUP($E60,feries!$B$5:$B$31,1,FALSE)),"",IF(VLOOKUP($E60,feries!$B$5:$B$31,1,FALSE)=$E60,"férié",""))</f>
        <v/>
      </c>
      <c r="G60" s="37">
        <f>E60+1</f>
        <v>44496</v>
      </c>
      <c r="H60" s="38" t="str">
        <f>IF(ISNA(VLOOKUP($G60,feries!$B$5:$B$31,1,FALSE)),"",IF(VLOOKUP($G60,feries!$B$5:$B$31,1,FALSE)=$G60,"férié",""))</f>
        <v/>
      </c>
      <c r="I60" s="37">
        <f>G60+1</f>
        <v>44497</v>
      </c>
      <c r="J60" s="38" t="str">
        <f>IF(ISNA(VLOOKUP($I60,feries!$B$5:$B$31,1,FALSE)),"",IF(VLOOKUP($I60,feries!$B$5:$B$31,1,FALSE)=$I60,"férié",""))</f>
        <v/>
      </c>
      <c r="K60" s="37">
        <f>I60+1</f>
        <v>44498</v>
      </c>
      <c r="L60" s="38" t="str">
        <f>IF(ISNA(VLOOKUP($K60,feries!$B$5:$B$31,1,FALSE)),"",IF(VLOOKUP($K60,feries!$B$5:$B$31,1,FALSE)=$K60,"férié",""))</f>
        <v/>
      </c>
      <c r="M60" s="37">
        <f>K60+1</f>
        <v>44499</v>
      </c>
      <c r="N60" s="38" t="str">
        <f>IF(ISNA(VLOOKUP($M60,feries!$B$5:$B$31,1,FALSE)),"",IF(VLOOKUP($M60,feries!$B$5:$B$31,1,FALSE)=$M60,"férié",""))</f>
        <v/>
      </c>
      <c r="O60" s="37">
        <f>M60+1</f>
        <v>44500</v>
      </c>
      <c r="P60" s="38" t="str">
        <f>IF(ISNA(VLOOKUP($M60,feries!$B$5:$B$31,1,FALSE)),"",IF(VLOOKUP($M60,feries!$B$5:$B$31,1,FALSE)=$M60,"férié",""))</f>
        <v/>
      </c>
    </row>
    <row r="61" spans="1:16" x14ac:dyDescent="0.25">
      <c r="A61" s="7" t="str">
        <f>type!$A$3</f>
        <v>a</v>
      </c>
      <c r="B61" s="2" t="s">
        <v>0</v>
      </c>
      <c r="C61" s="247">
        <f>IF($B$59=1,type!C$3,IF($B$59=2,type!C$15,IF($B$59=3,type!C$27,type!C$39)))</f>
        <v>8.75</v>
      </c>
      <c r="D61" s="10">
        <f>IF($B$59=1,type!D$3,IF($B$59=2,type!D$15,IF($B$59=3,type!D$27,type!D$39)))</f>
        <v>13</v>
      </c>
      <c r="E61" s="247">
        <f>IF($B$59=1,type!E$3,IF($B$59=2,type!E$15,IF($B$59=3,type!E$27,type!E$39)))</f>
        <v>8.75</v>
      </c>
      <c r="F61" s="10">
        <f>IF($B$59=1,type!F$3,IF($B$59=2,type!F$15,IF($B$59=3,type!F$27,type!F$39)))</f>
        <v>13</v>
      </c>
      <c r="G61" s="247">
        <f>IF($B$59=1,type!G$3,IF($B$59=2,type!G$15,IF($B$59=3,type!G$27,type!G$39)))</f>
        <v>0</v>
      </c>
      <c r="H61" s="10">
        <f>IF($B$59=1,type!H$3,IF($B$59=2,type!H$15,IF($B$59=3,type!H$27,type!H$39)))</f>
        <v>0</v>
      </c>
      <c r="I61" s="247">
        <f>IF($B$59=1,type!I$3,IF($B$59=2,type!I$15,IF($B$59=3,type!I$27,type!I$39)))</f>
        <v>0</v>
      </c>
      <c r="J61" s="10">
        <f>IF($B$59=1,type!J$3,IF($B$59=2,type!J$15,IF($B$59=3,type!J$27,type!J$39)))</f>
        <v>0</v>
      </c>
      <c r="K61" s="247">
        <f>IF($B$59=1,type!K$3,IF($B$59=2,type!K$15,IF($B$59=3,type!K$27,type!K$39)))</f>
        <v>8.75</v>
      </c>
      <c r="L61" s="10">
        <f>IF($B$59=1,type!L$3,IF($B$59=2,type!L$15,IF($B$59=3,type!L$27,type!L$39)))</f>
        <v>13</v>
      </c>
      <c r="M61" s="247">
        <f>IF($B$59=1,type!M$3,IF($B$59=2,type!M$15,IF($B$59=3,type!M$27,type!M$39)))</f>
        <v>0</v>
      </c>
      <c r="N61" s="10">
        <f>IF($B$59=1,type!N$3,IF($B$59=2,type!N$15,IF($B$59=3,type!N$27,type!N$39)))</f>
        <v>0</v>
      </c>
      <c r="O61" s="247">
        <f>IF($B$59=1,type!O$3,IF($B$59=2,type!O$15,IF($B$59=3,type!O$27,type!O$39)))</f>
        <v>0</v>
      </c>
      <c r="P61" s="247">
        <f>IF($B$59=1,type!P$3,IF($B$59=2,type!P$15,IF($B$59=3,type!P$27,type!P$39)))</f>
        <v>0</v>
      </c>
    </row>
    <row r="62" spans="1:16" x14ac:dyDescent="0.25">
      <c r="A62" s="195" t="s">
        <v>123</v>
      </c>
      <c r="B62" s="9" t="s">
        <v>1</v>
      </c>
      <c r="C62" s="249">
        <f>IF($B$59=1,type!C$4,IF($B$59=2,type!C$16,IF($B$59=3,type!C$28,type!C$40)))</f>
        <v>14</v>
      </c>
      <c r="D62" s="40">
        <f>IF($B$59=1,type!D$4,IF($B$59=2,type!D$16,IF($B$59=3,type!D$28,type!D$40)))</f>
        <v>20</v>
      </c>
      <c r="E62" s="249">
        <f>IF($B$59=1,type!E$4,IF($B$59=2,type!E$16,IF($B$59=3,type!E$28,type!E$40)))</f>
        <v>14.5</v>
      </c>
      <c r="F62" s="40">
        <f>IF($B$59=1,type!F$4,IF($B$59=2,type!F$16,IF($B$59=3,type!F$28,type!F$40)))</f>
        <v>19</v>
      </c>
      <c r="G62" s="249">
        <f>IF($B$59=1,type!G$4,IF($B$59=2,type!G$16,IF($B$59=3,type!G$28,type!G$40)))</f>
        <v>14</v>
      </c>
      <c r="H62" s="40">
        <f>IF($B$59=1,type!H$4,IF($B$59=2,type!H$16,IF($B$59=3,type!H$28,type!H$40)))</f>
        <v>20</v>
      </c>
      <c r="I62" s="249">
        <f>IF($B$59=1,type!I$4,IF($B$59=2,type!I$16,IF($B$59=3,type!I$28,type!I$40)))</f>
        <v>14</v>
      </c>
      <c r="J62" s="40">
        <f>IF($B$59=1,type!J$4,IF($B$59=2,type!J$16,IF($B$59=3,type!J$28,type!J$40)))</f>
        <v>20</v>
      </c>
      <c r="K62" s="249">
        <f>IF($B$59=1,type!K$4,IF($B$59=2,type!K$16,IF($B$59=3,type!K$28,type!K$40)))</f>
        <v>0</v>
      </c>
      <c r="L62" s="40">
        <f>IF($B$59=1,type!L$4,IF($B$59=2,type!L$16,IF($B$59=3,type!L$28,type!L$40)))</f>
        <v>0</v>
      </c>
      <c r="M62" s="249">
        <f>IF($B$59=1,type!M$4,IF($B$59=2,type!M$16,IF($B$59=3,type!M$28,type!M$40)))</f>
        <v>0</v>
      </c>
      <c r="N62" s="40">
        <f>IF($B$59=1,type!N$4,IF($B$59=2,type!N$16,IF($B$59=3,type!N$28,type!N$40)))</f>
        <v>0</v>
      </c>
      <c r="O62" s="249">
        <f>IF($B$59=1,type!O$4,IF($B$59=2,type!O$16,IF($B$59=3,type!O$28,type!O$40)))</f>
        <v>0</v>
      </c>
      <c r="P62" s="249">
        <f>IF($B$59=1,type!P$4,IF($B$59=2,type!P$16,IF($B$59=3,type!P$28,type!P$40)))</f>
        <v>0</v>
      </c>
    </row>
    <row r="63" spans="1:16" ht="13.8" thickBot="1" x14ac:dyDescent="0.3">
      <c r="A63" s="4">
        <f>D63+F63+H63+J63+L63+N63+P63</f>
        <v>0</v>
      </c>
      <c r="B63" s="20">
        <f>C63+E63+G63+I63+K63+M63+O63</f>
        <v>35.25</v>
      </c>
      <c r="C63" s="36">
        <f>D62-C62+D61-C61</f>
        <v>10.25</v>
      </c>
      <c r="D63" s="21">
        <f>IF(MONTH($C$60)&lt;&gt;MONTH($B$3),0,C63-horaire!C63)</f>
        <v>0</v>
      </c>
      <c r="E63" s="36">
        <f>F62-E62+F61-E61</f>
        <v>8.75</v>
      </c>
      <c r="F63" s="21">
        <f>IF(MONTH($E$60)&lt;&gt;MONTH($B$3),0,E63-horaire!E63)</f>
        <v>0</v>
      </c>
      <c r="G63" s="36">
        <f>H62-G62+H61-G61</f>
        <v>6</v>
      </c>
      <c r="H63" s="21">
        <f>IF(MONTH($G$60)&lt;&gt;MONTH($B$3),0,G63-horaire!G63)</f>
        <v>0</v>
      </c>
      <c r="I63" s="36">
        <f>J62-I62+J61-I61</f>
        <v>6</v>
      </c>
      <c r="J63" s="21">
        <f>IF(MONTH($I$60)&lt;&gt;MONTH($B$3),0,I63-horaire!I63)</f>
        <v>0</v>
      </c>
      <c r="K63" s="36">
        <f>L62-K62+L61-K61</f>
        <v>4.25</v>
      </c>
      <c r="L63" s="21">
        <f>IF(MONTH($K$60)&lt;&gt;MONTH($B$3),0,K63-horaire!K63)</f>
        <v>0</v>
      </c>
      <c r="M63" s="36">
        <f>N62-M62+N61-M61</f>
        <v>0</v>
      </c>
      <c r="N63" s="21">
        <f>IF(MONTH($M$60)&lt;&gt;MONTH($B$3),0,M63-horaire!M63)</f>
        <v>0</v>
      </c>
      <c r="O63" s="36">
        <f>P62-O62+P61-O61</f>
        <v>0</v>
      </c>
      <c r="P63" s="21">
        <f>IF(MONTH($O$60)&lt;&gt;MONTH($B$3),0,O63-horaire!O63)</f>
        <v>0</v>
      </c>
    </row>
    <row r="64" spans="1:16" x14ac:dyDescent="0.25">
      <c r="A64" s="7" t="str">
        <f>type!$A$6</f>
        <v>b</v>
      </c>
      <c r="B64" s="2" t="s">
        <v>0</v>
      </c>
      <c r="C64" s="247">
        <f>IF($B$59=1,type!C$6,IF($B$59=2,type!C$18,IF($B$59=3,type!C$30,type!C$42)))</f>
        <v>8.75</v>
      </c>
      <c r="D64" s="10">
        <f>IF($B$59=1,type!D$6,IF($B$59=2,type!D$18,IF($B$59=3,type!D$30,type!D$42)))</f>
        <v>12</v>
      </c>
      <c r="E64" s="247">
        <f>IF($B$59=1,type!E$6,IF($B$59=2,type!E$18,IF($B$59=3,type!E$30,type!E$42)))</f>
        <v>0</v>
      </c>
      <c r="F64" s="10">
        <f>IF($B$59=1,type!F$6,IF($B$59=2,type!F$18,IF($B$59=3,type!F$30,type!F$42)))</f>
        <v>0</v>
      </c>
      <c r="G64" s="247">
        <f>IF($B$59=1,type!G$6,IF($B$59=2,type!G$18,IF($B$59=3,type!G$30,type!G$42)))</f>
        <v>8.75</v>
      </c>
      <c r="H64" s="10">
        <f>IF($B$59=1,type!H$6,IF($B$59=2,type!H$18,IF($B$59=3,type!H$30,type!H$42)))</f>
        <v>13</v>
      </c>
      <c r="I64" s="247">
        <f>IF($B$59=1,type!I$6,IF($B$59=2,type!I$18,IF($B$59=3,type!I$30,type!I$42)))</f>
        <v>0</v>
      </c>
      <c r="J64" s="10">
        <f>IF($B$59=1,type!J$6,IF($B$59=2,type!J$18,IF($B$59=3,type!J$30,type!J$42)))</f>
        <v>0</v>
      </c>
      <c r="K64" s="247">
        <f>IF($B$59=1,type!K$6,IF($B$59=2,type!K$18,IF($B$59=3,type!K$30,type!K$42)))</f>
        <v>8.75</v>
      </c>
      <c r="L64" s="10">
        <f>IF($B$59=1,type!L$6,IF($B$59=2,type!L$18,IF($B$59=3,type!L$30,type!L$42)))</f>
        <v>12</v>
      </c>
      <c r="M64" s="247">
        <f>IF($B$59=1,type!M$6,IF($B$59=2,type!M$18,IF($B$59=3,type!M$30,type!M$42)))</f>
        <v>0</v>
      </c>
      <c r="N64" s="10">
        <f>IF($B$59=1,type!N$6,IF($B$59=2,type!N$18,IF($B$59=3,type!N$30,type!N$42)))</f>
        <v>0</v>
      </c>
      <c r="O64" s="247">
        <f>IF($B$59=1,type!O$6,IF($B$59=2,type!O$18,IF($B$59=3,type!O$30,type!O$42)))</f>
        <v>0</v>
      </c>
      <c r="P64" s="247">
        <f>IF($B$59=1,type!P$6,IF($B$59=2,type!P$18,IF($B$59=3,type!P$30,type!P$42)))</f>
        <v>0</v>
      </c>
    </row>
    <row r="65" spans="1:16" x14ac:dyDescent="0.25">
      <c r="A65" s="195" t="s">
        <v>123</v>
      </c>
      <c r="B65" s="9" t="s">
        <v>1</v>
      </c>
      <c r="C65" s="249">
        <f>IF($B$59=1,type!C$7,IF($B$59=2,type!C$19,IF($B$59=3,type!C$31,type!C$43)))</f>
        <v>14</v>
      </c>
      <c r="D65" s="40">
        <f>IF($B$59=1,type!D$7,IF($B$59=2,type!D$19,IF($B$59=3,type!D$31,type!D$43)))</f>
        <v>19</v>
      </c>
      <c r="E65" s="249">
        <f>IF($B$59=1,type!E$7,IF($B$59=2,type!E$19,IF($B$59=3,type!E$31,type!E$43)))</f>
        <v>14</v>
      </c>
      <c r="F65" s="40">
        <f>IF($B$59=1,type!F$7,IF($B$59=2,type!F$19,IF($B$59=3,type!F$31,type!F$43)))</f>
        <v>20</v>
      </c>
      <c r="G65" s="249">
        <f>IF($B$59=1,type!G$7,IF($B$59=2,type!G$19,IF($B$59=3,type!G$31,type!G$43)))</f>
        <v>14.5</v>
      </c>
      <c r="H65" s="40">
        <f>IF($B$59=1,type!H$7,IF($B$59=2,type!H$19,IF($B$59=3,type!H$31,type!H$43)))</f>
        <v>19</v>
      </c>
      <c r="I65" s="249">
        <f>IF($B$59=1,type!I$7,IF($B$59=2,type!I$19,IF($B$59=3,type!I$31,type!I$43)))</f>
        <v>14</v>
      </c>
      <c r="J65" s="40">
        <f>IF($B$59=1,type!J$7,IF($B$59=2,type!J$19,IF($B$59=3,type!J$31,type!J$43)))</f>
        <v>19</v>
      </c>
      <c r="K65" s="249">
        <f>IF($B$59=1,type!K$7,IF($B$59=2,type!K$19,IF($B$59=3,type!K$31,type!K$43)))</f>
        <v>14</v>
      </c>
      <c r="L65" s="40">
        <f>IF($B$59=1,type!L$7,IF($B$59=2,type!L$19,IF($B$59=3,type!L$31,type!L$43)))</f>
        <v>19.75</v>
      </c>
      <c r="M65" s="249">
        <f>IF($B$59=1,type!M$7,IF($B$59=2,type!M$19,IF($B$59=3,type!M$31,type!M$43)))</f>
        <v>0</v>
      </c>
      <c r="N65" s="40">
        <f>IF($B$59=1,type!N$7,IF($B$59=2,type!N$19,IF($B$59=3,type!N$31,type!N$43)))</f>
        <v>0</v>
      </c>
      <c r="O65" s="249">
        <f>IF($B$59=1,type!O$7,IF($B$59=2,type!O$19,IF($B$59=3,type!O$31,type!O$43)))</f>
        <v>0</v>
      </c>
      <c r="P65" s="249">
        <f>IF($B$59=1,type!P$7,IF($B$59=2,type!P$19,IF($B$59=3,type!P$31,type!P$43)))</f>
        <v>0</v>
      </c>
    </row>
    <row r="66" spans="1:16" ht="13.8" thickBot="1" x14ac:dyDescent="0.3">
      <c r="A66" s="4">
        <f>D66+F66+H66+J66+L66+N66+P66</f>
        <v>0</v>
      </c>
      <c r="B66" s="20">
        <f>C66+E66+G66+I66+K66+M66+O66</f>
        <v>37</v>
      </c>
      <c r="C66" s="36">
        <f>D65-C65+D64-C64</f>
        <v>8.25</v>
      </c>
      <c r="D66" s="21">
        <f>IF(MONTH($C$60)&lt;&gt;MONTH($B$3),0,C66-horaire!C66)</f>
        <v>0</v>
      </c>
      <c r="E66" s="36">
        <f>F65-E65+F64-E64</f>
        <v>6</v>
      </c>
      <c r="F66" s="21">
        <f>IF(MONTH($E$60)&lt;&gt;MONTH($B$3),0,E66-horaire!E66)</f>
        <v>0</v>
      </c>
      <c r="G66" s="36">
        <f>H65-G65+H64-G64</f>
        <v>8.75</v>
      </c>
      <c r="H66" s="21">
        <f>IF(MONTH($G$60)&lt;&gt;MONTH($B$3),0,G66-horaire!G66)</f>
        <v>0</v>
      </c>
      <c r="I66" s="36">
        <f>J65-I65+J64-I64</f>
        <v>5</v>
      </c>
      <c r="J66" s="21">
        <f>IF(MONTH($I$60)&lt;&gt;MONTH($B$3),0,I66-horaire!I66)</f>
        <v>0</v>
      </c>
      <c r="K66" s="36">
        <f>L65-K65+L64-K64</f>
        <v>9</v>
      </c>
      <c r="L66" s="21">
        <f>IF(MONTH($K$60)&lt;&gt;MONTH($B$3),0,K66-horaire!K66)</f>
        <v>0</v>
      </c>
      <c r="M66" s="36">
        <f>N65-M65+N64-M64</f>
        <v>0</v>
      </c>
      <c r="N66" s="21">
        <f>IF(MONTH($M$60)&lt;&gt;MONTH($B$3),0,M66-horaire!M66)</f>
        <v>0</v>
      </c>
      <c r="O66" s="36">
        <f>P65-O65+P64-O64</f>
        <v>0</v>
      </c>
      <c r="P66" s="21">
        <f>IF(MONTH($O$60)&lt;&gt;MONTH($B$3),0,O66-horaire!O66)</f>
        <v>0</v>
      </c>
    </row>
    <row r="67" spans="1:16" x14ac:dyDescent="0.25">
      <c r="A67" s="7" t="str">
        <f>type!$A$9</f>
        <v>y</v>
      </c>
      <c r="B67" s="2" t="s">
        <v>0</v>
      </c>
      <c r="C67" s="247">
        <f>IF($B$59=1,type!C$9,IF($B$59=2,type!C$21,IF($B$59=3,type!C$33,type!C$45)))</f>
        <v>0</v>
      </c>
      <c r="D67" s="10">
        <f>IF($B$59=1,type!D$9,IF($B$59=2,type!D$21,IF($B$59=3,type!D$33,type!D$45)))</f>
        <v>0</v>
      </c>
      <c r="E67" s="247">
        <f>IF($B$59=1,type!E$9,IF($B$59=2,type!E$21,IF($B$59=3,type!E$33,type!E$45)))</f>
        <v>0</v>
      </c>
      <c r="F67" s="10">
        <f>IF($B$59=1,type!F$9,IF($B$59=2,type!F$21,IF($B$59=3,type!F$33,type!F$45)))</f>
        <v>0</v>
      </c>
      <c r="G67" s="247">
        <f>IF($B$59=1,type!G$9,IF($B$59=2,type!G$21,IF($B$59=3,type!G$33,type!G$45)))</f>
        <v>0</v>
      </c>
      <c r="H67" s="10">
        <f>IF($B$59=1,type!H$9,IF($B$59=2,type!H$21,IF($B$59=3,type!H$33,type!H$45)))</f>
        <v>0</v>
      </c>
      <c r="I67" s="247">
        <f>IF($B$59=1,type!I$9,IF($B$59=2,type!I$21,IF($B$59=3,type!I$33,type!I$45)))</f>
        <v>0</v>
      </c>
      <c r="J67" s="10">
        <f>IF($B$59=1,type!J$9,IF($B$59=2,type!J$21,IF($B$59=3,type!J$33,type!J$45)))</f>
        <v>0</v>
      </c>
      <c r="K67" s="247">
        <f>IF($B$59=1,type!K$9,IF($B$59=2,type!K$21,IF($B$59=3,type!K$33,type!K$45)))</f>
        <v>0</v>
      </c>
      <c r="L67" s="10">
        <f>IF($B$59=1,type!L$9,IF($B$59=2,type!L$21,IF($B$59=3,type!L$33,type!L$45)))</f>
        <v>0</v>
      </c>
      <c r="M67" s="247">
        <f>IF($B$59=1,type!M$9,IF($B$59=2,type!M$21,IF($B$59=3,type!M$33,type!M$45)))</f>
        <v>0</v>
      </c>
      <c r="N67" s="10">
        <f>IF($B$59=1,type!N$9,IF($B$59=2,type!N$21,IF($B$59=3,type!N$33,type!N$45)))</f>
        <v>0</v>
      </c>
      <c r="O67" s="247">
        <f>IF($B$59=1,type!O$9,IF($B$59=2,type!O$21,IF($B$59=3,type!O$33,type!O$45)))</f>
        <v>0</v>
      </c>
      <c r="P67" s="247">
        <f>IF($B$59=1,type!P$9,IF($B$59=2,type!P$21,IF($B$59=3,type!P$33,type!P$45)))</f>
        <v>0</v>
      </c>
    </row>
    <row r="68" spans="1:16" x14ac:dyDescent="0.25">
      <c r="A68" s="195" t="s">
        <v>123</v>
      </c>
      <c r="B68" s="9" t="s">
        <v>1</v>
      </c>
      <c r="C68" s="249">
        <f>IF($B$59=1,type!C$10,IF($B$59=2,type!C$22,IF($B$59=3,type!C$34,type!C$46)))</f>
        <v>0</v>
      </c>
      <c r="D68" s="40">
        <f>IF($B$59=1,type!D$10,IF($B$59=2,type!D$22,IF($B$59=3,type!D$34,type!D$46)))</f>
        <v>0</v>
      </c>
      <c r="E68" s="249">
        <f>IF($B$59=1,type!E$10,IF($B$59=2,type!E$22,IF($B$59=3,type!E$34,type!E$46)))</f>
        <v>0</v>
      </c>
      <c r="F68" s="40">
        <f>IF($B$59=1,type!F$10,IF($B$59=2,type!F$22,IF($B$59=3,type!F$34,type!F$46)))</f>
        <v>0</v>
      </c>
      <c r="G68" s="249">
        <f>IF($B$59=1,type!G$10,IF($B$59=2,type!G$22,IF($B$59=3,type!G$34,type!G$46)))</f>
        <v>0</v>
      </c>
      <c r="H68" s="40">
        <f>IF($B$59=1,type!H$10,IF($B$59=2,type!H$22,IF($B$59=3,type!H$34,type!H$46)))</f>
        <v>0</v>
      </c>
      <c r="I68" s="249">
        <f>IF($B$59=1,type!I$10,IF($B$59=2,type!I$22,IF($B$59=3,type!I$34,type!I$46)))</f>
        <v>0</v>
      </c>
      <c r="J68" s="40">
        <f>IF($B$59=1,type!J$10,IF($B$59=2,type!J$22,IF($B$59=3,type!J$34,type!J$46)))</f>
        <v>0</v>
      </c>
      <c r="K68" s="249">
        <f>IF($B$59=1,type!K$10,IF($B$59=2,type!K$22,IF($B$59=3,type!K$34,type!K$46)))</f>
        <v>0</v>
      </c>
      <c r="L68" s="40">
        <f>IF($B$59=1,type!L$10,IF($B$59=2,type!L$22,IF($B$59=3,type!L$34,type!L$46)))</f>
        <v>0</v>
      </c>
      <c r="M68" s="249">
        <f>IF($B$59=1,type!M$10,IF($B$59=2,type!M$22,IF($B$59=3,type!M$34,type!M$46)))</f>
        <v>0</v>
      </c>
      <c r="N68" s="40">
        <f>IF($B$59=1,type!N$10,IF($B$59=2,type!N$22,IF($B$59=3,type!N$34,type!N$46)))</f>
        <v>0</v>
      </c>
      <c r="O68" s="249">
        <f>IF($B$59=1,type!O$10,IF($B$59=2,type!O$22,IF($B$59=3,type!O$34,type!O$46)))</f>
        <v>0</v>
      </c>
      <c r="P68" s="249">
        <f>IF($B$59=1,type!P$10,IF($B$59=2,type!P$22,IF($B$59=3,type!P$34,type!P$46)))</f>
        <v>0</v>
      </c>
    </row>
    <row r="69" spans="1:16" ht="13.8" thickBot="1" x14ac:dyDescent="0.3">
      <c r="A69" s="252">
        <f>D69+F69+H69+J69+L69+N69+P69</f>
        <v>0</v>
      </c>
      <c r="B69" s="20">
        <f>C69+E69+G69+I69+K69+M69+O69</f>
        <v>0</v>
      </c>
      <c r="C69" s="36">
        <f>D68-C68+D67-C67</f>
        <v>0</v>
      </c>
      <c r="D69" s="21">
        <f>IF(MONTH($C$60)&lt;&gt;MONTH($B$3),0,C69-horaire!C69)</f>
        <v>0</v>
      </c>
      <c r="E69" s="36">
        <f>F68-E68+F67-E67</f>
        <v>0</v>
      </c>
      <c r="F69" s="21">
        <f>IF(MONTH($E$60)&lt;&gt;MONTH($B$3),0,E69-horaire!E69)</f>
        <v>0</v>
      </c>
      <c r="G69" s="36">
        <f>H68-G68+H67-G67</f>
        <v>0</v>
      </c>
      <c r="H69" s="21">
        <f>IF(MONTH($G$60)&lt;&gt;MONTH($B$3),0,G69-horaire!G69)</f>
        <v>0</v>
      </c>
      <c r="I69" s="36">
        <f>J68-I68+J67-I67</f>
        <v>0</v>
      </c>
      <c r="J69" s="21">
        <f>IF(MONTH($I$60)&lt;&gt;MONTH($B$3),0,I69-horaire!I69)</f>
        <v>0</v>
      </c>
      <c r="K69" s="36">
        <f>L68-K68+L67-K67</f>
        <v>0</v>
      </c>
      <c r="L69" s="21">
        <f>IF(MONTH($K$60)&lt;&gt;MONTH($B$3),0,K69-horaire!K69)</f>
        <v>0</v>
      </c>
      <c r="M69" s="36">
        <f>N68-M68+N67-M67</f>
        <v>0</v>
      </c>
      <c r="N69" s="21">
        <f>IF(MONTH($M$60)&lt;&gt;MONTH($B$3),0,M69-horaire!M69)</f>
        <v>0</v>
      </c>
      <c r="O69" s="36">
        <f>P68-O68+P67-O67</f>
        <v>0</v>
      </c>
      <c r="P69" s="21">
        <f>IF(MONTH($O$60)&lt;&gt;MONTH($B$3),0,O69-horaire!O69)</f>
        <v>0</v>
      </c>
    </row>
    <row r="70" spans="1:16" ht="13.8" thickBot="1" x14ac:dyDescent="0.3"/>
    <row r="71" spans="1:16" ht="13.8" thickBot="1" x14ac:dyDescent="0.3">
      <c r="A71" s="77" t="s">
        <v>14</v>
      </c>
      <c r="B71" s="77">
        <f>IF($B$59=4,1,$B$59+1)</f>
        <v>3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</row>
    <row r="72" spans="1:16" ht="13.8" thickBot="1" x14ac:dyDescent="0.3">
      <c r="A72" s="25" t="s">
        <v>10</v>
      </c>
      <c r="B72" s="24">
        <f>$B$60+1</f>
        <v>44</v>
      </c>
      <c r="C72" s="37">
        <f>M60+2</f>
        <v>44501</v>
      </c>
      <c r="D72" s="38" t="str">
        <f>IF(ISNA(VLOOKUP($C72,feries!$B$5:$B$31,1,FALSE)),"",IF(VLOOKUP($C72,feries!$B$5:$B$31,1,FALSE)=$C72,"férié",""))</f>
        <v>férié</v>
      </c>
      <c r="E72" s="37">
        <f>C72+1</f>
        <v>44502</v>
      </c>
      <c r="F72" s="38" t="str">
        <f>IF(ISNA(VLOOKUP($E72,feries!$B$5:$B$31,1,FALSE)),"",IF(VLOOKUP($E72,feries!$B$5:$B$31,1,FALSE)=$E72,"férié",""))</f>
        <v/>
      </c>
      <c r="G72" s="37">
        <f>E72+1</f>
        <v>44503</v>
      </c>
      <c r="H72" s="38" t="str">
        <f>IF(ISNA(VLOOKUP($G72,feries!$B$5:$B$31,1,FALSE)),"",IF(VLOOKUP($G72,feries!$B$5:$B$31,1,FALSE)=$G72,"férié",""))</f>
        <v/>
      </c>
      <c r="I72" s="37">
        <f>G72+1</f>
        <v>44504</v>
      </c>
      <c r="J72" s="38" t="str">
        <f>IF(ISNA(VLOOKUP($I72,feries!$B$5:$B$31,1,FALSE)),"",IF(VLOOKUP($I72,feries!$B$5:$B$31,1,FALSE)=$I72,"férié",""))</f>
        <v/>
      </c>
      <c r="K72" s="37">
        <f>I72+1</f>
        <v>44505</v>
      </c>
      <c r="L72" s="38" t="str">
        <f>IF(ISNA(VLOOKUP($K72,feries!$B$5:$B$31,1,FALSE)),"",IF(VLOOKUP($K72,feries!$B$5:$B$31,1,FALSE)=$K72,"férié",""))</f>
        <v/>
      </c>
      <c r="M72" s="37">
        <f>K72+1</f>
        <v>44506</v>
      </c>
      <c r="N72" s="38" t="str">
        <f>IF(ISNA(VLOOKUP($M72,feries!$B$5:$B$31,1,FALSE)),"",IF(VLOOKUP($M72,feries!$B$5:$B$31,1,FALSE)=$M72,"férié",""))</f>
        <v/>
      </c>
      <c r="O72" s="37">
        <f>M72+1</f>
        <v>44507</v>
      </c>
      <c r="P72" s="38" t="str">
        <f>IF(ISNA(VLOOKUP($M72,feries!$B$5:$B$31,1,FALSE)),"",IF(VLOOKUP($M72,feries!$B$5:$B$31,1,FALSE)=$M72,"férié",""))</f>
        <v/>
      </c>
    </row>
    <row r="73" spans="1:16" x14ac:dyDescent="0.25">
      <c r="A73" s="7" t="str">
        <f>type!$A$3</f>
        <v>a</v>
      </c>
      <c r="B73" s="2" t="s">
        <v>0</v>
      </c>
      <c r="C73" s="16">
        <f>IF($B$71=1,type!C$3,IF($B$71=2,type!C$15,IF($B$71=3,type!C$27,type!C$39)))</f>
        <v>8.75</v>
      </c>
      <c r="D73" s="16">
        <f>IF($B$71=1,type!D$3,IF($B$71=2,type!D$15,IF($B$71=3,type!D$27,type!D$39)))</f>
        <v>12</v>
      </c>
      <c r="E73" s="16">
        <f>IF($B$71=1,type!E$3,IF($B$71=2,type!E$15,IF($B$71=3,type!E$27,type!E$39)))</f>
        <v>8.75</v>
      </c>
      <c r="F73" s="16">
        <f>IF($B$71=1,type!F$3,IF($B$71=2,type!F$15,IF($B$71=3,type!F$27,type!F$39)))</f>
        <v>13</v>
      </c>
      <c r="G73" s="16">
        <f>IF($B$71=1,type!G$3,IF($B$71=2,type!G$15,IF($B$71=3,type!G$27,type!G$39)))</f>
        <v>0</v>
      </c>
      <c r="H73" s="16">
        <f>IF($B$71=1,type!H$3,IF($B$71=2,type!H$15,IF($B$71=3,type!H$27,type!H$39)))</f>
        <v>0</v>
      </c>
      <c r="I73" s="16">
        <f>IF($B$71=1,type!I$3,IF($B$71=2,type!I$15,IF($B$71=3,type!I$27,type!I$39)))</f>
        <v>0</v>
      </c>
      <c r="J73" s="16">
        <f>IF($B$71=1,type!J$3,IF($B$71=2,type!J$15,IF($B$71=3,type!J$27,type!J$39)))</f>
        <v>0</v>
      </c>
      <c r="K73" s="16">
        <f>IF($B$71=1,type!K$3,IF($B$71=2,type!K$15,IF($B$71=3,type!K$27,type!K$39)))</f>
        <v>8.75</v>
      </c>
      <c r="L73" s="16">
        <f>IF($B$71=1,type!L$3,IF($B$71=2,type!L$15,IF($B$71=3,type!L$27,type!L$39)))</f>
        <v>12</v>
      </c>
      <c r="M73" s="16">
        <f>IF($B$71=1,type!M$3,IF($B$71=2,type!M$15,IF($B$71=3,type!M$27,type!M$39)))</f>
        <v>0</v>
      </c>
      <c r="N73" s="16">
        <f>IF($B$71=1,type!N$3,IF($B$71=2,type!N$15,IF($B$71=3,type!N$27,type!N$39)))</f>
        <v>0</v>
      </c>
      <c r="O73" s="16">
        <f>IF($B$71=1,type!O$3,IF($B$71=2,type!O$15,IF($B$71=3,type!O$27,type!O$39)))</f>
        <v>0</v>
      </c>
      <c r="P73" s="16">
        <f>IF($B$71=1,type!P$3,IF($B$71=2,type!P$15,IF($B$71=3,type!P$27,type!P$39)))</f>
        <v>0</v>
      </c>
    </row>
    <row r="74" spans="1:16" x14ac:dyDescent="0.25">
      <c r="A74" s="195" t="s">
        <v>123</v>
      </c>
      <c r="B74" s="9" t="s">
        <v>1</v>
      </c>
      <c r="C74" s="87">
        <f>IF($B$71=1,type!C$4,IF($B$71=2,type!C$16,IF($B$71=3,type!C$28,type!C$40)))</f>
        <v>14</v>
      </c>
      <c r="D74" s="87">
        <f>IF($B$71=1,type!D$4,IF($B$71=2,type!D$16,IF($B$71=3,type!D$28,type!D$40)))</f>
        <v>19</v>
      </c>
      <c r="E74" s="87">
        <f>IF($B$71=1,type!E$4,IF($B$71=2,type!E$16,IF($B$71=3,type!E$28,type!E$40)))</f>
        <v>14.5</v>
      </c>
      <c r="F74" s="87">
        <f>IF($B$71=1,type!F$4,IF($B$71=2,type!F$16,IF($B$71=3,type!F$28,type!F$40)))</f>
        <v>20</v>
      </c>
      <c r="G74" s="87">
        <f>IF($B$71=1,type!G$4,IF($B$71=2,type!G$16,IF($B$71=3,type!G$28,type!G$40)))</f>
        <v>14</v>
      </c>
      <c r="H74" s="87">
        <f>IF($B$71=1,type!H$4,IF($B$71=2,type!H$16,IF($B$71=3,type!H$28,type!H$40)))</f>
        <v>19</v>
      </c>
      <c r="I74" s="87">
        <f>IF($B$71=1,type!I$4,IF($B$71=2,type!I$16,IF($B$71=3,type!I$28,type!I$40)))</f>
        <v>14</v>
      </c>
      <c r="J74" s="87">
        <f>IF($B$71=1,type!J$4,IF($B$71=2,type!J$16,IF($B$71=3,type!J$28,type!J$40)))</f>
        <v>19</v>
      </c>
      <c r="K74" s="87">
        <f>IF($B$71=1,type!K$4,IF($B$71=2,type!K$16,IF($B$71=3,type!K$28,type!K$40)))</f>
        <v>14</v>
      </c>
      <c r="L74" s="87">
        <f>IF($B$71=1,type!L$4,IF($B$71=2,type!L$16,IF($B$71=3,type!L$28,type!L$40)))</f>
        <v>19.75</v>
      </c>
      <c r="M74" s="87">
        <f>IF($B$71=1,type!M$4,IF($B$71=2,type!M$16,IF($B$71=3,type!M$28,type!M$40)))</f>
        <v>0</v>
      </c>
      <c r="N74" s="87">
        <f>IF($B$71=1,type!N$4,IF($B$71=2,type!N$16,IF($B$71=3,type!N$28,type!N$40)))</f>
        <v>0</v>
      </c>
      <c r="O74" s="87">
        <f>IF($B$71=1,type!O$4,IF($B$71=2,type!O$16,IF($B$71=3,type!O$28,type!O$40)))</f>
        <v>0</v>
      </c>
      <c r="P74" s="87">
        <f>IF($B$71=1,type!P$4,IF($B$71=2,type!P$16,IF($B$71=3,type!P$28,type!P$40)))</f>
        <v>0</v>
      </c>
    </row>
    <row r="75" spans="1:16" ht="13.8" thickBot="1" x14ac:dyDescent="0.3">
      <c r="A75" s="4">
        <f>D75+F75+H75+J75+L75+N75+P75</f>
        <v>0</v>
      </c>
      <c r="B75" s="20">
        <f>C75+E75+G75+I75+K75+M75+O75</f>
        <v>37</v>
      </c>
      <c r="C75" s="36">
        <f>D74-C74+D73-C73</f>
        <v>8.25</v>
      </c>
      <c r="D75" s="21">
        <f>IF(MONTH($C$72)&lt;&gt;MONTH($B$3),0,C75-horaire!C75)</f>
        <v>0</v>
      </c>
      <c r="E75" s="36">
        <f>F74-E74+F73-E73</f>
        <v>9.75</v>
      </c>
      <c r="F75" s="21">
        <f>IF(MONTH($E$72)&lt;&gt;MONTH($B$3),0,E75-horaire!E75)</f>
        <v>0</v>
      </c>
      <c r="G75" s="36">
        <f>H74-G74+H73-G73</f>
        <v>5</v>
      </c>
      <c r="H75" s="21">
        <f>IF(MONTH($G$72)&lt;&gt;MONTH($B$3),0,G75-horaire!G75)</f>
        <v>0</v>
      </c>
      <c r="I75" s="36">
        <f>J74-I74+J73-I73</f>
        <v>5</v>
      </c>
      <c r="J75" s="21">
        <f>IF(MONTH($I$72)&lt;&gt;MONTH($B$3),0,I75-horaire!I75)</f>
        <v>0</v>
      </c>
      <c r="K75" s="36">
        <f>L74-K74+L73-K73</f>
        <v>9</v>
      </c>
      <c r="L75" s="21">
        <f>IF(MONTH($K$72)&lt;&gt;MONTH($B$3),0,K75-horaire!K75)</f>
        <v>0</v>
      </c>
      <c r="M75" s="36">
        <f>N74-M74+N73-M73</f>
        <v>0</v>
      </c>
      <c r="N75" s="21">
        <f>IF(MONTH($M$72)&lt;&gt;MONTH($B$3),0,M75-horaire!M75)</f>
        <v>0</v>
      </c>
      <c r="O75" s="36">
        <f>P74-O74+P73-O73</f>
        <v>0</v>
      </c>
      <c r="P75" s="21">
        <f>IF(MONTH($O$72)&lt;&gt;MONTH($B$3),0,O75-horaire!O75)</f>
        <v>0</v>
      </c>
    </row>
    <row r="76" spans="1:16" x14ac:dyDescent="0.25">
      <c r="A76" s="7" t="str">
        <f>type!$A$6</f>
        <v>b</v>
      </c>
      <c r="B76" s="2" t="s">
        <v>0</v>
      </c>
      <c r="C76" s="16">
        <f>IF($B$71=1,type!C$6,IF($B$71=2,type!C$18,IF($B$71=3,type!C$30,type!C$42)))</f>
        <v>8.75</v>
      </c>
      <c r="D76" s="16">
        <f>IF($B$71=1,type!D$6,IF($B$71=2,type!D$18,IF($B$71=3,type!D$30,type!D$42)))</f>
        <v>13</v>
      </c>
      <c r="E76" s="16">
        <f>IF($B$71=1,type!E$6,IF($B$71=2,type!E$18,IF($B$71=3,type!E$30,type!E$42)))</f>
        <v>0</v>
      </c>
      <c r="F76" s="16">
        <f>IF($B$71=1,type!F$6,IF($B$71=2,type!F$18,IF($B$71=3,type!F$30,type!F$42)))</f>
        <v>0</v>
      </c>
      <c r="G76" s="16">
        <f>IF($B$71=1,type!G$6,IF($B$71=2,type!G$18,IF($B$71=3,type!G$30,type!G$42)))</f>
        <v>8.75</v>
      </c>
      <c r="H76" s="16">
        <f>IF($B$71=1,type!H$6,IF($B$71=2,type!H$18,IF($B$71=3,type!H$30,type!H$42)))</f>
        <v>13</v>
      </c>
      <c r="I76" s="16">
        <f>IF($B$71=1,type!I$6,IF($B$71=2,type!I$18,IF($B$71=3,type!I$30,type!I$42)))</f>
        <v>0</v>
      </c>
      <c r="J76" s="16">
        <f>IF($B$71=1,type!J$6,IF($B$71=2,type!J$18,IF($B$71=3,type!J$30,type!J$42)))</f>
        <v>0</v>
      </c>
      <c r="K76" s="16">
        <f>IF($B$71=1,type!K$6,IF($B$71=2,type!K$18,IF($B$71=3,type!K$30,type!K$42)))</f>
        <v>8.75</v>
      </c>
      <c r="L76" s="16">
        <f>IF($B$71=1,type!L$6,IF($B$71=2,type!L$18,IF($B$71=3,type!L$30,type!L$42)))</f>
        <v>13</v>
      </c>
      <c r="M76" s="16">
        <f>IF($B$71=1,type!M$6,IF($B$71=2,type!M$18,IF($B$71=3,type!M$30,type!M$42)))</f>
        <v>0</v>
      </c>
      <c r="N76" s="16">
        <f>IF($B$71=1,type!N$6,IF($B$71=2,type!N$18,IF($B$71=3,type!N$30,type!N$42)))</f>
        <v>0</v>
      </c>
      <c r="O76" s="16">
        <f>IF($B$71=1,type!O$6,IF($B$71=2,type!O$18,IF($B$71=3,type!O$30,type!O$42)))</f>
        <v>0</v>
      </c>
      <c r="P76" s="16">
        <f>IF($B$71=1,type!P$6,IF($B$71=2,type!P$18,IF($B$71=3,type!P$30,type!P$42)))</f>
        <v>0</v>
      </c>
    </row>
    <row r="77" spans="1:16" x14ac:dyDescent="0.25">
      <c r="A77" s="195" t="s">
        <v>123</v>
      </c>
      <c r="B77" s="9" t="s">
        <v>1</v>
      </c>
      <c r="C77" s="87">
        <f>IF($B$71=1,type!C$7,IF($B$71=2,type!C$19,IF($B$71=3,type!C$31,type!C$43)))</f>
        <v>14.5</v>
      </c>
      <c r="D77" s="87">
        <f>IF($B$71=1,type!D$7,IF($B$71=2,type!D$19,IF($B$71=3,type!D$31,type!D$43)))</f>
        <v>20</v>
      </c>
      <c r="E77" s="87">
        <f>IF($B$71=1,type!E$7,IF($B$71=2,type!E$19,IF($B$71=3,type!E$31,type!E$43)))</f>
        <v>14</v>
      </c>
      <c r="F77" s="87">
        <f>IF($B$71=1,type!F$7,IF($B$71=2,type!F$19,IF($B$71=3,type!F$31,type!F$43)))</f>
        <v>19</v>
      </c>
      <c r="G77" s="87">
        <f>IF($B$71=1,type!G$7,IF($B$71=2,type!G$19,IF($B$71=3,type!G$31,type!G$43)))</f>
        <v>14.5</v>
      </c>
      <c r="H77" s="87">
        <f>IF($B$71=1,type!H$7,IF($B$71=2,type!H$19,IF($B$71=3,type!H$31,type!H$43)))</f>
        <v>20</v>
      </c>
      <c r="I77" s="87">
        <f>IF($B$71=1,type!I$7,IF($B$71=2,type!I$19,IF($B$71=3,type!I$31,type!I$43)))</f>
        <v>14</v>
      </c>
      <c r="J77" s="87">
        <f>IF($B$71=1,type!J$7,IF($B$71=2,type!J$19,IF($B$71=3,type!J$31,type!J$43)))</f>
        <v>20</v>
      </c>
      <c r="K77" s="87">
        <f>IF($B$71=1,type!K$7,IF($B$71=2,type!K$19,IF($B$71=3,type!K$31,type!K$43)))</f>
        <v>0</v>
      </c>
      <c r="L77" s="87">
        <f>IF($B$71=1,type!L$7,IF($B$71=2,type!L$19,IF($B$71=3,type!L$31,type!L$43)))</f>
        <v>0</v>
      </c>
      <c r="M77" s="87">
        <f>IF($B$71=1,type!M$7,IF($B$71=2,type!M$19,IF($B$71=3,type!M$31,type!M$43)))</f>
        <v>0</v>
      </c>
      <c r="N77" s="87">
        <f>IF($B$71=1,type!N$7,IF($B$71=2,type!N$19,IF($B$71=3,type!N$31,type!N$43)))</f>
        <v>0</v>
      </c>
      <c r="O77" s="87">
        <f>IF($B$71=1,type!O$7,IF($B$71=2,type!O$19,IF($B$71=3,type!O$31,type!O$43)))</f>
        <v>0</v>
      </c>
      <c r="P77" s="87">
        <f>IF($B$71=1,type!P$7,IF($B$71=2,type!P$19,IF($B$71=3,type!P$31,type!P$43)))</f>
        <v>0</v>
      </c>
    </row>
    <row r="78" spans="1:16" ht="13.8" thickBot="1" x14ac:dyDescent="0.3">
      <c r="A78" s="4">
        <f>D78+F78+H78+J78+L78+N78+P78</f>
        <v>0</v>
      </c>
      <c r="B78" s="20">
        <f>C78+E78+G78+I78+K78+M78+O78</f>
        <v>34.75</v>
      </c>
      <c r="C78" s="36">
        <f>D77-C77+D76-C76</f>
        <v>9.75</v>
      </c>
      <c r="D78" s="21">
        <f>IF(MONTH($C$72)&lt;&gt;MONTH($B$3),0,C78-horaire!C78)</f>
        <v>0</v>
      </c>
      <c r="E78" s="36">
        <f>F77-E77+F76-E76</f>
        <v>5</v>
      </c>
      <c r="F78" s="21">
        <f>IF(MONTH($E$72)&lt;&gt;MONTH($B$3),0,E78-horaire!E78)</f>
        <v>0</v>
      </c>
      <c r="G78" s="36">
        <f>H77-G77+H76-G76</f>
        <v>9.75</v>
      </c>
      <c r="H78" s="21">
        <f>IF(MONTH($G$72)&lt;&gt;MONTH($B$3),0,G78-horaire!G78)</f>
        <v>0</v>
      </c>
      <c r="I78" s="36">
        <f>J77-I77+J76-I76</f>
        <v>6</v>
      </c>
      <c r="J78" s="21">
        <f>IF(MONTH($I$72)&lt;&gt;MONTH($B$3),0,I78-horaire!I78)</f>
        <v>0</v>
      </c>
      <c r="K78" s="36">
        <f>L77-K77+L76-K76</f>
        <v>4.25</v>
      </c>
      <c r="L78" s="21">
        <f>IF(MONTH($K$72)&lt;&gt;MONTH($B$3),0,K78-horaire!K78)</f>
        <v>0</v>
      </c>
      <c r="M78" s="36">
        <f>N77-M77+N76-M76</f>
        <v>0</v>
      </c>
      <c r="N78" s="21">
        <f>IF(MONTH($M$72)&lt;&gt;MONTH($B$3),0,M78-horaire!M78)</f>
        <v>0</v>
      </c>
      <c r="O78" s="36">
        <f>P77-O77+P76-O76</f>
        <v>0</v>
      </c>
      <c r="P78" s="21">
        <f>IF(MONTH($O$72)&lt;&gt;MONTH($B$3),0,O78-horaire!O78)</f>
        <v>0</v>
      </c>
    </row>
    <row r="79" spans="1:16" x14ac:dyDescent="0.25">
      <c r="A79" s="7" t="str">
        <f>type!$A$9</f>
        <v>y</v>
      </c>
      <c r="B79" s="2" t="s">
        <v>0</v>
      </c>
      <c r="C79" s="16">
        <f>IF($B$71=1,type!C$9,IF($B$71=2,type!C$21,IF($B$71=3,type!C$33,type!C$45)))</f>
        <v>0</v>
      </c>
      <c r="D79" s="16">
        <f>IF($B$71=1,type!D$9,IF($B$71=2,type!D$21,IF($B$71=3,type!D$33,type!D$45)))</f>
        <v>0</v>
      </c>
      <c r="E79" s="16">
        <f>IF($B$71=1,type!E$9,IF($B$71=2,type!E$21,IF($B$71=3,type!E$33,type!E$45)))</f>
        <v>0</v>
      </c>
      <c r="F79" s="16">
        <f>IF($B$71=1,type!F$9,IF($B$71=2,type!F$21,IF($B$71=3,type!F$33,type!F$45)))</f>
        <v>0</v>
      </c>
      <c r="G79" s="16">
        <f>IF($B$71=1,type!G$9,IF($B$71=2,type!G$21,IF($B$71=3,type!G$33,type!G$45)))</f>
        <v>0</v>
      </c>
      <c r="H79" s="16">
        <f>IF($B$71=1,type!H$9,IF($B$71=2,type!H$21,IF($B$71=3,type!H$33,type!H$45)))</f>
        <v>0</v>
      </c>
      <c r="I79" s="16">
        <f>IF($B$71=1,type!I$9,IF($B$71=2,type!I$21,IF($B$71=3,type!I$33,type!I$45)))</f>
        <v>0</v>
      </c>
      <c r="J79" s="16">
        <f>IF($B$71=1,type!J$9,IF($B$71=2,type!J$21,IF($B$71=3,type!J$33,type!J$45)))</f>
        <v>0</v>
      </c>
      <c r="K79" s="16">
        <f>IF($B$71=1,type!K$9,IF($B$71=2,type!K$21,IF($B$71=3,type!K$33,type!K$45)))</f>
        <v>0</v>
      </c>
      <c r="L79" s="16">
        <f>IF($B$71=1,type!L$9,IF($B$71=2,type!L$21,IF($B$71=3,type!L$33,type!L$45)))</f>
        <v>0</v>
      </c>
      <c r="M79" s="16">
        <f>IF($B$71=1,type!M$9,IF($B$71=2,type!M$21,IF($B$71=3,type!M$33,type!M$45)))</f>
        <v>0</v>
      </c>
      <c r="N79" s="16">
        <f>IF($B$71=1,type!N$9,IF($B$71=2,type!N$21,IF($B$71=3,type!N$33,type!N$45)))</f>
        <v>0</v>
      </c>
      <c r="O79" s="16">
        <f>IF($B$71=1,type!O$9,IF($B$71=2,type!O$21,IF($B$71=3,type!O$33,type!O$45)))</f>
        <v>0</v>
      </c>
      <c r="P79" s="16">
        <f>IF($B$71=1,type!P$9,IF($B$71=2,type!P$21,IF($B$71=3,type!P$33,type!P$45)))</f>
        <v>0</v>
      </c>
    </row>
    <row r="80" spans="1:16" x14ac:dyDescent="0.25">
      <c r="A80" s="195" t="s">
        <v>123</v>
      </c>
      <c r="B80" s="9" t="s">
        <v>1</v>
      </c>
      <c r="C80" s="87">
        <f>IF($B$71=1,type!C$10,IF($B$71=2,type!C$22,IF($B$71=3,type!C$34,type!C$46)))</f>
        <v>0</v>
      </c>
      <c r="D80" s="87">
        <f>IF($B$71=1,type!D$10,IF($B$71=2,type!D$22,IF($B$71=3,type!D$34,type!D$46)))</f>
        <v>0</v>
      </c>
      <c r="E80" s="87">
        <f>IF($B$71=1,type!E$10,IF($B$71=2,type!E$22,IF($B$71=3,type!E$34,type!E$46)))</f>
        <v>0</v>
      </c>
      <c r="F80" s="87">
        <f>IF($B$71=1,type!F$10,IF($B$71=2,type!F$22,IF($B$71=3,type!F$34,type!F$46)))</f>
        <v>0</v>
      </c>
      <c r="G80" s="87">
        <f>IF($B$71=1,type!G$10,IF($B$71=2,type!G$22,IF($B$71=3,type!G$34,type!G$46)))</f>
        <v>0</v>
      </c>
      <c r="H80" s="87">
        <f>IF($B$71=1,type!H$10,IF($B$71=2,type!H$22,IF($B$71=3,type!H$34,type!H$46)))</f>
        <v>0</v>
      </c>
      <c r="I80" s="87">
        <f>IF($B$71=1,type!I$10,IF($B$71=2,type!I$22,IF($B$71=3,type!I$34,type!I$46)))</f>
        <v>0</v>
      </c>
      <c r="J80" s="87">
        <f>IF($B$71=1,type!J$10,IF($B$71=2,type!J$22,IF($B$71=3,type!J$34,type!J$46)))</f>
        <v>0</v>
      </c>
      <c r="K80" s="87">
        <f>IF($B$71=1,type!K$10,IF($B$71=2,type!K$22,IF($B$71=3,type!K$34,type!K$46)))</f>
        <v>0</v>
      </c>
      <c r="L80" s="87">
        <f>IF($B$71=1,type!L$10,IF($B$71=2,type!L$22,IF($B$71=3,type!L$34,type!L$46)))</f>
        <v>0</v>
      </c>
      <c r="M80" s="87">
        <f>IF($B$71=1,type!M$10,IF($B$71=2,type!M$22,IF($B$71=3,type!M$34,type!M$46)))</f>
        <v>0</v>
      </c>
      <c r="N80" s="87">
        <f>IF($B$71=1,type!N$10,IF($B$71=2,type!N$22,IF($B$71=3,type!N$34,type!N$46)))</f>
        <v>0</v>
      </c>
      <c r="O80" s="87">
        <f>IF($B$71=1,type!O$10,IF($B$71=2,type!O$22,IF($B$71=3,type!O$34,type!O$46)))</f>
        <v>0</v>
      </c>
      <c r="P80" s="87">
        <f>IF($B$71=1,type!P$10,IF($B$71=2,type!P$22,IF($B$71=3,type!P$34,type!P$46)))</f>
        <v>0</v>
      </c>
    </row>
    <row r="81" spans="1:16" ht="13.8" thickBot="1" x14ac:dyDescent="0.3">
      <c r="A81" s="252">
        <f>D81+F81+H81+J81+L81+N81+P81</f>
        <v>0</v>
      </c>
      <c r="B81" s="20">
        <f>C81+E81+G81+I81+K81+M81+O81</f>
        <v>0</v>
      </c>
      <c r="C81" s="36">
        <f>D80-C80+D79-C79</f>
        <v>0</v>
      </c>
      <c r="D81" s="21">
        <f>IF(MONTH($C$72)&lt;&gt;MONTH($B$3),0,C81-horaire!C81)</f>
        <v>0</v>
      </c>
      <c r="E81" s="36">
        <f>F80-E80+F79-E79</f>
        <v>0</v>
      </c>
      <c r="F81" s="21">
        <f>IF(MONTH($E$72)&lt;&gt;MONTH($B$3),0,E81-horaire!E81)</f>
        <v>0</v>
      </c>
      <c r="G81" s="36">
        <f>H80-G80+H79-G79</f>
        <v>0</v>
      </c>
      <c r="H81" s="21">
        <f>IF(MONTH($G$72)&lt;&gt;MONTH($B$3),0,G81-horaire!G81)</f>
        <v>0</v>
      </c>
      <c r="I81" s="36">
        <f>J80-I80+J79-I79</f>
        <v>0</v>
      </c>
      <c r="J81" s="21">
        <f>IF(MONTH($I$72)&lt;&gt;MONTH($B$3),0,I81-horaire!I81)</f>
        <v>0</v>
      </c>
      <c r="K81" s="36">
        <f>L80-K80+L79-K79</f>
        <v>0</v>
      </c>
      <c r="L81" s="21">
        <f>IF(MONTH($K$72)&lt;&gt;MONTH($B$3),0,K81-horaire!K81)</f>
        <v>0</v>
      </c>
      <c r="M81" s="36">
        <f>N80-M80+N79-M79</f>
        <v>0</v>
      </c>
      <c r="N81" s="21">
        <f>IF(MONTH($M$72)&lt;&gt;MONTH($B$3),0,M81-horaire!M81)</f>
        <v>0</v>
      </c>
      <c r="O81" s="36">
        <f>P80-O80+P79-O79</f>
        <v>0</v>
      </c>
      <c r="P81" s="21">
        <f>IF(MONTH($O$72)&lt;&gt;MONTH($B$3),0,O81-horaire!O81)</f>
        <v>0</v>
      </c>
    </row>
  </sheetData>
  <pageMargins left="0.19685039370078741" right="0.19685039370078741" top="0.19685039370078741" bottom="0.59055118110236227" header="0" footer="0"/>
  <pageSetup paperSize="9" scale="45" orientation="landscape" r:id="rId1"/>
  <headerFooter alignWithMargins="0"/>
  <rowBreaks count="2" manualBreakCount="2">
    <brk id="34" max="16383" man="1"/>
    <brk id="5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2:H9"/>
  <sheetViews>
    <sheetView workbookViewId="0">
      <selection activeCell="I10" sqref="I10"/>
    </sheetView>
  </sheetViews>
  <sheetFormatPr baseColWidth="10" defaultRowHeight="13.2" x14ac:dyDescent="0.25"/>
  <cols>
    <col min="1" max="1" width="23.6640625" bestFit="1" customWidth="1"/>
    <col min="2" max="2" width="12" bestFit="1" customWidth="1"/>
    <col min="3" max="3" width="7.109375" bestFit="1" customWidth="1"/>
  </cols>
  <sheetData>
    <row r="2" spans="1:8" x14ac:dyDescent="0.25">
      <c r="C2" s="272" t="s">
        <v>38</v>
      </c>
      <c r="D2" s="273"/>
    </row>
    <row r="3" spans="1:8" x14ac:dyDescent="0.25">
      <c r="A3" s="83"/>
      <c r="B3" s="84" t="s">
        <v>31</v>
      </c>
      <c r="C3" s="84" t="s">
        <v>32</v>
      </c>
      <c r="D3" s="84" t="s">
        <v>33</v>
      </c>
    </row>
    <row r="4" spans="1:8" x14ac:dyDescent="0.25">
      <c r="A4" s="83" t="s">
        <v>34</v>
      </c>
      <c r="B4" s="221">
        <v>44200</v>
      </c>
      <c r="C4" s="222">
        <v>2</v>
      </c>
      <c r="D4" s="222">
        <v>2</v>
      </c>
      <c r="H4" s="244"/>
    </row>
    <row r="5" spans="1:8" x14ac:dyDescent="0.25">
      <c r="A5" s="83" t="s">
        <v>36</v>
      </c>
      <c r="B5" s="86">
        <f>synthese!D2</f>
        <v>10</v>
      </c>
      <c r="C5" s="83"/>
      <c r="D5" s="83"/>
    </row>
    <row r="6" spans="1:8" x14ac:dyDescent="0.25">
      <c r="A6" s="83" t="s">
        <v>37</v>
      </c>
      <c r="B6" s="86">
        <f>synthese!B2</f>
        <v>2021</v>
      </c>
      <c r="C6" s="83"/>
      <c r="D6" s="83"/>
    </row>
    <row r="7" spans="1:8" x14ac:dyDescent="0.25">
      <c r="A7" s="83" t="s">
        <v>35</v>
      </c>
      <c r="B7" s="85">
        <f>synthese!B3</f>
        <v>44470</v>
      </c>
      <c r="C7" s="83">
        <f>INT(($B$7-SUM(MOD(DATE(YEAR($B$7-MOD($B$7-2,7)+3),1,2),{1E+99;7})*{1;-1})+5)/7)</f>
        <v>39</v>
      </c>
      <c r="D7" s="83"/>
    </row>
    <row r="8" spans="1:8" x14ac:dyDescent="0.25">
      <c r="A8" s="96" t="s">
        <v>46</v>
      </c>
      <c r="B8" s="85">
        <f>synthese!B4</f>
        <v>44473</v>
      </c>
      <c r="C8" s="83">
        <f>INT(($B$8-SUM(MOD(DATE(YEAR($B$8-MOD($B$8-2,7)+3),1,2),{1E+99;7})*{1;-1})+5)/7)</f>
        <v>40</v>
      </c>
      <c r="D8" s="83">
        <f>IF(MOD(($C$8-$C$4),2)=1,2,1)</f>
        <v>1</v>
      </c>
      <c r="H8" s="244"/>
    </row>
    <row r="9" spans="1:8" x14ac:dyDescent="0.25">
      <c r="A9" s="96" t="s">
        <v>115</v>
      </c>
      <c r="B9" s="85">
        <f>synthese!B5</f>
        <v>44466</v>
      </c>
      <c r="C9" s="83">
        <f>INT(($B$9-SUM(MOD(DATE(YEAR($B$9-MOD($B$9-2,7)+3),1,2),{1E+99;7})*{1;-1})+5)/7)</f>
        <v>39</v>
      </c>
      <c r="D9" s="83">
        <f>IF(MOD(($C$9-$C$4),4)=0,1,IF(MOD(($C$9-$C$4),4)=1,2,IF(MOD(($C$9-$C$4),4)=2,3,4)))</f>
        <v>2</v>
      </c>
      <c r="H9" s="244"/>
    </row>
  </sheetData>
  <mergeCells count="1">
    <mergeCell ref="C2:D2"/>
  </mergeCells>
  <phoneticPr fontId="0" type="noConversion"/>
  <pageMargins left="0.39370078740157483" right="0.39370078740157483" top="0.39370078740157483" bottom="0.59055118110236227" header="0" footer="0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1">
    <tabColor rgb="FFFF0000"/>
  </sheetPr>
  <dimension ref="A1:D31"/>
  <sheetViews>
    <sheetView topLeftCell="A2" workbookViewId="0">
      <selection activeCell="B5" sqref="B5"/>
    </sheetView>
  </sheetViews>
  <sheetFormatPr baseColWidth="10" defaultRowHeight="13.2" x14ac:dyDescent="0.25"/>
  <cols>
    <col min="1" max="1" width="18" customWidth="1"/>
    <col min="2" max="2" width="28.44140625" customWidth="1"/>
    <col min="3" max="3" width="8.6640625" customWidth="1"/>
    <col min="4" max="4" width="20" customWidth="1"/>
  </cols>
  <sheetData>
    <row r="1" spans="1:4" ht="15.6" x14ac:dyDescent="0.3">
      <c r="A1" s="274" t="s">
        <v>30</v>
      </c>
      <c r="B1" s="274"/>
    </row>
    <row r="2" spans="1:4" x14ac:dyDescent="0.25">
      <c r="A2" s="80"/>
      <c r="B2" s="80"/>
    </row>
    <row r="3" spans="1:4" ht="16.2" thickBot="1" x14ac:dyDescent="0.35">
      <c r="B3" s="74">
        <f>horaire!$B$2</f>
        <v>2021</v>
      </c>
    </row>
    <row r="4" spans="1:4" ht="13.8" thickBot="1" x14ac:dyDescent="0.3">
      <c r="A4" s="65"/>
      <c r="B4" s="68" t="s">
        <v>26</v>
      </c>
    </row>
    <row r="5" spans="1:4" ht="13.8" thickBot="1" x14ac:dyDescent="0.3">
      <c r="A5" s="72" t="s">
        <v>27</v>
      </c>
      <c r="B5" s="70">
        <f>DATE(An,1,1)</f>
        <v>44197</v>
      </c>
    </row>
    <row r="6" spans="1:4" ht="13.8" thickBot="1" x14ac:dyDescent="0.3">
      <c r="A6" s="71" t="s">
        <v>17</v>
      </c>
      <c r="B6" s="69">
        <f>DATE(An,IF((25-MOD((11*MOD(An-1900,19)+4-INT((7*MOD(An-1900,19)+1)/19)),29)-MOD(An-1900+INT((An-1900)/4)+31-MOD((11*MOD(An-1900,19)+4-INT((7*MOD(An-1900,19)+1)/19)),29),7))&gt;0,4,3),IF((25-MOD((11*MOD(An-1900,19)+4-INT((7*MOD(An-1900,19)+1)/19)),29)-MOD(An-1900+INT((An-1900)/4)+31-MOD((11*MOD(An-1900,19)+4-INT((7*MOD(An-1900,19)+1)/19)),29),7))&gt;0,(25-MOD((11*MOD(An-1900,19)+4-INT((7*MOD(An-1900,19)+1)/19)),29)-MOD(An-1900+INT((An-1900)/4)+31-MOD((11*MOD(An-1900,19)+4-INT((7*MOD(An-1900,19)+1)/19)),29),7)),31+(25-MOD((11*MOD(An-1900,19)+4-INT((7*MOD(An-1900,19)+1)/19)),29)-MOD(An-1900+INT((An-1900)/4)+31-MOD((11*MOD(An-1900,19)+4-INT((7*MOD(An-1900,19)+1)/19)),29),7))))</f>
        <v>44290</v>
      </c>
      <c r="C6" s="66"/>
      <c r="D6" s="67"/>
    </row>
    <row r="7" spans="1:4" ht="13.8" thickBot="1" x14ac:dyDescent="0.3">
      <c r="A7" s="71" t="s">
        <v>18</v>
      </c>
      <c r="B7" s="69">
        <f>Pâques+1</f>
        <v>44291</v>
      </c>
    </row>
    <row r="8" spans="1:4" ht="13.8" thickBot="1" x14ac:dyDescent="0.3">
      <c r="A8" s="71" t="s">
        <v>28</v>
      </c>
      <c r="B8" s="69">
        <f>DATE(An,5,1)</f>
        <v>44317</v>
      </c>
    </row>
    <row r="9" spans="1:4" ht="13.8" thickBot="1" x14ac:dyDescent="0.3">
      <c r="A9" s="71" t="s">
        <v>19</v>
      </c>
      <c r="B9" s="69">
        <f>DATE(An,5,8)</f>
        <v>44324</v>
      </c>
      <c r="D9" t="s">
        <v>16</v>
      </c>
    </row>
    <row r="10" spans="1:4" ht="13.8" thickBot="1" x14ac:dyDescent="0.3">
      <c r="A10" s="71" t="s">
        <v>20</v>
      </c>
      <c r="B10" s="69">
        <f>Pâques+39</f>
        <v>44329</v>
      </c>
    </row>
    <row r="11" spans="1:4" ht="13.8" thickBot="1" x14ac:dyDescent="0.3">
      <c r="A11" s="71" t="s">
        <v>21</v>
      </c>
      <c r="B11" s="69">
        <f>Pâques+50</f>
        <v>44340</v>
      </c>
    </row>
    <row r="12" spans="1:4" ht="13.8" thickBot="1" x14ac:dyDescent="0.3">
      <c r="A12" s="71" t="s">
        <v>29</v>
      </c>
      <c r="B12" s="69">
        <f>DATE(An,7,14)</f>
        <v>44391</v>
      </c>
    </row>
    <row r="13" spans="1:4" ht="13.8" thickBot="1" x14ac:dyDescent="0.3">
      <c r="A13" s="71" t="s">
        <v>22</v>
      </c>
      <c r="B13" s="69">
        <f>DATE(An,8,15)</f>
        <v>44423</v>
      </c>
    </row>
    <row r="14" spans="1:4" ht="13.8" thickBot="1" x14ac:dyDescent="0.3">
      <c r="A14" s="71" t="s">
        <v>23</v>
      </c>
      <c r="B14" s="69">
        <f>DATE(An,11,1)</f>
        <v>44501</v>
      </c>
    </row>
    <row r="15" spans="1:4" ht="13.8" thickBot="1" x14ac:dyDescent="0.3">
      <c r="A15" s="71" t="s">
        <v>24</v>
      </c>
      <c r="B15" s="69">
        <f>DATE(An,11,11)</f>
        <v>44511</v>
      </c>
    </row>
    <row r="16" spans="1:4" ht="13.8" thickBot="1" x14ac:dyDescent="0.3">
      <c r="A16" s="71" t="s">
        <v>25</v>
      </c>
      <c r="B16" s="69">
        <f>DATE(An,12,25)</f>
        <v>44555</v>
      </c>
      <c r="C16" s="73"/>
    </row>
    <row r="18" spans="1:2" ht="16.2" thickBot="1" x14ac:dyDescent="0.35">
      <c r="B18" s="74">
        <f>An+1</f>
        <v>2022</v>
      </c>
    </row>
    <row r="19" spans="1:2" ht="13.8" thickBot="1" x14ac:dyDescent="0.3">
      <c r="A19" s="65"/>
      <c r="B19" s="68" t="s">
        <v>26</v>
      </c>
    </row>
    <row r="20" spans="1:2" ht="13.8" thickBot="1" x14ac:dyDescent="0.3">
      <c r="A20" s="72" t="s">
        <v>27</v>
      </c>
      <c r="B20" s="70">
        <f>DATE($B$18,1,1)</f>
        <v>44562</v>
      </c>
    </row>
    <row r="21" spans="1:2" ht="13.8" thickBot="1" x14ac:dyDescent="0.3">
      <c r="A21" s="71" t="s">
        <v>17</v>
      </c>
      <c r="B21" s="69">
        <f>DATE($B$18,IF((25-MOD((11*MOD($B$18-1900,19)+4-INT((7*MOD($B$18-1900,19)+1)/19)),29)-MOD($B$18-1900+INT(($B$18-1900)/4)+31-MOD((11*MOD($B$18-1900,19)+4-INT((7*MOD($B$18-1900,19)+1)/19)),29),7))&gt;0,4,3),IF((25-MOD((11*MOD($B$18-1900,19)+4-INT((7*MOD($B$18-1900,19)+1)/19)),29)-MOD($B$18-1900+INT(($B$18-1900)/4)+31-MOD((11*MOD($B$18-1900,19)+4-INT((7*MOD($B$18-1900,19)+1)/19)),29),7))&gt;0,(25-MOD((11*MOD($B$18-1900,19)+4-INT((7*MOD($B$18-1900,19)+1)/19)),29)-MOD($B$18-1900+INT(($B$18-1900)/4)+31-MOD((11*MOD($B$18-1900,19)+4-INT((7*MOD($B$18-1900,19)+1)/19)),29),7)),31+(25-MOD((11*MOD($B$18-1900,19)+4-INT((7*MOD($B$18-1900,19)+1)/19)),29)-MOD($B$18-1900+INT(($B$18-1900)/4)+31-MOD((11*MOD($B$18-1900,19)+4-INT((7*MOD($B$18-1900,19)+1)/19)),29),7))))</f>
        <v>44668</v>
      </c>
    </row>
    <row r="22" spans="1:2" ht="13.8" thickBot="1" x14ac:dyDescent="0.3">
      <c r="A22" s="71" t="s">
        <v>18</v>
      </c>
      <c r="B22" s="69">
        <f>$B$21+1</f>
        <v>44669</v>
      </c>
    </row>
    <row r="23" spans="1:2" ht="13.8" thickBot="1" x14ac:dyDescent="0.3">
      <c r="A23" s="71" t="s">
        <v>28</v>
      </c>
      <c r="B23" s="69">
        <f>DATE($B$18,5,1)</f>
        <v>44682</v>
      </c>
    </row>
    <row r="24" spans="1:2" ht="13.8" thickBot="1" x14ac:dyDescent="0.3">
      <c r="A24" s="71" t="s">
        <v>19</v>
      </c>
      <c r="B24" s="69">
        <f>DATE($B$18,5,8)</f>
        <v>44689</v>
      </c>
    </row>
    <row r="25" spans="1:2" ht="13.8" thickBot="1" x14ac:dyDescent="0.3">
      <c r="A25" s="71" t="s">
        <v>20</v>
      </c>
      <c r="B25" s="69">
        <f>$B$22+39</f>
        <v>44708</v>
      </c>
    </row>
    <row r="26" spans="1:2" ht="13.8" thickBot="1" x14ac:dyDescent="0.3">
      <c r="A26" s="71" t="s">
        <v>21</v>
      </c>
      <c r="B26" s="69">
        <f>$B$21+50</f>
        <v>44718</v>
      </c>
    </row>
    <row r="27" spans="1:2" ht="13.8" thickBot="1" x14ac:dyDescent="0.3">
      <c r="A27" s="71" t="s">
        <v>29</v>
      </c>
      <c r="B27" s="69">
        <f>DATE($B$18,7,14)</f>
        <v>44756</v>
      </c>
    </row>
    <row r="28" spans="1:2" ht="13.8" thickBot="1" x14ac:dyDescent="0.3">
      <c r="A28" s="71" t="s">
        <v>22</v>
      </c>
      <c r="B28" s="69">
        <f>DATE($B$18,8,15)</f>
        <v>44788</v>
      </c>
    </row>
    <row r="29" spans="1:2" ht="13.8" thickBot="1" x14ac:dyDescent="0.3">
      <c r="A29" s="71" t="s">
        <v>23</v>
      </c>
      <c r="B29" s="69">
        <f>DATE($B$18,11,1)</f>
        <v>44866</v>
      </c>
    </row>
    <row r="30" spans="1:2" ht="13.8" thickBot="1" x14ac:dyDescent="0.3">
      <c r="A30" s="71" t="s">
        <v>24</v>
      </c>
      <c r="B30" s="69">
        <f>DATE($B$18,11,11)</f>
        <v>44876</v>
      </c>
    </row>
    <row r="31" spans="1:2" ht="13.8" thickBot="1" x14ac:dyDescent="0.3">
      <c r="A31" s="71" t="s">
        <v>25</v>
      </c>
      <c r="B31" s="69">
        <f>DATE($B$18,12,25)</f>
        <v>44920</v>
      </c>
    </row>
  </sheetData>
  <sheetProtection sheet="1" objects="1" scenarios="1"/>
  <mergeCells count="1">
    <mergeCell ref="A1:B1"/>
  </mergeCells>
  <phoneticPr fontId="0" type="noConversion"/>
  <pageMargins left="0.39370078740157483" right="0.39370078740157483" top="0.39370078740157483" bottom="0.59055118110236227" header="0" footer="0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2:E15"/>
  <sheetViews>
    <sheetView workbookViewId="0">
      <selection activeCell="D19" sqref="D19"/>
    </sheetView>
  </sheetViews>
  <sheetFormatPr baseColWidth="10" defaultRowHeight="13.2" x14ac:dyDescent="0.25"/>
  <cols>
    <col min="1" max="1" width="5" bestFit="1" customWidth="1"/>
    <col min="2" max="2" width="10.44140625" customWidth="1"/>
    <col min="3" max="3" width="6.109375" bestFit="1" customWidth="1"/>
    <col min="4" max="4" width="12.44140625" bestFit="1" customWidth="1"/>
    <col min="5" max="5" width="5.88671875" customWidth="1"/>
    <col min="6" max="13" width="7.109375" bestFit="1" customWidth="1"/>
  </cols>
  <sheetData>
    <row r="2" spans="1:5" ht="21" x14ac:dyDescent="0.4">
      <c r="A2" s="275" t="s">
        <v>130</v>
      </c>
      <c r="B2" s="276"/>
      <c r="C2" s="276"/>
      <c r="D2" s="276"/>
      <c r="E2" s="276"/>
    </row>
    <row r="3" spans="1:5" ht="13.8" thickBot="1" x14ac:dyDescent="0.3"/>
    <row r="4" spans="1:5" ht="13.8" thickBot="1" x14ac:dyDescent="0.3">
      <c r="A4" s="94">
        <v>2021</v>
      </c>
      <c r="B4" s="15" t="s">
        <v>23</v>
      </c>
      <c r="C4" s="15" t="s">
        <v>43</v>
      </c>
      <c r="D4" s="93">
        <v>44492</v>
      </c>
    </row>
    <row r="5" spans="1:5" ht="13.8" thickBot="1" x14ac:dyDescent="0.3">
      <c r="A5" s="94"/>
      <c r="B5" s="15"/>
      <c r="C5" s="15" t="s">
        <v>44</v>
      </c>
      <c r="D5" s="93">
        <v>44508</v>
      </c>
    </row>
    <row r="6" spans="1:5" ht="13.8" thickBot="1" x14ac:dyDescent="0.3">
      <c r="B6" s="15" t="s">
        <v>25</v>
      </c>
      <c r="C6" s="15" t="s">
        <v>43</v>
      </c>
      <c r="D6" s="93">
        <v>44548</v>
      </c>
    </row>
    <row r="7" spans="1:5" ht="13.8" thickBot="1" x14ac:dyDescent="0.3">
      <c r="B7" s="15"/>
      <c r="C7" s="15" t="s">
        <v>44</v>
      </c>
      <c r="D7" s="93">
        <v>44564</v>
      </c>
    </row>
    <row r="8" spans="1:5" ht="13.8" thickBot="1" x14ac:dyDescent="0.3">
      <c r="B8" s="15" t="s">
        <v>40</v>
      </c>
      <c r="C8" s="15" t="s">
        <v>43</v>
      </c>
      <c r="D8" s="93">
        <v>44597</v>
      </c>
    </row>
    <row r="9" spans="1:5" ht="13.8" thickBot="1" x14ac:dyDescent="0.3">
      <c r="B9" s="15"/>
      <c r="C9" s="15" t="s">
        <v>44</v>
      </c>
      <c r="D9" s="93">
        <v>44613</v>
      </c>
    </row>
    <row r="10" spans="1:5" ht="13.8" thickBot="1" x14ac:dyDescent="0.3">
      <c r="B10" s="15" t="s">
        <v>41</v>
      </c>
      <c r="C10" s="15" t="s">
        <v>43</v>
      </c>
      <c r="D10" s="93">
        <v>44660</v>
      </c>
    </row>
    <row r="11" spans="1:5" ht="13.8" thickBot="1" x14ac:dyDescent="0.3">
      <c r="B11" s="15"/>
      <c r="C11" s="15" t="s">
        <v>44</v>
      </c>
      <c r="D11" s="93">
        <v>44676</v>
      </c>
    </row>
    <row r="12" spans="1:5" ht="13.8" thickBot="1" x14ac:dyDescent="0.3">
      <c r="B12" s="15" t="s">
        <v>20</v>
      </c>
      <c r="C12" s="15" t="s">
        <v>43</v>
      </c>
      <c r="D12" s="93">
        <v>44706</v>
      </c>
    </row>
    <row r="13" spans="1:5" ht="13.8" thickBot="1" x14ac:dyDescent="0.3">
      <c r="B13" s="15"/>
      <c r="C13" s="15" t="s">
        <v>44</v>
      </c>
      <c r="D13" s="93">
        <v>44711</v>
      </c>
    </row>
    <row r="14" spans="1:5" ht="13.8" thickBot="1" x14ac:dyDescent="0.3">
      <c r="B14" s="15" t="s">
        <v>42</v>
      </c>
      <c r="C14" s="15" t="s">
        <v>43</v>
      </c>
      <c r="D14" s="93">
        <v>44749</v>
      </c>
    </row>
    <row r="15" spans="1:5" ht="13.8" thickBot="1" x14ac:dyDescent="0.3">
      <c r="B15" s="15"/>
      <c r="C15" s="15" t="s">
        <v>44</v>
      </c>
      <c r="D15" s="93"/>
    </row>
  </sheetData>
  <mergeCells count="1">
    <mergeCell ref="A2:E2"/>
  </mergeCells>
  <phoneticPr fontId="0" type="noConversion"/>
  <pageMargins left="0.19685039370078741" right="0.19685039370078741" top="0.39370078740157483" bottom="0.59055118110236227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showRowColHeaders="0" view="pageLayout" workbookViewId="0">
      <selection activeCell="J6" sqref="J6"/>
    </sheetView>
  </sheetViews>
  <sheetFormatPr baseColWidth="10" defaultColWidth="12.5546875" defaultRowHeight="15.6" x14ac:dyDescent="0.3"/>
  <cols>
    <col min="1" max="1" width="5.5546875" style="97" bestFit="1" customWidth="1"/>
    <col min="2" max="2" width="19.6640625" style="97" customWidth="1"/>
    <col min="3" max="3" width="7.6640625" style="97" customWidth="1"/>
    <col min="4" max="4" width="7.88671875" style="97" bestFit="1" customWidth="1"/>
    <col min="5" max="5" width="7.88671875" style="97" hidden="1" customWidth="1"/>
    <col min="6" max="7" width="6.6640625" style="97" customWidth="1"/>
    <col min="8" max="8" width="7.109375" style="97" customWidth="1"/>
    <col min="9" max="9" width="10.5546875" style="97" bestFit="1" customWidth="1"/>
    <col min="10" max="10" width="12.109375" style="97" customWidth="1"/>
    <col min="11" max="11" width="7.5546875" style="97" customWidth="1"/>
    <col min="12" max="12" width="29.33203125" style="97" customWidth="1"/>
    <col min="13" max="13" width="8.5546875" style="97" customWidth="1"/>
    <col min="14" max="14" width="9.88671875" style="97" customWidth="1"/>
    <col min="15" max="15" width="8.44140625" style="97" customWidth="1"/>
    <col min="16" max="16384" width="12.5546875" style="97"/>
  </cols>
  <sheetData>
    <row r="1" spans="1:15" ht="22.5" customHeight="1" x14ac:dyDescent="0.4">
      <c r="A1" s="261"/>
      <c r="B1" s="261"/>
      <c r="C1" s="261"/>
      <c r="D1" s="261"/>
      <c r="E1" s="228"/>
      <c r="F1" s="228"/>
      <c r="G1" s="261" t="s">
        <v>72</v>
      </c>
      <c r="H1" s="261"/>
      <c r="I1" s="261"/>
      <c r="J1" s="232" t="str">
        <f>TEXT(DATE(1900,synthese!$D$2,1),"mmmm")</f>
        <v>octobre</v>
      </c>
      <c r="K1" s="229"/>
      <c r="L1" s="233">
        <f>synthese!B2</f>
        <v>2021</v>
      </c>
      <c r="M1" s="191"/>
      <c r="N1" s="191"/>
    </row>
    <row r="2" spans="1:15" s="104" customFormat="1" ht="16.5" customHeight="1" x14ac:dyDescent="0.25">
      <c r="A2" s="236" t="s">
        <v>71</v>
      </c>
      <c r="B2" s="236" t="s">
        <v>70</v>
      </c>
      <c r="C2" s="258" t="s">
        <v>69</v>
      </c>
      <c r="D2" s="258"/>
      <c r="E2" s="223" t="s">
        <v>68</v>
      </c>
      <c r="F2" s="236" t="s">
        <v>67</v>
      </c>
      <c r="G2" s="236" t="s">
        <v>67</v>
      </c>
      <c r="H2" s="236" t="s">
        <v>67</v>
      </c>
      <c r="I2" s="236" t="s">
        <v>59</v>
      </c>
      <c r="J2" s="236" t="s">
        <v>59</v>
      </c>
      <c r="K2" s="260" t="s">
        <v>66</v>
      </c>
      <c r="L2" s="260"/>
      <c r="M2" s="260"/>
      <c r="N2" s="260"/>
      <c r="O2" s="260"/>
    </row>
    <row r="3" spans="1:15" s="104" customFormat="1" ht="13.8" x14ac:dyDescent="0.25">
      <c r="A3" s="242" t="s">
        <v>65</v>
      </c>
      <c r="B3" s="242"/>
      <c r="C3" s="259" t="s">
        <v>64</v>
      </c>
      <c r="D3" s="259"/>
      <c r="E3" s="223" t="s">
        <v>63</v>
      </c>
      <c r="F3" s="237">
        <v>0.25</v>
      </c>
      <c r="G3" s="237">
        <v>0.25</v>
      </c>
      <c r="H3" s="237">
        <v>0.5</v>
      </c>
      <c r="I3" s="237">
        <v>0.2</v>
      </c>
      <c r="J3" s="237">
        <v>1</v>
      </c>
      <c r="K3" s="223" t="s">
        <v>62</v>
      </c>
      <c r="L3" s="223" t="s">
        <v>61</v>
      </c>
      <c r="M3" s="238" t="s">
        <v>60</v>
      </c>
      <c r="N3" s="238" t="s">
        <v>59</v>
      </c>
      <c r="O3" s="241" t="s">
        <v>58</v>
      </c>
    </row>
    <row r="4" spans="1:15" s="103" customFormat="1" ht="13.8" x14ac:dyDescent="0.25">
      <c r="A4" s="243"/>
      <c r="B4" s="243"/>
      <c r="C4" s="225" t="s">
        <v>57</v>
      </c>
      <c r="D4" s="225" t="s">
        <v>38</v>
      </c>
      <c r="E4" s="224" t="s">
        <v>50</v>
      </c>
      <c r="F4" s="226" t="s">
        <v>56</v>
      </c>
      <c r="G4" s="226" t="s">
        <v>55</v>
      </c>
      <c r="H4" s="226" t="s">
        <v>54</v>
      </c>
      <c r="I4" s="226" t="s">
        <v>53</v>
      </c>
      <c r="J4" s="226" t="s">
        <v>52</v>
      </c>
      <c r="K4" s="227" t="s">
        <v>51</v>
      </c>
      <c r="L4" s="227" t="s">
        <v>50</v>
      </c>
      <c r="M4" s="239" t="s">
        <v>49</v>
      </c>
      <c r="N4" s="240" t="s">
        <v>48</v>
      </c>
      <c r="O4" s="240" t="s">
        <v>47</v>
      </c>
    </row>
    <row r="5" spans="1:15" s="101" customFormat="1" ht="42.45" customHeight="1" x14ac:dyDescent="0.4">
      <c r="A5" s="99">
        <v>1</v>
      </c>
      <c r="B5" s="99" t="str">
        <f>type!A3</f>
        <v>a</v>
      </c>
      <c r="C5" s="99">
        <v>151.66999999999999</v>
      </c>
      <c r="D5" s="99">
        <v>35</v>
      </c>
      <c r="E5" s="102"/>
      <c r="F5" s="102">
        <v>0</v>
      </c>
      <c r="G5" s="202">
        <f>synthese!D72</f>
        <v>0</v>
      </c>
      <c r="H5" s="201">
        <f>synthese!E72</f>
        <v>0</v>
      </c>
      <c r="I5" s="201">
        <f>synthese!F72</f>
        <v>0</v>
      </c>
      <c r="J5" s="201">
        <f>synthese!G72</f>
        <v>0</v>
      </c>
      <c r="K5" s="102"/>
      <c r="L5" s="102"/>
      <c r="M5" s="102"/>
      <c r="N5" s="102"/>
      <c r="O5" s="102"/>
    </row>
    <row r="6" spans="1:15" s="101" customFormat="1" ht="42.45" customHeight="1" x14ac:dyDescent="0.4">
      <c r="A6" s="99">
        <v>2</v>
      </c>
      <c r="B6" s="99" t="str">
        <f>type!A6</f>
        <v>b</v>
      </c>
      <c r="C6" s="99">
        <v>151.66999999999999</v>
      </c>
      <c r="D6" s="99">
        <v>35</v>
      </c>
      <c r="E6" s="102"/>
      <c r="F6" s="102">
        <v>0</v>
      </c>
      <c r="G6" s="201">
        <f>synthese!D73</f>
        <v>3.25</v>
      </c>
      <c r="H6" s="201">
        <f>synthese!E73</f>
        <v>0</v>
      </c>
      <c r="I6" s="201">
        <f>synthese!F73</f>
        <v>0</v>
      </c>
      <c r="J6" s="201">
        <f>synthese!G73</f>
        <v>0</v>
      </c>
      <c r="K6" s="102"/>
      <c r="L6" s="102"/>
      <c r="M6" s="102"/>
      <c r="N6" s="102"/>
      <c r="O6" s="102"/>
    </row>
    <row r="7" spans="1:15" s="100" customFormat="1" ht="42.45" customHeight="1" x14ac:dyDescent="0.4">
      <c r="A7" s="98">
        <v>3</v>
      </c>
      <c r="B7" s="98" t="str">
        <f>type!A9</f>
        <v>y</v>
      </c>
      <c r="C7" s="230">
        <v>151.66999999999999</v>
      </c>
      <c r="D7" s="99">
        <v>35</v>
      </c>
      <c r="E7" s="102"/>
      <c r="F7" s="102">
        <v>0</v>
      </c>
      <c r="G7" s="201">
        <f>synthese!D74</f>
        <v>0</v>
      </c>
      <c r="H7" s="201">
        <f>synthese!E74</f>
        <v>0</v>
      </c>
      <c r="I7" s="201">
        <f>synthese!F74</f>
        <v>0</v>
      </c>
      <c r="J7" s="201">
        <f>synthese!G74</f>
        <v>0</v>
      </c>
      <c r="K7" s="102"/>
      <c r="L7" s="102"/>
      <c r="M7" s="102"/>
      <c r="N7" s="102"/>
      <c r="O7" s="102"/>
    </row>
    <row r="35" ht="15" customHeight="1" x14ac:dyDescent="0.3"/>
    <row r="36" ht="15" customHeight="1" x14ac:dyDescent="0.3"/>
    <row r="37" ht="15" customHeight="1" x14ac:dyDescent="0.3"/>
  </sheetData>
  <mergeCells count="5">
    <mergeCell ref="C2:D2"/>
    <mergeCell ref="C3:D3"/>
    <mergeCell ref="K2:O2"/>
    <mergeCell ref="A1:D1"/>
    <mergeCell ref="G1:I1"/>
  </mergeCells>
  <pageMargins left="3.937007874015748E-2" right="3.937007874015748E-2" top="0.43307086614173229" bottom="0.19685039370078741" header="0" footer="0"/>
  <pageSetup paperSize="9" scale="8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P38"/>
  <sheetViews>
    <sheetView topLeftCell="A11" workbookViewId="0">
      <selection activeCell="B3" sqref="B3"/>
    </sheetView>
  </sheetViews>
  <sheetFormatPr baseColWidth="10" defaultColWidth="12.5546875" defaultRowHeight="15.6" x14ac:dyDescent="0.3"/>
  <cols>
    <col min="1" max="1" width="5.5546875" style="97" bestFit="1" customWidth="1"/>
    <col min="2" max="2" width="19.6640625" style="97" customWidth="1"/>
    <col min="3" max="3" width="7.6640625" style="97" customWidth="1"/>
    <col min="4" max="4" width="7.33203125" style="97" customWidth="1"/>
    <col min="5" max="5" width="0" style="97" hidden="1" customWidth="1"/>
    <col min="6" max="7" width="6.6640625" style="97" customWidth="1"/>
    <col min="8" max="8" width="7.109375" style="97" customWidth="1"/>
    <col min="9" max="11" width="12.109375" style="97" customWidth="1"/>
    <col min="12" max="12" width="7.5546875" style="97" customWidth="1"/>
    <col min="13" max="13" width="29.33203125" style="97" customWidth="1"/>
    <col min="14" max="14" width="8.5546875" style="97" customWidth="1"/>
    <col min="15" max="15" width="6.88671875" style="97" customWidth="1"/>
    <col min="16" max="16" width="8.44140625" style="97" customWidth="1"/>
    <col min="17" max="16384" width="12.5546875" style="97"/>
  </cols>
  <sheetData>
    <row r="1" spans="1:16" ht="16.2" thickBot="1" x14ac:dyDescent="0.35"/>
    <row r="2" spans="1:16" ht="18.600000000000001" thickBot="1" x14ac:dyDescent="0.4">
      <c r="F2" s="106" t="s">
        <v>73</v>
      </c>
      <c r="G2" s="107"/>
      <c r="H2" s="107"/>
      <c r="I2" s="107"/>
      <c r="J2" s="108"/>
      <c r="K2" s="109"/>
      <c r="L2" s="108"/>
      <c r="M2" s="108"/>
    </row>
    <row r="4" spans="1:16" ht="16.2" thickBot="1" x14ac:dyDescent="0.35"/>
    <row r="5" spans="1:16" s="104" customFormat="1" ht="16.5" customHeight="1" x14ac:dyDescent="0.25">
      <c r="A5" s="110" t="s">
        <v>71</v>
      </c>
      <c r="B5" s="111" t="s">
        <v>70</v>
      </c>
      <c r="C5" s="262" t="s">
        <v>69</v>
      </c>
      <c r="D5" s="263"/>
      <c r="E5" s="112" t="s">
        <v>68</v>
      </c>
      <c r="F5" s="112" t="s">
        <v>67</v>
      </c>
      <c r="G5" s="112" t="s">
        <v>67</v>
      </c>
      <c r="H5" s="112" t="s">
        <v>67</v>
      </c>
      <c r="I5" s="113"/>
      <c r="J5" s="114"/>
      <c r="K5" s="115"/>
      <c r="L5" s="262" t="s">
        <v>66</v>
      </c>
      <c r="M5" s="264"/>
      <c r="N5" s="264"/>
      <c r="O5" s="264"/>
      <c r="P5" s="265"/>
    </row>
    <row r="6" spans="1:16" s="104" customFormat="1" ht="13.8" x14ac:dyDescent="0.25">
      <c r="A6" s="116" t="s">
        <v>65</v>
      </c>
      <c r="B6" s="117"/>
      <c r="C6" s="266" t="s">
        <v>64</v>
      </c>
      <c r="D6" s="267"/>
      <c r="E6" s="118" t="s">
        <v>63</v>
      </c>
      <c r="F6" s="119">
        <v>0.25</v>
      </c>
      <c r="G6" s="119">
        <v>0.25</v>
      </c>
      <c r="H6" s="119">
        <v>0.5</v>
      </c>
      <c r="I6" s="120"/>
      <c r="J6" s="121"/>
      <c r="K6" s="122"/>
      <c r="L6" s="123" t="s">
        <v>62</v>
      </c>
      <c r="M6" s="124" t="s">
        <v>61</v>
      </c>
      <c r="N6" s="125" t="s">
        <v>60</v>
      </c>
      <c r="O6" s="126" t="s">
        <v>59</v>
      </c>
      <c r="P6" s="127" t="s">
        <v>58</v>
      </c>
    </row>
    <row r="7" spans="1:16" s="103" customFormat="1" ht="14.4" thickBot="1" x14ac:dyDescent="0.3">
      <c r="A7" s="128"/>
      <c r="B7" s="129"/>
      <c r="C7" s="130" t="s">
        <v>57</v>
      </c>
      <c r="D7" s="131" t="s">
        <v>38</v>
      </c>
      <c r="E7" s="132" t="s">
        <v>50</v>
      </c>
      <c r="F7" s="133" t="s">
        <v>16</v>
      </c>
      <c r="G7" s="133" t="s">
        <v>16</v>
      </c>
      <c r="H7" s="133" t="s">
        <v>16</v>
      </c>
      <c r="I7" s="134"/>
      <c r="J7" s="134"/>
      <c r="K7" s="135"/>
      <c r="L7" s="136" t="s">
        <v>74</v>
      </c>
      <c r="M7" s="137" t="s">
        <v>75</v>
      </c>
      <c r="N7" s="138" t="s">
        <v>76</v>
      </c>
      <c r="O7" s="139" t="s">
        <v>77</v>
      </c>
      <c r="P7" s="140" t="s">
        <v>78</v>
      </c>
    </row>
    <row r="9" spans="1:16" ht="15" customHeight="1" thickBot="1" x14ac:dyDescent="0.45">
      <c r="A9" s="141"/>
      <c r="B9" s="100"/>
      <c r="C9" s="141"/>
      <c r="D9" s="141"/>
      <c r="E9" s="141"/>
      <c r="F9" s="100"/>
      <c r="G9" s="100"/>
      <c r="H9" s="100"/>
      <c r="I9" s="100"/>
      <c r="J9" s="100"/>
      <c r="K9" s="100"/>
      <c r="L9" s="142"/>
      <c r="M9" s="142"/>
      <c r="N9" s="142"/>
      <c r="O9" s="142"/>
    </row>
    <row r="10" spans="1:16" ht="15" customHeight="1" x14ac:dyDescent="0.3">
      <c r="A10" s="143"/>
      <c r="B10" s="144" t="s">
        <v>79</v>
      </c>
      <c r="C10" s="145"/>
      <c r="D10" s="146"/>
      <c r="E10" s="146"/>
      <c r="F10" s="146"/>
      <c r="G10" s="146"/>
      <c r="H10" s="146"/>
      <c r="I10" s="146"/>
      <c r="J10" s="146"/>
      <c r="K10" s="147"/>
      <c r="L10" s="147"/>
      <c r="M10" s="148"/>
      <c r="N10" s="142"/>
      <c r="O10" s="142"/>
    </row>
    <row r="11" spans="1:16" ht="15" customHeight="1" x14ac:dyDescent="0.3">
      <c r="A11" s="143"/>
      <c r="B11" s="149" t="s">
        <v>80</v>
      </c>
      <c r="C11" s="150" t="s">
        <v>81</v>
      </c>
      <c r="D11" s="151"/>
      <c r="E11" s="151"/>
      <c r="F11" s="151"/>
      <c r="G11" s="151"/>
      <c r="H11" s="151"/>
      <c r="I11" s="151"/>
      <c r="J11" s="151"/>
      <c r="K11" s="152"/>
      <c r="L11" s="152"/>
      <c r="M11" s="153"/>
      <c r="N11" s="142"/>
      <c r="O11" s="142"/>
    </row>
    <row r="12" spans="1:16" ht="15" customHeight="1" x14ac:dyDescent="0.3">
      <c r="A12" s="143"/>
      <c r="B12" s="149" t="s">
        <v>82</v>
      </c>
      <c r="C12" s="150" t="s">
        <v>83</v>
      </c>
      <c r="D12" s="151"/>
      <c r="E12" s="151"/>
      <c r="F12" s="151"/>
      <c r="G12" s="151"/>
      <c r="H12" s="151"/>
      <c r="I12" s="151"/>
      <c r="J12" s="151"/>
      <c r="K12" s="152"/>
      <c r="L12" s="152"/>
      <c r="M12" s="153"/>
      <c r="N12" s="142"/>
      <c r="O12" s="142"/>
    </row>
    <row r="13" spans="1:16" ht="15" customHeight="1" x14ac:dyDescent="0.3">
      <c r="A13" s="143"/>
      <c r="B13" s="154" t="s">
        <v>84</v>
      </c>
      <c r="C13" s="155" t="s">
        <v>85</v>
      </c>
      <c r="D13" s="155"/>
      <c r="E13" s="152"/>
      <c r="F13" s="155"/>
      <c r="G13" s="155"/>
      <c r="H13" s="155"/>
      <c r="I13" s="152"/>
      <c r="J13" s="152"/>
      <c r="K13" s="152"/>
      <c r="L13" s="152"/>
      <c r="M13" s="153"/>
    </row>
    <row r="14" spans="1:16" ht="15" customHeight="1" x14ac:dyDescent="0.3">
      <c r="A14" s="143"/>
      <c r="B14" s="154" t="s">
        <v>86</v>
      </c>
      <c r="C14" s="155" t="s">
        <v>87</v>
      </c>
      <c r="D14" s="155"/>
      <c r="E14" s="152"/>
      <c r="F14" s="155"/>
      <c r="G14" s="155"/>
      <c r="H14" s="155"/>
      <c r="I14" s="152"/>
      <c r="J14" s="152"/>
      <c r="K14" s="152"/>
      <c r="L14" s="152"/>
      <c r="M14" s="153"/>
    </row>
    <row r="15" spans="1:16" ht="15" customHeight="1" x14ac:dyDescent="0.3">
      <c r="A15" s="143"/>
      <c r="B15" s="154" t="s">
        <v>88</v>
      </c>
      <c r="C15" s="156" t="s">
        <v>89</v>
      </c>
      <c r="D15" s="152"/>
      <c r="E15" s="152"/>
      <c r="F15" s="155"/>
      <c r="G15" s="155"/>
      <c r="H15" s="155"/>
      <c r="I15" s="152"/>
      <c r="J15" s="152"/>
      <c r="K15" s="152"/>
      <c r="L15" s="152"/>
      <c r="M15" s="153"/>
    </row>
    <row r="16" spans="1:16" ht="15" customHeight="1" x14ac:dyDescent="0.3">
      <c r="A16" s="143"/>
      <c r="B16" s="154" t="s">
        <v>90</v>
      </c>
      <c r="C16" s="155" t="s">
        <v>91</v>
      </c>
      <c r="D16" s="157"/>
      <c r="E16" s="157"/>
      <c r="F16" s="157"/>
      <c r="G16" s="157"/>
      <c r="H16" s="157"/>
      <c r="I16" s="158"/>
      <c r="J16" s="158"/>
      <c r="K16" s="152"/>
      <c r="L16" s="152"/>
      <c r="M16" s="153"/>
    </row>
    <row r="17" spans="1:13" ht="15" customHeight="1" x14ac:dyDescent="0.3">
      <c r="A17" s="143"/>
      <c r="B17" s="154" t="s">
        <v>92</v>
      </c>
      <c r="C17" s="155" t="s">
        <v>93</v>
      </c>
      <c r="D17" s="155"/>
      <c r="E17" s="152"/>
      <c r="F17" s="155"/>
      <c r="G17" s="155"/>
      <c r="H17" s="155"/>
      <c r="I17" s="152"/>
      <c r="J17" s="152"/>
      <c r="K17" s="152"/>
      <c r="L17" s="152"/>
      <c r="M17" s="153"/>
    </row>
    <row r="18" spans="1:13" ht="15" customHeight="1" x14ac:dyDescent="0.3">
      <c r="A18" s="143"/>
      <c r="B18" s="154" t="s">
        <v>94</v>
      </c>
      <c r="C18" s="155" t="s">
        <v>95</v>
      </c>
      <c r="D18" s="155"/>
      <c r="E18" s="152"/>
      <c r="F18" s="155"/>
      <c r="G18" s="155"/>
      <c r="H18" s="155"/>
      <c r="I18" s="152"/>
      <c r="J18" s="152"/>
      <c r="K18" s="152"/>
      <c r="L18" s="152"/>
      <c r="M18" s="153"/>
    </row>
    <row r="19" spans="1:13" ht="15" customHeight="1" x14ac:dyDescent="0.3">
      <c r="A19" s="143"/>
      <c r="B19" s="154" t="s">
        <v>96</v>
      </c>
      <c r="C19" s="155" t="s">
        <v>97</v>
      </c>
      <c r="D19" s="155"/>
      <c r="E19" s="159"/>
      <c r="F19" s="152"/>
      <c r="G19" s="152"/>
      <c r="H19" s="152"/>
      <c r="I19" s="152"/>
      <c r="J19" s="152"/>
      <c r="K19" s="152"/>
      <c r="L19" s="152"/>
      <c r="M19" s="153"/>
    </row>
    <row r="20" spans="1:13" ht="15" customHeight="1" thickBot="1" x14ac:dyDescent="0.35">
      <c r="A20" s="143"/>
      <c r="B20" s="160" t="s">
        <v>98</v>
      </c>
      <c r="C20" s="161" t="s">
        <v>99</v>
      </c>
      <c r="D20" s="161"/>
      <c r="E20" s="162"/>
      <c r="F20" s="163"/>
      <c r="G20" s="163"/>
      <c r="H20" s="163"/>
      <c r="I20" s="163"/>
      <c r="J20" s="163"/>
      <c r="K20" s="163"/>
      <c r="L20" s="163"/>
      <c r="M20" s="164"/>
    </row>
    <row r="21" spans="1:13" ht="15" customHeight="1" x14ac:dyDescent="0.3">
      <c r="A21" s="143"/>
      <c r="B21" s="157"/>
      <c r="C21" s="155"/>
      <c r="D21" s="155"/>
      <c r="E21" s="159"/>
      <c r="F21" s="152"/>
      <c r="G21" s="152"/>
      <c r="H21" s="152"/>
      <c r="I21" s="152"/>
      <c r="J21" s="152"/>
      <c r="K21" s="152"/>
    </row>
    <row r="22" spans="1:13" ht="15" customHeight="1" x14ac:dyDescent="0.3">
      <c r="A22" s="143"/>
      <c r="B22" s="165" t="s">
        <v>100</v>
      </c>
      <c r="C22" s="166"/>
      <c r="D22" s="166"/>
      <c r="E22" s="167"/>
    </row>
    <row r="23" spans="1:13" ht="15" customHeight="1" x14ac:dyDescent="0.3">
      <c r="A23" s="143"/>
      <c r="B23" s="168" t="s">
        <v>101</v>
      </c>
      <c r="C23" s="169"/>
      <c r="D23" s="168"/>
      <c r="E23" s="170"/>
    </row>
    <row r="24" spans="1:13" ht="15" customHeight="1" x14ac:dyDescent="0.3">
      <c r="A24" s="143"/>
      <c r="B24" s="168" t="s">
        <v>102</v>
      </c>
      <c r="C24" s="169"/>
      <c r="D24" s="168"/>
      <c r="E24" s="170"/>
      <c r="F24" s="171"/>
      <c r="G24" s="171"/>
    </row>
    <row r="25" spans="1:13" ht="15" customHeight="1" x14ac:dyDescent="0.3">
      <c r="A25" s="143"/>
      <c r="B25" s="172" t="s">
        <v>103</v>
      </c>
      <c r="C25" s="172"/>
      <c r="D25" s="172"/>
      <c r="E25" s="172"/>
      <c r="F25" s="171"/>
      <c r="G25" s="171"/>
    </row>
    <row r="26" spans="1:13" ht="15" customHeight="1" x14ac:dyDescent="0.3">
      <c r="A26" s="143"/>
      <c r="B26" s="166"/>
      <c r="C26" s="166"/>
      <c r="D26" s="166"/>
      <c r="E26" s="166"/>
      <c r="F26" s="173"/>
      <c r="G26" s="173"/>
    </row>
    <row r="27" spans="1:13" ht="15" customHeight="1" x14ac:dyDescent="0.3">
      <c r="A27" s="143"/>
      <c r="B27" s="174" t="s">
        <v>104</v>
      </c>
      <c r="C27" s="175"/>
      <c r="D27" s="176"/>
      <c r="E27" s="176"/>
      <c r="F27" s="143"/>
      <c r="G27" s="143"/>
    </row>
    <row r="28" spans="1:13" ht="15" customHeight="1" x14ac:dyDescent="0.3">
      <c r="A28" s="143"/>
      <c r="B28" s="168" t="s">
        <v>105</v>
      </c>
      <c r="C28" s="177"/>
      <c r="D28" s="177"/>
      <c r="E28" s="177"/>
      <c r="F28" s="170"/>
      <c r="G28" s="170"/>
      <c r="H28" s="170"/>
    </row>
    <row r="29" spans="1:13" ht="15" customHeight="1" x14ac:dyDescent="0.3">
      <c r="A29" s="143"/>
      <c r="B29" s="172" t="s">
        <v>106</v>
      </c>
      <c r="C29" s="143"/>
      <c r="D29" s="143"/>
      <c r="E29" s="143"/>
    </row>
    <row r="30" spans="1:13" ht="15" customHeight="1" x14ac:dyDescent="0.3">
      <c r="A30" s="143"/>
      <c r="C30" s="143"/>
      <c r="D30" s="143"/>
      <c r="E30" s="143"/>
    </row>
    <row r="31" spans="1:13" ht="15" customHeight="1" x14ac:dyDescent="0.3">
      <c r="A31" s="143"/>
      <c r="B31" s="174" t="s">
        <v>107</v>
      </c>
      <c r="C31" s="143"/>
      <c r="D31" s="143"/>
      <c r="E31" s="143"/>
    </row>
    <row r="32" spans="1:13" ht="15" customHeight="1" x14ac:dyDescent="0.3">
      <c r="A32" s="143"/>
      <c r="B32" s="97" t="s">
        <v>108</v>
      </c>
      <c r="C32" s="143"/>
      <c r="D32" s="143"/>
      <c r="E32" s="143"/>
    </row>
    <row r="33" spans="1:11" ht="15" customHeight="1" x14ac:dyDescent="0.3">
      <c r="A33" s="143"/>
      <c r="C33" s="143"/>
      <c r="D33" s="143"/>
      <c r="E33" s="143"/>
    </row>
    <row r="34" spans="1:11" ht="15" customHeight="1" x14ac:dyDescent="0.35">
      <c r="A34" s="143"/>
      <c r="B34" s="174" t="s">
        <v>109</v>
      </c>
      <c r="C34" s="178"/>
      <c r="D34" s="143"/>
      <c r="E34" s="143"/>
    </row>
    <row r="35" spans="1:11" ht="15" customHeight="1" x14ac:dyDescent="0.3">
      <c r="A35" s="143"/>
      <c r="B35" s="168" t="s">
        <v>110</v>
      </c>
      <c r="C35" s="169"/>
      <c r="D35" s="169"/>
      <c r="E35" s="169"/>
    </row>
    <row r="36" spans="1:11" ht="15" customHeight="1" x14ac:dyDescent="0.3">
      <c r="A36" s="143"/>
      <c r="B36" s="168" t="s">
        <v>111</v>
      </c>
      <c r="C36" s="143"/>
      <c r="D36" s="143"/>
      <c r="E36" s="143"/>
    </row>
    <row r="37" spans="1:11" ht="15" customHeight="1" x14ac:dyDescent="0.3">
      <c r="A37" s="143"/>
      <c r="B37" s="168" t="s">
        <v>112</v>
      </c>
      <c r="C37" s="169"/>
      <c r="D37" s="169"/>
      <c r="E37" s="169"/>
      <c r="F37" s="168"/>
      <c r="G37" s="168"/>
      <c r="H37" s="168"/>
      <c r="I37" s="168"/>
      <c r="J37" s="168"/>
      <c r="K37" s="168"/>
    </row>
    <row r="38" spans="1:11" ht="15" customHeight="1" x14ac:dyDescent="0.3">
      <c r="A38" s="143"/>
      <c r="B38" s="168"/>
      <c r="C38" s="169"/>
      <c r="D38" s="169"/>
      <c r="E38" s="169"/>
      <c r="F38" s="168"/>
      <c r="G38" s="168"/>
      <c r="H38" s="168"/>
      <c r="I38" s="168"/>
      <c r="J38" s="168"/>
      <c r="K38" s="168"/>
    </row>
  </sheetData>
  <sheetProtection sheet="1" objects="1" scenarios="1"/>
  <mergeCells count="3">
    <mergeCell ref="C5:D5"/>
    <mergeCell ref="L5:P5"/>
    <mergeCell ref="C6:D6"/>
  </mergeCells>
  <pageMargins left="0" right="0" top="0.19685039370078741" bottom="0" header="0.19685039370078741" footer="0"/>
  <pageSetup paperSize="9" scale="85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rgb="FFFF0000"/>
  </sheetPr>
  <dimension ref="A1:T74"/>
  <sheetViews>
    <sheetView tabSelected="1" topLeftCell="A47" workbookViewId="0">
      <selection activeCell="U63" sqref="U63"/>
    </sheetView>
  </sheetViews>
  <sheetFormatPr baseColWidth="10" defaultRowHeight="13.2" x14ac:dyDescent="0.25"/>
  <cols>
    <col min="1" max="1" width="19.33203125" bestFit="1" customWidth="1"/>
    <col min="2" max="2" width="15.44140625" bestFit="1" customWidth="1"/>
    <col min="3" max="3" width="7.5546875" customWidth="1"/>
    <col min="4" max="4" width="6" customWidth="1"/>
    <col min="5" max="5" width="6.88671875" customWidth="1"/>
    <col min="6" max="6" width="5.88671875" customWidth="1"/>
    <col min="7" max="7" width="7.33203125" customWidth="1"/>
    <col min="8" max="10" width="6.33203125" customWidth="1"/>
    <col min="11" max="11" width="7.109375" customWidth="1"/>
    <col min="12" max="12" width="6.109375" customWidth="1"/>
    <col min="13" max="13" width="7.33203125" customWidth="1"/>
    <col min="14" max="14" width="6.44140625" customWidth="1"/>
    <col min="15" max="15" width="6.6640625" bestFit="1" customWidth="1"/>
    <col min="16" max="16" width="5.5546875" bestFit="1" customWidth="1"/>
    <col min="17" max="17" width="9.88671875" bestFit="1" customWidth="1"/>
    <col min="18" max="18" width="7.33203125" bestFit="1" customWidth="1"/>
    <col min="19" max="19" width="8" bestFit="1" customWidth="1"/>
    <col min="20" max="20" width="10.109375" bestFit="1" customWidth="1"/>
  </cols>
  <sheetData>
    <row r="1" spans="1:20" ht="15.6" x14ac:dyDescent="0.3">
      <c r="A1" s="18" t="s">
        <v>8</v>
      </c>
      <c r="B1" s="30"/>
      <c r="C1" s="3"/>
      <c r="D1" s="3"/>
      <c r="G1" s="27"/>
      <c r="H1" s="18"/>
      <c r="I1" s="28"/>
      <c r="L1" s="23"/>
    </row>
    <row r="2" spans="1:20" ht="15.6" x14ac:dyDescent="0.3">
      <c r="A2" s="31" t="s">
        <v>9</v>
      </c>
      <c r="B2" s="231">
        <v>2021</v>
      </c>
      <c r="C2" s="31" t="s">
        <v>13</v>
      </c>
      <c r="D2" s="231">
        <v>10</v>
      </c>
      <c r="E2" s="18"/>
      <c r="F2" s="179" t="s">
        <v>113</v>
      </c>
      <c r="G2" s="180"/>
      <c r="H2" s="179"/>
      <c r="I2" s="181"/>
      <c r="J2" s="181"/>
      <c r="K2" s="181"/>
      <c r="L2" s="182"/>
      <c r="M2" s="181"/>
      <c r="N2" s="14"/>
      <c r="O2" s="14"/>
      <c r="P2" s="14"/>
    </row>
    <row r="3" spans="1:20" ht="16.2" x14ac:dyDescent="0.35">
      <c r="A3" s="31" t="s">
        <v>11</v>
      </c>
      <c r="B3" s="92">
        <f>DATE($B$2,$D$2,1)</f>
        <v>44470</v>
      </c>
      <c r="C3" s="31" t="s">
        <v>12</v>
      </c>
      <c r="D3" s="32">
        <f>INT(($B$3-SUM(MOD(DATE(YEAR($B$3-MOD($B$3-2,7)+3),1,2),{1E+99;7})*{1;-1})+5)/7)</f>
        <v>39</v>
      </c>
      <c r="F3" s="183" t="s">
        <v>114</v>
      </c>
      <c r="G3" s="184"/>
      <c r="H3" s="179"/>
      <c r="I3" s="181"/>
      <c r="J3" s="181"/>
      <c r="K3" s="181"/>
      <c r="L3" s="182"/>
      <c r="M3" s="181"/>
      <c r="N3" s="14"/>
      <c r="O3" s="14"/>
      <c r="P3" s="14"/>
    </row>
    <row r="4" spans="1:20" ht="15.6" x14ac:dyDescent="0.3">
      <c r="A4" s="31" t="s">
        <v>15</v>
      </c>
      <c r="B4" s="92">
        <f>$B$3-DAY($B$3)+8-WEEKDAY($B$3-DAY($B$3)+6)</f>
        <v>44473</v>
      </c>
      <c r="C4" s="31" t="s">
        <v>12</v>
      </c>
      <c r="D4" s="32">
        <f>INT(($B$4-SUM(MOD(DATE(YEAR($B$4-MOD($B$4-2,7)+3),1,2),{1E+99;7})*{1;-1})+5)/7)</f>
        <v>40</v>
      </c>
      <c r="E4" s="18"/>
      <c r="F4" s="179" t="s">
        <v>121</v>
      </c>
      <c r="G4" s="180"/>
      <c r="H4" s="179"/>
      <c r="I4" s="181"/>
      <c r="J4" s="181"/>
      <c r="K4" s="181"/>
      <c r="L4" s="182"/>
      <c r="M4" s="181"/>
      <c r="N4" s="14"/>
      <c r="O4" s="14"/>
      <c r="P4" s="14"/>
      <c r="S4" s="67"/>
    </row>
    <row r="5" spans="1:20" ht="16.2" thickBot="1" x14ac:dyDescent="0.35">
      <c r="A5" s="31" t="s">
        <v>115</v>
      </c>
      <c r="B5" s="92">
        <f>IF(WEEKDAY(B3)=2,B4,B4-7)</f>
        <v>44466</v>
      </c>
      <c r="C5" s="189" t="s">
        <v>12</v>
      </c>
      <c r="D5" s="32">
        <f>INT(($B$5-SUM(MOD(DATE(YEAR($B$5-MOD($B$5-2,7)+3),1,2),{1E+99;7})*{1;-1})+5)/7)</f>
        <v>39</v>
      </c>
      <c r="E5" s="90"/>
      <c r="F5" s="185" t="s">
        <v>122</v>
      </c>
      <c r="G5" s="186"/>
      <c r="H5" s="186"/>
      <c r="I5" s="181"/>
      <c r="J5" s="181"/>
      <c r="K5" s="181"/>
      <c r="L5" s="181"/>
      <c r="M5" s="181"/>
      <c r="N5" s="14"/>
      <c r="O5" s="14"/>
      <c r="P5" s="14"/>
      <c r="R5" t="s">
        <v>16</v>
      </c>
      <c r="S5" s="194"/>
    </row>
    <row r="6" spans="1:20" ht="13.8" thickBot="1" x14ac:dyDescent="0.3">
      <c r="A6" s="55" t="s">
        <v>14</v>
      </c>
      <c r="B6" s="56">
        <f>horaire!$B$11</f>
        <v>2</v>
      </c>
      <c r="C6" s="268" t="str">
        <f>IF(ISNA(MATCH(C7,scol!$D$4:$D$15,1))=TRUE,"",IF(MOD(MATCH(C7,scol!$D$4:$D$15,1),2)=1,"vacances",""))</f>
        <v/>
      </c>
      <c r="D6" s="269"/>
      <c r="E6" s="268" t="str">
        <f>IF(ISNA(MATCH(E7,scol!$D$4:$D$15,1))=TRUE,"",IF(MOD(MATCH(E7,scol!$D$4:$D$15,1),2)=1,"vacances",""))</f>
        <v/>
      </c>
      <c r="F6" s="269"/>
      <c r="G6" s="268" t="str">
        <f>IF(ISNA(MATCH(G7,scol!$D$4:$D$15,1))=TRUE,"",IF(MOD(MATCH(G7,scol!$D$4:$D$15,1),2)=1,"vacances",""))</f>
        <v/>
      </c>
      <c r="H6" s="269"/>
      <c r="I6" s="268" t="str">
        <f>IF(ISNA(MATCH(I7,scol!$D$4:$D$15,1))=TRUE,"",IF(MOD(MATCH(I7,scol!$D$4:$D$15,1),2)=1,"vacances",""))</f>
        <v/>
      </c>
      <c r="J6" s="269"/>
      <c r="K6" s="268" t="str">
        <f>IF(ISNA(MATCH(K7,scol!$D$4:$D$15,1))=TRUE,"",IF(MOD(MATCH(K7,scol!$D$4:$D$15,1),2)=1,"vacances",""))</f>
        <v/>
      </c>
      <c r="L6" s="269"/>
      <c r="M6" s="268" t="str">
        <f>IF(ISNA(MATCH(M7,scol!$D$4:$D$15,1))=TRUE,"",IF(MOD(MATCH(M7,scol!$D$4:$D$15,1),2)=1,"vacances",""))</f>
        <v/>
      </c>
      <c r="N6" s="269"/>
      <c r="O6" s="268" t="str">
        <f>IF(ISNA(MATCH(O7,scol!$D$4:$D$15,1))=TRUE,"",IF(MOD(MATCH(O7,scol!$D$4:$D$15,1),2)=1,"vacances",""))</f>
        <v/>
      </c>
      <c r="P6" s="269"/>
      <c r="S6" s="67"/>
    </row>
    <row r="7" spans="1:20" ht="13.8" thickBot="1" x14ac:dyDescent="0.3">
      <c r="A7" s="25" t="s">
        <v>10</v>
      </c>
      <c r="B7" s="24">
        <f>D5</f>
        <v>39</v>
      </c>
      <c r="C7" s="35">
        <f>$B$5</f>
        <v>44466</v>
      </c>
      <c r="D7" s="8" t="str">
        <f>IF(ISNA(VLOOKUP($C7,feries!$B$5:$B$31,1,FALSE)),"",IF(VLOOKUP($C7,feries!$B$5:$B$31,1,FALSE)=$C7,"férié",""))</f>
        <v/>
      </c>
      <c r="E7" s="35">
        <f>C7+1</f>
        <v>44467</v>
      </c>
      <c r="F7" s="8" t="str">
        <f>IF(ISNA(VLOOKUP($E7,feries!$B$5:$B$31,1,FALSE)),"",IF(VLOOKUP($E7,feries!$B$5:$B$31,1,FALSE)=$E7,"férié",""))</f>
        <v/>
      </c>
      <c r="G7" s="35">
        <f>E7+1</f>
        <v>44468</v>
      </c>
      <c r="H7" s="8" t="str">
        <f>IF(ISNA(VLOOKUP($G7,feries!$B$5:$B$31,1,FALSE)),"",IF(VLOOKUP($G7,feries!$B$5:$B$31,1,FALSE)=$G7,"férié",""))</f>
        <v/>
      </c>
      <c r="I7" s="35">
        <f>G7+1</f>
        <v>44469</v>
      </c>
      <c r="J7" s="8" t="str">
        <f>IF(ISNA(VLOOKUP($I7,feries!$B$5:$B$31,1,FALSE)),"",IF(VLOOKUP($I7,feries!$B$5:$B$31,1,FALSE)=$I7,"férié",""))</f>
        <v/>
      </c>
      <c r="K7" s="35">
        <f>I7+1</f>
        <v>44470</v>
      </c>
      <c r="L7" s="8" t="str">
        <f>IF(ISNA(VLOOKUP($K7,feries!$B$5:$B$31,1,FALSE)),"",IF(VLOOKUP($K7,feries!$B$5:$B$31,1,FALSE)=$K7,"férié",""))</f>
        <v/>
      </c>
      <c r="M7" s="76">
        <f>K7+1</f>
        <v>44471</v>
      </c>
      <c r="N7" s="8" t="str">
        <f>IF(ISNA(VLOOKUP($M7,feries!$B$5:$B$31,1,FALSE)),"",IF(VLOOKUP($M7,feries!$B$5:$B$31,1,FALSE)=$M7,"férié",""))</f>
        <v/>
      </c>
      <c r="O7" s="76">
        <f>M7+1</f>
        <v>44472</v>
      </c>
      <c r="P7" s="8" t="str">
        <f>IF(ISNA(VLOOKUP($O7,feries!$B$5:$B$31,1,FALSE)),"",IF(VLOOKUP($O7,feries!$B$5:$B$31,1,FALSE)=$O7,"férié",""))</f>
        <v/>
      </c>
      <c r="Q7" s="253"/>
      <c r="R7" s="253"/>
      <c r="T7" s="67"/>
    </row>
    <row r="8" spans="1:20" ht="13.8" thickBot="1" x14ac:dyDescent="0.3">
      <c r="A8" s="88" t="s">
        <v>39</v>
      </c>
      <c r="B8" s="89" t="s">
        <v>0</v>
      </c>
      <c r="C8" s="270">
        <f>COUNTIF($C$10:$C$15,"&lt;=11")-COUNTIF($C$10:$C$15,"=0")</f>
        <v>2</v>
      </c>
      <c r="D8" s="271"/>
      <c r="E8" s="270">
        <f>COUNTIF($E$10:$E$15,"&lt;=11")-COUNTIF($E$10:$E$15,"=0")</f>
        <v>1</v>
      </c>
      <c r="F8" s="271"/>
      <c r="G8" s="270">
        <f>COUNTIF($G$10:$G$15,"&lt;=11")-COUNTIF($G$10:$G$15,"=0")</f>
        <v>1</v>
      </c>
      <c r="H8" s="271"/>
      <c r="I8" s="270">
        <f>COUNTIF($I$10:$I$15,"&lt;=11")-COUNTIF($I$10:$I$15,"=0")</f>
        <v>0</v>
      </c>
      <c r="J8" s="271"/>
      <c r="K8" s="270">
        <f>COUNTIF($K$10:$K$15,"&lt;=11")-COUNTIF($K$10:$K$15,"=0")</f>
        <v>2</v>
      </c>
      <c r="L8" s="271"/>
      <c r="M8" s="270">
        <f>COUNTIF($M$10:$M$15,"&lt;=11")-COUNTIF($M$10:$M$15,"=0")</f>
        <v>0</v>
      </c>
      <c r="N8" s="271"/>
      <c r="O8" s="270">
        <f>COUNTIF($O$10:$O$15,"&lt;=11")-COUNTIF($O$10:$O$15,"=0")</f>
        <v>0</v>
      </c>
      <c r="P8" s="271"/>
      <c r="Q8" s="254"/>
      <c r="R8" s="33"/>
    </row>
    <row r="9" spans="1:20" ht="13.8" thickBot="1" x14ac:dyDescent="0.3">
      <c r="A9" s="88"/>
      <c r="B9" s="89" t="s">
        <v>1</v>
      </c>
      <c r="C9" s="270">
        <f>COUNTIF($D$10:$D$15,"&gt;=19")</f>
        <v>2</v>
      </c>
      <c r="D9" s="271"/>
      <c r="E9" s="270">
        <f>COUNTIF($F$10:$F$15,"&gt;=19")</f>
        <v>2</v>
      </c>
      <c r="F9" s="271"/>
      <c r="G9" s="270">
        <f>COUNTIF($H$10:$H$15,"&gt;=19")</f>
        <v>2</v>
      </c>
      <c r="H9" s="271"/>
      <c r="I9" s="270">
        <f>COUNTIF($J$10:$J$15,"&gt;=19")</f>
        <v>2</v>
      </c>
      <c r="J9" s="271"/>
      <c r="K9" s="270">
        <f>COUNTIF($L$10:$L$15,"&gt;=19")</f>
        <v>1</v>
      </c>
      <c r="L9" s="271"/>
      <c r="M9" s="270">
        <f>COUNTIF($N$10:$N$15,"&gt;=19")</f>
        <v>0</v>
      </c>
      <c r="N9" s="271"/>
      <c r="O9" s="270">
        <f>COUNTIF($P$10:$P$15,"&gt;=19")</f>
        <v>0</v>
      </c>
      <c r="P9" s="271"/>
      <c r="Q9" s="15" t="s">
        <v>117</v>
      </c>
      <c r="R9" s="15" t="s">
        <v>118</v>
      </c>
      <c r="S9" s="15" t="s">
        <v>119</v>
      </c>
      <c r="T9" s="38" t="s">
        <v>120</v>
      </c>
    </row>
    <row r="10" spans="1:20" x14ac:dyDescent="0.25">
      <c r="A10" s="7" t="str">
        <f>type!$A$3</f>
        <v>a</v>
      </c>
      <c r="B10" s="91" t="s">
        <v>0</v>
      </c>
      <c r="C10" s="61">
        <f>réel!C13</f>
        <v>8.75</v>
      </c>
      <c r="D10" s="62">
        <f>réel!D13</f>
        <v>13</v>
      </c>
      <c r="E10" s="61">
        <f>réel!E13</f>
        <v>8.75</v>
      </c>
      <c r="F10" s="235">
        <f>réel!F13</f>
        <v>13</v>
      </c>
      <c r="G10" s="61">
        <f>réel!G13</f>
        <v>0</v>
      </c>
      <c r="H10" s="235">
        <f>réel!H13</f>
        <v>0</v>
      </c>
      <c r="I10" s="61">
        <f>réel!I13</f>
        <v>0</v>
      </c>
      <c r="J10" s="235">
        <f>réel!J13</f>
        <v>0</v>
      </c>
      <c r="K10" s="61">
        <f>réel!K13</f>
        <v>8.75</v>
      </c>
      <c r="L10" s="235">
        <f>réel!L13</f>
        <v>13</v>
      </c>
      <c r="M10" s="61">
        <f>réel!M13</f>
        <v>0</v>
      </c>
      <c r="N10" s="235">
        <f>réel!N13</f>
        <v>0</v>
      </c>
      <c r="O10" s="61">
        <f>réel!O13</f>
        <v>0</v>
      </c>
      <c r="P10" s="235">
        <f>réel!P13</f>
        <v>0</v>
      </c>
      <c r="Q10" s="198"/>
      <c r="R10" s="198"/>
      <c r="S10" s="198"/>
      <c r="T10" s="196">
        <f>IF($L$7="férié",IF(MONTH($K$7)=MONTH($B$3),L10+L11-K10-K11,0),0)+IF($N$7="férié",IF(MONTH($M$7)=MONTH($B$3),N10+N11-M10-M11,0),0)+IF($P$7="férié",IF(MONTH($O$7)=MONTH($B$3),P10+P11-O10-O11,0),0)</f>
        <v>0</v>
      </c>
    </row>
    <row r="11" spans="1:20" ht="13.8" thickBot="1" x14ac:dyDescent="0.3">
      <c r="A11" s="187">
        <f>réel!B15</f>
        <v>35.25</v>
      </c>
      <c r="B11" s="60" t="s">
        <v>1</v>
      </c>
      <c r="C11" s="78">
        <f>réel!C14</f>
        <v>14</v>
      </c>
      <c r="D11" s="79">
        <f>réel!D14</f>
        <v>20</v>
      </c>
      <c r="E11" s="78">
        <f>réel!E14</f>
        <v>14.5</v>
      </c>
      <c r="F11" s="79">
        <f>réel!F14</f>
        <v>19</v>
      </c>
      <c r="G11" s="78">
        <f>réel!G14</f>
        <v>14</v>
      </c>
      <c r="H11" s="79">
        <f>réel!H14</f>
        <v>20</v>
      </c>
      <c r="I11" s="78">
        <f>réel!I14</f>
        <v>14</v>
      </c>
      <c r="J11" s="79">
        <f>réel!J14</f>
        <v>20</v>
      </c>
      <c r="K11" s="78">
        <f>réel!K14</f>
        <v>0</v>
      </c>
      <c r="L11" s="79">
        <f>réel!L14</f>
        <v>0</v>
      </c>
      <c r="M11" s="78">
        <f>réel!M14</f>
        <v>0</v>
      </c>
      <c r="N11" s="79">
        <f>réel!N14</f>
        <v>0</v>
      </c>
      <c r="O11" s="78">
        <f>réel!O14</f>
        <v>0</v>
      </c>
      <c r="P11" s="79">
        <f>réel!P14</f>
        <v>0</v>
      </c>
      <c r="Q11" s="64">
        <f>MIN(réel!A15,4)</f>
        <v>0</v>
      </c>
      <c r="R11" s="64">
        <f>IF(réel!A15&gt;4,A15-4,0)</f>
        <v>0</v>
      </c>
      <c r="S11" s="64">
        <f>SUM(IF(AND($D11&gt;20,MONTH($C$7)=MONTH($B$3)),D11-20,0)+IF(AND($F11&gt;20,MONTH($E$7)=MONTH($B$3)),F11-20,0)+IF(AND($H11&gt;20,MONTH($G$7)=MONTH($B$3)),H11-20,0)+IF(AND($J11&gt;20,MONTH($I$7)=MONTH($B$3)),J11-20,0)+IF(AND($L11&gt;20,MONTH($K$7)=MONTH($B$3)),L11-20,0)+IF(AND($N11&gt;20,MONTH($M$7)=MONTH($B$3)),N11-20,0)+IF(AND($P11&gt;20,MONTH($O$7)=MONTH($B$3)),P11-20,0))</f>
        <v>0</v>
      </c>
      <c r="T11" s="197">
        <f>IF($D$7="férié",IF(MONTH($C$7)=MONTH($B$3),D10+D11-C10-C11,0))+IF($F$7="férié",IF(MONTH($E$7)=MONTH($B$3),F10+F11-E10-E11,0))+IF($H$7="férié",IF(MONTH($G$7)=MONTH($B$3),H10+H11-G10-G11,0))+IF($J$7="férié",IF(MONTH($I$7)=MONTH($B$3),J10+J11-I10-I11,0))+T10</f>
        <v>0</v>
      </c>
    </row>
    <row r="12" spans="1:20" x14ac:dyDescent="0.25">
      <c r="A12" s="7" t="str">
        <f>type!$A$6</f>
        <v>b</v>
      </c>
      <c r="B12" s="91" t="s">
        <v>0</v>
      </c>
      <c r="C12" s="61">
        <f>réel!C16</f>
        <v>8.75</v>
      </c>
      <c r="D12" s="62">
        <f>réel!D16</f>
        <v>12</v>
      </c>
      <c r="E12" s="61">
        <f>réel!E16</f>
        <v>0</v>
      </c>
      <c r="F12" s="62">
        <f>réel!F16</f>
        <v>0</v>
      </c>
      <c r="G12" s="61">
        <f>réel!G16</f>
        <v>8.75</v>
      </c>
      <c r="H12" s="62">
        <f>réel!H16</f>
        <v>13</v>
      </c>
      <c r="I12" s="61">
        <f>réel!I16</f>
        <v>0</v>
      </c>
      <c r="J12" s="62">
        <f>réel!J16</f>
        <v>0</v>
      </c>
      <c r="K12" s="61">
        <f>réel!K16</f>
        <v>8.75</v>
      </c>
      <c r="L12" s="62">
        <f>réel!L16</f>
        <v>12</v>
      </c>
      <c r="M12" s="61">
        <f>réel!M16</f>
        <v>0</v>
      </c>
      <c r="N12" s="62">
        <f>réel!N16</f>
        <v>0</v>
      </c>
      <c r="O12" s="61">
        <f>réel!O16</f>
        <v>0</v>
      </c>
      <c r="P12" s="62">
        <f>réel!P16</f>
        <v>0</v>
      </c>
      <c r="Q12" s="198"/>
      <c r="R12" s="198"/>
      <c r="S12" s="198"/>
      <c r="T12" s="196">
        <f>IF($L$7="férié",IF(MONTH($K$7)=MONTH($B$3),L12+L13-K12-K13,0),0)+IF($N$7="férié",IF(MONTH($M$7)=MONTH($B$3),N12+N13-M12-M13,0),0)+IF($P$7="férié",IF(MONTH($O$7)=MONTH($B$3),P12+P13-O12-O13,0),0)</f>
        <v>0</v>
      </c>
    </row>
    <row r="13" spans="1:20" ht="13.8" thickBot="1" x14ac:dyDescent="0.3">
      <c r="A13" s="187">
        <f>réel!B18</f>
        <v>37</v>
      </c>
      <c r="B13" s="9" t="s">
        <v>1</v>
      </c>
      <c r="C13" s="78">
        <f>réel!C17</f>
        <v>14</v>
      </c>
      <c r="D13" s="79">
        <f>réel!D17</f>
        <v>19</v>
      </c>
      <c r="E13" s="78">
        <f>réel!E17</f>
        <v>14</v>
      </c>
      <c r="F13" s="79">
        <f>réel!F17</f>
        <v>20</v>
      </c>
      <c r="G13" s="78">
        <f>réel!G17</f>
        <v>14.5</v>
      </c>
      <c r="H13" s="79">
        <f>réel!H17</f>
        <v>19</v>
      </c>
      <c r="I13" s="78">
        <f>réel!I17</f>
        <v>14</v>
      </c>
      <c r="J13" s="79">
        <f>réel!J17</f>
        <v>19</v>
      </c>
      <c r="K13" s="78">
        <f>réel!K17</f>
        <v>14</v>
      </c>
      <c r="L13" s="79">
        <f>réel!L17</f>
        <v>19.75</v>
      </c>
      <c r="M13" s="78">
        <f>réel!M17</f>
        <v>0</v>
      </c>
      <c r="N13" s="79">
        <f>réel!N17</f>
        <v>0</v>
      </c>
      <c r="O13" s="78">
        <f>réel!O17</f>
        <v>0</v>
      </c>
      <c r="P13" s="79">
        <f>réel!P17</f>
        <v>0</v>
      </c>
      <c r="Q13" s="64">
        <f>MIN(réel!A18,4)</f>
        <v>0</v>
      </c>
      <c r="R13" s="64">
        <f>IF(réel!A18&gt;4,#REF!-4,0)</f>
        <v>0</v>
      </c>
      <c r="S13" s="64">
        <f>SUM(IF(AND($D13&gt;20,MONTH($C$7)=MONTH($B$3)),D13-20,0)+IF(AND($F13&gt;20,MONTH($E$7)=MONTH($B$3)),F13-20,0)+IF(AND($H13&gt;20,MONTH($G$7)=MONTH($B$3)),H13-20,0)+IF(AND($J13&gt;20,MONTH($I$7)=MONTH($B$3)),J13-20,0)+IF(AND($L13&gt;20,MONTH($K$7)=MONTH($B$3)),L13-20,0)+IF(AND($N13&gt;20,MONTH($M$7)=MONTH($B$3)),N13-20,0)+IF(AND($P13&gt;20,MONTH($O$7)=MONTH($B$3)),P13-20,0))</f>
        <v>0</v>
      </c>
      <c r="T13" s="197">
        <f>IF($D$7="férié",IF(MONTH($C$7)=MONTH($B$3),D12+D13-C12-C13,0))+IF($F$7="férié",IF(MONTH($E$7)=MONTH($B$3),F12+F13-E12-E13,0))+IF($H$7="férié",IF(MONTH($G$7)=MONTH($B$3),H12+H13-G12-G13,0))+IF($J$7="férié",IF(MONTH($I$7)=MONTH($B$3),J12+J13-I12-I13,0))+T12</f>
        <v>0</v>
      </c>
    </row>
    <row r="14" spans="1:20" x14ac:dyDescent="0.25">
      <c r="A14" s="7" t="str">
        <f>type!$A$9</f>
        <v>y</v>
      </c>
      <c r="B14" s="91" t="s">
        <v>0</v>
      </c>
      <c r="C14" s="61">
        <f>réel!C19</f>
        <v>0</v>
      </c>
      <c r="D14" s="62">
        <f>réel!D19</f>
        <v>0</v>
      </c>
      <c r="E14" s="61">
        <f>réel!E19</f>
        <v>0</v>
      </c>
      <c r="F14" s="62">
        <f>réel!F19</f>
        <v>0</v>
      </c>
      <c r="G14" s="61">
        <f>réel!G19</f>
        <v>0</v>
      </c>
      <c r="H14" s="62">
        <f>réel!H19</f>
        <v>0</v>
      </c>
      <c r="I14" s="61">
        <f>réel!I19</f>
        <v>0</v>
      </c>
      <c r="J14" s="62">
        <f>réel!J19</f>
        <v>0</v>
      </c>
      <c r="K14" s="61">
        <f>réel!K19</f>
        <v>0</v>
      </c>
      <c r="L14" s="62">
        <f>réel!L19</f>
        <v>0</v>
      </c>
      <c r="M14" s="61">
        <f>réel!M19</f>
        <v>0</v>
      </c>
      <c r="N14" s="62">
        <f>réel!N19</f>
        <v>0</v>
      </c>
      <c r="O14" s="61">
        <f>réel!O19</f>
        <v>0</v>
      </c>
      <c r="P14" s="62">
        <f>réel!P19</f>
        <v>0</v>
      </c>
      <c r="Q14" s="198"/>
      <c r="R14" s="198"/>
      <c r="S14" s="198"/>
      <c r="T14" s="196">
        <f>IF($L$7="férié",IF(MONTH($K$7)=MONTH($B$3),L14+L15-K14-K15,0),0)+IF($N$7="férié",IF(MONTH($M$7)=MONTH($B$3),N14+N15-M14-M15,0),0)+IF($P$7="férié",IF(MONTH($O$7)=MONTH($B$3),P14+P15-O14-O15,0),0)</f>
        <v>0</v>
      </c>
    </row>
    <row r="15" spans="1:20" ht="13.8" thickBot="1" x14ac:dyDescent="0.3">
      <c r="A15" s="188">
        <f>réel!B21</f>
        <v>0</v>
      </c>
      <c r="B15" s="60" t="s">
        <v>1</v>
      </c>
      <c r="C15" s="250">
        <f>réel!C20</f>
        <v>0</v>
      </c>
      <c r="D15" s="251">
        <f>réel!D20</f>
        <v>0</v>
      </c>
      <c r="E15" s="250">
        <f>réel!E20</f>
        <v>0</v>
      </c>
      <c r="F15" s="251">
        <f>réel!F20</f>
        <v>0</v>
      </c>
      <c r="G15" s="250">
        <f>réel!G20</f>
        <v>0</v>
      </c>
      <c r="H15" s="251">
        <f>réel!H20</f>
        <v>0</v>
      </c>
      <c r="I15" s="250">
        <f>réel!I20</f>
        <v>0</v>
      </c>
      <c r="J15" s="251">
        <f>réel!J20</f>
        <v>0</v>
      </c>
      <c r="K15" s="250">
        <f>réel!K20</f>
        <v>0</v>
      </c>
      <c r="L15" s="251">
        <f>réel!L20</f>
        <v>0</v>
      </c>
      <c r="M15" s="250">
        <f>réel!M20</f>
        <v>0</v>
      </c>
      <c r="N15" s="251">
        <f>réel!N20</f>
        <v>0</v>
      </c>
      <c r="O15" s="250">
        <f>réel!O20</f>
        <v>0</v>
      </c>
      <c r="P15" s="251">
        <f>réel!P20</f>
        <v>0</v>
      </c>
      <c r="Q15" s="64">
        <f>MIN(réel!A21,4)</f>
        <v>0</v>
      </c>
      <c r="R15" s="64">
        <f>IF(réel!A21&gt;4,#REF!-4,0)</f>
        <v>0</v>
      </c>
      <c r="S15" s="64">
        <f>SUM(IF(AND($D15&gt;20,MONTH($C$7)=MONTH($B$3)),D15-20,0)+IF(AND($F15&gt;20,MONTH($E$7)=MONTH($B$3)),F15-20,0)+IF(AND($H15&gt;20,MONTH($G$7)=MONTH($B$3)),H15-20,0)+IF(AND($J15&gt;20,MONTH($I$7)=MONTH($B$3)),J15-20,0)+IF(AND($L15&gt;20,MONTH($K$7)=MONTH($B$3)),L15-20,0)+IF(AND($N15&gt;20,MONTH($M$7)=MONTH($B$3)),N15-20,0)+IF(AND($P15&gt;20,MONTH($O$7)=MONTH($B$3)),P15-20,0))</f>
        <v>0</v>
      </c>
      <c r="T15" s="197">
        <f>IF($D$7="férié",IF(MONTH($C$7)=MONTH($B$3),D14+D15-C14-C15,0))+IF($F$7="férié",IF(MONTH($E$7)=MONTH($B$3),F14+F15-E14-E15,0))+IF($H$7="férié",IF(MONTH($G$7)=MONTH($B$3),H14+H15-G14-G15,0))+IF($J$7="férié",IF(MONTH($I$7)=MONTH($B$3),J14+J15-I14-I15,0))+T14</f>
        <v>0</v>
      </c>
    </row>
    <row r="16" spans="1:20" ht="13.8" thickBot="1" x14ac:dyDescent="0.3">
      <c r="A16" s="19"/>
      <c r="B16" s="2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20" ht="13.8" thickBot="1" x14ac:dyDescent="0.3">
      <c r="A17" s="55" t="s">
        <v>14</v>
      </c>
      <c r="B17" s="56">
        <f>horaire!$B$23</f>
        <v>3</v>
      </c>
      <c r="C17" s="268" t="str">
        <f>IF(ISNA(MATCH(C18,scol!$D$4:$D$15,1))=TRUE,"",IF(MOD(MATCH(C18,scol!$D$4:$D$15,1),2)=1,"vacances",""))</f>
        <v/>
      </c>
      <c r="D17" s="269"/>
      <c r="E17" s="268" t="str">
        <f>IF(ISNA(MATCH(E18,scol!$D$4:$D$15,1))=TRUE,"",IF(MOD(MATCH(E18,scol!$D$4:$D$15,1),2)=1,"vacances",""))</f>
        <v/>
      </c>
      <c r="F17" s="269"/>
      <c r="G17" s="268" t="str">
        <f>IF(ISNA(MATCH(G18,scol!$D$4:$D$15,1))=TRUE,"",IF(MOD(MATCH(G18,scol!$D$4:$D$15,1),2)=1,"vacances",""))</f>
        <v/>
      </c>
      <c r="H17" s="269"/>
      <c r="I17" s="268" t="str">
        <f>IF(ISNA(MATCH(I18,scol!$D$4:$D$15,1))=TRUE,"",IF(MOD(MATCH(I18,scol!$D$4:$D$15,1),2)=1,"vacances",""))</f>
        <v/>
      </c>
      <c r="J17" s="269"/>
      <c r="K17" s="268" t="str">
        <f>IF(ISNA(MATCH(K18,scol!$D$4:$D$15,1))=TRUE,"",IF(MOD(MATCH(K18,scol!$D$4:$D$15,1),2)=1,"vacances",""))</f>
        <v/>
      </c>
      <c r="L17" s="269"/>
      <c r="M17" s="268" t="str">
        <f>IF(ISNA(MATCH(M18,scol!$D$4:$D$15,1))=TRUE,"",IF(MOD(MATCH(M18,scol!$D$4:$D$15,1),2)=1,"vacances",""))</f>
        <v/>
      </c>
      <c r="N17" s="269"/>
      <c r="O17" s="268" t="str">
        <f>IF(ISNA(MATCH(O18,scol!$D$4:$D$15,1))=TRUE,"",IF(MOD(MATCH(O18,scol!$D$4:$D$15,1),2)=1,"vacances",""))</f>
        <v/>
      </c>
      <c r="P17" s="269"/>
    </row>
    <row r="18" spans="1:20" ht="13.8" thickBot="1" x14ac:dyDescent="0.3">
      <c r="A18" s="25" t="s">
        <v>10</v>
      </c>
      <c r="B18" s="24">
        <f>IF(B7=52,1,B7+1)</f>
        <v>40</v>
      </c>
      <c r="C18" s="35">
        <f>M7+2</f>
        <v>44473</v>
      </c>
      <c r="D18" s="8" t="str">
        <f>IF(ISNA(VLOOKUP($C18,feries!$B$5:$B$31,1,FALSE)),"",IF(VLOOKUP($C18,feries!$B$5:$B$31,1,FALSE)=$C18,"férié",""))</f>
        <v/>
      </c>
      <c r="E18" s="35">
        <f>C18+1</f>
        <v>44474</v>
      </c>
      <c r="F18" s="8" t="str">
        <f>IF(ISNA(VLOOKUP($E18,feries!$B$5:$B$31,1,FALSE)),"",IF(VLOOKUP($E18,feries!$B$5:$B$31,1,FALSE)=$E18,"férié",""))</f>
        <v/>
      </c>
      <c r="G18" s="35">
        <f>E18+1</f>
        <v>44475</v>
      </c>
      <c r="H18" s="8" t="str">
        <f>IF(ISNA(VLOOKUP($G18,feries!$B$5:$B$31,1,FALSE)),"",IF(VLOOKUP($G18,feries!$B$5:$B$31,1,FALSE)=$G18,"férié",""))</f>
        <v/>
      </c>
      <c r="I18" s="35">
        <f>G18+1</f>
        <v>44476</v>
      </c>
      <c r="J18" s="8" t="str">
        <f>IF(ISNA(VLOOKUP($I18,feries!$B$5:$B$31,1,FALSE)),"",IF(VLOOKUP($I18,feries!$B$5:$B$31,1,FALSE)=$I18,"férié",""))</f>
        <v/>
      </c>
      <c r="K18" s="35">
        <f>I18+1</f>
        <v>44477</v>
      </c>
      <c r="L18" s="8" t="str">
        <f>IF(ISNA(VLOOKUP($K18,feries!$B$5:$B$31,1,FALSE)),"",IF(VLOOKUP($K18,feries!$B$5:$B$31,1,FALSE)=$K18,"férié",""))</f>
        <v/>
      </c>
      <c r="M18" s="76">
        <f>K18+1</f>
        <v>44478</v>
      </c>
      <c r="N18" s="8" t="str">
        <f>IF(ISNA(VLOOKUP($M18,feries!$B$5:$B$31,1,FALSE)),"",IF(VLOOKUP($M18,feries!$B$5:$B$31,1,FALSE)=$M18,"férié",""))</f>
        <v/>
      </c>
      <c r="O18" s="76">
        <f>M18+1</f>
        <v>44479</v>
      </c>
      <c r="P18" s="8" t="str">
        <f>IF(ISNA(VLOOKUP($O18,feries!$B$5:$B$31,1,FALSE)),"",IF(VLOOKUP($O18,feries!$B$5:$B$31,1,FALSE)=$O18,"férié",""))</f>
        <v/>
      </c>
      <c r="Q18" s="255"/>
      <c r="R18" s="253"/>
    </row>
    <row r="19" spans="1:20" ht="13.8" thickBot="1" x14ac:dyDescent="0.3">
      <c r="A19" s="88" t="s">
        <v>39</v>
      </c>
      <c r="B19" s="89" t="s">
        <v>0</v>
      </c>
      <c r="C19" s="270">
        <f>COUNTIF($C$21:$C$26,"&lt;=11")-COUNTIF($C$21:$C$26,"=0")</f>
        <v>2</v>
      </c>
      <c r="D19" s="271"/>
      <c r="E19" s="270">
        <f>COUNTIF($E$21:$E$26,"&lt;=11")-COUNTIF($E$21:$E$26,"=0")</f>
        <v>1</v>
      </c>
      <c r="F19" s="271"/>
      <c r="G19" s="270">
        <f>COUNTIF($G$21:$G$26,"&lt;=11")-COUNTIF($G$21:$G$26,"=0")</f>
        <v>1</v>
      </c>
      <c r="H19" s="271"/>
      <c r="I19" s="270">
        <f>COUNTIF($I$21:$I$26,"&lt;=11")-COUNTIF($I$21:$I$26,"=0")</f>
        <v>0</v>
      </c>
      <c r="J19" s="271"/>
      <c r="K19" s="270">
        <f>COUNTIF($K$21:$K$26,"&lt;=11")-COUNTIF($K$21:$K$26,"=0")</f>
        <v>2</v>
      </c>
      <c r="L19" s="271"/>
      <c r="M19" s="270">
        <f>COUNTIF($M$21:$M$26,"&lt;=11")-COUNTIF($M$21:$M$26,"=0")</f>
        <v>0</v>
      </c>
      <c r="N19" s="271"/>
      <c r="O19" s="270">
        <f>COUNTIF($O$21:$O$26,"&lt;=11")-COUNTIF($O$21:$O$26,"=0")</f>
        <v>0</v>
      </c>
      <c r="P19" s="271"/>
      <c r="Q19" s="256"/>
      <c r="R19" s="33"/>
    </row>
    <row r="20" spans="1:20" ht="13.8" thickBot="1" x14ac:dyDescent="0.3">
      <c r="A20" s="88"/>
      <c r="B20" s="89" t="s">
        <v>1</v>
      </c>
      <c r="C20" s="270">
        <f>COUNTIF($D$21:$D$26,"&gt;=19")</f>
        <v>2</v>
      </c>
      <c r="D20" s="271"/>
      <c r="E20" s="270">
        <f>COUNTIF($F$21:$F$26,"&gt;=19")</f>
        <v>2</v>
      </c>
      <c r="F20" s="271"/>
      <c r="G20" s="270">
        <f>COUNTIF($H$21:$H$26,"&gt;=19")</f>
        <v>2</v>
      </c>
      <c r="H20" s="271"/>
      <c r="I20" s="270">
        <f>COUNTIF($J$21:$J$26,"&gt;=19")</f>
        <v>2</v>
      </c>
      <c r="J20" s="271"/>
      <c r="K20" s="270">
        <f>COUNTIF($L$21:$L$26,"&gt;=19")</f>
        <v>1</v>
      </c>
      <c r="L20" s="271"/>
      <c r="M20" s="270">
        <f>COUNTIF($N$21:$N$26,"&gt;=19")</f>
        <v>0</v>
      </c>
      <c r="N20" s="271"/>
      <c r="O20" s="270">
        <f>COUNTIF($P$21:$P$26,"&gt;=19")</f>
        <v>0</v>
      </c>
      <c r="P20" s="271"/>
      <c r="Q20" s="15" t="s">
        <v>117</v>
      </c>
      <c r="R20" s="15" t="s">
        <v>118</v>
      </c>
      <c r="S20" s="15" t="s">
        <v>119</v>
      </c>
      <c r="T20" s="38" t="s">
        <v>120</v>
      </c>
    </row>
    <row r="21" spans="1:20" x14ac:dyDescent="0.25">
      <c r="A21" s="7" t="str">
        <f>type!$A$3</f>
        <v>a</v>
      </c>
      <c r="B21" s="91" t="s">
        <v>0</v>
      </c>
      <c r="C21" s="61">
        <f>réel!C25</f>
        <v>8.75</v>
      </c>
      <c r="D21" s="62">
        <f>réel!D25</f>
        <v>12</v>
      </c>
      <c r="E21" s="61">
        <f>réel!E25</f>
        <v>8.75</v>
      </c>
      <c r="F21" s="62">
        <f>réel!F25</f>
        <v>13</v>
      </c>
      <c r="G21" s="61">
        <f>réel!G25</f>
        <v>0</v>
      </c>
      <c r="H21" s="62">
        <f>réel!H25</f>
        <v>0</v>
      </c>
      <c r="I21" s="61">
        <f>réel!I25</f>
        <v>0</v>
      </c>
      <c r="J21" s="62">
        <f>réel!J25</f>
        <v>0</v>
      </c>
      <c r="K21" s="61">
        <f>réel!K25</f>
        <v>8.75</v>
      </c>
      <c r="L21" s="62">
        <f>réel!L25</f>
        <v>12</v>
      </c>
      <c r="M21" s="61">
        <f>réel!M25</f>
        <v>0</v>
      </c>
      <c r="N21" s="62">
        <f>réel!N25</f>
        <v>0</v>
      </c>
      <c r="O21" s="61">
        <f>réel!O25</f>
        <v>0</v>
      </c>
      <c r="P21" s="62">
        <f>réel!P25</f>
        <v>0</v>
      </c>
      <c r="Q21" s="198"/>
      <c r="R21" s="198"/>
      <c r="S21" s="198"/>
      <c r="T21" s="196">
        <f>IF($L$18="férié",IF(MONTH($K$18)=MONTH($B$3),L21+L22-K21-K22,0),0)+IF($N$18="férié",IF(MONTH($M$18)=MONTH($B$3),N21+N22-M21-M22,0),0)+IF($P$18="férié",IF(MONTH($O$18)=MONTH($B$3),P21+P22-O21-O22,0),0)</f>
        <v>0</v>
      </c>
    </row>
    <row r="22" spans="1:20" ht="13.8" thickBot="1" x14ac:dyDescent="0.3">
      <c r="A22" s="187">
        <f>réel!B27</f>
        <v>37</v>
      </c>
      <c r="B22" s="9" t="s">
        <v>1</v>
      </c>
      <c r="C22" s="78">
        <f>réel!C26</f>
        <v>14</v>
      </c>
      <c r="D22" s="79">
        <f>réel!D26</f>
        <v>19</v>
      </c>
      <c r="E22" s="78">
        <f>réel!E26</f>
        <v>14.5</v>
      </c>
      <c r="F22" s="79">
        <f>réel!F26</f>
        <v>20</v>
      </c>
      <c r="G22" s="78">
        <f>réel!G26</f>
        <v>14</v>
      </c>
      <c r="H22" s="79">
        <f>réel!H26</f>
        <v>19</v>
      </c>
      <c r="I22" s="78">
        <f>réel!I26</f>
        <v>14</v>
      </c>
      <c r="J22" s="79">
        <f>réel!J26</f>
        <v>19</v>
      </c>
      <c r="K22" s="78">
        <f>réel!K26</f>
        <v>14</v>
      </c>
      <c r="L22" s="79">
        <f>réel!L26</f>
        <v>19.75</v>
      </c>
      <c r="M22" s="78">
        <f>réel!M26</f>
        <v>0</v>
      </c>
      <c r="N22" s="79">
        <f>réel!N26</f>
        <v>0</v>
      </c>
      <c r="O22" s="78">
        <f>réel!O26</f>
        <v>0</v>
      </c>
      <c r="P22" s="79">
        <f>réel!P26</f>
        <v>0</v>
      </c>
      <c r="Q22" s="64">
        <f>MIN(réel!A27,4)</f>
        <v>0</v>
      </c>
      <c r="R22" s="64">
        <f>IF(réel!A27&gt;4,A34-4,0)</f>
        <v>0</v>
      </c>
      <c r="S22" s="64">
        <f>SUM(IF(AND($D22&gt;20,MONTH($C$18)=MONTH($B$3)),D22-20,0)+IF(AND($F22&gt;20,MONTH($E$18)=MONTH($B$3)),F22-20,0)+IF(AND($H22&gt;20,MONTH($G$18)=MONTH($B$3)),H22-20,0)+IF(AND($J22&gt;20,MONTH($I$18)=MONTH($B$3)),J22-20,0)+IF(AND($L22&gt;20,MONTH($K$18)=MONTH($B$3)),L22-20,0)+IF(AND($N22&gt;20,MONTH($M$18)=MONTH($B$3)),N22-20,0)+IF(AND($P22&gt;20,MONTH($O$18)=MONTH($B$3)),P22-20,0))</f>
        <v>0</v>
      </c>
      <c r="T22" s="197">
        <f>IF($D$18="férié",IF(MONTH($C$18)=MONTH($B$3),D21+D22-C21-C22,0))+IF($F$18="férié",IF(MONTH($E$18)=MONTH($B$3),F21+F22-E21-E22,0))+IF($H$18="férié",IF(MONTH($G$18)=MONTH($B$3),H21+H22-G21-G22,0))+IF($J$18="férié",IF(MONTH($I$18)=MONTH($B$3),J21+J22-I21-I22,0))+T21</f>
        <v>0</v>
      </c>
    </row>
    <row r="23" spans="1:20" x14ac:dyDescent="0.25">
      <c r="A23" s="7" t="str">
        <f>type!$A$6</f>
        <v>b</v>
      </c>
      <c r="B23" s="91" t="s">
        <v>0</v>
      </c>
      <c r="C23" s="61">
        <f>réel!C28</f>
        <v>8.75</v>
      </c>
      <c r="D23" s="62">
        <f>réel!D28</f>
        <v>13</v>
      </c>
      <c r="E23" s="61">
        <f>réel!E28</f>
        <v>0</v>
      </c>
      <c r="F23" s="62">
        <f>réel!F28</f>
        <v>0</v>
      </c>
      <c r="G23" s="61">
        <f>réel!G28</f>
        <v>8.75</v>
      </c>
      <c r="H23" s="62">
        <f>réel!H28</f>
        <v>13</v>
      </c>
      <c r="I23" s="61">
        <f>réel!I28</f>
        <v>0</v>
      </c>
      <c r="J23" s="62">
        <f>réel!J28</f>
        <v>0</v>
      </c>
      <c r="K23" s="61">
        <f>réel!K28</f>
        <v>8.75</v>
      </c>
      <c r="L23" s="62">
        <f>réel!L28</f>
        <v>13</v>
      </c>
      <c r="M23" s="61">
        <f>réel!M28</f>
        <v>0</v>
      </c>
      <c r="N23" s="62">
        <f>réel!N28</f>
        <v>0</v>
      </c>
      <c r="O23" s="61">
        <f>réel!O28</f>
        <v>0</v>
      </c>
      <c r="P23" s="62">
        <f>réel!P28</f>
        <v>0</v>
      </c>
      <c r="Q23" s="198"/>
      <c r="R23" s="198"/>
      <c r="S23" s="198"/>
      <c r="T23" s="196">
        <f>IF($L$18="férié",IF(MONTH($K$18)=MONTH($B$3),L23+L24-K23-K24,0),0)+IF($N$18="férié",IF(MONTH($M$18)=MONTH($B$3),N23+N24-M23-M24,0),0)+IF($P$18="férié",IF(MONTH($O$18)=MONTH($B$3),P23+P24-O23-O24,0),0)</f>
        <v>0</v>
      </c>
    </row>
    <row r="24" spans="1:20" ht="13.8" thickBot="1" x14ac:dyDescent="0.3">
      <c r="A24" s="187">
        <f>réel!B30</f>
        <v>34.75</v>
      </c>
      <c r="B24" s="9" t="s">
        <v>1</v>
      </c>
      <c r="C24" s="78">
        <f>réel!C29</f>
        <v>14.5</v>
      </c>
      <c r="D24" s="79">
        <f>réel!D29</f>
        <v>20</v>
      </c>
      <c r="E24" s="78">
        <f>réel!E29</f>
        <v>14</v>
      </c>
      <c r="F24" s="79">
        <f>réel!F29</f>
        <v>19</v>
      </c>
      <c r="G24" s="78">
        <f>réel!G29</f>
        <v>14.5</v>
      </c>
      <c r="H24" s="79">
        <f>réel!H29</f>
        <v>20</v>
      </c>
      <c r="I24" s="78">
        <f>réel!I29</f>
        <v>14</v>
      </c>
      <c r="J24" s="79">
        <f>réel!J29</f>
        <v>20</v>
      </c>
      <c r="K24" s="78">
        <f>réel!K29</f>
        <v>0</v>
      </c>
      <c r="L24" s="79">
        <f>réel!L29</f>
        <v>0</v>
      </c>
      <c r="M24" s="78">
        <f>réel!M29</f>
        <v>0</v>
      </c>
      <c r="N24" s="79">
        <f>réel!N29</f>
        <v>0</v>
      </c>
      <c r="O24" s="78">
        <f>réel!O29</f>
        <v>0</v>
      </c>
      <c r="P24" s="79">
        <f>réel!P29</f>
        <v>0</v>
      </c>
      <c r="Q24" s="64">
        <f>MIN(réel!A30,4)</f>
        <v>0</v>
      </c>
      <c r="R24" s="64">
        <f>IF(réel!A30&gt;4,A37-4,0)</f>
        <v>0</v>
      </c>
      <c r="S24" s="64">
        <f>SUM(IF(AND($D24&gt;20,MONTH($C$18)=MONTH($B$3)),D24-20,0)+IF(AND($F24&gt;20,MONTH($E$18)=MONTH($B$3)),F24-20,0)+IF(AND($H24&gt;20,MONTH($G$18)=MONTH($B$3)),H24-20,0)+IF(AND($J24&gt;20,MONTH($I$18)=MONTH($B$3)),J24-20,0)+IF(AND($L24&gt;20,MONTH($K$18)=MONTH($B$3)),L24-20,0)+IF(AND($N24&gt;20,MONTH($M$18)=MONTH($B$3)),N24-20,0)+IF(AND($P24&gt;20,MONTH($O$18)=MONTH($B$3)),P24-20,0))</f>
        <v>0</v>
      </c>
      <c r="T24" s="197">
        <f>IF($D$18="férié",IF(MONTH($C$18)=MONTH($B$3),D23+D24-C23-C24,0))+IF($F$18="férié",IF(MONTH($E$18)=MONTH($B$3),F23+F24-E23-E24,0))+IF($H$18="férié",IF(MONTH($G$18)=MONTH($B$3),H23+H24-G23-G24,0))+IF($J$18="férié",IF(MONTH($I$18)=MONTH($B$3),J23+J24-I23-I24,0))+T23</f>
        <v>0</v>
      </c>
    </row>
    <row r="25" spans="1:20" x14ac:dyDescent="0.25">
      <c r="A25" s="7" t="str">
        <f>type!$A$9</f>
        <v>y</v>
      </c>
      <c r="B25" s="91" t="s">
        <v>0</v>
      </c>
      <c r="C25" s="61">
        <f>réel!C31</f>
        <v>0</v>
      </c>
      <c r="D25" s="62">
        <f>réel!D31</f>
        <v>0</v>
      </c>
      <c r="E25" s="61">
        <f>réel!E31</f>
        <v>0</v>
      </c>
      <c r="F25" s="62">
        <f>réel!F31</f>
        <v>0</v>
      </c>
      <c r="G25" s="61">
        <f>réel!G31</f>
        <v>0</v>
      </c>
      <c r="H25" s="62">
        <f>réel!H31</f>
        <v>0</v>
      </c>
      <c r="I25" s="61">
        <f>réel!I31</f>
        <v>0</v>
      </c>
      <c r="J25" s="62">
        <f>réel!J31</f>
        <v>0</v>
      </c>
      <c r="K25" s="61">
        <f>réel!K31</f>
        <v>0</v>
      </c>
      <c r="L25" s="62">
        <f>réel!L31</f>
        <v>0</v>
      </c>
      <c r="M25" s="61">
        <f>réel!M31</f>
        <v>0</v>
      </c>
      <c r="N25" s="62">
        <f>réel!N31</f>
        <v>0</v>
      </c>
      <c r="O25" s="61">
        <f>réel!O31</f>
        <v>0</v>
      </c>
      <c r="P25" s="62">
        <f>réel!P31</f>
        <v>0</v>
      </c>
      <c r="Q25" s="198"/>
      <c r="R25" s="198"/>
      <c r="S25" s="198"/>
      <c r="T25" s="196">
        <f>IF($L$18="férié",IF(MONTH($K$18)=MONTH($B$3),L25+L26-K25-K26,0),0)+IF($N$18="férié",IF(MONTH($M$18)=MONTH($B$3),N25+N26-M25-M26,0),0)+IF($P$18="férié",IF(MONTH($O$18)=MONTH($B$3),P25+P26-O25-O26,0),0)</f>
        <v>0</v>
      </c>
    </row>
    <row r="26" spans="1:20" ht="13.8" thickBot="1" x14ac:dyDescent="0.3">
      <c r="A26" s="188">
        <f>réel!B33</f>
        <v>0</v>
      </c>
      <c r="B26" s="60" t="s">
        <v>1</v>
      </c>
      <c r="C26" s="250">
        <f>réel!C32</f>
        <v>0</v>
      </c>
      <c r="D26" s="251">
        <f>réel!D32</f>
        <v>0</v>
      </c>
      <c r="E26" s="250">
        <f>réel!E32</f>
        <v>0</v>
      </c>
      <c r="F26" s="251">
        <f>réel!F32</f>
        <v>0</v>
      </c>
      <c r="G26" s="250">
        <f>réel!G32</f>
        <v>0</v>
      </c>
      <c r="H26" s="251">
        <f>réel!H32</f>
        <v>0</v>
      </c>
      <c r="I26" s="250">
        <f>réel!I32</f>
        <v>0</v>
      </c>
      <c r="J26" s="251">
        <f>réel!J32</f>
        <v>0</v>
      </c>
      <c r="K26" s="250">
        <f>réel!K32</f>
        <v>0</v>
      </c>
      <c r="L26" s="251">
        <f>réel!L32</f>
        <v>0</v>
      </c>
      <c r="M26" s="250">
        <f>réel!M32</f>
        <v>0</v>
      </c>
      <c r="N26" s="251">
        <f>réel!N32</f>
        <v>0</v>
      </c>
      <c r="O26" s="250">
        <f>réel!O32</f>
        <v>0</v>
      </c>
      <c r="P26" s="251">
        <f>réel!P32</f>
        <v>0</v>
      </c>
      <c r="Q26" s="64">
        <f>MIN(réel!A33,4)</f>
        <v>0</v>
      </c>
      <c r="R26" s="64">
        <f>IF(réel!A33&gt;4,#REF!-4,0)</f>
        <v>0</v>
      </c>
      <c r="S26" s="64">
        <f>SUM(IF(AND($D26&gt;20,MONTH($C$18)=MONTH($B$3)),D26-20,0)+IF(AND($F26&gt;20,MONTH($E$18)=MONTH($B$3)),F26-20,0)+IF(AND($H26&gt;20,MONTH($G$18)=MONTH($B$3)),H26-20,0)+IF(AND($J26&gt;20,MONTH($I$18)=MONTH($B$3)),J26-20,0)+IF(AND($L26&gt;20,MONTH($K$18)=MONTH($B$3)),L26-20,0)+IF(AND($N26&gt;20,MONTH($M$18)=MONTH($B$3)),N26-20,0)+IF(AND($P26&gt;20,MONTH($O$18)=MONTH($B$3)),P26-20,0))</f>
        <v>0</v>
      </c>
      <c r="T26" s="197">
        <f>IF($D$18="férié",IF(MONTH($C$18)=MONTH($B$3),D25+D26-C25-C26,0))+IF($F$18="férié",IF(MONTH($E$18)=MONTH($B$3),F25+F26-E25-E26,0))+IF($H$18="férié",IF(MONTH($G$18)=MONTH($B$3),H25+H26-G25-G26,0))+IF($J$18="férié",IF(MONTH($I$18)=MONTH($B$3),J25+J26-I25-I26,0))+T25</f>
        <v>0</v>
      </c>
    </row>
    <row r="27" spans="1:20" ht="13.8" thickBot="1" x14ac:dyDescent="0.3">
      <c r="A27" s="19"/>
      <c r="B27" s="2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20" ht="13.8" thickBot="1" x14ac:dyDescent="0.3">
      <c r="A28" s="55" t="s">
        <v>14</v>
      </c>
      <c r="B28" s="56">
        <f>horaire!$B$35</f>
        <v>4</v>
      </c>
      <c r="C28" s="268" t="str">
        <f>IF(ISNA(MATCH(C29,scol!$D$4:$D$15,1))=TRUE,"",IF(MOD(MATCH(C29,scol!$D$4:$D$15,1),2)=1,"vacances",""))</f>
        <v/>
      </c>
      <c r="D28" s="269"/>
      <c r="E28" s="268" t="str">
        <f>IF(ISNA(MATCH(E29,scol!$D$4:$D$15,1))=TRUE,"",IF(MOD(MATCH(E29,scol!$D$4:$D$15,1),2)=1,"vacances",""))</f>
        <v/>
      </c>
      <c r="F28" s="269"/>
      <c r="G28" s="268" t="str">
        <f>IF(ISNA(MATCH(G29,scol!$D$4:$D$15,1))=TRUE,"",IF(MOD(MATCH(G29,scol!$D$4:$D$15,1),2)=1,"vacances",""))</f>
        <v/>
      </c>
      <c r="H28" s="269"/>
      <c r="I28" s="268" t="str">
        <f>IF(ISNA(MATCH(I29,scol!$D$4:$D$15,1))=TRUE,"",IF(MOD(MATCH(I29,scol!$D$4:$D$15,1),2)=1,"vacances",""))</f>
        <v/>
      </c>
      <c r="J28" s="269"/>
      <c r="K28" s="268" t="str">
        <f>IF(ISNA(MATCH(K29,scol!$D$4:$D$15,1))=TRUE,"",IF(MOD(MATCH(K29,scol!$D$4:$D$15,1),2)=1,"vacances",""))</f>
        <v/>
      </c>
      <c r="L28" s="269"/>
      <c r="M28" s="268" t="str">
        <f>IF(ISNA(MATCH(M29,scol!$D$4:$D$15,1))=TRUE,"",IF(MOD(MATCH(M29,scol!$D$4:$D$15,1),2)=1,"vacances",""))</f>
        <v/>
      </c>
      <c r="N28" s="269"/>
      <c r="O28" s="268" t="str">
        <f>IF(ISNA(MATCH(O29,scol!$D$4:$D$15,1))=TRUE,"",IF(MOD(MATCH(O29,scol!$D$4:$D$15,1),2)=1,"vacances",""))</f>
        <v/>
      </c>
      <c r="P28" s="269"/>
    </row>
    <row r="29" spans="1:20" ht="13.8" thickBot="1" x14ac:dyDescent="0.3">
      <c r="A29" s="25" t="s">
        <v>10</v>
      </c>
      <c r="B29" s="24">
        <f>B18+1</f>
        <v>41</v>
      </c>
      <c r="C29" s="35">
        <f>M18+2</f>
        <v>44480</v>
      </c>
      <c r="D29" s="8" t="str">
        <f>IF(ISNA(VLOOKUP($C29,feries!$B$5:$B$31,1,FALSE)),"",IF(VLOOKUP($C29,feries!$B$5:$B$31,1,FALSE)=$C29,"férié",""))</f>
        <v/>
      </c>
      <c r="E29" s="35">
        <f>C29+1</f>
        <v>44481</v>
      </c>
      <c r="F29" s="8" t="str">
        <f>IF(ISNA(VLOOKUP($E29,feries!$B$5:$B$31,1,FALSE)),"",IF(VLOOKUP($E29,feries!$B$5:$B$31,1,FALSE)=$E29,"férié",""))</f>
        <v/>
      </c>
      <c r="G29" s="35">
        <f>E29+1</f>
        <v>44482</v>
      </c>
      <c r="H29" s="8" t="str">
        <f>IF(ISNA(VLOOKUP($G29,feries!$B$5:$B$31,1,FALSE)),"",IF(VLOOKUP($G29,feries!$B$5:$B$31,1,FALSE)=$G29,"férié",""))</f>
        <v/>
      </c>
      <c r="I29" s="35">
        <f>G29+1</f>
        <v>44483</v>
      </c>
      <c r="J29" s="8" t="str">
        <f>IF(ISNA(VLOOKUP($I29,feries!$B$5:$B$31,1,FALSE)),"",IF(VLOOKUP($I29,feries!$B$5:$B$31,1,FALSE)=$I29,"férié",""))</f>
        <v/>
      </c>
      <c r="K29" s="35">
        <f>I29+1</f>
        <v>44484</v>
      </c>
      <c r="L29" s="95" t="str">
        <f>IF(ISNA(VLOOKUP($K29,feries!$B$5:$B$31,1,FALSE)),"",IF(VLOOKUP($K29,feries!$B$5:$B$31,1,FALSE)=$K29,"férié",""))</f>
        <v/>
      </c>
      <c r="M29" s="76">
        <f>K29+1</f>
        <v>44485</v>
      </c>
      <c r="N29" s="8" t="str">
        <f>IF(ISNA(VLOOKUP($M29,feries!$B$5:$B$31,1,FALSE)),"",IF(VLOOKUP($M29,feries!$B$5:$B$31,1,FALSE)=$M29,"férié",""))</f>
        <v/>
      </c>
      <c r="O29" s="76">
        <f>M29+1</f>
        <v>44486</v>
      </c>
      <c r="P29" s="8" t="str">
        <f>IF(ISNA(VLOOKUP($O29,feries!$B$5:$B$31,1,FALSE)),"",IF(VLOOKUP($O29,feries!$B$5:$B$31,1,FALSE)=$O29,"férié",""))</f>
        <v/>
      </c>
      <c r="Q29" s="255"/>
      <c r="R29" s="253"/>
    </row>
    <row r="30" spans="1:20" ht="13.8" thickBot="1" x14ac:dyDescent="0.3">
      <c r="A30" s="88" t="s">
        <v>39</v>
      </c>
      <c r="B30" s="89" t="s">
        <v>0</v>
      </c>
      <c r="C30" s="270">
        <f>COUNTIF($C$32:$C$37,"&lt;=11")-COUNTIF($C$32:$C$37,"=0")</f>
        <v>2</v>
      </c>
      <c r="D30" s="271"/>
      <c r="E30" s="270">
        <f>COUNTIF($E$32:$E$37,"&lt;=11")-COUNTIF($E$32:$E$37,"=0")</f>
        <v>2</v>
      </c>
      <c r="F30" s="271"/>
      <c r="G30" s="270">
        <f>COUNTIF($G$32:$G$37,"&lt;=11")-COUNTIF($G$32:$G$37,"=0")</f>
        <v>1</v>
      </c>
      <c r="H30" s="271"/>
      <c r="I30" s="270">
        <f>COUNTIF($I$32:$I$37,"&lt;=11")-COUNTIF($I$32:$I$37,"=0")</f>
        <v>0</v>
      </c>
      <c r="J30" s="271"/>
      <c r="K30" s="270">
        <f>COUNTIF($K$32:$K$37,"&lt;=11")-COUNTIF($K$32:$K$37,"=0")</f>
        <v>2</v>
      </c>
      <c r="L30" s="271"/>
      <c r="M30" s="270">
        <f>COUNTIF($M$32:$M$37,"&lt;=11")-COUNTIF($M$32:$M$37,"=0")</f>
        <v>0</v>
      </c>
      <c r="N30" s="271"/>
      <c r="O30" s="270">
        <f>COUNTIF($O$32:$O$37,"&lt;=11")-COUNTIF($O$32:$O$37,"=0")</f>
        <v>0</v>
      </c>
      <c r="P30" s="271"/>
      <c r="Q30" s="256"/>
      <c r="R30" s="33"/>
    </row>
    <row r="31" spans="1:20" ht="13.8" thickBot="1" x14ac:dyDescent="0.3">
      <c r="A31" s="88"/>
      <c r="B31" s="89" t="s">
        <v>1</v>
      </c>
      <c r="C31" s="270">
        <f>COUNTIF($D$32:$D$37,"&gt;19")</f>
        <v>1</v>
      </c>
      <c r="D31" s="271"/>
      <c r="E31" s="270">
        <f>COUNTIF($F$32:$F$37,"&gt;19")</f>
        <v>1</v>
      </c>
      <c r="F31" s="271"/>
      <c r="G31" s="270">
        <f>COUNTIF($H$32:$H$37,"&gt;19")</f>
        <v>1</v>
      </c>
      <c r="H31" s="271"/>
      <c r="I31" s="270">
        <f>COUNTIF($J$32:$J$37,"&gt;19")</f>
        <v>1</v>
      </c>
      <c r="J31" s="271"/>
      <c r="K31" s="270">
        <f>COUNTIF($L$32:$L$37,"&gt;19")</f>
        <v>1</v>
      </c>
      <c r="L31" s="271"/>
      <c r="M31" s="270">
        <f>COUNTIF($N$32:$N$37,"&gt;19")</f>
        <v>0</v>
      </c>
      <c r="N31" s="271"/>
      <c r="O31" s="270">
        <f>COUNTIF($P$32:$P$37,"&gt;19")</f>
        <v>0</v>
      </c>
      <c r="P31" s="271"/>
      <c r="Q31" s="15" t="s">
        <v>117</v>
      </c>
      <c r="R31" s="15" t="s">
        <v>118</v>
      </c>
      <c r="S31" s="15" t="s">
        <v>119</v>
      </c>
      <c r="T31" s="38" t="s">
        <v>120</v>
      </c>
    </row>
    <row r="32" spans="1:20" x14ac:dyDescent="0.25">
      <c r="A32" s="7" t="str">
        <f>type!$A$3</f>
        <v>a</v>
      </c>
      <c r="B32" s="91" t="s">
        <v>0</v>
      </c>
      <c r="C32" s="61">
        <f>réel!C37</f>
        <v>8.75</v>
      </c>
      <c r="D32" s="62">
        <f>réel!D37</f>
        <v>13</v>
      </c>
      <c r="E32" s="61">
        <f>réel!E37</f>
        <v>8.75</v>
      </c>
      <c r="F32" s="62">
        <f>réel!F37</f>
        <v>13</v>
      </c>
      <c r="G32" s="61">
        <f>réel!G37</f>
        <v>0</v>
      </c>
      <c r="H32" s="62">
        <f>réel!H37</f>
        <v>0</v>
      </c>
      <c r="I32" s="61">
        <f>réel!I37</f>
        <v>0</v>
      </c>
      <c r="J32" s="62">
        <f>réel!J37</f>
        <v>0</v>
      </c>
      <c r="K32" s="61">
        <f>réel!K37</f>
        <v>8.75</v>
      </c>
      <c r="L32" s="62">
        <f>réel!L37</f>
        <v>13</v>
      </c>
      <c r="M32" s="61">
        <f>réel!M37</f>
        <v>0</v>
      </c>
      <c r="N32" s="62">
        <f>réel!N37</f>
        <v>0</v>
      </c>
      <c r="O32" s="61">
        <f>réel!O37</f>
        <v>0</v>
      </c>
      <c r="P32" s="62">
        <f>réel!P37</f>
        <v>0</v>
      </c>
      <c r="Q32" s="198"/>
      <c r="R32" s="198"/>
      <c r="S32" s="198"/>
      <c r="T32" s="196">
        <f>IF($L$29="férié",IF(MONTH($K$29)=MONTH($B$3),L32+L33-K32-K33,0),0)+IF($N$29="férié",IF(MONTH($M$29)=MONTH($B$3),N32+N33-M32-M33,0),0)+IF($P$29="férié",IF(MONTH($O$29)=MONTH($B$3),P32+P33-O32-O33,0),0)</f>
        <v>0</v>
      </c>
    </row>
    <row r="33" spans="1:20" ht="13.8" thickBot="1" x14ac:dyDescent="0.3">
      <c r="A33" s="187">
        <f>réel!B39</f>
        <v>35.25</v>
      </c>
      <c r="B33" s="9" t="s">
        <v>1</v>
      </c>
      <c r="C33" s="78">
        <f>réel!C38</f>
        <v>14</v>
      </c>
      <c r="D33" s="79">
        <f>réel!D38</f>
        <v>20</v>
      </c>
      <c r="E33" s="78">
        <f>réel!E38</f>
        <v>14.5</v>
      </c>
      <c r="F33" s="79">
        <f>réel!F38</f>
        <v>19</v>
      </c>
      <c r="G33" s="78">
        <f>réel!G38</f>
        <v>14</v>
      </c>
      <c r="H33" s="79">
        <f>réel!H38</f>
        <v>20</v>
      </c>
      <c r="I33" s="78">
        <f>réel!I38</f>
        <v>14</v>
      </c>
      <c r="J33" s="79">
        <f>réel!J38</f>
        <v>20</v>
      </c>
      <c r="K33" s="78">
        <f>réel!K38</f>
        <v>0</v>
      </c>
      <c r="L33" s="79">
        <f>réel!L38</f>
        <v>0</v>
      </c>
      <c r="M33" s="78">
        <f>réel!M38</f>
        <v>0</v>
      </c>
      <c r="N33" s="79">
        <f>réel!N38</f>
        <v>0</v>
      </c>
      <c r="O33" s="78">
        <f>réel!O38</f>
        <v>0</v>
      </c>
      <c r="P33" s="79">
        <f>réel!P38</f>
        <v>0</v>
      </c>
      <c r="Q33" s="64">
        <f>MIN(réel!A39,4)</f>
        <v>0</v>
      </c>
      <c r="R33" s="64">
        <f>IF(réel!A39&gt;4,A53-4,0)</f>
        <v>0</v>
      </c>
      <c r="S33" s="64">
        <f>SUM(IF(AND($D33&gt;20,MONTH($C$29)=MONTH($B$3)),D33-20,0)+IF(AND($F33&gt;20,MONTH($E$29)=MONTH($B$3)),F33-20,0)+IF(AND($H33&gt;20,MONTH($G$29)=MONTH($B$3)),H33-20,0)+IF(AND($J33&gt;20,MONTH($I$29)=MONTH($B$3)),J33-20,0)+IF(AND($L33&gt;20,MONTH($K$29)=MONTH($B$3)),L33-20,0)+IF(AND($N33&gt;20,MONTH($M$29)=MONTH($B$3)),N33-20,0)+IF(AND($P33&gt;20,MONTH($O$29)=MONTH($B$3)),P33-20,0))</f>
        <v>0</v>
      </c>
      <c r="T33" s="197">
        <f>IF($D$29="férié",IF(MONTH($C$29)=MONTH($B$3),D32+D33-C32-C33,0))+IF($F$29="férié",IF(MONTH($E$29)=MONTH($B$3),F32+F33-E32-E33,0))+IF($H$29="férié",IF(MONTH($G$29)=MONTH($B$3),H32+H33-G32-G33,0))+IF($J$29="férié",IF(MONTH($I$29)=MONTH($B$3),J32+J33-I32-I33,0))+T32</f>
        <v>0</v>
      </c>
    </row>
    <row r="34" spans="1:20" x14ac:dyDescent="0.25">
      <c r="A34" s="7" t="str">
        <f>type!$A$6</f>
        <v>b</v>
      </c>
      <c r="B34" s="91" t="s">
        <v>0</v>
      </c>
      <c r="C34" s="61">
        <f>réel!C40</f>
        <v>8.75</v>
      </c>
      <c r="D34" s="62">
        <f>réel!D40</f>
        <v>12</v>
      </c>
      <c r="E34" s="61">
        <f>réel!E40</f>
        <v>8.75</v>
      </c>
      <c r="F34" s="62">
        <f>réel!F40</f>
        <v>12</v>
      </c>
      <c r="G34" s="61">
        <f>réel!G40</f>
        <v>8.75</v>
      </c>
      <c r="H34" s="62">
        <f>réel!H40</f>
        <v>13</v>
      </c>
      <c r="I34" s="61">
        <f>réel!I40</f>
        <v>0</v>
      </c>
      <c r="J34" s="62">
        <f>réel!J40</f>
        <v>0</v>
      </c>
      <c r="K34" s="61">
        <f>réel!K40</f>
        <v>8.75</v>
      </c>
      <c r="L34" s="62">
        <f>réel!L40</f>
        <v>12</v>
      </c>
      <c r="M34" s="61">
        <f>réel!M40</f>
        <v>0</v>
      </c>
      <c r="N34" s="62">
        <f>réel!N40</f>
        <v>0</v>
      </c>
      <c r="O34" s="61">
        <f>réel!O40</f>
        <v>0</v>
      </c>
      <c r="P34" s="62">
        <f>réel!P40</f>
        <v>0</v>
      </c>
      <c r="Q34" s="198"/>
      <c r="R34" s="198"/>
      <c r="S34" s="198"/>
      <c r="T34" s="196">
        <f>IF($L$29="férié",IF(MONTH($K$29)=MONTH($B$3),L34+L35-K34-K35,0),0)+IF($N$29="férié",IF(MONTH($M$29)=MONTH($B$3),N34+N35-M34-M35,0),0)+IF($P$29="férié",IF(MONTH($O$29)=MONTH($B$3),P34+P35-O34-O35,0),0)</f>
        <v>0</v>
      </c>
    </row>
    <row r="35" spans="1:20" ht="13.8" thickBot="1" x14ac:dyDescent="0.3">
      <c r="A35" s="187">
        <f>réel!B42</f>
        <v>40.25</v>
      </c>
      <c r="B35" s="9" t="s">
        <v>1</v>
      </c>
      <c r="C35" s="78">
        <f>réel!C41</f>
        <v>14</v>
      </c>
      <c r="D35" s="79">
        <f>réel!D41</f>
        <v>19</v>
      </c>
      <c r="E35" s="78">
        <f>réel!E41</f>
        <v>14</v>
      </c>
      <c r="F35" s="79">
        <f>réel!F41</f>
        <v>20</v>
      </c>
      <c r="G35" s="78">
        <f>réel!G41</f>
        <v>14.5</v>
      </c>
      <c r="H35" s="79">
        <f>réel!H41</f>
        <v>19</v>
      </c>
      <c r="I35" s="78">
        <f>réel!I41</f>
        <v>14</v>
      </c>
      <c r="J35" s="79">
        <f>réel!J41</f>
        <v>19</v>
      </c>
      <c r="K35" s="78">
        <f>réel!K41</f>
        <v>14</v>
      </c>
      <c r="L35" s="79">
        <f>réel!L41</f>
        <v>19.75</v>
      </c>
      <c r="M35" s="78">
        <f>réel!M41</f>
        <v>0</v>
      </c>
      <c r="N35" s="79">
        <f>réel!N41</f>
        <v>0</v>
      </c>
      <c r="O35" s="78">
        <f>réel!O41</f>
        <v>0</v>
      </c>
      <c r="P35" s="79">
        <f>réel!P41</f>
        <v>0</v>
      </c>
      <c r="Q35" s="64">
        <f>MIN(réel!A42,4)</f>
        <v>3.25</v>
      </c>
      <c r="R35" s="64">
        <f>IF(réel!A42&gt;4,A56-4,0)</f>
        <v>0</v>
      </c>
      <c r="S35" s="64">
        <f>SUM(IF(AND($D35&gt;20,MONTH($C$29)=MONTH($B$3)),D35-20,0)+IF(AND($F35&gt;20,MONTH($E$29)=MONTH($B$3)),F35-20,0)+IF(AND($H35&gt;20,MONTH($G$29)=MONTH($B$3)),H35-20,0)+IF(AND($J35&gt;20,MONTH($I$29)=MONTH($B$3)),J35-20,0)+IF(AND($L35&gt;20,MONTH($K$29)=MONTH($B$3)),L35-20,0)+IF(AND($N35&gt;20,MONTH($M$29)=MONTH($B$3)),N35-20,0)+IF(AND($P35&gt;20,MONTH($O$29)=MONTH($B$3)),P35-20,0))</f>
        <v>0</v>
      </c>
      <c r="T35" s="197">
        <f>IF($D$29="férié",IF(MONTH($C$29)=MONTH($B$3),D34+D35-C34-C35,0))+IF($F$29="férié",IF(MONTH($E$29)=MONTH($B$3),F34+F35-E34-E35,0))+IF($H$29="férié",IF(MONTH($G$29)=MONTH($B$3),H34+H35-G34-G35,0))+IF($J$29="férié",IF(MONTH($I$29)=MONTH($B$3),J34+J35-I34-I35,0))+T34</f>
        <v>0</v>
      </c>
    </row>
    <row r="36" spans="1:20" x14ac:dyDescent="0.25">
      <c r="A36" s="7" t="str">
        <f>type!$A$9</f>
        <v>y</v>
      </c>
      <c r="B36" s="91" t="s">
        <v>0</v>
      </c>
      <c r="C36" s="61">
        <f>réel!C43</f>
        <v>0</v>
      </c>
      <c r="D36" s="62">
        <f>réel!D43</f>
        <v>0</v>
      </c>
      <c r="E36" s="61">
        <f>réel!E43</f>
        <v>0</v>
      </c>
      <c r="F36" s="62">
        <f>réel!F43</f>
        <v>0</v>
      </c>
      <c r="G36" s="61">
        <f>réel!G43</f>
        <v>0</v>
      </c>
      <c r="H36" s="62">
        <f>réel!H43</f>
        <v>0</v>
      </c>
      <c r="I36" s="61">
        <f>réel!I43</f>
        <v>0</v>
      </c>
      <c r="J36" s="62">
        <f>réel!J43</f>
        <v>0</v>
      </c>
      <c r="K36" s="61">
        <f>réel!K43</f>
        <v>0</v>
      </c>
      <c r="L36" s="62">
        <f>réel!L43</f>
        <v>0</v>
      </c>
      <c r="M36" s="61">
        <f>réel!M43</f>
        <v>0</v>
      </c>
      <c r="N36" s="62">
        <f>réel!N43</f>
        <v>0</v>
      </c>
      <c r="O36" s="61">
        <f>réel!O43</f>
        <v>0</v>
      </c>
      <c r="P36" s="62">
        <f>réel!P43</f>
        <v>0</v>
      </c>
      <c r="Q36" s="198"/>
      <c r="R36" s="198"/>
      <c r="S36" s="198"/>
      <c r="T36" s="196">
        <f>IF($L$29="férié",IF(MONTH($K$29)=MONTH($B$3),L36+L37-K36-K37,0),0)+IF($N$29="férié",IF(MONTH($M$29)=MONTH($B$3),N36+N37-M36-M37,0),0)+IF($P$29="férié",IF(MONTH($O$29)=MONTH($B$3),P36+P37-O36-O37,0),0)</f>
        <v>0</v>
      </c>
    </row>
    <row r="37" spans="1:20" ht="13.8" thickBot="1" x14ac:dyDescent="0.3">
      <c r="A37" s="188">
        <f>réel!B45</f>
        <v>0</v>
      </c>
      <c r="B37" s="60" t="s">
        <v>1</v>
      </c>
      <c r="C37" s="250">
        <f>réel!C44</f>
        <v>0</v>
      </c>
      <c r="D37" s="251">
        <f>réel!D44</f>
        <v>0</v>
      </c>
      <c r="E37" s="250">
        <f>réel!E44</f>
        <v>0</v>
      </c>
      <c r="F37" s="251">
        <f>réel!F44</f>
        <v>0</v>
      </c>
      <c r="G37" s="250">
        <f>réel!G44</f>
        <v>0</v>
      </c>
      <c r="H37" s="251">
        <f>réel!H44</f>
        <v>0</v>
      </c>
      <c r="I37" s="250">
        <f>réel!I44</f>
        <v>0</v>
      </c>
      <c r="J37" s="251">
        <f>réel!J44</f>
        <v>0</v>
      </c>
      <c r="K37" s="250">
        <f>réel!K44</f>
        <v>0</v>
      </c>
      <c r="L37" s="251">
        <f>réel!L44</f>
        <v>0</v>
      </c>
      <c r="M37" s="250">
        <f>réel!M44</f>
        <v>0</v>
      </c>
      <c r="N37" s="251">
        <f>réel!N44</f>
        <v>0</v>
      </c>
      <c r="O37" s="250">
        <f>réel!O44</f>
        <v>0</v>
      </c>
      <c r="P37" s="251">
        <f>réel!P44</f>
        <v>0</v>
      </c>
      <c r="Q37" s="64">
        <f>MIN(réel!A45,4)</f>
        <v>0</v>
      </c>
      <c r="R37" s="64">
        <f>IF(réel!A45&gt;4,A59-4,0)</f>
        <v>0</v>
      </c>
      <c r="S37" s="64">
        <f>SUM(IF(AND($D37&gt;20,MONTH($C$29)=MONTH($B$3)),D37-20,0)+IF(AND($F37&gt;20,MONTH($E$29)=MONTH($B$3)),F37-20,0)+IF(AND($H37&gt;20,MONTH($G$29)=MONTH($B$3)),H37-20,0)+IF(AND($J37&gt;20,MONTH($I$29)=MONTH($B$3)),J37-20,0)+IF(AND($L37&gt;20,MONTH($K$29)=MONTH($B$3)),L37-20,0)+IF(AND($N37&gt;20,MONTH($M$29)=MONTH($B$3)),N37-20,0)+IF(AND($P37&gt;20,MONTH($O$29)=MONTH($B$3)),P37-20,0))</f>
        <v>0</v>
      </c>
      <c r="T37" s="197">
        <f>IF($D$29="férié",IF(MONTH($C$29)=MONTH($B$3),D36+D37-C36-C37,0))+IF($F$29="férié",IF(MONTH($E$29)=MONTH($B$3),F36+F37-E36-E37,0))+IF($H$29="férié",IF(MONTH($G$29)=MONTH($B$3),H36+H37-G36-G37,0))+IF($J$29="férié",IF(MONTH($I$29)=MONTH($B$3),J36+J37-I36-I37,0))+T36</f>
        <v>0</v>
      </c>
    </row>
    <row r="38" spans="1:20" ht="13.8" thickBot="1" x14ac:dyDescent="0.3">
      <c r="A38" s="19"/>
      <c r="B38" s="2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20" ht="13.8" thickBot="1" x14ac:dyDescent="0.3">
      <c r="A39" s="55" t="s">
        <v>14</v>
      </c>
      <c r="B39" s="56">
        <f>horaire!$B$47</f>
        <v>1</v>
      </c>
      <c r="C39" s="268" t="str">
        <f>IF(ISNA(MATCH(C40,scol!$D$4:$D$15,1))=TRUE,"",IF(MOD(MATCH(C40,scol!$D$4:$D$15,1),2)=1,"vacances",""))</f>
        <v/>
      </c>
      <c r="D39" s="269"/>
      <c r="E39" s="268" t="str">
        <f>IF(ISNA(MATCH(E40,scol!$D$4:$D$15,1))=TRUE,"",IF(MOD(MATCH(E40,scol!$D$4:$D$15,1),2)=1,"vacances",""))</f>
        <v/>
      </c>
      <c r="F39" s="269"/>
      <c r="G39" s="268" t="str">
        <f>IF(ISNA(MATCH(G40,scol!$D$4:$D$15,1))=TRUE,"",IF(MOD(MATCH(G40,scol!$D$4:$D$15,1),2)=1,"vacances",""))</f>
        <v/>
      </c>
      <c r="H39" s="269"/>
      <c r="I39" s="268" t="str">
        <f>IF(ISNA(MATCH(I40,scol!$D$4:$D$15,1))=TRUE,"",IF(MOD(MATCH(I40,scol!$D$4:$D$15,1),2)=1,"vacances",""))</f>
        <v/>
      </c>
      <c r="J39" s="269"/>
      <c r="K39" s="268" t="str">
        <f>IF(ISNA(MATCH(K40,scol!$D$4:$D$15,1))=TRUE,"",IF(MOD(MATCH(K40,scol!$D$4:$D$15,1),2)=1,"vacances",""))</f>
        <v/>
      </c>
      <c r="L39" s="269"/>
      <c r="M39" s="268" t="str">
        <f>IF(ISNA(MATCH(M40,scol!$D$4:$D$15,1))=TRUE,"",IF(MOD(MATCH(M40,scol!$D$4:$D$15,1),2)=1,"vacances",""))</f>
        <v>vacances</v>
      </c>
      <c r="N39" s="269"/>
      <c r="O39" s="268" t="str">
        <f>IF(ISNA(MATCH(O40,scol!$D$4:$D$15,1))=TRUE,"",IF(MOD(MATCH(O40,scol!$D$4:$D$15,1),2)=1,"vacances",""))</f>
        <v>vacances</v>
      </c>
      <c r="P39" s="269"/>
    </row>
    <row r="40" spans="1:20" ht="13.8" thickBot="1" x14ac:dyDescent="0.3">
      <c r="A40" s="25" t="s">
        <v>10</v>
      </c>
      <c r="B40" s="24">
        <f>B29+1</f>
        <v>42</v>
      </c>
      <c r="C40" s="35">
        <f>M29+2</f>
        <v>44487</v>
      </c>
      <c r="D40" s="8" t="str">
        <f>IF(ISNA(VLOOKUP($C40,feries!$B$5:$B$31,1,FALSE)),"",IF(VLOOKUP($C40,feries!$B$5:$B$31,1,FALSE)=$C40,"férié",""))</f>
        <v/>
      </c>
      <c r="E40" s="35">
        <f>C40+1</f>
        <v>44488</v>
      </c>
      <c r="F40" s="8" t="str">
        <f>IF(ISNA(VLOOKUP($E40,feries!$B$5:$B$31,1,FALSE)),"",IF(VLOOKUP($E40,feries!$B$5:$B$31,1,FALSE)=$E40,"férié",""))</f>
        <v/>
      </c>
      <c r="G40" s="35">
        <f>E40+1</f>
        <v>44489</v>
      </c>
      <c r="H40" s="8" t="str">
        <f>IF(ISNA(VLOOKUP($G40,feries!$B$5:$B$31,1,FALSE)),"",IF(VLOOKUP($G40,feries!$B$5:$B$31,1,FALSE)=$G40,"férié",""))</f>
        <v/>
      </c>
      <c r="I40" s="35">
        <f>G40+1</f>
        <v>44490</v>
      </c>
      <c r="J40" s="8" t="str">
        <f>IF(ISNA(VLOOKUP($I40,feries!$B$5:$B$31,1,FALSE)),"",IF(VLOOKUP($I40,feries!$B$5:$B$31,1,FALSE)=$I40,"férié",""))</f>
        <v/>
      </c>
      <c r="K40" s="35">
        <f>I40+1</f>
        <v>44491</v>
      </c>
      <c r="L40" s="8" t="str">
        <f>IF(ISNA(VLOOKUP($K40,feries!$B$5:$B$31,1,FALSE)),"",IF(VLOOKUP($K40,feries!$B$5:$B$31,1,FALSE)=$K40,"férié",""))</f>
        <v/>
      </c>
      <c r="M40" s="76">
        <f>K40+1</f>
        <v>44492</v>
      </c>
      <c r="N40" s="8" t="str">
        <f>IF(ISNA(VLOOKUP($M40,feries!$B$5:$B$31,1,FALSE)),"",IF(VLOOKUP($M40,feries!$B$5:$B$31,1,FALSE)=$M40,"férié",""))</f>
        <v/>
      </c>
      <c r="O40" s="76">
        <f>M40+1</f>
        <v>44493</v>
      </c>
      <c r="P40" s="8" t="str">
        <f>IF(ISNA(VLOOKUP($O40,feries!$B$5:$B$31,1,FALSE)),"",IF(VLOOKUP($O40,feries!$B$5:$B$31,1,FALSE)=$O40,"férié",""))</f>
        <v/>
      </c>
      <c r="Q40" s="255"/>
      <c r="R40" s="253"/>
    </row>
    <row r="41" spans="1:20" ht="13.8" thickBot="1" x14ac:dyDescent="0.3">
      <c r="A41" s="88" t="s">
        <v>39</v>
      </c>
      <c r="B41" s="89" t="s">
        <v>0</v>
      </c>
      <c r="C41" s="270">
        <f>COUNTIF($C$43:$C$48,"&lt;=11")-COUNTIF($C$43:$C$48,"=0")</f>
        <v>2</v>
      </c>
      <c r="D41" s="271"/>
      <c r="E41" s="270">
        <f>COUNTIF($E$43:$E$48,"&lt;=11")-COUNTIF($E$43:$E$48,"=0")</f>
        <v>1</v>
      </c>
      <c r="F41" s="271"/>
      <c r="G41" s="270">
        <f>COUNTIF($G$43:$G$48,"&lt;=11")-COUNTIF($G$43:$G$48,"=0")</f>
        <v>1</v>
      </c>
      <c r="H41" s="271"/>
      <c r="I41" s="270">
        <f>COUNTIF($I$43:$I$48,"&lt;=11")-COUNTIF($I$43:$I$48,"=0")</f>
        <v>0</v>
      </c>
      <c r="J41" s="271"/>
      <c r="K41" s="270">
        <f>COUNTIF($K$43:$K$48,"&lt;=11")-COUNTIF($K$43:$K$48,"=0")</f>
        <v>2</v>
      </c>
      <c r="L41" s="271"/>
      <c r="M41" s="270">
        <f>COUNTIF($M$43:$M$48,"&lt;=11")-COUNTIF($M$43:$M$48,"=0")</f>
        <v>0</v>
      </c>
      <c r="N41" s="271"/>
      <c r="O41" s="270">
        <f>COUNTIF($O$43:$O$48,"&lt;=11")-COUNTIF($O$43:$O$48,"=0")</f>
        <v>0</v>
      </c>
      <c r="P41" s="271"/>
      <c r="Q41" s="256"/>
      <c r="R41" s="33"/>
    </row>
    <row r="42" spans="1:20" ht="13.8" thickBot="1" x14ac:dyDescent="0.3">
      <c r="A42" s="88"/>
      <c r="B42" s="89" t="s">
        <v>1</v>
      </c>
      <c r="C42" s="270">
        <f>COUNTIF($D$43:$D$48,"&gt;19")</f>
        <v>1</v>
      </c>
      <c r="D42" s="271"/>
      <c r="E42" s="270">
        <f>COUNTIF($F$43:$F$48,"&gt;19")</f>
        <v>1</v>
      </c>
      <c r="F42" s="271"/>
      <c r="G42" s="270">
        <f>COUNTIF($H$43:$H$48,"&gt;19")</f>
        <v>1</v>
      </c>
      <c r="H42" s="271"/>
      <c r="I42" s="270">
        <f>COUNTIF($J$43:$J$48,"&gt;19")</f>
        <v>1</v>
      </c>
      <c r="J42" s="271"/>
      <c r="K42" s="270">
        <f>COUNTIF($L$43:$L$48,"&gt;19")</f>
        <v>1</v>
      </c>
      <c r="L42" s="271"/>
      <c r="M42" s="270">
        <f>COUNTIF($N$43:$N$48,"&gt;19")</f>
        <v>0</v>
      </c>
      <c r="N42" s="271"/>
      <c r="O42" s="270">
        <f>COUNTIF($P$43:$P$48,"&gt;19")</f>
        <v>0</v>
      </c>
      <c r="P42" s="271"/>
      <c r="Q42" s="15" t="s">
        <v>117</v>
      </c>
      <c r="R42" s="15" t="s">
        <v>118</v>
      </c>
      <c r="S42" s="15" t="s">
        <v>119</v>
      </c>
      <c r="T42" s="38" t="s">
        <v>120</v>
      </c>
    </row>
    <row r="43" spans="1:20" x14ac:dyDescent="0.25">
      <c r="A43" s="7" t="str">
        <f>type!$A$3</f>
        <v>a</v>
      </c>
      <c r="B43" s="91" t="s">
        <v>0</v>
      </c>
      <c r="C43" s="61">
        <f>réel!C49</f>
        <v>8.75</v>
      </c>
      <c r="D43" s="62">
        <f>réel!D49</f>
        <v>12</v>
      </c>
      <c r="E43" s="61">
        <f>réel!E49</f>
        <v>8.75</v>
      </c>
      <c r="F43" s="62">
        <f>réel!F49</f>
        <v>13</v>
      </c>
      <c r="G43" s="61">
        <f>réel!G49</f>
        <v>0</v>
      </c>
      <c r="H43" s="62">
        <f>réel!H49</f>
        <v>0</v>
      </c>
      <c r="I43" s="61">
        <f>réel!I49</f>
        <v>0</v>
      </c>
      <c r="J43" s="62">
        <f>réel!J49</f>
        <v>0</v>
      </c>
      <c r="K43" s="61">
        <f>réel!K49</f>
        <v>8.75</v>
      </c>
      <c r="L43" s="62">
        <f>réel!L49</f>
        <v>12</v>
      </c>
      <c r="M43" s="61">
        <f>réel!M49</f>
        <v>0</v>
      </c>
      <c r="N43" s="62">
        <f>réel!N49</f>
        <v>0</v>
      </c>
      <c r="O43" s="61">
        <f>réel!O49</f>
        <v>0</v>
      </c>
      <c r="P43" s="62">
        <f>réel!P49</f>
        <v>0</v>
      </c>
      <c r="Q43" s="198"/>
      <c r="R43" s="198"/>
      <c r="S43" s="198"/>
      <c r="T43" s="196">
        <f>IF($L$40="férié",IF(MONTH($K$40)=MONTH($B$3),L43+L44-K43-K44,0),0)+IF($N$40="férié",IF(MONTH($M$40)=MONTH($B$3),N43+N44-M43-M44,0),0)+IF($P$40="férié",IF(MONTH($O$40)=MONTH($B$3),P43+P44-O43-O44,0),0)</f>
        <v>0</v>
      </c>
    </row>
    <row r="44" spans="1:20" ht="13.8" thickBot="1" x14ac:dyDescent="0.3">
      <c r="A44" s="187">
        <f>réel!B51</f>
        <v>37</v>
      </c>
      <c r="B44" s="60" t="s">
        <v>1</v>
      </c>
      <c r="C44" s="78">
        <f>réel!C50</f>
        <v>14</v>
      </c>
      <c r="D44" s="79">
        <f>réel!D50</f>
        <v>19</v>
      </c>
      <c r="E44" s="78">
        <f>réel!E50</f>
        <v>14.5</v>
      </c>
      <c r="F44" s="79">
        <f>réel!F50</f>
        <v>20</v>
      </c>
      <c r="G44" s="78">
        <f>réel!G50</f>
        <v>14</v>
      </c>
      <c r="H44" s="79">
        <f>réel!H50</f>
        <v>19</v>
      </c>
      <c r="I44" s="78">
        <f>réel!I50</f>
        <v>14</v>
      </c>
      <c r="J44" s="79">
        <f>réel!J50</f>
        <v>19</v>
      </c>
      <c r="K44" s="78">
        <f>réel!K50</f>
        <v>14</v>
      </c>
      <c r="L44" s="79">
        <f>réel!L50</f>
        <v>19.75</v>
      </c>
      <c r="M44" s="78">
        <f>réel!M50</f>
        <v>0</v>
      </c>
      <c r="N44" s="79">
        <f>réel!N50</f>
        <v>0</v>
      </c>
      <c r="O44" s="78">
        <f>réel!O50</f>
        <v>0</v>
      </c>
      <c r="P44" s="79">
        <f>réel!P50</f>
        <v>0</v>
      </c>
      <c r="Q44" s="64">
        <f>MIN(réel!A51,4)</f>
        <v>0</v>
      </c>
      <c r="R44" s="64">
        <f>IF(réel!A51&gt;4,A72-4,0)</f>
        <v>0</v>
      </c>
      <c r="S44" s="64">
        <f>SUM(IF(AND($D44&gt;20,MONTH($C$40)=MONTH($B$3)),D44-20,0)+IF(AND($F44&gt;20,MONTH($E$40)=MONTH($B$3)),F44-20,0)+IF(AND($H44&gt;20,MONTH($G$40)=MONTH($B$3)),H44-20,0)+IF(AND($J44&gt;20,MONTH($I$40)=MONTH($B$3)),J44-20,0)+IF(AND($L44&gt;20,MONTH($K$40)=MONTH($B$3)),L44-20,0)+IF(AND($N44&gt;20,MONTH($M$40)=MONTH($B$3)),N44-20,0)+IF(AND($P44&gt;20,MONTH($O$40)=MONTH($B$3)),P44-20,0))</f>
        <v>0</v>
      </c>
      <c r="T44" s="197">
        <f>IF($D$40="férié",IF(MONTH($C$40)=MONTH($B$3),D43+D44-C43-C44,0))+IF($F$40="férié",IF(MONTH($E$40)=MONTH($B$3),F43+F44-E43-E44,0))+IF($H$40="férié",IF(MONTH($G$40)=MONTH($B$3),H43+H44-G43-G44,0))+IF($J$40="férié",IF(MONTH($I$40)=MONTH($B$3),J43+J44-I43-I44,0))+T43</f>
        <v>0</v>
      </c>
    </row>
    <row r="45" spans="1:20" x14ac:dyDescent="0.25">
      <c r="A45" s="7" t="str">
        <f>type!$A$6</f>
        <v>b</v>
      </c>
      <c r="B45" s="91" t="s">
        <v>0</v>
      </c>
      <c r="C45" s="61">
        <f>réel!C52</f>
        <v>8.75</v>
      </c>
      <c r="D45" s="62">
        <f>réel!D52</f>
        <v>13</v>
      </c>
      <c r="E45" s="61">
        <f>réel!E52</f>
        <v>0</v>
      </c>
      <c r="F45" s="62">
        <f>réel!F52</f>
        <v>0</v>
      </c>
      <c r="G45" s="61">
        <f>réel!G52</f>
        <v>8.75</v>
      </c>
      <c r="H45" s="62">
        <f>réel!H52</f>
        <v>13</v>
      </c>
      <c r="I45" s="61">
        <f>réel!I52</f>
        <v>0</v>
      </c>
      <c r="J45" s="62">
        <f>réel!J52</f>
        <v>0</v>
      </c>
      <c r="K45" s="61">
        <f>réel!K52</f>
        <v>8.75</v>
      </c>
      <c r="L45" s="62">
        <f>réel!L52</f>
        <v>13</v>
      </c>
      <c r="M45" s="61">
        <f>réel!M52</f>
        <v>0</v>
      </c>
      <c r="N45" s="62">
        <f>réel!N52</f>
        <v>0</v>
      </c>
      <c r="O45" s="61">
        <f>réel!O52</f>
        <v>0</v>
      </c>
      <c r="P45" s="62">
        <f>réel!P52</f>
        <v>0</v>
      </c>
      <c r="Q45" s="198"/>
      <c r="R45" s="198"/>
      <c r="S45" s="198"/>
      <c r="T45" s="196">
        <f>IF($L$40="férié",IF(MONTH($K$40)=MONTH($B$3),L45+L46-K45-K46,0),0)+IF($N$40="férié",IF(MONTH($M$40)=MONTH($B$3),N45+N46-M45-M46,0),0)+IF($P$40="férié",IF(MONTH($O$40)=MONTH($B$3),P45+P46-O45-O46,0),0)</f>
        <v>0</v>
      </c>
    </row>
    <row r="46" spans="1:20" ht="13.8" thickBot="1" x14ac:dyDescent="0.3">
      <c r="A46" s="187">
        <f>réel!B54</f>
        <v>34.75</v>
      </c>
      <c r="B46" s="60" t="s">
        <v>1</v>
      </c>
      <c r="C46" s="78">
        <f>réel!C53</f>
        <v>14.5</v>
      </c>
      <c r="D46" s="79">
        <f>réel!D53</f>
        <v>20</v>
      </c>
      <c r="E46" s="78">
        <f>réel!E53</f>
        <v>14</v>
      </c>
      <c r="F46" s="79">
        <f>réel!F53</f>
        <v>19</v>
      </c>
      <c r="G46" s="78">
        <f>réel!G53</f>
        <v>14.5</v>
      </c>
      <c r="H46" s="79">
        <f>réel!H53</f>
        <v>20</v>
      </c>
      <c r="I46" s="78">
        <f>réel!I53</f>
        <v>14</v>
      </c>
      <c r="J46" s="79">
        <f>réel!J53</f>
        <v>20</v>
      </c>
      <c r="K46" s="78">
        <f>réel!K53</f>
        <v>0</v>
      </c>
      <c r="L46" s="79">
        <f>réel!L53</f>
        <v>0</v>
      </c>
      <c r="M46" s="78">
        <f>réel!M53</f>
        <v>0</v>
      </c>
      <c r="N46" s="79">
        <f>réel!N53</f>
        <v>0</v>
      </c>
      <c r="O46" s="78">
        <f>réel!O53</f>
        <v>0</v>
      </c>
      <c r="P46" s="79">
        <f>réel!P53</f>
        <v>0</v>
      </c>
      <c r="Q46" s="64">
        <f>MIN(réel!A54,4)</f>
        <v>0</v>
      </c>
      <c r="R46" s="64">
        <f>IF(réel!A54&gt;4,#REF!-4,0)</f>
        <v>0</v>
      </c>
      <c r="S46" s="64">
        <f>SUM(IF(AND($D46&gt;20,MONTH($C$40)=MONTH($B$3)),D46-20,0)+IF(AND($F46&gt;20,MONTH($E$40)=MONTH($B$3)),F46-20,0)+IF(AND($H46&gt;20,MONTH($G$40)=MONTH($B$3)),H46-20,0)+IF(AND($J46&gt;20,MONTH($I$40)=MONTH($B$3)),J46-20,0)+IF(AND($L46&gt;20,MONTH($K$40)=MONTH($B$3)),L46-20,0)+IF(AND($N46&gt;20,MONTH($M$40)=MONTH($B$3)),N46-20,0)+IF(AND($P46&gt;20,MONTH($O$40)=MONTH($B$3)),P46-20,0))</f>
        <v>0</v>
      </c>
      <c r="T46" s="197">
        <f>IF($D$40="férié",IF(MONTH($C$40)=MONTH($B$3),D45+D46-C45-C46,0))+IF($F$40="férié",IF(MONTH($E$40)=MONTH($B$3),F45+F46-E45-E46,0))+IF($H$40="férié",IF(MONTH($G$40)=MONTH($B$3),H45+H46-G45-G46,0))+IF($J$40="férié",IF(MONTH($I$40)=MONTH($B$3),J45+J46-I45-I46,0))+T45</f>
        <v>0</v>
      </c>
    </row>
    <row r="47" spans="1:20" x14ac:dyDescent="0.25">
      <c r="A47" s="7" t="str">
        <f>type!$A$9</f>
        <v>y</v>
      </c>
      <c r="B47" s="91" t="s">
        <v>0</v>
      </c>
      <c r="C47" s="61">
        <f>réel!C55</f>
        <v>0</v>
      </c>
      <c r="D47" s="62">
        <f>réel!D55</f>
        <v>0</v>
      </c>
      <c r="E47" s="61">
        <f>réel!E55</f>
        <v>0</v>
      </c>
      <c r="F47" s="62">
        <f>réel!F55</f>
        <v>0</v>
      </c>
      <c r="G47" s="61">
        <f>réel!G55</f>
        <v>0</v>
      </c>
      <c r="H47" s="62">
        <f>réel!H55</f>
        <v>0</v>
      </c>
      <c r="I47" s="61">
        <f>réel!I55</f>
        <v>0</v>
      </c>
      <c r="J47" s="62">
        <f>réel!J55</f>
        <v>0</v>
      </c>
      <c r="K47" s="61">
        <f>réel!K55</f>
        <v>0</v>
      </c>
      <c r="L47" s="62">
        <f>réel!L55</f>
        <v>0</v>
      </c>
      <c r="M47" s="61">
        <f>réel!M55</f>
        <v>0</v>
      </c>
      <c r="N47" s="62">
        <f>réel!N55</f>
        <v>0</v>
      </c>
      <c r="O47" s="61">
        <f>réel!O55</f>
        <v>0</v>
      </c>
      <c r="P47" s="62">
        <f>réel!P55</f>
        <v>0</v>
      </c>
      <c r="Q47" s="198"/>
      <c r="R47" s="198"/>
      <c r="S47" s="198"/>
      <c r="T47" s="196">
        <f>IF($L$40="férié",IF(MONTH($K$40)=MONTH($B$3),L47+L48-K47-K48,0),0)+IF($N$40="férié",IF(MONTH($M$40)=MONTH($B$3),N47+N48-M47-M48,0),0)+IF($P$40="férié",IF(MONTH($O$40)=MONTH($B$3),P47+P48-O47-O48,0),0)</f>
        <v>0</v>
      </c>
    </row>
    <row r="48" spans="1:20" ht="13.8" thickBot="1" x14ac:dyDescent="0.3">
      <c r="A48" s="188">
        <f>réel!B57</f>
        <v>0</v>
      </c>
      <c r="B48" s="60" t="s">
        <v>1</v>
      </c>
      <c r="C48" s="250">
        <f>réel!C56</f>
        <v>0</v>
      </c>
      <c r="D48" s="251">
        <f>réel!D56</f>
        <v>0</v>
      </c>
      <c r="E48" s="250">
        <f>réel!E56</f>
        <v>0</v>
      </c>
      <c r="F48" s="251">
        <f>réel!F56</f>
        <v>0</v>
      </c>
      <c r="G48" s="250">
        <f>réel!G56</f>
        <v>0</v>
      </c>
      <c r="H48" s="251">
        <f>réel!H56</f>
        <v>0</v>
      </c>
      <c r="I48" s="250">
        <f>réel!I56</f>
        <v>0</v>
      </c>
      <c r="J48" s="251">
        <f>réel!J56</f>
        <v>0</v>
      </c>
      <c r="K48" s="250">
        <f>réel!K56</f>
        <v>0</v>
      </c>
      <c r="L48" s="251">
        <f>réel!L56</f>
        <v>0</v>
      </c>
      <c r="M48" s="250">
        <f>réel!M56</f>
        <v>0</v>
      </c>
      <c r="N48" s="251">
        <f>réel!N56</f>
        <v>0</v>
      </c>
      <c r="O48" s="250">
        <f>réel!O56</f>
        <v>0</v>
      </c>
      <c r="P48" s="251">
        <f>réel!P56</f>
        <v>0</v>
      </c>
      <c r="Q48" s="64">
        <f>MIN(réel!A57,4)</f>
        <v>0</v>
      </c>
      <c r="R48" s="64">
        <f>IF(réel!A57&gt;4,#REF!-4,0)</f>
        <v>0</v>
      </c>
      <c r="S48" s="64">
        <f>SUM(IF(AND($D48&gt;20,MONTH($C$40)=MONTH($B$3)),D48-20,0)+IF(AND($F48&gt;20,MONTH($E$40)=MONTH($B$3)),F48-20,0)+IF(AND($H48&gt;20,MONTH($G$40)=MONTH($B$3)),H48-20,0)+IF(AND($J48&gt;20,MONTH($I$40)=MONTH($B$3)),J48-20,0)+IF(AND($L48&gt;20,MONTH($K$40)=MONTH($B$3)),L48-20,0)+IF(AND($N48&gt;20,MONTH($M$40)=MONTH($B$3)),N48-20,0)+IF(AND($P48&gt;20,MONTH($O$40)=MONTH($B$3)),P48-20,0))</f>
        <v>0</v>
      </c>
      <c r="T48" s="197">
        <f>IF($D$40="férié",IF(MONTH($C$40)=MONTH($B$3),D47+D48-C47-C48,0))+IF($F$40="férié",IF(MONTH($E$40)=MONTH($B$3),F47+F48-E47-E48,0))+IF($H$40="férié",IF(MONTH($G$40)=MONTH($B$3),H47+H48-G47-G48,0))+IF($J$40="férié",IF(MONTH($I$40)=MONTH($B$3),J47+J48-I47-I48,0))+T47</f>
        <v>0</v>
      </c>
    </row>
    <row r="49" spans="1:20" ht="13.8" thickBot="1" x14ac:dyDescent="0.3"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1:20" ht="13.8" thickBot="1" x14ac:dyDescent="0.3">
      <c r="A50" s="55" t="s">
        <v>14</v>
      </c>
      <c r="B50" s="56">
        <f>horaire!$B$59</f>
        <v>2</v>
      </c>
      <c r="C50" s="268" t="str">
        <f>IF(ISNA(MATCH(C51,scol!$D$4:$D$15,1))=TRUE,"",IF(MOD(MATCH(C51,scol!$D$4:$D$15,1),2)=1,"vacances",""))</f>
        <v>vacances</v>
      </c>
      <c r="D50" s="269"/>
      <c r="E50" s="268" t="str">
        <f>IF(ISNA(MATCH(E51,scol!$D$4:$D$15,1))=TRUE,"",IF(MOD(MATCH(E51,scol!$D$4:$D$15,1),2)=1,"vacances",""))</f>
        <v>vacances</v>
      </c>
      <c r="F50" s="269"/>
      <c r="G50" s="268" t="str">
        <f>IF(ISNA(MATCH(G51,scol!$D$4:$D$15,1))=TRUE,"",IF(MOD(MATCH(G51,scol!$D$4:$D$15,1),2)=1,"vacances",""))</f>
        <v>vacances</v>
      </c>
      <c r="H50" s="269"/>
      <c r="I50" s="268" t="str">
        <f>IF(ISNA(MATCH(I51,scol!$D$4:$D$15,1))=TRUE,"",IF(MOD(MATCH(I51,scol!$D$4:$D$15,1),2)=1,"vacances",""))</f>
        <v>vacances</v>
      </c>
      <c r="J50" s="269"/>
      <c r="K50" s="268" t="str">
        <f>IF(ISNA(MATCH(K51,scol!$D$4:$D$15,1))=TRUE,"",IF(MOD(MATCH(K51,scol!$D$4:$D$15,1),2)=1,"vacances",""))</f>
        <v>vacances</v>
      </c>
      <c r="L50" s="269"/>
      <c r="M50" s="268" t="str">
        <f>IF(ISNA(MATCH(M51,scol!$D$4:$D$15,1))=TRUE,"",IF(MOD(MATCH(M51,scol!$D$4:$D$15,1),2)=1,"vacances",""))</f>
        <v>vacances</v>
      </c>
      <c r="N50" s="269"/>
      <c r="O50" s="268" t="str">
        <f>IF(ISNA(MATCH(O51,scol!$D$4:$D$15,1))=TRUE,"",IF(MOD(MATCH(O51,scol!$D$4:$D$15,1),2)=1,"vacances",""))</f>
        <v>vacances</v>
      </c>
      <c r="P50" s="269"/>
    </row>
    <row r="51" spans="1:20" ht="13.8" thickBot="1" x14ac:dyDescent="0.3">
      <c r="A51" s="25" t="s">
        <v>10</v>
      </c>
      <c r="B51" s="24">
        <f>B40+1</f>
        <v>43</v>
      </c>
      <c r="C51" s="35">
        <f>M40+2</f>
        <v>44494</v>
      </c>
      <c r="D51" s="8" t="str">
        <f>IF(ISNA(VLOOKUP($C51,feries!$B$5:$B$31,1,FALSE)),"",IF(VLOOKUP($C51,feries!$B$5:$B$31,1,FALSE)=$C51,"férié",""))</f>
        <v/>
      </c>
      <c r="E51" s="35">
        <f>C51+1</f>
        <v>44495</v>
      </c>
      <c r="F51" s="8" t="str">
        <f>IF(ISNA(VLOOKUP($E51,feries!$B$5:$B$31,1,FALSE)),"",IF(VLOOKUP($E51,feries!$B$5:$B$31,1,FALSE)=$E51,"férié",""))</f>
        <v/>
      </c>
      <c r="G51" s="35">
        <f>E51+1</f>
        <v>44496</v>
      </c>
      <c r="H51" s="8" t="str">
        <f>IF(ISNA(VLOOKUP($G51,feries!$B$5:$B$31,1,FALSE)),"",IF(VLOOKUP($G51,feries!$B$5:$B$31,1,FALSE)=$G51,"férié",""))</f>
        <v/>
      </c>
      <c r="I51" s="35">
        <f>G51+1</f>
        <v>44497</v>
      </c>
      <c r="J51" s="8" t="str">
        <f>IF(ISNA(VLOOKUP($I51,feries!$B$5:$B$31,1,FALSE)),"",IF(VLOOKUP($I51,feries!$B$5:$B$31,1,FALSE)=$I51,"férié",""))</f>
        <v/>
      </c>
      <c r="K51" s="35">
        <f>I51+1</f>
        <v>44498</v>
      </c>
      <c r="L51" s="8" t="str">
        <f>IF(ISNA(VLOOKUP($K51,feries!$B$5:$B$31,1,FALSE)),"",IF(VLOOKUP($K51,feries!$B$5:$B$31,1,FALSE)=$K51,"férié",""))</f>
        <v/>
      </c>
      <c r="M51" s="76">
        <f>K51+1</f>
        <v>44499</v>
      </c>
      <c r="N51" s="8" t="str">
        <f>IF(ISNA(VLOOKUP($M51,feries!$B$5:$B$31,1,FALSE)),"",IF(VLOOKUP($M51,feries!$B$5:$B$31,1,FALSE)=$M51,"férié",""))</f>
        <v/>
      </c>
      <c r="O51" s="76">
        <f>M51+1</f>
        <v>44500</v>
      </c>
      <c r="P51" s="8" t="str">
        <f>IF(ISNA(VLOOKUP($O51,feries!$B$5:$B$31,1,FALSE)),"",IF(VLOOKUP($O51,feries!$B$5:$B$31,1,FALSE)=$O51,"férié",""))</f>
        <v/>
      </c>
      <c r="Q51" s="255"/>
      <c r="R51" s="253"/>
    </row>
    <row r="52" spans="1:20" ht="13.8" thickBot="1" x14ac:dyDescent="0.3">
      <c r="A52" s="88" t="s">
        <v>39</v>
      </c>
      <c r="B52" s="89" t="s">
        <v>0</v>
      </c>
      <c r="C52" s="270">
        <f>COUNTIF($C$54:$C$59,"&lt;=11")-COUNTIF($C$54:$C$59,"=0")</f>
        <v>2</v>
      </c>
      <c r="D52" s="271"/>
      <c r="E52" s="270">
        <f>COUNTIF($E$54:$E$59,"&lt;=11")-COUNTIF($E$54:$E$59,"=0")</f>
        <v>1</v>
      </c>
      <c r="F52" s="271"/>
      <c r="G52" s="270">
        <f>COUNTIF($G$54:$G$59,"&lt;=11")-COUNTIF($G$54:$G$59,"=0")</f>
        <v>1</v>
      </c>
      <c r="H52" s="271"/>
      <c r="I52" s="270">
        <f>COUNTIF($I$54:$I$59,"&lt;=11")-COUNTIF($I$54:$I$59,"=0")</f>
        <v>0</v>
      </c>
      <c r="J52" s="271"/>
      <c r="K52" s="270">
        <f>COUNTIF($K$54:$K$59,"&lt;=11")-COUNTIF($K$54:$K$59,"=0")</f>
        <v>2</v>
      </c>
      <c r="L52" s="271"/>
      <c r="M52" s="270">
        <f>COUNTIF($M$54:$M$59,"&lt;=11")-COUNTIF($M$54:$M$59,"=0")</f>
        <v>0</v>
      </c>
      <c r="N52" s="271"/>
      <c r="O52" s="270">
        <f>COUNTIF($O$54:$O$59,"&lt;=11")-COUNTIF($O$54:$O$59,"=0")</f>
        <v>0</v>
      </c>
      <c r="P52" s="271"/>
      <c r="Q52" s="256"/>
      <c r="R52" s="33"/>
    </row>
    <row r="53" spans="1:20" ht="13.8" thickBot="1" x14ac:dyDescent="0.3">
      <c r="A53" s="88"/>
      <c r="B53" s="89" t="s">
        <v>1</v>
      </c>
      <c r="C53" s="270">
        <f>COUNTIF($D$54:$D$59,"&gt;19")</f>
        <v>1</v>
      </c>
      <c r="D53" s="271"/>
      <c r="E53" s="270">
        <f>COUNTIF($F$54:$F$59,"&gt;19")</f>
        <v>1</v>
      </c>
      <c r="F53" s="271"/>
      <c r="G53" s="270">
        <f>COUNTIF($H$54:$H$59,"&gt;19")</f>
        <v>1</v>
      </c>
      <c r="H53" s="271"/>
      <c r="I53" s="270">
        <f>COUNTIF($J$54:$J$59,"&gt;19")</f>
        <v>1</v>
      </c>
      <c r="J53" s="271"/>
      <c r="K53" s="270">
        <f>COUNTIF($L$54:$L$59,"&gt;19")</f>
        <v>1</v>
      </c>
      <c r="L53" s="271"/>
      <c r="M53" s="270">
        <f>COUNTIF($N$54:$N$59,"&gt;19")</f>
        <v>0</v>
      </c>
      <c r="N53" s="271"/>
      <c r="O53" s="270">
        <f>COUNTIF($P$54:$P$59,"&gt;19")</f>
        <v>0</v>
      </c>
      <c r="P53" s="271"/>
      <c r="Q53" s="15" t="s">
        <v>117</v>
      </c>
      <c r="R53" s="15" t="s">
        <v>118</v>
      </c>
      <c r="S53" s="15" t="s">
        <v>119</v>
      </c>
      <c r="T53" s="38" t="s">
        <v>120</v>
      </c>
    </row>
    <row r="54" spans="1:20" x14ac:dyDescent="0.25">
      <c r="A54" s="7" t="str">
        <f>type!$A$3</f>
        <v>a</v>
      </c>
      <c r="B54" s="91" t="s">
        <v>0</v>
      </c>
      <c r="C54" s="61">
        <f>réel!C61</f>
        <v>8.75</v>
      </c>
      <c r="D54" s="62">
        <f>réel!D61</f>
        <v>13</v>
      </c>
      <c r="E54" s="61">
        <f>réel!E61</f>
        <v>8.75</v>
      </c>
      <c r="F54" s="62">
        <f>réel!F61</f>
        <v>13</v>
      </c>
      <c r="G54" s="61">
        <f>réel!G61</f>
        <v>0</v>
      </c>
      <c r="H54" s="62">
        <f>réel!H61</f>
        <v>0</v>
      </c>
      <c r="I54" s="61">
        <f>réel!I61</f>
        <v>0</v>
      </c>
      <c r="J54" s="62">
        <f>réel!J61</f>
        <v>0</v>
      </c>
      <c r="K54" s="61">
        <f>réel!K61</f>
        <v>8.75</v>
      </c>
      <c r="L54" s="62">
        <f>réel!L61</f>
        <v>13</v>
      </c>
      <c r="M54" s="61">
        <f>réel!M61</f>
        <v>0</v>
      </c>
      <c r="N54" s="62">
        <f>réel!N61</f>
        <v>0</v>
      </c>
      <c r="O54" s="61">
        <f>réel!O61</f>
        <v>0</v>
      </c>
      <c r="P54" s="62">
        <f>réel!P61</f>
        <v>0</v>
      </c>
      <c r="Q54" s="198"/>
      <c r="R54" s="198"/>
      <c r="S54" s="198"/>
      <c r="T54" s="196">
        <f>IF($L$51="férié",IF(MONTH($K$51)=MONTH($B$3),L54+L55-K54-K55,0),0)+IF($N$51="férié",IF(MONTH($M$51)=MONTH($B$3),N54+N55-M54-M55,0),0)+IF($P$51="férié",IF(MONTH($O$51)=MONTH($B$3),P54+P55-O54-O55,0),0)</f>
        <v>0</v>
      </c>
    </row>
    <row r="55" spans="1:20" ht="13.8" thickBot="1" x14ac:dyDescent="0.3">
      <c r="A55" s="187">
        <f>réel!B63</f>
        <v>35.25</v>
      </c>
      <c r="B55" s="9" t="s">
        <v>1</v>
      </c>
      <c r="C55" s="78">
        <f>réel!C62</f>
        <v>14</v>
      </c>
      <c r="D55" s="79">
        <f>réel!D62</f>
        <v>20</v>
      </c>
      <c r="E55" s="78">
        <f>réel!E62</f>
        <v>14.5</v>
      </c>
      <c r="F55" s="79">
        <f>réel!F62</f>
        <v>19</v>
      </c>
      <c r="G55" s="78">
        <f>réel!G62</f>
        <v>14</v>
      </c>
      <c r="H55" s="79">
        <f>réel!H62</f>
        <v>20</v>
      </c>
      <c r="I55" s="78">
        <f>réel!I62</f>
        <v>14</v>
      </c>
      <c r="J55" s="79">
        <f>réel!J62</f>
        <v>20</v>
      </c>
      <c r="K55" s="78">
        <f>réel!K62</f>
        <v>0</v>
      </c>
      <c r="L55" s="79">
        <f>réel!L62</f>
        <v>0</v>
      </c>
      <c r="M55" s="78">
        <f>réel!M62</f>
        <v>0</v>
      </c>
      <c r="N55" s="79">
        <f>réel!N62</f>
        <v>0</v>
      </c>
      <c r="O55" s="78">
        <f>réel!O62</f>
        <v>0</v>
      </c>
      <c r="P55" s="79">
        <f>réel!P62</f>
        <v>0</v>
      </c>
      <c r="Q55" s="64">
        <f>MIN(réel!A63,4)</f>
        <v>0</v>
      </c>
      <c r="R55" s="64">
        <f>IF(réel!A63&gt;4,A106-4,0)</f>
        <v>0</v>
      </c>
      <c r="S55" s="64">
        <f>SUM(IF(AND($D55&gt;20,MONTH($C$51)=MONTH($B$3)),D55-20,0)+IF(AND($F55&gt;20,MONTH($E$51)=MONTH($B$3)),F55-20,0)+IF(AND($H55&gt;20,MONTH($G$51)=MONTH($B$3)),H55-20,0)+IF(AND($J55&gt;20,MONTH($I$51)=MONTH($B$3)),J55-20,0)+IF(AND($L55&gt;20,MONTH($K$51)=MONTH($B$3)),L55-20,0)+IF(AND($N55&gt;20,MONTH($M$51)=MONTH($B$3)),N55-20,0)+IF(AND($P55&gt;20,MONTH($O$51)=MONTH($B$3)),P55-20,0))</f>
        <v>0</v>
      </c>
      <c r="T55" s="197">
        <f>IF($D$51="férié",IF(MONTH($C$51)=MONTH($B$3),D54+D55-C54-C55,0))+IF($F$51="férié",IF(MONTH($E$51)=MONTH($B$3),F54+F55-E54-E55,0))+IF($H$51="férié",IF(MONTH($G$51)=MONTH($B$3),H54+H55-G54-G55,0))+IF($J$51="férié",IF(MONTH($I$51)=MONTH($B$3),J54+J55-I54-I55,0))+T54</f>
        <v>0</v>
      </c>
    </row>
    <row r="56" spans="1:20" x14ac:dyDescent="0.25">
      <c r="A56" s="7" t="str">
        <f>type!$A$6</f>
        <v>b</v>
      </c>
      <c r="B56" s="91" t="s">
        <v>0</v>
      </c>
      <c r="C56" s="61">
        <f>réel!C64</f>
        <v>8.75</v>
      </c>
      <c r="D56" s="62">
        <f>réel!D64</f>
        <v>12</v>
      </c>
      <c r="E56" s="61">
        <f>réel!E64</f>
        <v>0</v>
      </c>
      <c r="F56" s="62">
        <f>réel!F64</f>
        <v>0</v>
      </c>
      <c r="G56" s="61">
        <f>réel!G64</f>
        <v>8.75</v>
      </c>
      <c r="H56" s="62">
        <f>réel!H64</f>
        <v>13</v>
      </c>
      <c r="I56" s="61">
        <f>réel!I64</f>
        <v>0</v>
      </c>
      <c r="J56" s="62">
        <f>réel!J64</f>
        <v>0</v>
      </c>
      <c r="K56" s="61">
        <f>réel!K64</f>
        <v>8.75</v>
      </c>
      <c r="L56" s="62">
        <f>réel!L64</f>
        <v>12</v>
      </c>
      <c r="M56" s="61">
        <f>réel!M64</f>
        <v>0</v>
      </c>
      <c r="N56" s="62">
        <f>réel!N64</f>
        <v>0</v>
      </c>
      <c r="O56" s="61">
        <f>réel!O64</f>
        <v>0</v>
      </c>
      <c r="P56" s="62">
        <f>réel!P64</f>
        <v>0</v>
      </c>
      <c r="Q56" s="198"/>
      <c r="R56" s="198"/>
      <c r="S56" s="198"/>
      <c r="T56" s="196">
        <f>IF($L$51="férié",IF(MONTH($K$51)=MONTH($B$3),L56+L57-K56-K57,0),0)+IF($N$51="férié",IF(MONTH($M$51)=MONTH($B$3),N56+N57-M56-M57,0),0)+IF($P$51="férié",IF(MONTH($O$51)=MONTH($B$3),P56+P57-O56-O57,0),0)</f>
        <v>0</v>
      </c>
    </row>
    <row r="57" spans="1:20" ht="13.8" thickBot="1" x14ac:dyDescent="0.3">
      <c r="A57" s="187">
        <f>réel!B66</f>
        <v>37</v>
      </c>
      <c r="B57" s="9" t="s">
        <v>1</v>
      </c>
      <c r="C57" s="78">
        <f>réel!C65</f>
        <v>14</v>
      </c>
      <c r="D57" s="79">
        <f>réel!D65</f>
        <v>19</v>
      </c>
      <c r="E57" s="78">
        <f>réel!E65</f>
        <v>14</v>
      </c>
      <c r="F57" s="79">
        <f>réel!F65</f>
        <v>20</v>
      </c>
      <c r="G57" s="78">
        <f>réel!G65</f>
        <v>14.5</v>
      </c>
      <c r="H57" s="79">
        <f>réel!H65</f>
        <v>19</v>
      </c>
      <c r="I57" s="78">
        <f>réel!I65</f>
        <v>14</v>
      </c>
      <c r="J57" s="79">
        <f>réel!J65</f>
        <v>19</v>
      </c>
      <c r="K57" s="78">
        <f>réel!K65</f>
        <v>14</v>
      </c>
      <c r="L57" s="79">
        <f>réel!L65</f>
        <v>19.75</v>
      </c>
      <c r="M57" s="78">
        <f>réel!M65</f>
        <v>0</v>
      </c>
      <c r="N57" s="79">
        <f>réel!N65</f>
        <v>0</v>
      </c>
      <c r="O57" s="78">
        <f>réel!O65</f>
        <v>0</v>
      </c>
      <c r="P57" s="79">
        <f>réel!P65</f>
        <v>0</v>
      </c>
      <c r="Q57" s="64">
        <f>MIN(réel!A66,4)</f>
        <v>0</v>
      </c>
      <c r="R57" s="64">
        <f>IF(réel!A66&gt;4,A109-4,0)</f>
        <v>0</v>
      </c>
      <c r="S57" s="64">
        <f>SUM(IF(AND($D57&gt;20,MONTH($C$51)=MONTH($B$3)),D57-20,0)+IF(AND($F57&gt;20,MONTH($E$51)=MONTH($B$3)),F57-20,0)+IF(AND($H57&gt;20,MONTH($G$51)=MONTH($B$3)),H57-20,0)+IF(AND($J57&gt;20,MONTH($I$51)=MONTH($B$3)),J57-20,0)+IF(AND($L57&gt;20,MONTH($K$51)=MONTH($B$3)),L57-20,0)+IF(AND($N57&gt;20,MONTH($M$51)=MONTH($B$3)),N57-20,0)+IF(AND($P57&gt;20,MONTH($O$51)=MONTH($B$3)),P57-20,0))</f>
        <v>0</v>
      </c>
      <c r="T57" s="197">
        <f>IF($D$51="férié",IF(MONTH($C$51)=MONTH($B$3),D56+D57-C56-C57,0))+IF($F$51="férié",IF(MONTH($E$51)=MONTH($B$3),F56+F57-E56-E57,0))+IF($H$51="férié",IF(MONTH($G$51)=MONTH($B$3),H56+H57-G56-G57,0))+IF($J$51="férié",IF(MONTH($I$51)=MONTH($B$3),J56+J57-I56-I57,0))+T56</f>
        <v>0</v>
      </c>
    </row>
    <row r="58" spans="1:20" x14ac:dyDescent="0.25">
      <c r="A58" s="7" t="str">
        <f>type!$A$9</f>
        <v>y</v>
      </c>
      <c r="B58" s="91" t="s">
        <v>0</v>
      </c>
      <c r="C58" s="61">
        <f>réel!C67</f>
        <v>0</v>
      </c>
      <c r="D58" s="62">
        <f>réel!D67</f>
        <v>0</v>
      </c>
      <c r="E58" s="61">
        <f>réel!E67</f>
        <v>0</v>
      </c>
      <c r="F58" s="62">
        <f>réel!F67</f>
        <v>0</v>
      </c>
      <c r="G58" s="61">
        <f>réel!G67</f>
        <v>0</v>
      </c>
      <c r="H58" s="62">
        <f>réel!H67</f>
        <v>0</v>
      </c>
      <c r="I58" s="61">
        <f>réel!I67</f>
        <v>0</v>
      </c>
      <c r="J58" s="62">
        <f>réel!J67</f>
        <v>0</v>
      </c>
      <c r="K58" s="61">
        <f>réel!K67</f>
        <v>0</v>
      </c>
      <c r="L58" s="62">
        <f>réel!L67</f>
        <v>0</v>
      </c>
      <c r="M58" s="61">
        <f>réel!M67</f>
        <v>0</v>
      </c>
      <c r="N58" s="62">
        <f>réel!N67</f>
        <v>0</v>
      </c>
      <c r="O58" s="61">
        <f>réel!O67</f>
        <v>0</v>
      </c>
      <c r="P58" s="62">
        <f>réel!P67</f>
        <v>0</v>
      </c>
      <c r="Q58" s="198"/>
      <c r="R58" s="198"/>
      <c r="S58" s="198"/>
      <c r="T58" s="196">
        <f>IF($L$51="férié",IF(MONTH($K$51)=MONTH($B$3),L58+L59-K58-K59,0),0)+IF($N$51="férié",IF(MONTH($M$51)=MONTH($B$3),N58+N59-M58-M59,0),0)+IF($P$51="férié",IF(MONTH($O$51)=MONTH($B$3),P58+P59-O58-O59,0),0)</f>
        <v>0</v>
      </c>
    </row>
    <row r="59" spans="1:20" ht="13.8" thickBot="1" x14ac:dyDescent="0.3">
      <c r="A59" s="188">
        <f>réel!B69</f>
        <v>0</v>
      </c>
      <c r="B59" s="60" t="s">
        <v>1</v>
      </c>
      <c r="C59" s="250">
        <f>réel!C68</f>
        <v>0</v>
      </c>
      <c r="D59" s="251">
        <f>réel!D68</f>
        <v>0</v>
      </c>
      <c r="E59" s="250">
        <f>réel!E68</f>
        <v>0</v>
      </c>
      <c r="F59" s="251">
        <f>réel!F68</f>
        <v>0</v>
      </c>
      <c r="G59" s="250">
        <f>réel!G68</f>
        <v>0</v>
      </c>
      <c r="H59" s="251">
        <f>réel!H68</f>
        <v>0</v>
      </c>
      <c r="I59" s="250">
        <f>réel!I68</f>
        <v>0</v>
      </c>
      <c r="J59" s="251">
        <f>réel!J68</f>
        <v>0</v>
      </c>
      <c r="K59" s="250">
        <f>réel!K68</f>
        <v>0</v>
      </c>
      <c r="L59" s="251">
        <f>réel!L68</f>
        <v>0</v>
      </c>
      <c r="M59" s="250">
        <f>réel!M68</f>
        <v>0</v>
      </c>
      <c r="N59" s="251">
        <f>réel!N68</f>
        <v>0</v>
      </c>
      <c r="O59" s="250">
        <f>réel!O68</f>
        <v>0</v>
      </c>
      <c r="P59" s="251">
        <f>réel!P68</f>
        <v>0</v>
      </c>
      <c r="Q59" s="64">
        <f>MIN(réel!A69,4)</f>
        <v>0</v>
      </c>
      <c r="R59" s="64">
        <f>IF(réel!A69&gt;4,A112-4,0)</f>
        <v>0</v>
      </c>
      <c r="S59" s="64">
        <f>SUM(IF(AND($D59&gt;20,MONTH($C$51)=MONTH($B$3)),D59-20,0)+IF(AND($F59&gt;20,MONTH($E$51)=MONTH($B$3)),F59-20,0)+IF(AND($H59&gt;20,MONTH($G$51)=MONTH($B$3)),H59-20,0)+IF(AND($J59&gt;20,MONTH($I$51)=MONTH($B$3)),J59-20,0)+IF(AND($L59&gt;20,MONTH($K$51)=MONTH($B$3)),L59-20,0)+IF(AND($N59&gt;20,MONTH($M$51)=MONTH($B$3)),N59-20,0)+IF(AND($P59&gt;20,MONTH($O$51)=MONTH($B$3)),P59-20,0))</f>
        <v>0</v>
      </c>
      <c r="T59" s="197">
        <f>IF($D$51="férié",IF(MONTH($C$51)=MONTH($B$3),D58+D59-C58-C59,0))+IF($F$51="férié",IF(MONTH($E$51)=MONTH($B$3),F58+F59-E58-E59,0))+IF($H$51="férié",IF(MONTH($G$51)=MONTH($B$3),H58+H59-G58-G59,0))+IF($J$51="férié",IF(MONTH($I$51)=MONTH($B$3),J58+J59-I58-I59,0))+T58</f>
        <v>0</v>
      </c>
    </row>
    <row r="60" spans="1:20" ht="13.8" thickBot="1" x14ac:dyDescent="0.3"/>
    <row r="61" spans="1:20" ht="13.8" thickBot="1" x14ac:dyDescent="0.3">
      <c r="A61" s="55" t="s">
        <v>14</v>
      </c>
      <c r="B61" s="56">
        <f>horaire!$B$71</f>
        <v>3</v>
      </c>
      <c r="C61" s="268" t="str">
        <f>IF(ISNA(MATCH(C62,scol!$D$4:$D$15,1))=TRUE,"",IF(MOD(MATCH(C62,scol!$D$4:$D$15,1),2)=1,"vacances",""))</f>
        <v>vacances</v>
      </c>
      <c r="D61" s="269"/>
      <c r="E61" s="268" t="str">
        <f>IF(ISNA(MATCH(E62,scol!$D$4:$D$15,1))=TRUE,"",IF(MOD(MATCH(E62,scol!$D$4:$D$15,1),2)=1,"vacances",""))</f>
        <v>vacances</v>
      </c>
      <c r="F61" s="269"/>
      <c r="G61" s="268" t="str">
        <f>IF(ISNA(MATCH(G62,scol!$D$4:$D$15,1))=TRUE,"",IF(MOD(MATCH(G62,scol!$D$4:$D$15,1),2)=1,"vacances",""))</f>
        <v>vacances</v>
      </c>
      <c r="H61" s="269"/>
      <c r="I61" s="268" t="str">
        <f>IF(ISNA(MATCH(I62,scol!$D$4:$D$15,1))=TRUE,"",IF(MOD(MATCH(I62,scol!$D$4:$D$15,1),2)=1,"vacances",""))</f>
        <v>vacances</v>
      </c>
      <c r="J61" s="269"/>
      <c r="K61" s="268" t="str">
        <f>IF(ISNA(MATCH(K62,scol!$D$4:$D$15,1))=TRUE,"",IF(MOD(MATCH(K62,scol!$D$4:$D$15,1),2)=1,"vacances",""))</f>
        <v>vacances</v>
      </c>
      <c r="L61" s="269"/>
      <c r="M61" s="268" t="str">
        <f>IF(ISNA(MATCH(M62,scol!$D$4:$D$15,1))=TRUE,"",IF(MOD(MATCH(M62,scol!$D$4:$D$15,1),2)=1,"vacances",""))</f>
        <v>vacances</v>
      </c>
      <c r="N61" s="269"/>
      <c r="O61" s="268" t="str">
        <f>IF(ISNA(MATCH(O62,scol!$D$4:$D$15,1))=TRUE,"",IF(MOD(MATCH(O62,scol!$D$4:$D$15,1),2)=1,"vacances",""))</f>
        <v>vacances</v>
      </c>
      <c r="P61" s="269"/>
    </row>
    <row r="62" spans="1:20" ht="13.8" thickBot="1" x14ac:dyDescent="0.3">
      <c r="A62" s="25" t="s">
        <v>10</v>
      </c>
      <c r="B62" s="24">
        <f>B51+1</f>
        <v>44</v>
      </c>
      <c r="C62" s="35">
        <f>M51+2</f>
        <v>44501</v>
      </c>
      <c r="D62" s="8" t="str">
        <f>IF(ISNA(VLOOKUP($C62,feries!$B$5:$B$31,1,FALSE)),"",IF(VLOOKUP($C62,feries!$B$5:$B$31,1,FALSE)=$C62,"férié",""))</f>
        <v>férié</v>
      </c>
      <c r="E62" s="35">
        <f>C62+1</f>
        <v>44502</v>
      </c>
      <c r="F62" s="8" t="str">
        <f>IF(ISNA(VLOOKUP($E62,feries!$B$5:$B$31,1,FALSE)),"",IF(VLOOKUP($E62,feries!$B$5:$B$31,1,FALSE)=$E62,"férié",""))</f>
        <v/>
      </c>
      <c r="G62" s="35">
        <f>E62+1</f>
        <v>44503</v>
      </c>
      <c r="H62" s="8" t="str">
        <f>IF(ISNA(VLOOKUP($G62,feries!$B$5:$B$31,1,FALSE)),"",IF(VLOOKUP($G62,feries!$B$5:$B$31,1,FALSE)=$G62,"férié",""))</f>
        <v/>
      </c>
      <c r="I62" s="35">
        <f>G62+1</f>
        <v>44504</v>
      </c>
      <c r="J62" s="8" t="str">
        <f>IF(ISNA(VLOOKUP($I62,feries!$B$5:$B$31,1,FALSE)),"",IF(VLOOKUP($I62,feries!$B$5:$B$31,1,FALSE)=$I62,"férié",""))</f>
        <v/>
      </c>
      <c r="K62" s="35">
        <f>I62+1</f>
        <v>44505</v>
      </c>
      <c r="L62" s="8" t="str">
        <f>IF(ISNA(VLOOKUP($K62,feries!$B$5:$B$31,1,FALSE)),"",IF(VLOOKUP($K62,feries!$B$5:$B$31,1,FALSE)=$K62,"férié",""))</f>
        <v/>
      </c>
      <c r="M62" s="76">
        <f>K62+1</f>
        <v>44506</v>
      </c>
      <c r="N62" s="8" t="str">
        <f>IF(ISNA(VLOOKUP($M62,feries!$B$5:$B$31,1,FALSE)),"",IF(VLOOKUP($M62,feries!$B$5:$B$31,1,FALSE)=$M62,"férié",""))</f>
        <v/>
      </c>
      <c r="O62" s="76">
        <f>M62+1</f>
        <v>44507</v>
      </c>
      <c r="P62" s="8" t="str">
        <f>IF(ISNA(VLOOKUP($O62,feries!$B$5:$B$31,1,FALSE)),"",IF(VLOOKUP($O62,feries!$B$5:$B$31,1,FALSE)=$O62,"férié",""))</f>
        <v/>
      </c>
      <c r="Q62" s="255"/>
      <c r="R62" s="253"/>
    </row>
    <row r="63" spans="1:20" ht="13.8" thickBot="1" x14ac:dyDescent="0.3">
      <c r="A63" s="88" t="s">
        <v>39</v>
      </c>
      <c r="B63" s="89" t="s">
        <v>0</v>
      </c>
      <c r="C63" s="270">
        <f>COUNTIF($C$65:$C$70,"&lt;=11")-COUNTIF($C$65:$C$70,"=0")</f>
        <v>2</v>
      </c>
      <c r="D63" s="271"/>
      <c r="E63" s="270">
        <f>COUNTIF($E$65:$E$70,"&lt;=11")-COUNTIF($E$65:$E$70,"=0")</f>
        <v>1</v>
      </c>
      <c r="F63" s="271"/>
      <c r="G63" s="270">
        <f>COUNTIF($G$65:$G$70,"&lt;=11")-COUNTIF($G$65:$G$70,"=0")</f>
        <v>1</v>
      </c>
      <c r="H63" s="271"/>
      <c r="I63" s="270">
        <f>COUNTIF($I$65:$I$70,"&lt;=11")-COUNTIF($I$65:$I$70,"=0")</f>
        <v>0</v>
      </c>
      <c r="J63" s="271"/>
      <c r="K63" s="270">
        <f>COUNTIF($K$65:$K$70,"&lt;=11")-COUNTIF($K$65:$K$70,"=0")</f>
        <v>2</v>
      </c>
      <c r="L63" s="271"/>
      <c r="M63" s="270">
        <f>COUNTIF($M$65:$M$70,"&lt;=11")-COUNTIF($M$65:$M$70,"=0")</f>
        <v>0</v>
      </c>
      <c r="N63" s="271"/>
      <c r="O63" s="270">
        <f>COUNTIF($O$65:$O$70,"&lt;=11")-COUNTIF($O$65:$O$70,"=0")</f>
        <v>0</v>
      </c>
      <c r="P63" s="271"/>
      <c r="Q63" s="256"/>
      <c r="R63" s="33"/>
    </row>
    <row r="64" spans="1:20" ht="13.8" thickBot="1" x14ac:dyDescent="0.3">
      <c r="A64" s="88"/>
      <c r="B64" s="89" t="s">
        <v>1</v>
      </c>
      <c r="C64" s="270">
        <f>COUNTIF($D$65:$D$70,"&gt;19")</f>
        <v>1</v>
      </c>
      <c r="D64" s="271"/>
      <c r="E64" s="270">
        <f>COUNTIF($F$65:$F$70,"&gt;19")</f>
        <v>1</v>
      </c>
      <c r="F64" s="271"/>
      <c r="G64" s="270">
        <f>COUNTIF($H$65:$H$70,"&gt;19")</f>
        <v>1</v>
      </c>
      <c r="H64" s="271"/>
      <c r="I64" s="270">
        <f>COUNTIF($J$65:$J$70,"&gt;19")</f>
        <v>1</v>
      </c>
      <c r="J64" s="271"/>
      <c r="K64" s="270">
        <f>COUNTIF($L$65:$L$70,"&gt;19")</f>
        <v>1</v>
      </c>
      <c r="L64" s="271"/>
      <c r="M64" s="270">
        <f>COUNTIF($N$65:$N$70,"&gt;19")</f>
        <v>0</v>
      </c>
      <c r="N64" s="271"/>
      <c r="O64" s="270">
        <f>COUNTIF($P$65:$P$70,"&gt;19")</f>
        <v>0</v>
      </c>
      <c r="P64" s="271"/>
      <c r="Q64" s="15" t="s">
        <v>117</v>
      </c>
      <c r="R64" s="15" t="s">
        <v>118</v>
      </c>
      <c r="S64" s="15" t="s">
        <v>119</v>
      </c>
      <c r="T64" s="38" t="s">
        <v>120</v>
      </c>
    </row>
    <row r="65" spans="1:20" x14ac:dyDescent="0.25">
      <c r="A65" s="7" t="str">
        <f>type!$A$3</f>
        <v>a</v>
      </c>
      <c r="B65" s="91" t="s">
        <v>0</v>
      </c>
      <c r="C65" s="61">
        <f>réel!C73</f>
        <v>8.75</v>
      </c>
      <c r="D65" s="62">
        <f>réel!D73</f>
        <v>12</v>
      </c>
      <c r="E65" s="61">
        <f>réel!E73</f>
        <v>8.75</v>
      </c>
      <c r="F65" s="62">
        <f>réel!F73</f>
        <v>13</v>
      </c>
      <c r="G65" s="61">
        <f>réel!G73</f>
        <v>0</v>
      </c>
      <c r="H65" s="62">
        <f>réel!H73</f>
        <v>0</v>
      </c>
      <c r="I65" s="61">
        <f>réel!I73</f>
        <v>0</v>
      </c>
      <c r="J65" s="62">
        <f>réel!J73</f>
        <v>0</v>
      </c>
      <c r="K65" s="61">
        <f>réel!K73</f>
        <v>8.75</v>
      </c>
      <c r="L65" s="62">
        <f>réel!L73</f>
        <v>12</v>
      </c>
      <c r="M65" s="61">
        <f>réel!M73</f>
        <v>0</v>
      </c>
      <c r="N65" s="62">
        <f>réel!N73</f>
        <v>0</v>
      </c>
      <c r="O65" s="61">
        <f>réel!O73</f>
        <v>0</v>
      </c>
      <c r="P65" s="62">
        <f>réel!P73</f>
        <v>0</v>
      </c>
      <c r="Q65" s="198"/>
      <c r="R65" s="198"/>
      <c r="S65" s="198"/>
      <c r="T65" s="196">
        <f>IF($L$62="férié",IF(MONTH($K$62)=MONTH($B$3),L65+L66-K65-K66,0),0)+IF($N$62="férié",IF(MONTH($M$62)=MONTH($B$3),N65+N66-M65-M66,0),0)+IF($P$62="férié",IF(MONTH($O$62)=MONTH($B$3),P65+P66-O65-O66,0),0)</f>
        <v>0</v>
      </c>
    </row>
    <row r="66" spans="1:20" ht="13.8" thickBot="1" x14ac:dyDescent="0.3">
      <c r="A66" s="187">
        <f>réel!B75</f>
        <v>37</v>
      </c>
      <c r="B66" s="9" t="s">
        <v>1</v>
      </c>
      <c r="C66" s="78">
        <f>réel!C74</f>
        <v>14</v>
      </c>
      <c r="D66" s="79">
        <f>réel!D74</f>
        <v>19</v>
      </c>
      <c r="E66" s="78">
        <f>réel!E74</f>
        <v>14.5</v>
      </c>
      <c r="F66" s="79">
        <f>réel!F74</f>
        <v>20</v>
      </c>
      <c r="G66" s="78">
        <f>réel!G74</f>
        <v>14</v>
      </c>
      <c r="H66" s="79">
        <f>réel!H74</f>
        <v>19</v>
      </c>
      <c r="I66" s="78">
        <f>réel!I74</f>
        <v>14</v>
      </c>
      <c r="J66" s="79">
        <f>réel!J74</f>
        <v>19</v>
      </c>
      <c r="K66" s="78">
        <f>réel!K74</f>
        <v>14</v>
      </c>
      <c r="L66" s="79">
        <f>réel!L74</f>
        <v>19.75</v>
      </c>
      <c r="M66" s="78">
        <f>réel!M74</f>
        <v>0</v>
      </c>
      <c r="N66" s="79">
        <f>réel!N74</f>
        <v>0</v>
      </c>
      <c r="O66" s="78">
        <f>réel!O74</f>
        <v>0</v>
      </c>
      <c r="P66" s="79">
        <f>réel!P74</f>
        <v>0</v>
      </c>
      <c r="Q66" s="64">
        <f>MIN(réel!A75,4)</f>
        <v>0</v>
      </c>
      <c r="R66" s="64">
        <f>IF(réel!A75&gt;4,A145-4,0)</f>
        <v>0</v>
      </c>
      <c r="S66" s="64">
        <f>SUM(IF(AND($D66&gt;20,MONTH($C$62)=MONTH($B$3)),D66-20,0)+IF(AND($F66&gt;20,MONTH($E$62)=MONTH($B$3)),F66-20,0)+IF(AND($H66&gt;20,MONTH($G$62)=MONTH($B$3)),H66-20,0)+IF(AND($J66&gt;20,MONTH($I$62)=MONTH($B$3)),J66-20,0)+IF(AND($L66&gt;20,MONTH($K$62)=MONTH($B$3)),L66-20,0)+IF(AND($N66&gt;20,MONTH($M$62)=MONTH($B$3)),N66-20,0)+IF(AND($P66&gt;20,MONTH($O$62)=MONTH($B$3)),P66-20,0))</f>
        <v>0</v>
      </c>
      <c r="T66" s="197">
        <f>IF($D$62="férié",IF(MONTH($C$62)=MONTH($B$3),D65+D66-C65-C66,0))+IF($F$62="férié",IF(MONTH($E$62)=MONTH($B$3),F65+F66-E65-E66,0))+IF($H$62="férié",IF(MONTH($G$1047)=MONTH($B$3),H65+H66-G65-G66,0))+IF($J$62="férié",IF(MONTH($I$62)=MONTH($B$3),J65+J66-I65-I66,0))+T65</f>
        <v>0</v>
      </c>
    </row>
    <row r="67" spans="1:20" x14ac:dyDescent="0.25">
      <c r="A67" s="7" t="str">
        <f>type!$A$6</f>
        <v>b</v>
      </c>
      <c r="B67" s="91" t="s">
        <v>0</v>
      </c>
      <c r="C67" s="61">
        <f>réel!C76</f>
        <v>8.75</v>
      </c>
      <c r="D67" s="62">
        <f>réel!D76</f>
        <v>13</v>
      </c>
      <c r="E67" s="61">
        <f>réel!E76</f>
        <v>0</v>
      </c>
      <c r="F67" s="62">
        <f>réel!F76</f>
        <v>0</v>
      </c>
      <c r="G67" s="61">
        <f>réel!G76</f>
        <v>8.75</v>
      </c>
      <c r="H67" s="62">
        <f>réel!H76</f>
        <v>13</v>
      </c>
      <c r="I67" s="61">
        <f>réel!I76</f>
        <v>0</v>
      </c>
      <c r="J67" s="62">
        <f>réel!J76</f>
        <v>0</v>
      </c>
      <c r="K67" s="61">
        <f>réel!K76</f>
        <v>8.75</v>
      </c>
      <c r="L67" s="62">
        <f>réel!L76</f>
        <v>13</v>
      </c>
      <c r="M67" s="61">
        <f>réel!M76</f>
        <v>0</v>
      </c>
      <c r="N67" s="62">
        <f>réel!N76</f>
        <v>0</v>
      </c>
      <c r="O67" s="61">
        <f>réel!O76</f>
        <v>0</v>
      </c>
      <c r="P67" s="62">
        <f>réel!P76</f>
        <v>0</v>
      </c>
      <c r="Q67" s="198"/>
      <c r="R67" s="198"/>
      <c r="S67" s="198"/>
      <c r="T67" s="196">
        <f>IF($L$62="férié",IF(MONTH($K$62)=MONTH($B$3),L67+L68-K67-K68,0),0)+IF($N$62="férié",IF(MONTH($M$62)=MONTH($B$3),N67+N68-M67-M68,0),0)+IF($P$62="férié",IF(MONTH($O$62)=MONTH($B$3),P67+P68-O67-O68,0),0)</f>
        <v>0</v>
      </c>
    </row>
    <row r="68" spans="1:20" ht="13.8" thickBot="1" x14ac:dyDescent="0.3">
      <c r="A68" s="187">
        <f>réel!B78</f>
        <v>34.75</v>
      </c>
      <c r="B68" s="9" t="s">
        <v>1</v>
      </c>
      <c r="C68" s="78">
        <f>réel!C77</f>
        <v>14.5</v>
      </c>
      <c r="D68" s="79">
        <f>réel!D77</f>
        <v>20</v>
      </c>
      <c r="E68" s="78">
        <f>réel!E77</f>
        <v>14</v>
      </c>
      <c r="F68" s="79">
        <f>réel!F77</f>
        <v>19</v>
      </c>
      <c r="G68" s="78">
        <f>réel!G77</f>
        <v>14.5</v>
      </c>
      <c r="H68" s="79">
        <f>réel!H77</f>
        <v>20</v>
      </c>
      <c r="I68" s="78">
        <f>réel!I77</f>
        <v>14</v>
      </c>
      <c r="J68" s="79">
        <f>réel!J77</f>
        <v>20</v>
      </c>
      <c r="K68" s="78">
        <f>réel!K77</f>
        <v>0</v>
      </c>
      <c r="L68" s="79">
        <f>réel!L77</f>
        <v>0</v>
      </c>
      <c r="M68" s="78">
        <f>réel!M77</f>
        <v>0</v>
      </c>
      <c r="N68" s="79">
        <f>réel!N77</f>
        <v>0</v>
      </c>
      <c r="O68" s="78">
        <f>réel!O77</f>
        <v>0</v>
      </c>
      <c r="P68" s="79">
        <f>réel!P77</f>
        <v>0</v>
      </c>
      <c r="Q68" s="64">
        <f>MIN(réel!A78,4)</f>
        <v>0</v>
      </c>
      <c r="R68" s="64">
        <f>IF(réel!A78&gt;4,A148-4,0)</f>
        <v>0</v>
      </c>
      <c r="S68" s="64">
        <f>SUM(IF(AND($D68&gt;20,MONTH($C$62)=MONTH($B$3)),D68-20,0)+IF(AND($F68&gt;20,MONTH($E$62)=MONTH($B$3)),F68-20,0)+IF(AND($H68&gt;20,MONTH($G$62)=MONTH($B$3)),H68-20,0)+IF(AND($J68&gt;20,MONTH($I$62)=MONTH($B$3)),J68-20,0)+IF(AND($L68&gt;20,MONTH($K$62)=MONTH($B$3)),L68-20,0)+IF(AND($N68&gt;20,MONTH($M$62)=MONTH($B$3)),N68-20,0)+IF(AND($P68&gt;20,MONTH($O$62)=MONTH($B$3)),P68-20,0))</f>
        <v>0</v>
      </c>
      <c r="T68" s="197">
        <f>IF($D$62="férié",IF(MONTH($C$62)=MONTH($B$3),D67+D68-C67-C68,0))+IF($F$62="férié",IF(MONTH($E$62)=MONTH($B$3),F67+F68-E67-E68,0))+IF($H$62="férié",IF(MONTH($G$1047)=MONTH($B$3),H67+H68-G67-G68,0))+IF($J$62="férié",IF(MONTH($I$62)=MONTH($B$3),J67+J68-I67-I68,0))+T67</f>
        <v>0</v>
      </c>
    </row>
    <row r="69" spans="1:20" x14ac:dyDescent="0.25">
      <c r="A69" s="7" t="str">
        <f>type!$A$9</f>
        <v>y</v>
      </c>
      <c r="B69" s="91" t="s">
        <v>0</v>
      </c>
      <c r="C69" s="61">
        <f>réel!C79</f>
        <v>0</v>
      </c>
      <c r="D69" s="62">
        <f>réel!D79</f>
        <v>0</v>
      </c>
      <c r="E69" s="61">
        <f>réel!E79</f>
        <v>0</v>
      </c>
      <c r="F69" s="62">
        <f>réel!F79</f>
        <v>0</v>
      </c>
      <c r="G69" s="61">
        <f>réel!G79</f>
        <v>0</v>
      </c>
      <c r="H69" s="62">
        <f>réel!H79</f>
        <v>0</v>
      </c>
      <c r="I69" s="61">
        <f>réel!I79</f>
        <v>0</v>
      </c>
      <c r="J69" s="62">
        <f>réel!J79</f>
        <v>0</v>
      </c>
      <c r="K69" s="61">
        <f>réel!K79</f>
        <v>0</v>
      </c>
      <c r="L69" s="62">
        <f>réel!L79</f>
        <v>0</v>
      </c>
      <c r="M69" s="61">
        <f>réel!M79</f>
        <v>0</v>
      </c>
      <c r="N69" s="62">
        <f>réel!N79</f>
        <v>0</v>
      </c>
      <c r="O69" s="61">
        <f>réel!O79</f>
        <v>0</v>
      </c>
      <c r="P69" s="62">
        <f>réel!P79</f>
        <v>0</v>
      </c>
      <c r="Q69" s="198"/>
      <c r="R69" s="198"/>
      <c r="S69" s="198"/>
      <c r="T69" s="196">
        <f>IF($L$62="férié",IF(MONTH($K$62)=MONTH($B$3),L69+L70-K69-K70,0),0)+IF($N$62="férié",IF(MONTH($M$62)=MONTH($B$3),N69+N70-M69-M70,0),0)+IF($P$62="férié",IF(MONTH($O$62)=MONTH($B$3),P69+P70-O69-O70,0),0)</f>
        <v>0</v>
      </c>
    </row>
    <row r="70" spans="1:20" ht="13.8" thickBot="1" x14ac:dyDescent="0.3">
      <c r="A70" s="187">
        <f>réel!B81</f>
        <v>0</v>
      </c>
      <c r="B70" s="9" t="s">
        <v>1</v>
      </c>
      <c r="C70" s="78">
        <f>réel!C80</f>
        <v>0</v>
      </c>
      <c r="D70" s="79">
        <f>réel!D80</f>
        <v>0</v>
      </c>
      <c r="E70" s="78">
        <f>réel!E80</f>
        <v>0</v>
      </c>
      <c r="F70" s="79">
        <f>réel!F80</f>
        <v>0</v>
      </c>
      <c r="G70" s="78">
        <f>réel!G80</f>
        <v>0</v>
      </c>
      <c r="H70" s="79">
        <f>réel!H80</f>
        <v>0</v>
      </c>
      <c r="I70" s="78">
        <f>réel!I80</f>
        <v>0</v>
      </c>
      <c r="J70" s="79">
        <f>réel!J80</f>
        <v>0</v>
      </c>
      <c r="K70" s="78">
        <f>réel!K80</f>
        <v>0</v>
      </c>
      <c r="L70" s="79">
        <f>réel!L80</f>
        <v>0</v>
      </c>
      <c r="M70" s="78">
        <f>réel!M80</f>
        <v>0</v>
      </c>
      <c r="N70" s="79">
        <f>réel!N80</f>
        <v>0</v>
      </c>
      <c r="O70" s="78">
        <f>réel!O80</f>
        <v>0</v>
      </c>
      <c r="P70" s="79">
        <f>réel!P80</f>
        <v>0</v>
      </c>
      <c r="Q70" s="64">
        <f>MIN(réel!A81,4)</f>
        <v>0</v>
      </c>
      <c r="R70" s="64">
        <f>IF(réel!A81&gt;4,A151-4,0)</f>
        <v>0</v>
      </c>
      <c r="S70" s="64">
        <f>SUM(IF(AND($D70&gt;20,MONTH($C$62)=MONTH($B$3)),D70-20,0)+IF(AND($F70&gt;20,MONTH($E$62)=MONTH($B$3)),F70-20,0)+IF(AND($H70&gt;20,MONTH($G$62)=MONTH($B$3)),H70-20,0)+IF(AND($J70&gt;20,MONTH($I$62)=MONTH($B$3)),J70-20,0)+IF(AND($L70&gt;20,MONTH($K$62)=MONTH($B$3)),L70-20,0)+IF(AND($N70&gt;20,MONTH($M$62)=MONTH($B$3)),N70-20,0)+IF(AND($P70&gt;20,MONTH($O$62)=MONTH($B$3)),P70-20,0))</f>
        <v>0</v>
      </c>
      <c r="T70" s="197">
        <f>IF($D$62="férié",IF(MONTH($C$62)=MONTH($B$3),D69+D70-C69-C70,0))+IF($F$62="férié",IF(MONTH($E$62)=MONTH($B$3),F69+F70-E69-E70,0))+IF($H$62="férié",IF(MONTH($G$1047)=MONTH($B$3),H69+H70-G69-G70,0))+IF($J$62="férié",IF(MONTH($I$62)=MONTH($B$3),J69+J70-I69-I70,0))+T69</f>
        <v>0</v>
      </c>
    </row>
    <row r="71" spans="1:20" ht="13.8" thickBot="1" x14ac:dyDescent="0.3">
      <c r="A71" s="88"/>
      <c r="B71" s="88"/>
      <c r="C71" s="88"/>
      <c r="D71" s="88" t="s">
        <v>124</v>
      </c>
      <c r="E71" s="88" t="s">
        <v>125</v>
      </c>
      <c r="F71" s="88" t="s">
        <v>126</v>
      </c>
      <c r="G71" s="88" t="s">
        <v>127</v>
      </c>
      <c r="H71" s="88"/>
      <c r="I71" s="88"/>
      <c r="J71" s="88"/>
      <c r="K71" s="88"/>
      <c r="L71" s="88"/>
      <c r="M71" s="88"/>
      <c r="N71" s="234"/>
    </row>
    <row r="72" spans="1:20" ht="13.8" thickBot="1" x14ac:dyDescent="0.3">
      <c r="A72" s="15" t="str">
        <f>type!$A$3</f>
        <v>a</v>
      </c>
      <c r="B72" s="15"/>
      <c r="C72" s="199"/>
      <c r="D72" s="199">
        <f>Q11+Q22+Q33+Q44+Q55+Q66</f>
        <v>0</v>
      </c>
      <c r="E72" s="199">
        <f>R11+R22+R33+R44+R55+R66</f>
        <v>0</v>
      </c>
      <c r="F72" s="199">
        <f>S11+S22+S33+S44+S55+S66</f>
        <v>0</v>
      </c>
      <c r="G72" s="199">
        <v>0</v>
      </c>
      <c r="H72" s="199"/>
      <c r="I72" s="199"/>
      <c r="J72" s="200"/>
      <c r="K72" s="200"/>
      <c r="L72" s="200"/>
      <c r="M72" s="200"/>
      <c r="N72" s="200"/>
    </row>
    <row r="73" spans="1:20" ht="13.8" thickBot="1" x14ac:dyDescent="0.3">
      <c r="A73" s="15" t="str">
        <f>type!$A$6</f>
        <v>b</v>
      </c>
      <c r="B73" s="15"/>
      <c r="C73" s="199"/>
      <c r="D73" s="199">
        <f>Q13+Q24+Q35+Q46+Q57+Q68</f>
        <v>3.25</v>
      </c>
      <c r="E73" s="199">
        <f>R13+R24+R35+R46+R57+R68</f>
        <v>0</v>
      </c>
      <c r="F73" s="199">
        <f>S13+S24+S35+S46+S57+S68</f>
        <v>0</v>
      </c>
      <c r="G73" s="199">
        <v>0</v>
      </c>
      <c r="H73" s="199"/>
      <c r="I73" s="199"/>
      <c r="J73" s="200"/>
      <c r="K73" s="200"/>
      <c r="L73" s="200"/>
      <c r="M73" s="200"/>
      <c r="N73" s="200"/>
    </row>
    <row r="74" spans="1:20" ht="13.8" thickBot="1" x14ac:dyDescent="0.3">
      <c r="A74" s="15" t="str">
        <f>type!$A$9</f>
        <v>y</v>
      </c>
      <c r="B74" s="15"/>
      <c r="C74" s="199"/>
      <c r="D74" s="199">
        <f>Q15+Q26+Q37+Q48+Q59+Q70</f>
        <v>0</v>
      </c>
      <c r="E74" s="199">
        <f>R15+R26+R37+R48+R59+R70</f>
        <v>0</v>
      </c>
      <c r="F74" s="199">
        <f>S15+S26+S37+S48+S59+S70</f>
        <v>0</v>
      </c>
      <c r="G74" s="199">
        <f>T15+T26+T37+T48+T59+T70</f>
        <v>0</v>
      </c>
      <c r="H74" s="199"/>
      <c r="I74" s="199"/>
      <c r="J74" s="200"/>
      <c r="K74" s="200"/>
      <c r="L74" s="200"/>
      <c r="M74" s="200"/>
      <c r="N74" s="200"/>
    </row>
  </sheetData>
  <mergeCells count="126">
    <mergeCell ref="M63:N63"/>
    <mergeCell ref="O63:P63"/>
    <mergeCell ref="C64:D64"/>
    <mergeCell ref="E64:F64"/>
    <mergeCell ref="G64:H64"/>
    <mergeCell ref="I64:J64"/>
    <mergeCell ref="K64:L64"/>
    <mergeCell ref="M64:N64"/>
    <mergeCell ref="O64:P64"/>
    <mergeCell ref="C63:D63"/>
    <mergeCell ref="E63:F63"/>
    <mergeCell ref="G63:H63"/>
    <mergeCell ref="I63:J63"/>
    <mergeCell ref="K63:L63"/>
    <mergeCell ref="O42:P42"/>
    <mergeCell ref="O8:P8"/>
    <mergeCell ref="O9:P9"/>
    <mergeCell ref="O19:P19"/>
    <mergeCell ref="O20:P20"/>
    <mergeCell ref="O30:P30"/>
    <mergeCell ref="O31:P31"/>
    <mergeCell ref="O28:P28"/>
    <mergeCell ref="O39:P39"/>
    <mergeCell ref="O41:P41"/>
    <mergeCell ref="C19:D19"/>
    <mergeCell ref="E19:F19"/>
    <mergeCell ref="G19:H19"/>
    <mergeCell ref="I19:J19"/>
    <mergeCell ref="C9:D9"/>
    <mergeCell ref="E9:F9"/>
    <mergeCell ref="G9:H9"/>
    <mergeCell ref="I9:J9"/>
    <mergeCell ref="M9:N9"/>
    <mergeCell ref="K19:L19"/>
    <mergeCell ref="M19:N19"/>
    <mergeCell ref="G31:H31"/>
    <mergeCell ref="I31:J31"/>
    <mergeCell ref="C39:D39"/>
    <mergeCell ref="E39:F39"/>
    <mergeCell ref="I30:J30"/>
    <mergeCell ref="G20:H20"/>
    <mergeCell ref="I20:J20"/>
    <mergeCell ref="K20:L20"/>
    <mergeCell ref="M20:N20"/>
    <mergeCell ref="G28:H28"/>
    <mergeCell ref="I28:J28"/>
    <mergeCell ref="K28:L28"/>
    <mergeCell ref="M28:N28"/>
    <mergeCell ref="C20:D20"/>
    <mergeCell ref="E20:F20"/>
    <mergeCell ref="C30:D30"/>
    <mergeCell ref="E30:F30"/>
    <mergeCell ref="G30:H30"/>
    <mergeCell ref="E28:F28"/>
    <mergeCell ref="C28:D28"/>
    <mergeCell ref="K30:L30"/>
    <mergeCell ref="M30:N30"/>
    <mergeCell ref="C42:D42"/>
    <mergeCell ref="E42:F42"/>
    <mergeCell ref="C52:D52"/>
    <mergeCell ref="E52:F52"/>
    <mergeCell ref="G52:H52"/>
    <mergeCell ref="G42:H42"/>
    <mergeCell ref="I42:J42"/>
    <mergeCell ref="K31:L31"/>
    <mergeCell ref="M31:N31"/>
    <mergeCell ref="K41:L41"/>
    <mergeCell ref="M41:N41"/>
    <mergeCell ref="K42:L42"/>
    <mergeCell ref="M42:N42"/>
    <mergeCell ref="G39:H39"/>
    <mergeCell ref="I39:J39"/>
    <mergeCell ref="K39:L39"/>
    <mergeCell ref="M39:N39"/>
    <mergeCell ref="M50:N50"/>
    <mergeCell ref="C41:D41"/>
    <mergeCell ref="E41:F41"/>
    <mergeCell ref="G41:H41"/>
    <mergeCell ref="I41:J41"/>
    <mergeCell ref="C31:D31"/>
    <mergeCell ref="E31:F31"/>
    <mergeCell ref="O6:P6"/>
    <mergeCell ref="C17:D17"/>
    <mergeCell ref="E17:F17"/>
    <mergeCell ref="G17:H17"/>
    <mergeCell ref="I17:J17"/>
    <mergeCell ref="K17:L17"/>
    <mergeCell ref="M17:N17"/>
    <mergeCell ref="O17:P17"/>
    <mergeCell ref="E6:F6"/>
    <mergeCell ref="G6:H6"/>
    <mergeCell ref="I6:J6"/>
    <mergeCell ref="K6:L6"/>
    <mergeCell ref="M6:N6"/>
    <mergeCell ref="C6:D6"/>
    <mergeCell ref="K8:L8"/>
    <mergeCell ref="K9:L9"/>
    <mergeCell ref="C8:D8"/>
    <mergeCell ref="E8:F8"/>
    <mergeCell ref="G8:H8"/>
    <mergeCell ref="I8:J8"/>
    <mergeCell ref="M8:N8"/>
    <mergeCell ref="O50:P50"/>
    <mergeCell ref="C61:D61"/>
    <mergeCell ref="E61:F61"/>
    <mergeCell ref="G61:H61"/>
    <mergeCell ref="I61:J61"/>
    <mergeCell ref="K61:L61"/>
    <mergeCell ref="M61:N61"/>
    <mergeCell ref="O61:P61"/>
    <mergeCell ref="C50:D50"/>
    <mergeCell ref="E50:F50"/>
    <mergeCell ref="G50:H50"/>
    <mergeCell ref="I50:J50"/>
    <mergeCell ref="K50:L50"/>
    <mergeCell ref="O52:P52"/>
    <mergeCell ref="O53:P53"/>
    <mergeCell ref="K53:L53"/>
    <mergeCell ref="M53:N53"/>
    <mergeCell ref="C53:D53"/>
    <mergeCell ref="E53:F53"/>
    <mergeCell ref="G53:H53"/>
    <mergeCell ref="I53:J53"/>
    <mergeCell ref="K52:L52"/>
    <mergeCell ref="M52:N52"/>
    <mergeCell ref="I52:J52"/>
  </mergeCells>
  <phoneticPr fontId="0" type="noConversion"/>
  <conditionalFormatting sqref="C6:P6">
    <cfRule type="containsText" dxfId="201" priority="202" operator="containsText" text="vacances">
      <formula>NOT(ISERROR(SEARCH("vacances",C6)))</formula>
    </cfRule>
  </conditionalFormatting>
  <conditionalFormatting sqref="C17:P17">
    <cfRule type="containsText" dxfId="200" priority="201" operator="containsText" text="vacances">
      <formula>NOT(ISERROR(SEARCH("vacances",C17)))</formula>
    </cfRule>
  </conditionalFormatting>
  <conditionalFormatting sqref="C28:P28">
    <cfRule type="containsText" dxfId="199" priority="200" operator="containsText" text="vacances">
      <formula>NOT(ISERROR(SEARCH("vacances",C28)))</formula>
    </cfRule>
  </conditionalFormatting>
  <conditionalFormatting sqref="C39 E39:I39 K39:P39">
    <cfRule type="containsText" dxfId="198" priority="199" operator="containsText" text="vacances">
      <formula>NOT(ISERROR(SEARCH("vacances",C39)))</formula>
    </cfRule>
  </conditionalFormatting>
  <conditionalFormatting sqref="C50:P50">
    <cfRule type="containsText" dxfId="197" priority="198" operator="containsText" text="vacances">
      <formula>NOT(ISERROR(SEARCH("vacances",C50)))</formula>
    </cfRule>
  </conditionalFormatting>
  <conditionalFormatting sqref="C61:P61">
    <cfRule type="containsText" dxfId="196" priority="197" operator="containsText" text="vacances">
      <formula>NOT(ISERROR(SEARCH("vacances",C61)))</formula>
    </cfRule>
  </conditionalFormatting>
  <conditionalFormatting sqref="C17:P17">
    <cfRule type="containsText" dxfId="195" priority="196" operator="containsText" text="vacances">
      <formula>NOT(ISERROR(SEARCH("vacances",C17)))</formula>
    </cfRule>
  </conditionalFormatting>
  <conditionalFormatting sqref="C28:P28">
    <cfRule type="containsText" dxfId="194" priority="195" operator="containsText" text="vacances">
      <formula>NOT(ISERROR(SEARCH("vacances",C28)))</formula>
    </cfRule>
  </conditionalFormatting>
  <conditionalFormatting sqref="C28:P28">
    <cfRule type="containsText" dxfId="193" priority="194" operator="containsText" text="vacances">
      <formula>NOT(ISERROR(SEARCH("vacances",C28)))</formula>
    </cfRule>
  </conditionalFormatting>
  <conditionalFormatting sqref="C39:P39">
    <cfRule type="containsText" dxfId="192" priority="193" operator="containsText" text="vacances">
      <formula>NOT(ISERROR(SEARCH("vacances",C39)))</formula>
    </cfRule>
  </conditionalFormatting>
  <conditionalFormatting sqref="C39:P39">
    <cfRule type="containsText" dxfId="191" priority="192" operator="containsText" text="vacances">
      <formula>NOT(ISERROR(SEARCH("vacances",C39)))</formula>
    </cfRule>
  </conditionalFormatting>
  <conditionalFormatting sqref="C39:P39">
    <cfRule type="containsText" dxfId="190" priority="191" operator="containsText" text="vacances">
      <formula>NOT(ISERROR(SEARCH("vacances",C39)))</formula>
    </cfRule>
  </conditionalFormatting>
  <conditionalFormatting sqref="C50 E50:I50 K50:P50">
    <cfRule type="containsText" dxfId="189" priority="190" operator="containsText" text="vacances">
      <formula>NOT(ISERROR(SEARCH("vacances",C50)))</formula>
    </cfRule>
  </conditionalFormatting>
  <conditionalFormatting sqref="C50:P50">
    <cfRule type="containsText" dxfId="188" priority="189" operator="containsText" text="vacances">
      <formula>NOT(ISERROR(SEARCH("vacances",C50)))</formula>
    </cfRule>
  </conditionalFormatting>
  <conditionalFormatting sqref="C50:P50">
    <cfRule type="containsText" dxfId="187" priority="188" operator="containsText" text="vacances">
      <formula>NOT(ISERROR(SEARCH("vacances",C50)))</formula>
    </cfRule>
  </conditionalFormatting>
  <conditionalFormatting sqref="C50:P50">
    <cfRule type="containsText" dxfId="186" priority="187" operator="containsText" text="vacances">
      <formula>NOT(ISERROR(SEARCH("vacances",C50)))</formula>
    </cfRule>
  </conditionalFormatting>
  <conditionalFormatting sqref="C61:P61">
    <cfRule type="containsText" dxfId="185" priority="186" operator="containsText" text="vacances">
      <formula>NOT(ISERROR(SEARCH("vacances",C61)))</formula>
    </cfRule>
  </conditionalFormatting>
  <conditionalFormatting sqref="C61 E61:I61 K61:P61">
    <cfRule type="containsText" dxfId="184" priority="185" operator="containsText" text="vacances">
      <formula>NOT(ISERROR(SEARCH("vacances",C61)))</formula>
    </cfRule>
  </conditionalFormatting>
  <conditionalFormatting sqref="C61:P61">
    <cfRule type="containsText" dxfId="183" priority="184" operator="containsText" text="vacances">
      <formula>NOT(ISERROR(SEARCH("vacances",C61)))</formula>
    </cfRule>
  </conditionalFormatting>
  <conditionalFormatting sqref="C61:P61">
    <cfRule type="containsText" dxfId="182" priority="183" operator="containsText" text="vacances">
      <formula>NOT(ISERROR(SEARCH("vacances",C61)))</formula>
    </cfRule>
  </conditionalFormatting>
  <conditionalFormatting sqref="C61:P61">
    <cfRule type="containsText" dxfId="181" priority="182" operator="containsText" text="vacances">
      <formula>NOT(ISERROR(SEARCH("vacances",C61)))</formula>
    </cfRule>
  </conditionalFormatting>
  <conditionalFormatting sqref="C7:P7">
    <cfRule type="containsText" dxfId="180" priority="181" operator="containsText" text="férié">
      <formula>NOT(ISERROR(SEARCH("férié",C7)))</formula>
    </cfRule>
  </conditionalFormatting>
  <conditionalFormatting sqref="C18:P18">
    <cfRule type="containsText" dxfId="179" priority="180" operator="containsText" text="férié">
      <formula>NOT(ISERROR(SEARCH("férié",C18)))</formula>
    </cfRule>
  </conditionalFormatting>
  <conditionalFormatting sqref="C29:P29">
    <cfRule type="containsText" dxfId="178" priority="179" operator="containsText" text="férié">
      <formula>NOT(ISERROR(SEARCH("férié",C29)))</formula>
    </cfRule>
  </conditionalFormatting>
  <conditionalFormatting sqref="C40:P40">
    <cfRule type="containsText" dxfId="177" priority="178" operator="containsText" text="férié">
      <formula>NOT(ISERROR(SEARCH("férié",C40)))</formula>
    </cfRule>
  </conditionalFormatting>
  <conditionalFormatting sqref="C51:P51">
    <cfRule type="containsText" dxfId="176" priority="177" operator="containsText" text="férié">
      <formula>NOT(ISERROR(SEARCH("férié",C51)))</formula>
    </cfRule>
  </conditionalFormatting>
  <conditionalFormatting sqref="C62:P62">
    <cfRule type="containsText" dxfId="175" priority="176" operator="containsText" text="férié">
      <formula>NOT(ISERROR(SEARCH("férié",C62)))</formula>
    </cfRule>
  </conditionalFormatting>
  <conditionalFormatting sqref="R8">
    <cfRule type="cellIs" dxfId="174" priority="175" operator="equal">
      <formula>"JAUNE"</formula>
    </cfRule>
  </conditionalFormatting>
  <conditionalFormatting sqref="R19">
    <cfRule type="cellIs" dxfId="173" priority="174" operator="equal">
      <formula>"VERT"</formula>
    </cfRule>
  </conditionalFormatting>
  <conditionalFormatting sqref="R30">
    <cfRule type="cellIs" dxfId="172" priority="173" operator="equal">
      <formula>"VERT"</formula>
    </cfRule>
  </conditionalFormatting>
  <conditionalFormatting sqref="R19">
    <cfRule type="cellIs" dxfId="171" priority="172" operator="equal">
      <formula>"VERT"</formula>
    </cfRule>
  </conditionalFormatting>
  <conditionalFormatting sqref="R30">
    <cfRule type="cellIs" dxfId="170" priority="171" operator="equal">
      <formula>"VERT"</formula>
    </cfRule>
  </conditionalFormatting>
  <conditionalFormatting sqref="R41">
    <cfRule type="cellIs" dxfId="169" priority="170" operator="equal">
      <formula>"VERT"</formula>
    </cfRule>
  </conditionalFormatting>
  <conditionalFormatting sqref="R41">
    <cfRule type="cellIs" dxfId="168" priority="169" operator="equal">
      <formula>"VERT"</formula>
    </cfRule>
  </conditionalFormatting>
  <conditionalFormatting sqref="R52">
    <cfRule type="cellIs" dxfId="167" priority="168" operator="equal">
      <formula>"VERT"</formula>
    </cfRule>
  </conditionalFormatting>
  <conditionalFormatting sqref="R52">
    <cfRule type="cellIs" dxfId="166" priority="167" operator="equal">
      <formula>"VERT"</formula>
    </cfRule>
  </conditionalFormatting>
  <conditionalFormatting sqref="R63">
    <cfRule type="cellIs" dxfId="165" priority="166" operator="equal">
      <formula>"VERT"</formula>
    </cfRule>
  </conditionalFormatting>
  <conditionalFormatting sqref="R63">
    <cfRule type="cellIs" dxfId="164" priority="165" operator="equal">
      <formula>"VERT"</formula>
    </cfRule>
  </conditionalFormatting>
  <conditionalFormatting sqref="R19">
    <cfRule type="cellIs" dxfId="163" priority="164" operator="equal">
      <formula>"VERT"</formula>
    </cfRule>
  </conditionalFormatting>
  <conditionalFormatting sqref="R30">
    <cfRule type="cellIs" dxfId="162" priority="163" operator="equal">
      <formula>"VERT"</formula>
    </cfRule>
  </conditionalFormatting>
  <conditionalFormatting sqref="R41">
    <cfRule type="cellIs" dxfId="161" priority="162" operator="equal">
      <formula>"VERT"</formula>
    </cfRule>
  </conditionalFormatting>
  <conditionalFormatting sqref="R52">
    <cfRule type="cellIs" dxfId="160" priority="161" operator="equal">
      <formula>"VERT"</formula>
    </cfRule>
  </conditionalFormatting>
  <conditionalFormatting sqref="R63">
    <cfRule type="cellIs" dxfId="159" priority="160" operator="equal">
      <formula>"VERT"</formula>
    </cfRule>
  </conditionalFormatting>
  <conditionalFormatting sqref="R19">
    <cfRule type="cellIs" dxfId="158" priority="159" operator="equal">
      <formula>"JAUNE"</formula>
    </cfRule>
  </conditionalFormatting>
  <conditionalFormatting sqref="R30">
    <cfRule type="cellIs" dxfId="157" priority="158" operator="equal">
      <formula>"JAUNE"</formula>
    </cfRule>
  </conditionalFormatting>
  <conditionalFormatting sqref="R41">
    <cfRule type="cellIs" dxfId="156" priority="157" operator="equal">
      <formula>"JAUNE"</formula>
    </cfRule>
  </conditionalFormatting>
  <conditionalFormatting sqref="R52">
    <cfRule type="cellIs" dxfId="155" priority="156" operator="equal">
      <formula>"JAUNE"</formula>
    </cfRule>
  </conditionalFormatting>
  <conditionalFormatting sqref="R63">
    <cfRule type="cellIs" dxfId="154" priority="155" operator="equal">
      <formula>"JAUNE"</formula>
    </cfRule>
  </conditionalFormatting>
  <conditionalFormatting sqref="C17:D17">
    <cfRule type="containsText" dxfId="153" priority="154" operator="containsText" text="vacances">
      <formula>NOT(ISERROR(SEARCH("vacances",C17)))</formula>
    </cfRule>
  </conditionalFormatting>
  <conditionalFormatting sqref="E17:F17">
    <cfRule type="containsText" dxfId="152" priority="153" operator="containsText" text="vacances">
      <formula>NOT(ISERROR(SEARCH("vacances",E17)))</formula>
    </cfRule>
  </conditionalFormatting>
  <conditionalFormatting sqref="G17:H17">
    <cfRule type="containsText" dxfId="151" priority="152" operator="containsText" text="vacances">
      <formula>NOT(ISERROR(SEARCH("vacances",G17)))</formula>
    </cfRule>
  </conditionalFormatting>
  <conditionalFormatting sqref="I17:J17">
    <cfRule type="containsText" dxfId="150" priority="151" operator="containsText" text="vacances">
      <formula>NOT(ISERROR(SEARCH("vacances",I17)))</formula>
    </cfRule>
  </conditionalFormatting>
  <conditionalFormatting sqref="K17:L17">
    <cfRule type="containsText" dxfId="149" priority="150" operator="containsText" text="vacances">
      <formula>NOT(ISERROR(SEARCH("vacances",K17)))</formula>
    </cfRule>
  </conditionalFormatting>
  <conditionalFormatting sqref="M17:N17">
    <cfRule type="containsText" dxfId="148" priority="149" operator="containsText" text="vacances">
      <formula>NOT(ISERROR(SEARCH("vacances",M17)))</formula>
    </cfRule>
  </conditionalFormatting>
  <conditionalFormatting sqref="O17:P17">
    <cfRule type="containsText" dxfId="147" priority="148" operator="containsText" text="vacances">
      <formula>NOT(ISERROR(SEARCH("vacances",O17)))</formula>
    </cfRule>
  </conditionalFormatting>
  <conditionalFormatting sqref="C28:D28">
    <cfRule type="containsText" dxfId="146" priority="147" operator="containsText" text="vacances">
      <formula>NOT(ISERROR(SEARCH("vacances",C28)))</formula>
    </cfRule>
  </conditionalFormatting>
  <conditionalFormatting sqref="C28:D28">
    <cfRule type="containsText" dxfId="145" priority="146" operator="containsText" text="vacances">
      <formula>NOT(ISERROR(SEARCH("vacances",C28)))</formula>
    </cfRule>
  </conditionalFormatting>
  <conditionalFormatting sqref="C28:D28">
    <cfRule type="containsText" dxfId="144" priority="145" operator="containsText" text="vacances">
      <formula>NOT(ISERROR(SEARCH("vacances",C28)))</formula>
    </cfRule>
  </conditionalFormatting>
  <conditionalFormatting sqref="E28:F28">
    <cfRule type="containsText" dxfId="143" priority="144" operator="containsText" text="vacances">
      <formula>NOT(ISERROR(SEARCH("vacances",E28)))</formula>
    </cfRule>
  </conditionalFormatting>
  <conditionalFormatting sqref="E28:F28">
    <cfRule type="containsText" dxfId="142" priority="143" operator="containsText" text="vacances">
      <formula>NOT(ISERROR(SEARCH("vacances",E28)))</formula>
    </cfRule>
  </conditionalFormatting>
  <conditionalFormatting sqref="E28:F28">
    <cfRule type="containsText" dxfId="141" priority="142" operator="containsText" text="vacances">
      <formula>NOT(ISERROR(SEARCH("vacances",E28)))</formula>
    </cfRule>
  </conditionalFormatting>
  <conditionalFormatting sqref="G28:H28">
    <cfRule type="containsText" dxfId="140" priority="141" operator="containsText" text="vacances">
      <formula>NOT(ISERROR(SEARCH("vacances",G28)))</formula>
    </cfRule>
  </conditionalFormatting>
  <conditionalFormatting sqref="G28:H28">
    <cfRule type="containsText" dxfId="139" priority="140" operator="containsText" text="vacances">
      <formula>NOT(ISERROR(SEARCH("vacances",G28)))</formula>
    </cfRule>
  </conditionalFormatting>
  <conditionalFormatting sqref="G28:H28">
    <cfRule type="containsText" dxfId="138" priority="139" operator="containsText" text="vacances">
      <formula>NOT(ISERROR(SEARCH("vacances",G28)))</formula>
    </cfRule>
  </conditionalFormatting>
  <conditionalFormatting sqref="I28:J28">
    <cfRule type="containsText" dxfId="137" priority="138" operator="containsText" text="vacances">
      <formula>NOT(ISERROR(SEARCH("vacances",I28)))</formula>
    </cfRule>
  </conditionalFormatting>
  <conditionalFormatting sqref="I28:J28">
    <cfRule type="containsText" dxfId="136" priority="137" operator="containsText" text="vacances">
      <formula>NOT(ISERROR(SEARCH("vacances",I28)))</formula>
    </cfRule>
  </conditionalFormatting>
  <conditionalFormatting sqref="I28:J28">
    <cfRule type="containsText" dxfId="135" priority="136" operator="containsText" text="vacances">
      <formula>NOT(ISERROR(SEARCH("vacances",I28)))</formula>
    </cfRule>
  </conditionalFormatting>
  <conditionalFormatting sqref="K28:L28">
    <cfRule type="containsText" dxfId="134" priority="135" operator="containsText" text="vacances">
      <formula>NOT(ISERROR(SEARCH("vacances",K28)))</formula>
    </cfRule>
  </conditionalFormatting>
  <conditionalFormatting sqref="K28:L28">
    <cfRule type="containsText" dxfId="133" priority="134" operator="containsText" text="vacances">
      <formula>NOT(ISERROR(SEARCH("vacances",K28)))</formula>
    </cfRule>
  </conditionalFormatting>
  <conditionalFormatting sqref="K28:L28">
    <cfRule type="containsText" dxfId="132" priority="133" operator="containsText" text="vacances">
      <formula>NOT(ISERROR(SEARCH("vacances",K28)))</formula>
    </cfRule>
  </conditionalFormatting>
  <conditionalFormatting sqref="M28:N28">
    <cfRule type="containsText" dxfId="131" priority="132" operator="containsText" text="vacances">
      <formula>NOT(ISERROR(SEARCH("vacances",M28)))</formula>
    </cfRule>
  </conditionalFormatting>
  <conditionalFormatting sqref="M28:N28">
    <cfRule type="containsText" dxfId="130" priority="131" operator="containsText" text="vacances">
      <formula>NOT(ISERROR(SEARCH("vacances",M28)))</formula>
    </cfRule>
  </conditionalFormatting>
  <conditionalFormatting sqref="M28:N28">
    <cfRule type="containsText" dxfId="129" priority="130" operator="containsText" text="vacances">
      <formula>NOT(ISERROR(SEARCH("vacances",M28)))</formula>
    </cfRule>
  </conditionalFormatting>
  <conditionalFormatting sqref="O28:P28">
    <cfRule type="containsText" dxfId="128" priority="129" operator="containsText" text="vacances">
      <formula>NOT(ISERROR(SEARCH("vacances",O28)))</formula>
    </cfRule>
  </conditionalFormatting>
  <conditionalFormatting sqref="O28:P28">
    <cfRule type="containsText" dxfId="127" priority="128" operator="containsText" text="vacances">
      <formula>NOT(ISERROR(SEARCH("vacances",O28)))</formula>
    </cfRule>
  </conditionalFormatting>
  <conditionalFormatting sqref="O28:P28">
    <cfRule type="containsText" dxfId="126" priority="127" operator="containsText" text="vacances">
      <formula>NOT(ISERROR(SEARCH("vacances",O28)))</formula>
    </cfRule>
  </conditionalFormatting>
  <conditionalFormatting sqref="C39:D39">
    <cfRule type="containsText" dxfId="125" priority="126" operator="containsText" text="vacances">
      <formula>NOT(ISERROR(SEARCH("vacances",C39)))</formula>
    </cfRule>
  </conditionalFormatting>
  <conditionalFormatting sqref="C39:D39">
    <cfRule type="containsText" dxfId="124" priority="125" operator="containsText" text="vacances">
      <formula>NOT(ISERROR(SEARCH("vacances",C39)))</formula>
    </cfRule>
  </conditionalFormatting>
  <conditionalFormatting sqref="C39:D39">
    <cfRule type="containsText" dxfId="123" priority="124" operator="containsText" text="vacances">
      <formula>NOT(ISERROR(SEARCH("vacances",C39)))</formula>
    </cfRule>
  </conditionalFormatting>
  <conditionalFormatting sqref="C39:D39">
    <cfRule type="containsText" dxfId="122" priority="123" operator="containsText" text="vacances">
      <formula>NOT(ISERROR(SEARCH("vacances",C39)))</formula>
    </cfRule>
  </conditionalFormatting>
  <conditionalFormatting sqref="C39:D39">
    <cfRule type="containsText" dxfId="121" priority="122" operator="containsText" text="vacances">
      <formula>NOT(ISERROR(SEARCH("vacances",C39)))</formula>
    </cfRule>
  </conditionalFormatting>
  <conditionalFormatting sqref="C39:D39">
    <cfRule type="containsText" dxfId="120" priority="121" operator="containsText" text="vacances">
      <formula>NOT(ISERROR(SEARCH("vacances",C39)))</formula>
    </cfRule>
  </conditionalFormatting>
  <conditionalFormatting sqref="E39:F39">
    <cfRule type="containsText" dxfId="119" priority="120" operator="containsText" text="vacances">
      <formula>NOT(ISERROR(SEARCH("vacances",E39)))</formula>
    </cfRule>
  </conditionalFormatting>
  <conditionalFormatting sqref="E39:F39">
    <cfRule type="containsText" dxfId="118" priority="119" operator="containsText" text="vacances">
      <formula>NOT(ISERROR(SEARCH("vacances",E39)))</formula>
    </cfRule>
  </conditionalFormatting>
  <conditionalFormatting sqref="E39:F39">
    <cfRule type="containsText" dxfId="117" priority="118" operator="containsText" text="vacances">
      <formula>NOT(ISERROR(SEARCH("vacances",E39)))</formula>
    </cfRule>
  </conditionalFormatting>
  <conditionalFormatting sqref="E39:F39">
    <cfRule type="containsText" dxfId="116" priority="117" operator="containsText" text="vacances">
      <formula>NOT(ISERROR(SEARCH("vacances",E39)))</formula>
    </cfRule>
  </conditionalFormatting>
  <conditionalFormatting sqref="E39:F39">
    <cfRule type="containsText" dxfId="115" priority="116" operator="containsText" text="vacances">
      <formula>NOT(ISERROR(SEARCH("vacances",E39)))</formula>
    </cfRule>
  </conditionalFormatting>
  <conditionalFormatting sqref="E39:F39">
    <cfRule type="containsText" dxfId="114" priority="115" operator="containsText" text="vacances">
      <formula>NOT(ISERROR(SEARCH("vacances",E39)))</formula>
    </cfRule>
  </conditionalFormatting>
  <conditionalFormatting sqref="G39:H39">
    <cfRule type="containsText" dxfId="113" priority="114" operator="containsText" text="vacances">
      <formula>NOT(ISERROR(SEARCH("vacances",G39)))</formula>
    </cfRule>
  </conditionalFormatting>
  <conditionalFormatting sqref="G39:H39">
    <cfRule type="containsText" dxfId="112" priority="113" operator="containsText" text="vacances">
      <formula>NOT(ISERROR(SEARCH("vacances",G39)))</formula>
    </cfRule>
  </conditionalFormatting>
  <conditionalFormatting sqref="G39:H39">
    <cfRule type="containsText" dxfId="111" priority="112" operator="containsText" text="vacances">
      <formula>NOT(ISERROR(SEARCH("vacances",G39)))</formula>
    </cfRule>
  </conditionalFormatting>
  <conditionalFormatting sqref="G39:H39">
    <cfRule type="containsText" dxfId="110" priority="111" operator="containsText" text="vacances">
      <formula>NOT(ISERROR(SEARCH("vacances",G39)))</formula>
    </cfRule>
  </conditionalFormatting>
  <conditionalFormatting sqref="G39:H39">
    <cfRule type="containsText" dxfId="109" priority="110" operator="containsText" text="vacances">
      <formula>NOT(ISERROR(SEARCH("vacances",G39)))</formula>
    </cfRule>
  </conditionalFormatting>
  <conditionalFormatting sqref="G39:H39">
    <cfRule type="containsText" dxfId="108" priority="109" operator="containsText" text="vacances">
      <formula>NOT(ISERROR(SEARCH("vacances",G39)))</formula>
    </cfRule>
  </conditionalFormatting>
  <conditionalFormatting sqref="I39:J39">
    <cfRule type="containsText" dxfId="107" priority="108" operator="containsText" text="vacances">
      <formula>NOT(ISERROR(SEARCH("vacances",I39)))</formula>
    </cfRule>
  </conditionalFormatting>
  <conditionalFormatting sqref="I39:J39">
    <cfRule type="containsText" dxfId="106" priority="107" operator="containsText" text="vacances">
      <formula>NOT(ISERROR(SEARCH("vacances",I39)))</formula>
    </cfRule>
  </conditionalFormatting>
  <conditionalFormatting sqref="I39:J39">
    <cfRule type="containsText" dxfId="105" priority="106" operator="containsText" text="vacances">
      <formula>NOT(ISERROR(SEARCH("vacances",I39)))</formula>
    </cfRule>
  </conditionalFormatting>
  <conditionalFormatting sqref="I39:J39">
    <cfRule type="containsText" dxfId="104" priority="105" operator="containsText" text="vacances">
      <formula>NOT(ISERROR(SEARCH("vacances",I39)))</formula>
    </cfRule>
  </conditionalFormatting>
  <conditionalFormatting sqref="I39:J39">
    <cfRule type="containsText" dxfId="103" priority="104" operator="containsText" text="vacances">
      <formula>NOT(ISERROR(SEARCH("vacances",I39)))</formula>
    </cfRule>
  </conditionalFormatting>
  <conditionalFormatting sqref="I39:J39">
    <cfRule type="containsText" dxfId="102" priority="103" operator="containsText" text="vacances">
      <formula>NOT(ISERROR(SEARCH("vacances",I39)))</formula>
    </cfRule>
  </conditionalFormatting>
  <conditionalFormatting sqref="K39:L39">
    <cfRule type="containsText" dxfId="101" priority="102" operator="containsText" text="vacances">
      <formula>NOT(ISERROR(SEARCH("vacances",K39)))</formula>
    </cfRule>
  </conditionalFormatting>
  <conditionalFormatting sqref="K39:L39">
    <cfRule type="containsText" dxfId="100" priority="101" operator="containsText" text="vacances">
      <formula>NOT(ISERROR(SEARCH("vacances",K39)))</formula>
    </cfRule>
  </conditionalFormatting>
  <conditionalFormatting sqref="K39:L39">
    <cfRule type="containsText" dxfId="99" priority="100" operator="containsText" text="vacances">
      <formula>NOT(ISERROR(SEARCH("vacances",K39)))</formula>
    </cfRule>
  </conditionalFormatting>
  <conditionalFormatting sqref="K39:L39">
    <cfRule type="containsText" dxfId="98" priority="99" operator="containsText" text="vacances">
      <formula>NOT(ISERROR(SEARCH("vacances",K39)))</formula>
    </cfRule>
  </conditionalFormatting>
  <conditionalFormatting sqref="K39:L39">
    <cfRule type="containsText" dxfId="97" priority="98" operator="containsText" text="vacances">
      <formula>NOT(ISERROR(SEARCH("vacances",K39)))</formula>
    </cfRule>
  </conditionalFormatting>
  <conditionalFormatting sqref="K39:L39">
    <cfRule type="containsText" dxfId="96" priority="97" operator="containsText" text="vacances">
      <formula>NOT(ISERROR(SEARCH("vacances",K39)))</formula>
    </cfRule>
  </conditionalFormatting>
  <conditionalFormatting sqref="M39:N39">
    <cfRule type="containsText" dxfId="95" priority="96" operator="containsText" text="vacances">
      <formula>NOT(ISERROR(SEARCH("vacances",M39)))</formula>
    </cfRule>
  </conditionalFormatting>
  <conditionalFormatting sqref="M39:N39">
    <cfRule type="containsText" dxfId="94" priority="95" operator="containsText" text="vacances">
      <formula>NOT(ISERROR(SEARCH("vacances",M39)))</formula>
    </cfRule>
  </conditionalFormatting>
  <conditionalFormatting sqref="M39:N39">
    <cfRule type="containsText" dxfId="93" priority="94" operator="containsText" text="vacances">
      <formula>NOT(ISERROR(SEARCH("vacances",M39)))</formula>
    </cfRule>
  </conditionalFormatting>
  <conditionalFormatting sqref="M39:N39">
    <cfRule type="containsText" dxfId="92" priority="93" operator="containsText" text="vacances">
      <formula>NOT(ISERROR(SEARCH("vacances",M39)))</formula>
    </cfRule>
  </conditionalFormatting>
  <conditionalFormatting sqref="M39:N39">
    <cfRule type="containsText" dxfId="91" priority="92" operator="containsText" text="vacances">
      <formula>NOT(ISERROR(SEARCH("vacances",M39)))</formula>
    </cfRule>
  </conditionalFormatting>
  <conditionalFormatting sqref="M39:N39">
    <cfRule type="containsText" dxfId="90" priority="91" operator="containsText" text="vacances">
      <formula>NOT(ISERROR(SEARCH("vacances",M39)))</formula>
    </cfRule>
  </conditionalFormatting>
  <conditionalFormatting sqref="O39:P39">
    <cfRule type="containsText" dxfId="89" priority="90" operator="containsText" text="vacances">
      <formula>NOT(ISERROR(SEARCH("vacances",O39)))</formula>
    </cfRule>
  </conditionalFormatting>
  <conditionalFormatting sqref="O39:P39">
    <cfRule type="containsText" dxfId="88" priority="89" operator="containsText" text="vacances">
      <formula>NOT(ISERROR(SEARCH("vacances",O39)))</formula>
    </cfRule>
  </conditionalFormatting>
  <conditionalFormatting sqref="O39:P39">
    <cfRule type="containsText" dxfId="87" priority="88" operator="containsText" text="vacances">
      <formula>NOT(ISERROR(SEARCH("vacances",O39)))</formula>
    </cfRule>
  </conditionalFormatting>
  <conditionalFormatting sqref="O39:P39">
    <cfRule type="containsText" dxfId="86" priority="87" operator="containsText" text="vacances">
      <formula>NOT(ISERROR(SEARCH("vacances",O39)))</formula>
    </cfRule>
  </conditionalFormatting>
  <conditionalFormatting sqref="O39:P39">
    <cfRule type="containsText" dxfId="85" priority="86" operator="containsText" text="vacances">
      <formula>NOT(ISERROR(SEARCH("vacances",O39)))</formula>
    </cfRule>
  </conditionalFormatting>
  <conditionalFormatting sqref="O39:P39">
    <cfRule type="containsText" dxfId="84" priority="85" operator="containsText" text="vacances">
      <formula>NOT(ISERROR(SEARCH("vacances",O39)))</formula>
    </cfRule>
  </conditionalFormatting>
  <conditionalFormatting sqref="C50:D50">
    <cfRule type="containsText" dxfId="83" priority="84" operator="containsText" text="vacances">
      <formula>NOT(ISERROR(SEARCH("vacances",C50)))</formula>
    </cfRule>
  </conditionalFormatting>
  <conditionalFormatting sqref="C50:D50">
    <cfRule type="containsText" dxfId="82" priority="83" operator="containsText" text="vacances">
      <formula>NOT(ISERROR(SEARCH("vacances",C50)))</formula>
    </cfRule>
  </conditionalFormatting>
  <conditionalFormatting sqref="C50:D50">
    <cfRule type="containsText" dxfId="81" priority="82" operator="containsText" text="vacances">
      <formula>NOT(ISERROR(SEARCH("vacances",C50)))</formula>
    </cfRule>
  </conditionalFormatting>
  <conditionalFormatting sqref="C50:D50">
    <cfRule type="containsText" dxfId="80" priority="81" operator="containsText" text="vacances">
      <formula>NOT(ISERROR(SEARCH("vacances",C50)))</formula>
    </cfRule>
  </conditionalFormatting>
  <conditionalFormatting sqref="C50:D50">
    <cfRule type="containsText" dxfId="79" priority="80" operator="containsText" text="vacances">
      <formula>NOT(ISERROR(SEARCH("vacances",C50)))</formula>
    </cfRule>
  </conditionalFormatting>
  <conditionalFormatting sqref="C50:D50">
    <cfRule type="containsText" dxfId="78" priority="79" operator="containsText" text="vacances">
      <formula>NOT(ISERROR(SEARCH("vacances",C50)))</formula>
    </cfRule>
  </conditionalFormatting>
  <conditionalFormatting sqref="E50:F50">
    <cfRule type="containsText" dxfId="77" priority="78" operator="containsText" text="vacances">
      <formula>NOT(ISERROR(SEARCH("vacances",E50)))</formula>
    </cfRule>
  </conditionalFormatting>
  <conditionalFormatting sqref="E50:F50">
    <cfRule type="containsText" dxfId="76" priority="77" operator="containsText" text="vacances">
      <formula>NOT(ISERROR(SEARCH("vacances",E50)))</formula>
    </cfRule>
  </conditionalFormatting>
  <conditionalFormatting sqref="E50:F50">
    <cfRule type="containsText" dxfId="75" priority="76" operator="containsText" text="vacances">
      <formula>NOT(ISERROR(SEARCH("vacances",E50)))</formula>
    </cfRule>
  </conditionalFormatting>
  <conditionalFormatting sqref="E50:F50">
    <cfRule type="containsText" dxfId="74" priority="75" operator="containsText" text="vacances">
      <formula>NOT(ISERROR(SEARCH("vacances",E50)))</formula>
    </cfRule>
  </conditionalFormatting>
  <conditionalFormatting sqref="E50:F50">
    <cfRule type="containsText" dxfId="73" priority="74" operator="containsText" text="vacances">
      <formula>NOT(ISERROR(SEARCH("vacances",E50)))</formula>
    </cfRule>
  </conditionalFormatting>
  <conditionalFormatting sqref="E50:F50">
    <cfRule type="containsText" dxfId="72" priority="73" operator="containsText" text="vacances">
      <formula>NOT(ISERROR(SEARCH("vacances",E50)))</formula>
    </cfRule>
  </conditionalFormatting>
  <conditionalFormatting sqref="G50:H50">
    <cfRule type="containsText" dxfId="71" priority="72" operator="containsText" text="vacances">
      <formula>NOT(ISERROR(SEARCH("vacances",G50)))</formula>
    </cfRule>
  </conditionalFormatting>
  <conditionalFormatting sqref="G50:H50">
    <cfRule type="containsText" dxfId="70" priority="71" operator="containsText" text="vacances">
      <formula>NOT(ISERROR(SEARCH("vacances",G50)))</formula>
    </cfRule>
  </conditionalFormatting>
  <conditionalFormatting sqref="G50:H50">
    <cfRule type="containsText" dxfId="69" priority="70" operator="containsText" text="vacances">
      <formula>NOT(ISERROR(SEARCH("vacances",G50)))</formula>
    </cfRule>
  </conditionalFormatting>
  <conditionalFormatting sqref="G50:H50">
    <cfRule type="containsText" dxfId="68" priority="69" operator="containsText" text="vacances">
      <formula>NOT(ISERROR(SEARCH("vacances",G50)))</formula>
    </cfRule>
  </conditionalFormatting>
  <conditionalFormatting sqref="G50:H50">
    <cfRule type="containsText" dxfId="67" priority="68" operator="containsText" text="vacances">
      <formula>NOT(ISERROR(SEARCH("vacances",G50)))</formula>
    </cfRule>
  </conditionalFormatting>
  <conditionalFormatting sqref="G50:H50">
    <cfRule type="containsText" dxfId="66" priority="67" operator="containsText" text="vacances">
      <formula>NOT(ISERROR(SEARCH("vacances",G50)))</formula>
    </cfRule>
  </conditionalFormatting>
  <conditionalFormatting sqref="I50:J50">
    <cfRule type="containsText" dxfId="65" priority="66" operator="containsText" text="vacances">
      <formula>NOT(ISERROR(SEARCH("vacances",I50)))</formula>
    </cfRule>
  </conditionalFormatting>
  <conditionalFormatting sqref="I50:J50">
    <cfRule type="containsText" dxfId="64" priority="65" operator="containsText" text="vacances">
      <formula>NOT(ISERROR(SEARCH("vacances",I50)))</formula>
    </cfRule>
  </conditionalFormatting>
  <conditionalFormatting sqref="I50:J50">
    <cfRule type="containsText" dxfId="63" priority="64" operator="containsText" text="vacances">
      <formula>NOT(ISERROR(SEARCH("vacances",I50)))</formula>
    </cfRule>
  </conditionalFormatting>
  <conditionalFormatting sqref="I50:J50">
    <cfRule type="containsText" dxfId="62" priority="63" operator="containsText" text="vacances">
      <formula>NOT(ISERROR(SEARCH("vacances",I50)))</formula>
    </cfRule>
  </conditionalFormatting>
  <conditionalFormatting sqref="I50:J50">
    <cfRule type="containsText" dxfId="61" priority="62" operator="containsText" text="vacances">
      <formula>NOT(ISERROR(SEARCH("vacances",I50)))</formula>
    </cfRule>
  </conditionalFormatting>
  <conditionalFormatting sqref="I50:J50">
    <cfRule type="containsText" dxfId="60" priority="61" operator="containsText" text="vacances">
      <formula>NOT(ISERROR(SEARCH("vacances",I50)))</formula>
    </cfRule>
  </conditionalFormatting>
  <conditionalFormatting sqref="K50:L50">
    <cfRule type="containsText" dxfId="59" priority="60" operator="containsText" text="vacances">
      <formula>NOT(ISERROR(SEARCH("vacances",K50)))</formula>
    </cfRule>
  </conditionalFormatting>
  <conditionalFormatting sqref="K50:L50">
    <cfRule type="containsText" dxfId="58" priority="59" operator="containsText" text="vacances">
      <formula>NOT(ISERROR(SEARCH("vacances",K50)))</formula>
    </cfRule>
  </conditionalFormatting>
  <conditionalFormatting sqref="K50:L50">
    <cfRule type="containsText" dxfId="57" priority="58" operator="containsText" text="vacances">
      <formula>NOT(ISERROR(SEARCH("vacances",K50)))</formula>
    </cfRule>
  </conditionalFormatting>
  <conditionalFormatting sqref="K50:L50">
    <cfRule type="containsText" dxfId="56" priority="57" operator="containsText" text="vacances">
      <formula>NOT(ISERROR(SEARCH("vacances",K50)))</formula>
    </cfRule>
  </conditionalFormatting>
  <conditionalFormatting sqref="K50:L50">
    <cfRule type="containsText" dxfId="55" priority="56" operator="containsText" text="vacances">
      <formula>NOT(ISERROR(SEARCH("vacances",K50)))</formula>
    </cfRule>
  </conditionalFormatting>
  <conditionalFormatting sqref="K50:L50">
    <cfRule type="containsText" dxfId="54" priority="55" operator="containsText" text="vacances">
      <formula>NOT(ISERROR(SEARCH("vacances",K50)))</formula>
    </cfRule>
  </conditionalFormatting>
  <conditionalFormatting sqref="M50:N50">
    <cfRule type="containsText" dxfId="53" priority="54" operator="containsText" text="vacances">
      <formula>NOT(ISERROR(SEARCH("vacances",M50)))</formula>
    </cfRule>
  </conditionalFormatting>
  <conditionalFormatting sqref="M50:N50">
    <cfRule type="containsText" dxfId="52" priority="53" operator="containsText" text="vacances">
      <formula>NOT(ISERROR(SEARCH("vacances",M50)))</formula>
    </cfRule>
  </conditionalFormatting>
  <conditionalFormatting sqref="M50:N50">
    <cfRule type="containsText" dxfId="51" priority="52" operator="containsText" text="vacances">
      <formula>NOT(ISERROR(SEARCH("vacances",M50)))</formula>
    </cfRule>
  </conditionalFormatting>
  <conditionalFormatting sqref="M50:N50">
    <cfRule type="containsText" dxfId="50" priority="51" operator="containsText" text="vacances">
      <formula>NOT(ISERROR(SEARCH("vacances",M50)))</formula>
    </cfRule>
  </conditionalFormatting>
  <conditionalFormatting sqref="M50:N50">
    <cfRule type="containsText" dxfId="49" priority="50" operator="containsText" text="vacances">
      <formula>NOT(ISERROR(SEARCH("vacances",M50)))</formula>
    </cfRule>
  </conditionalFormatting>
  <conditionalFormatting sqref="M50:N50">
    <cfRule type="containsText" dxfId="48" priority="49" operator="containsText" text="vacances">
      <formula>NOT(ISERROR(SEARCH("vacances",M50)))</formula>
    </cfRule>
  </conditionalFormatting>
  <conditionalFormatting sqref="O50:P50">
    <cfRule type="containsText" dxfId="47" priority="48" operator="containsText" text="vacances">
      <formula>NOT(ISERROR(SEARCH("vacances",O50)))</formula>
    </cfRule>
  </conditionalFormatting>
  <conditionalFormatting sqref="O50:P50">
    <cfRule type="containsText" dxfId="46" priority="47" operator="containsText" text="vacances">
      <formula>NOT(ISERROR(SEARCH("vacances",O50)))</formula>
    </cfRule>
  </conditionalFormatting>
  <conditionalFormatting sqref="O50:P50">
    <cfRule type="containsText" dxfId="45" priority="46" operator="containsText" text="vacances">
      <formula>NOT(ISERROR(SEARCH("vacances",O50)))</formula>
    </cfRule>
  </conditionalFormatting>
  <conditionalFormatting sqref="O50:P50">
    <cfRule type="containsText" dxfId="44" priority="45" operator="containsText" text="vacances">
      <formula>NOT(ISERROR(SEARCH("vacances",O50)))</formula>
    </cfRule>
  </conditionalFormatting>
  <conditionalFormatting sqref="O50:P50">
    <cfRule type="containsText" dxfId="43" priority="44" operator="containsText" text="vacances">
      <formula>NOT(ISERROR(SEARCH("vacances",O50)))</formula>
    </cfRule>
  </conditionalFormatting>
  <conditionalFormatting sqref="O50:P50">
    <cfRule type="containsText" dxfId="42" priority="43" operator="containsText" text="vacances">
      <formula>NOT(ISERROR(SEARCH("vacances",O50)))</formula>
    </cfRule>
  </conditionalFormatting>
  <conditionalFormatting sqref="C61:D61">
    <cfRule type="containsText" dxfId="41" priority="42" operator="containsText" text="vacances">
      <formula>NOT(ISERROR(SEARCH("vacances",C61)))</formula>
    </cfRule>
  </conditionalFormatting>
  <conditionalFormatting sqref="C61:D61">
    <cfRule type="containsText" dxfId="40" priority="41" operator="containsText" text="vacances">
      <formula>NOT(ISERROR(SEARCH("vacances",C61)))</formula>
    </cfRule>
  </conditionalFormatting>
  <conditionalFormatting sqref="C61:D61">
    <cfRule type="containsText" dxfId="39" priority="40" operator="containsText" text="vacances">
      <formula>NOT(ISERROR(SEARCH("vacances",C61)))</formula>
    </cfRule>
  </conditionalFormatting>
  <conditionalFormatting sqref="C61:D61">
    <cfRule type="containsText" dxfId="38" priority="39" operator="containsText" text="vacances">
      <formula>NOT(ISERROR(SEARCH("vacances",C61)))</formula>
    </cfRule>
  </conditionalFormatting>
  <conditionalFormatting sqref="C61:D61">
    <cfRule type="containsText" dxfId="37" priority="38" operator="containsText" text="vacances">
      <formula>NOT(ISERROR(SEARCH("vacances",C61)))</formula>
    </cfRule>
  </conditionalFormatting>
  <conditionalFormatting sqref="C61:D61">
    <cfRule type="containsText" dxfId="36" priority="37" operator="containsText" text="vacances">
      <formula>NOT(ISERROR(SEARCH("vacances",C61)))</formula>
    </cfRule>
  </conditionalFormatting>
  <conditionalFormatting sqref="E61:F61">
    <cfRule type="containsText" dxfId="35" priority="36" operator="containsText" text="vacances">
      <formula>NOT(ISERROR(SEARCH("vacances",E61)))</formula>
    </cfRule>
  </conditionalFormatting>
  <conditionalFormatting sqref="E61:F61">
    <cfRule type="containsText" dxfId="34" priority="35" operator="containsText" text="vacances">
      <formula>NOT(ISERROR(SEARCH("vacances",E61)))</formula>
    </cfRule>
  </conditionalFormatting>
  <conditionalFormatting sqref="E61:F61">
    <cfRule type="containsText" dxfId="33" priority="34" operator="containsText" text="vacances">
      <formula>NOT(ISERROR(SEARCH("vacances",E61)))</formula>
    </cfRule>
  </conditionalFormatting>
  <conditionalFormatting sqref="E61:F61">
    <cfRule type="containsText" dxfId="32" priority="33" operator="containsText" text="vacances">
      <formula>NOT(ISERROR(SEARCH("vacances",E61)))</formula>
    </cfRule>
  </conditionalFormatting>
  <conditionalFormatting sqref="E61:F61">
    <cfRule type="containsText" dxfId="31" priority="32" operator="containsText" text="vacances">
      <formula>NOT(ISERROR(SEARCH("vacances",E61)))</formula>
    </cfRule>
  </conditionalFormatting>
  <conditionalFormatting sqref="E61:F61">
    <cfRule type="containsText" dxfId="30" priority="31" operator="containsText" text="vacances">
      <formula>NOT(ISERROR(SEARCH("vacances",E61)))</formula>
    </cfRule>
  </conditionalFormatting>
  <conditionalFormatting sqref="G61:H61">
    <cfRule type="containsText" dxfId="29" priority="30" operator="containsText" text="vacances">
      <formula>NOT(ISERROR(SEARCH("vacances",G61)))</formula>
    </cfRule>
  </conditionalFormatting>
  <conditionalFormatting sqref="G61:H61">
    <cfRule type="containsText" dxfId="28" priority="29" operator="containsText" text="vacances">
      <formula>NOT(ISERROR(SEARCH("vacances",G61)))</formula>
    </cfRule>
  </conditionalFormatting>
  <conditionalFormatting sqref="G61:H61">
    <cfRule type="containsText" dxfId="27" priority="28" operator="containsText" text="vacances">
      <formula>NOT(ISERROR(SEARCH("vacances",G61)))</formula>
    </cfRule>
  </conditionalFormatting>
  <conditionalFormatting sqref="G61:H61">
    <cfRule type="containsText" dxfId="26" priority="27" operator="containsText" text="vacances">
      <formula>NOT(ISERROR(SEARCH("vacances",G61)))</formula>
    </cfRule>
  </conditionalFormatting>
  <conditionalFormatting sqref="G61:H61">
    <cfRule type="containsText" dxfId="25" priority="26" operator="containsText" text="vacances">
      <formula>NOT(ISERROR(SEARCH("vacances",G61)))</formula>
    </cfRule>
  </conditionalFormatting>
  <conditionalFormatting sqref="G61:H61">
    <cfRule type="containsText" dxfId="24" priority="25" operator="containsText" text="vacances">
      <formula>NOT(ISERROR(SEARCH("vacances",G61)))</formula>
    </cfRule>
  </conditionalFormatting>
  <conditionalFormatting sqref="I61:J61">
    <cfRule type="containsText" dxfId="23" priority="24" operator="containsText" text="vacances">
      <formula>NOT(ISERROR(SEARCH("vacances",I61)))</formula>
    </cfRule>
  </conditionalFormatting>
  <conditionalFormatting sqref="I61:J61">
    <cfRule type="containsText" dxfId="22" priority="23" operator="containsText" text="vacances">
      <formula>NOT(ISERROR(SEARCH("vacances",I61)))</formula>
    </cfRule>
  </conditionalFormatting>
  <conditionalFormatting sqref="I61:J61">
    <cfRule type="containsText" dxfId="21" priority="22" operator="containsText" text="vacances">
      <formula>NOT(ISERROR(SEARCH("vacances",I61)))</formula>
    </cfRule>
  </conditionalFormatting>
  <conditionalFormatting sqref="I61:J61">
    <cfRule type="containsText" dxfId="20" priority="21" operator="containsText" text="vacances">
      <formula>NOT(ISERROR(SEARCH("vacances",I61)))</formula>
    </cfRule>
  </conditionalFormatting>
  <conditionalFormatting sqref="I61:J61">
    <cfRule type="containsText" dxfId="19" priority="20" operator="containsText" text="vacances">
      <formula>NOT(ISERROR(SEARCH("vacances",I61)))</formula>
    </cfRule>
  </conditionalFormatting>
  <conditionalFormatting sqref="I61:J61">
    <cfRule type="containsText" dxfId="18" priority="19" operator="containsText" text="vacances">
      <formula>NOT(ISERROR(SEARCH("vacances",I61)))</formula>
    </cfRule>
  </conditionalFormatting>
  <conditionalFormatting sqref="K61:L61">
    <cfRule type="containsText" dxfId="17" priority="18" operator="containsText" text="vacances">
      <formula>NOT(ISERROR(SEARCH("vacances",K61)))</formula>
    </cfRule>
  </conditionalFormatting>
  <conditionalFormatting sqref="K61:L61">
    <cfRule type="containsText" dxfId="16" priority="17" operator="containsText" text="vacances">
      <formula>NOT(ISERROR(SEARCH("vacances",K61)))</formula>
    </cfRule>
  </conditionalFormatting>
  <conditionalFormatting sqref="K61:L61">
    <cfRule type="containsText" dxfId="15" priority="16" operator="containsText" text="vacances">
      <formula>NOT(ISERROR(SEARCH("vacances",K61)))</formula>
    </cfRule>
  </conditionalFormatting>
  <conditionalFormatting sqref="K61:L61">
    <cfRule type="containsText" dxfId="14" priority="15" operator="containsText" text="vacances">
      <formula>NOT(ISERROR(SEARCH("vacances",K61)))</formula>
    </cfRule>
  </conditionalFormatting>
  <conditionalFormatting sqref="K61:L61">
    <cfRule type="containsText" dxfId="13" priority="14" operator="containsText" text="vacances">
      <formula>NOT(ISERROR(SEARCH("vacances",K61)))</formula>
    </cfRule>
  </conditionalFormatting>
  <conditionalFormatting sqref="K61:L61">
    <cfRule type="containsText" dxfId="12" priority="13" operator="containsText" text="vacances">
      <formula>NOT(ISERROR(SEARCH("vacances",K61)))</formula>
    </cfRule>
  </conditionalFormatting>
  <conditionalFormatting sqref="M61:N61">
    <cfRule type="containsText" dxfId="11" priority="12" operator="containsText" text="vacances">
      <formula>NOT(ISERROR(SEARCH("vacances",M61)))</formula>
    </cfRule>
  </conditionalFormatting>
  <conditionalFormatting sqref="M61:N61">
    <cfRule type="containsText" dxfId="10" priority="11" operator="containsText" text="vacances">
      <formula>NOT(ISERROR(SEARCH("vacances",M61)))</formula>
    </cfRule>
  </conditionalFormatting>
  <conditionalFormatting sqref="M61:N61">
    <cfRule type="containsText" dxfId="9" priority="10" operator="containsText" text="vacances">
      <formula>NOT(ISERROR(SEARCH("vacances",M61)))</formula>
    </cfRule>
  </conditionalFormatting>
  <conditionalFormatting sqref="M61:N61">
    <cfRule type="containsText" dxfId="8" priority="9" operator="containsText" text="vacances">
      <formula>NOT(ISERROR(SEARCH("vacances",M61)))</formula>
    </cfRule>
  </conditionalFormatting>
  <conditionalFormatting sqref="M61:N61">
    <cfRule type="containsText" dxfId="7" priority="8" operator="containsText" text="vacances">
      <formula>NOT(ISERROR(SEARCH("vacances",M61)))</formula>
    </cfRule>
  </conditionalFormatting>
  <conditionalFormatting sqref="M61:N61">
    <cfRule type="containsText" dxfId="6" priority="7" operator="containsText" text="vacances">
      <formula>NOT(ISERROR(SEARCH("vacances",M61)))</formula>
    </cfRule>
  </conditionalFormatting>
  <conditionalFormatting sqref="O61:P61">
    <cfRule type="containsText" dxfId="5" priority="6" operator="containsText" text="vacances">
      <formula>NOT(ISERROR(SEARCH("vacances",O61)))</formula>
    </cfRule>
  </conditionalFormatting>
  <conditionalFormatting sqref="O61:P61">
    <cfRule type="containsText" dxfId="4" priority="5" operator="containsText" text="vacances">
      <formula>NOT(ISERROR(SEARCH("vacances",O61)))</formula>
    </cfRule>
  </conditionalFormatting>
  <conditionalFormatting sqref="O61:P61">
    <cfRule type="containsText" dxfId="3" priority="4" operator="containsText" text="vacances">
      <formula>NOT(ISERROR(SEARCH("vacances",O61)))</formula>
    </cfRule>
  </conditionalFormatting>
  <conditionalFormatting sqref="O61:P61">
    <cfRule type="containsText" dxfId="2" priority="3" operator="containsText" text="vacances">
      <formula>NOT(ISERROR(SEARCH("vacances",O61)))</formula>
    </cfRule>
  </conditionalFormatting>
  <conditionalFormatting sqref="O61:P61">
    <cfRule type="containsText" dxfId="1" priority="2" operator="containsText" text="vacances">
      <formula>NOT(ISERROR(SEARCH("vacances",O61)))</formula>
    </cfRule>
  </conditionalFormatting>
  <conditionalFormatting sqref="O61:P61">
    <cfRule type="containsText" dxfId="0" priority="1" operator="containsText" text="vacances">
      <formula>NOT(ISERROR(SEARCH("vacances",O61)))</formula>
    </cfRule>
  </conditionalFormatting>
  <pageMargins left="0.19685039370078741" right="0.19685039370078741" top="0.19685039370078741" bottom="0.59055118110236227" header="0" footer="0"/>
  <pageSetup paperSize="9" scale="82" orientation="landscape" r:id="rId1"/>
  <headerFooter alignWithMargins="0"/>
  <rowBreaks count="3" manualBreakCount="3">
    <brk id="26" max="16383" man="1"/>
    <brk id="48" max="16383" man="1"/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3">
    <tabColor rgb="FFFF0000"/>
  </sheetPr>
  <dimension ref="A1:P81"/>
  <sheetViews>
    <sheetView workbookViewId="0">
      <selection activeCell="B11" sqref="B11"/>
    </sheetView>
  </sheetViews>
  <sheetFormatPr baseColWidth="10" defaultRowHeight="13.2" x14ac:dyDescent="0.25"/>
  <cols>
    <col min="1" max="1" width="19.44140625" bestFit="1" customWidth="1"/>
    <col min="2" max="2" width="15.5546875" bestFit="1" customWidth="1"/>
    <col min="3" max="3" width="9" bestFit="1" customWidth="1"/>
    <col min="4" max="4" width="6" customWidth="1"/>
    <col min="5" max="5" width="6.88671875" customWidth="1"/>
    <col min="6" max="6" width="5.88671875" customWidth="1"/>
    <col min="7" max="7" width="10.109375" bestFit="1" customWidth="1"/>
    <col min="8" max="8" width="6.33203125" customWidth="1"/>
    <col min="9" max="9" width="9" bestFit="1" customWidth="1"/>
    <col min="10" max="10" width="6.33203125" customWidth="1"/>
    <col min="11" max="11" width="9.33203125" bestFit="1" customWidth="1"/>
    <col min="12" max="12" width="6.109375" customWidth="1"/>
    <col min="13" max="13" width="7.44140625" customWidth="1"/>
    <col min="14" max="14" width="6.44140625" customWidth="1"/>
    <col min="15" max="15" width="7.88671875" bestFit="1" customWidth="1"/>
    <col min="16" max="16" width="5.88671875" bestFit="1" customWidth="1"/>
  </cols>
  <sheetData>
    <row r="1" spans="1:16" ht="15.6" x14ac:dyDescent="0.3">
      <c r="A1" s="207" t="s">
        <v>8</v>
      </c>
      <c r="B1" s="30"/>
      <c r="C1" s="208"/>
      <c r="D1" s="208"/>
      <c r="G1" s="27"/>
      <c r="H1" s="207"/>
      <c r="I1" s="28"/>
      <c r="L1" s="23"/>
    </row>
    <row r="2" spans="1:16" ht="15.6" x14ac:dyDescent="0.3">
      <c r="A2" s="31" t="s">
        <v>9</v>
      </c>
      <c r="B2" s="32">
        <f>synthese!$B$2</f>
        <v>2021</v>
      </c>
      <c r="C2" s="31" t="s">
        <v>13</v>
      </c>
      <c r="D2" s="32">
        <f>synthese!$D$2</f>
        <v>10</v>
      </c>
      <c r="E2" s="207"/>
      <c r="F2" s="26"/>
      <c r="G2" s="27"/>
      <c r="H2" s="26"/>
      <c r="I2" s="28"/>
      <c r="L2" s="23"/>
    </row>
    <row r="3" spans="1:16" ht="16.2" x14ac:dyDescent="0.35">
      <c r="A3" s="31" t="s">
        <v>11</v>
      </c>
      <c r="B3" s="92">
        <f>DATE($B$2,$D$2,1)</f>
        <v>44470</v>
      </c>
      <c r="C3" s="31" t="s">
        <v>12</v>
      </c>
      <c r="D3" s="32">
        <f>semaine!$C$7</f>
        <v>39</v>
      </c>
      <c r="F3" s="34"/>
      <c r="G3" s="54"/>
      <c r="H3" s="26"/>
      <c r="I3" s="28"/>
      <c r="L3" s="23"/>
    </row>
    <row r="4" spans="1:16" ht="15.6" x14ac:dyDescent="0.3">
      <c r="A4" s="31" t="s">
        <v>15</v>
      </c>
      <c r="B4" s="92">
        <f>$B$3-DAY($B$3)+8-WEEKDAY($B$3-DAY($B$3)+6)</f>
        <v>44473</v>
      </c>
      <c r="C4" s="31" t="s">
        <v>12</v>
      </c>
      <c r="D4" s="32">
        <f>semaine!$C$8</f>
        <v>40</v>
      </c>
      <c r="E4" s="207"/>
      <c r="F4" s="26"/>
      <c r="G4" s="27"/>
      <c r="H4" s="26"/>
      <c r="I4" s="28"/>
      <c r="L4" s="23"/>
    </row>
    <row r="5" spans="1:16" ht="15.6" x14ac:dyDescent="0.3">
      <c r="A5" s="31" t="s">
        <v>115</v>
      </c>
      <c r="B5" s="92">
        <f>IF(WEEKDAY(B3)=2,B4,B4-7)</f>
        <v>44466</v>
      </c>
      <c r="C5" s="31" t="s">
        <v>12</v>
      </c>
      <c r="D5" s="32">
        <f>semaine!$C$9</f>
        <v>39</v>
      </c>
      <c r="E5" s="190"/>
      <c r="F5" s="190"/>
      <c r="G5" s="190"/>
      <c r="H5" s="63"/>
    </row>
    <row r="6" spans="1:16" x14ac:dyDescent="0.25">
      <c r="A6" s="81"/>
      <c r="B6" s="81"/>
      <c r="C6" s="14"/>
      <c r="E6" s="190"/>
      <c r="F6" s="203"/>
      <c r="G6" s="203"/>
      <c r="H6" s="63"/>
    </row>
    <row r="7" spans="1:16" x14ac:dyDescent="0.25">
      <c r="A7" s="82"/>
      <c r="B7" s="81"/>
      <c r="E7" s="190"/>
      <c r="F7" s="190"/>
      <c r="G7" s="190"/>
      <c r="H7" s="63"/>
    </row>
    <row r="8" spans="1:16" x14ac:dyDescent="0.25">
      <c r="A8" s="82"/>
      <c r="B8" s="81"/>
      <c r="E8" s="190"/>
      <c r="F8" s="190"/>
      <c r="G8" s="190"/>
      <c r="H8" s="63"/>
    </row>
    <row r="9" spans="1:16" x14ac:dyDescent="0.25">
      <c r="A9" s="82"/>
      <c r="B9" s="81"/>
      <c r="D9" s="190" t="s">
        <v>16</v>
      </c>
      <c r="E9" s="190"/>
      <c r="F9" s="190"/>
      <c r="G9" s="190"/>
      <c r="H9" s="204"/>
    </row>
    <row r="10" spans="1:16" ht="13.8" thickBot="1" x14ac:dyDescent="0.3">
      <c r="B10" s="19"/>
      <c r="C10" s="19"/>
      <c r="D10" s="19"/>
      <c r="E10" s="19"/>
    </row>
    <row r="11" spans="1:16" ht="13.8" thickBot="1" x14ac:dyDescent="0.3">
      <c r="A11" s="77" t="s">
        <v>14</v>
      </c>
      <c r="B11" s="77">
        <f>semaine!D9</f>
        <v>2</v>
      </c>
      <c r="C11" s="105" t="s">
        <v>16</v>
      </c>
      <c r="D11" s="33"/>
      <c r="E11" s="33"/>
      <c r="K11" s="75"/>
    </row>
    <row r="12" spans="1:16" ht="13.8" thickBot="1" x14ac:dyDescent="0.3">
      <c r="A12" s="206" t="s">
        <v>10</v>
      </c>
      <c r="B12" s="24">
        <f>D5</f>
        <v>39</v>
      </c>
      <c r="C12" s="35">
        <f>$B$5</f>
        <v>44466</v>
      </c>
      <c r="D12" s="8" t="str">
        <f>IF(ISNA(VLOOKUP($C12,feries!$B$5:$B$31,1,FALSE)),"",IF(VLOOKUP($C12,feries!$B$5:$B$31,1,FALSE)=$C12,"férié",""))</f>
        <v/>
      </c>
      <c r="E12" s="35">
        <f>C12+1</f>
        <v>44467</v>
      </c>
      <c r="F12" s="8" t="str">
        <f>IF(ISNA(VLOOKUP($E12,feries!$B$5:$B$31,1,FALSE)),"",IF(VLOOKUP($E12,feries!$B$5:$B$31,1,FALSE)=$E12,"férié",""))</f>
        <v/>
      </c>
      <c r="G12" s="35">
        <f>E12+1</f>
        <v>44468</v>
      </c>
      <c r="H12" s="8" t="str">
        <f>IF(ISNA(VLOOKUP($G12,feries!$B$5:$B$31,1,FALSE)),"",IF(VLOOKUP($G12,feries!$B$5:$B$31,1,FALSE)=$G12,"férié",""))</f>
        <v/>
      </c>
      <c r="I12" s="35">
        <f>G12+1</f>
        <v>44469</v>
      </c>
      <c r="J12" s="8" t="str">
        <f>IF(ISNA(VLOOKUP($I12,feries!$B$5:$B$31,1,FALSE)),"",IF(VLOOKUP($I12,feries!$B$5:$B$31,1,FALSE)=$I12,"férié",""))</f>
        <v/>
      </c>
      <c r="K12" s="35">
        <f>I12+1</f>
        <v>44470</v>
      </c>
      <c r="L12" s="8" t="str">
        <f>IF(ISNA(VLOOKUP($K12,feries!$B$5:$B$31,1,FALSE)),"",IF(VLOOKUP($K12,feries!$B$5:$B$31,1,FALSE)=$K12,"férié",""))</f>
        <v/>
      </c>
      <c r="M12" s="76">
        <f>K12+1</f>
        <v>44471</v>
      </c>
      <c r="N12" s="8" t="str">
        <f>IF(ISNA(VLOOKUP($M12,feries!$B$5:$B$31,1,FALSE)),"",IF(VLOOKUP($M12,feries!$B$5:$B$31,1,FALSE)=$M12,"férié",""))</f>
        <v/>
      </c>
      <c r="O12" s="76">
        <f>M12+1</f>
        <v>44472</v>
      </c>
      <c r="P12" s="8" t="str">
        <f>IF(ISNA(VLOOKUP($M12,feries!$B$5:$B$31,1,FALSE)),"",IF(VLOOKUP($M12,feries!$B$5:$B$31,1,FALSE)=$M12,"férié",""))</f>
        <v/>
      </c>
    </row>
    <row r="13" spans="1:16" x14ac:dyDescent="0.25">
      <c r="A13" s="7" t="str">
        <f>type!$A$3</f>
        <v>a</v>
      </c>
      <c r="B13" s="2" t="s">
        <v>0</v>
      </c>
      <c r="C13" s="247">
        <f>IF($B$11=1,type!C$3,IF($B$11=2,type!C$15,IF($B$11=3,type!C$27,type!C$39)))</f>
        <v>8.75</v>
      </c>
      <c r="D13" s="10">
        <f>IF($B$11=1,type!D$3,IF($B$11=2,type!D$15,IF($B$11=3,type!D$27,type!D$39)))</f>
        <v>13</v>
      </c>
      <c r="E13" s="247">
        <f>IF($B$11=1,type!E$3,IF($B$11=2,type!E$15,IF($B$11=3,type!E$27,type!E$39)))</f>
        <v>8.75</v>
      </c>
      <c r="F13" s="10">
        <f>IF($B$11=1,type!F$3,IF($B$11=2,type!F$15,IF($B$11=3,type!F$27,type!F$39)))</f>
        <v>13</v>
      </c>
      <c r="G13" s="247">
        <f>IF($B$11=1,type!G$3,IF($B$11=2,type!G$15,IF($B$11=3,type!G$27,type!G$39)))</f>
        <v>0</v>
      </c>
      <c r="H13" s="10">
        <f>IF($B$11=1,type!H$3,IF($B$11=2,type!H$15,IF($B$11=3,type!H$27,type!H$39)))</f>
        <v>0</v>
      </c>
      <c r="I13" s="247">
        <f>IF($B$11=1,type!I$3,IF($B$11=2,type!I$15,IF($B$11=3,type!I$27,type!I$39)))</f>
        <v>0</v>
      </c>
      <c r="J13" s="10">
        <f>IF($B$11=1,type!J$3,IF($B$11=2,type!J$15,IF($B$11=3,type!J$27,type!J$39)))</f>
        <v>0</v>
      </c>
      <c r="K13" s="247">
        <f>IF($B$11=1,type!K$3,IF($B$11=2,type!K$15,IF($B$11=3,type!K$27,type!K$39)))</f>
        <v>8.75</v>
      </c>
      <c r="L13" s="10">
        <f>IF($B$11=1,type!L$3,IF($B$11=2,type!L$15,IF($B$11=3,type!L$27,type!L$39)))</f>
        <v>13</v>
      </c>
      <c r="M13" s="247">
        <f>IF($B$11=1,type!M$3,IF($B$11=2,type!M$15,IF($B$11=3,type!M$27,type!M$39)))</f>
        <v>0</v>
      </c>
      <c r="N13" s="10">
        <f>IF($B$11=1,type!N$3,IF($B$11=2,type!N$15,IF($B$11=3,type!N$27,type!N$39)))</f>
        <v>0</v>
      </c>
      <c r="O13" s="247">
        <f>IF($B$11=1,type!O$3,IF($B$11=2,type!O$15,IF($B$11=3,type!O$27,type!O$39)))</f>
        <v>0</v>
      </c>
      <c r="P13" s="247">
        <f>IF($B$11=1,type!P$3,IF($B$11=2,type!P$15,IF($B$11=3,type!P$27,type!P$39)))</f>
        <v>0</v>
      </c>
    </row>
    <row r="14" spans="1:16" x14ac:dyDescent="0.25">
      <c r="A14" s="5"/>
      <c r="B14" s="9" t="s">
        <v>1</v>
      </c>
      <c r="C14" s="249">
        <f>IF($B$11=1,type!C$4,IF($B$11=2,type!C$16,IF($B$11=3,type!C$28,type!C$40)))</f>
        <v>14</v>
      </c>
      <c r="D14" s="40">
        <f>IF($B$11=1,type!D$4,IF($B$11=2,type!D$16,IF($B$11=3,type!D$28,type!D$40)))</f>
        <v>20</v>
      </c>
      <c r="E14" s="249">
        <f>IF($B$11=1,type!E$4,IF($B$11=2,type!E$16,IF($B$11=3,type!E$28,type!E$40)))</f>
        <v>14.5</v>
      </c>
      <c r="F14" s="40">
        <f>IF($B$11=1,type!F$4,IF($B$11=2,type!F$16,IF($B$11=3,type!F$28,type!F$40)))</f>
        <v>19</v>
      </c>
      <c r="G14" s="249">
        <f>IF($B$11=1,type!G$4,IF($B$11=2,type!G$16,IF($B$11=3,type!G$28,type!G$40)))</f>
        <v>14</v>
      </c>
      <c r="H14" s="40">
        <f>IF($B$11=1,type!H$4,IF($B$11=2,type!H$16,IF($B$11=3,type!H$28,type!H$40)))</f>
        <v>20</v>
      </c>
      <c r="I14" s="249">
        <f>IF($B$11=1,type!I$4,IF($B$11=2,type!I$16,IF($B$11=3,type!I$28,type!I$40)))</f>
        <v>14</v>
      </c>
      <c r="J14" s="40">
        <f>IF($B$11=1,type!J$4,IF($B$11=2,type!J$16,IF($B$11=3,type!J$28,type!J$40)))</f>
        <v>20</v>
      </c>
      <c r="K14" s="249">
        <f>IF($B$11=1,type!K$4,IF($B$11=2,type!K$16,IF($B$11=3,type!K$28,type!K$40)))</f>
        <v>0</v>
      </c>
      <c r="L14" s="40">
        <f>IF($B$11=1,type!L$4,IF($B$11=2,type!L$16,IF($B$11=3,type!L$28,type!L$40)))</f>
        <v>0</v>
      </c>
      <c r="M14" s="249">
        <f>IF($B$11=1,type!M$4,IF($B$11=2,type!M$16,IF($B$11=3,type!M$28,type!M$40)))</f>
        <v>0</v>
      </c>
      <c r="N14" s="40">
        <f>IF($B$11=1,type!N$4,IF($B$11=2,type!N$16,IF($B$11=3,type!N$28,type!N$40)))</f>
        <v>0</v>
      </c>
      <c r="O14" s="249">
        <f>IF($B$11=1,type!O$4,IF($B$11=2,type!O$16,IF($B$11=3,type!O$28,type!O$40)))</f>
        <v>0</v>
      </c>
      <c r="P14" s="249">
        <f>IF($B$11=1,type!P$4,IF($B$11=2,type!P$16,IF($B$11=3,type!P$28,type!P$40)))</f>
        <v>0</v>
      </c>
    </row>
    <row r="15" spans="1:16" s="1" customFormat="1" ht="13.8" thickBot="1" x14ac:dyDescent="0.3">
      <c r="A15" s="4"/>
      <c r="B15" s="20">
        <f>SUM(C15:P15)</f>
        <v>35.25</v>
      </c>
      <c r="C15" s="248">
        <f>D14-C14+D13-C13</f>
        <v>10.25</v>
      </c>
      <c r="D15" s="47"/>
      <c r="E15" s="248">
        <f>F14-E14+F13-E13</f>
        <v>8.75</v>
      </c>
      <c r="F15" s="47"/>
      <c r="G15" s="248">
        <f>H14-G14+H13-G13</f>
        <v>6</v>
      </c>
      <c r="H15" s="47"/>
      <c r="I15" s="248">
        <f>J14-I14+J13-I13</f>
        <v>6</v>
      </c>
      <c r="J15" s="47"/>
      <c r="K15" s="248">
        <f>L14-K14+L13-K13</f>
        <v>4.25</v>
      </c>
      <c r="L15" s="47"/>
      <c r="M15" s="248">
        <f>N14-M14+N13-M13</f>
        <v>0</v>
      </c>
      <c r="N15" s="47"/>
      <c r="O15" s="248">
        <f>P14-O14+P13-O13</f>
        <v>0</v>
      </c>
      <c r="P15" s="248"/>
    </row>
    <row r="16" spans="1:16" x14ac:dyDescent="0.25">
      <c r="A16" s="7" t="str">
        <f>type!$A$6</f>
        <v>b</v>
      </c>
      <c r="B16" s="2" t="s">
        <v>0</v>
      </c>
      <c r="C16" s="247">
        <f>IF($B$11=1,type!C$6,IF($B$11=2,type!C$18,IF($B$11=3,type!C$30,type!C$42)))</f>
        <v>8.75</v>
      </c>
      <c r="D16" s="10">
        <f>IF($B$11=1,type!D$6,IF($B$11=2,type!D$18,IF($B$11=3,type!D$30,type!D$42)))</f>
        <v>12</v>
      </c>
      <c r="E16" s="247">
        <f>IF($B$11=1,type!E$6,IF($B$11=2,type!E$18,IF($B$11=3,type!E$30,type!E$42)))</f>
        <v>0</v>
      </c>
      <c r="F16" s="10">
        <f>IF($B$11=1,type!F$6,IF($B$11=2,type!F$18,IF($B$11=3,type!F$30,type!F$42)))</f>
        <v>0</v>
      </c>
      <c r="G16" s="247">
        <f>IF($B$11=1,type!G$6,IF($B$11=2,type!G$18,IF($B$11=3,type!G$30,type!G$42)))</f>
        <v>8.75</v>
      </c>
      <c r="H16" s="10">
        <f>IF($B$11=1,type!H$6,IF($B$11=2,type!H$18,IF($B$11=3,type!H$30,type!H$42)))</f>
        <v>13</v>
      </c>
      <c r="I16" s="247">
        <f>IF($B$11=1,type!I$6,IF($B$11=2,type!I$18,IF($B$11=3,type!I$30,type!I$42)))</f>
        <v>0</v>
      </c>
      <c r="J16" s="10">
        <f>IF($B$11=1,type!J$6,IF($B$11=2,type!J$18,IF($B$11=3,type!J$30,type!J$42)))</f>
        <v>0</v>
      </c>
      <c r="K16" s="247">
        <f>IF($B$11=1,type!K$6,IF($B$11=2,type!K$18,IF($B$11=3,type!K$30,type!K$42)))</f>
        <v>8.75</v>
      </c>
      <c r="L16" s="10">
        <f>IF($B$11=1,type!L$6,IF($B$11=2,type!L$18,IF($B$11=3,type!L$30,type!L$42)))</f>
        <v>12</v>
      </c>
      <c r="M16" s="247">
        <f>IF($B$11=1,type!M$6,IF($B$11=2,type!M$18,IF($B$11=3,type!M$30,type!M$42)))</f>
        <v>0</v>
      </c>
      <c r="N16" s="10">
        <f>IF($B$11=1,type!N$6,IF($B$11=2,type!N$18,IF($B$11=3,type!N$30,type!N$42)))</f>
        <v>0</v>
      </c>
      <c r="O16" s="247">
        <f>IF($B$11=1,type!O$6,IF($B$11=2,type!O$18,IF($B$11=3,type!O$30,type!O$42)))</f>
        <v>0</v>
      </c>
      <c r="P16" s="247">
        <f>IF($B$11=1,type!P$6,IF($B$11=2,type!P$18,IF($B$11=3,type!P$30,type!P$42)))</f>
        <v>0</v>
      </c>
    </row>
    <row r="17" spans="1:16" x14ac:dyDescent="0.25">
      <c r="A17" s="5"/>
      <c r="B17" s="9" t="s">
        <v>1</v>
      </c>
      <c r="C17" s="249">
        <f>IF($B$11=1,type!C$7,IF($B$11=2,type!C$19,IF($B$11=3,type!C$31,type!C$43)))</f>
        <v>14</v>
      </c>
      <c r="D17" s="40">
        <f>IF($B$11=1,type!D$7,IF($B$11=2,type!D$19,IF($B$11=3,type!D$31,type!D$43)))</f>
        <v>19</v>
      </c>
      <c r="E17" s="249">
        <f>IF($B$11=1,type!E$7,IF($B$11=2,type!E$19,IF($B$11=3,type!E$31,type!E$43)))</f>
        <v>14</v>
      </c>
      <c r="F17" s="40">
        <f>IF($B$11=1,type!F$7,IF($B$11=2,type!F$19,IF($B$11=3,type!F$31,type!F$43)))</f>
        <v>20</v>
      </c>
      <c r="G17" s="249">
        <f>IF($B$11=1,type!G$7,IF($B$11=2,type!G$19,IF($B$11=3,type!G$31,type!G$43)))</f>
        <v>14.5</v>
      </c>
      <c r="H17" s="40">
        <f>IF($B$11=1,type!H$7,IF($B$11=2,type!H$19,IF($B$11=3,type!H$31,type!H$43)))</f>
        <v>19</v>
      </c>
      <c r="I17" s="249">
        <f>IF($B$11=1,type!I$7,IF($B$11=2,type!I$19,IF($B$11=3,type!I$31,type!I$43)))</f>
        <v>14</v>
      </c>
      <c r="J17" s="40">
        <f>IF($B$11=1,type!J$7,IF($B$11=2,type!J$19,IF($B$11=3,type!J$31,type!J$43)))</f>
        <v>19</v>
      </c>
      <c r="K17" s="249">
        <f>IF($B$11=1,type!K$7,IF($B$11=2,type!K$19,IF($B$11=3,type!K$31,type!K$43)))</f>
        <v>14</v>
      </c>
      <c r="L17" s="40">
        <f>IF($B$11=1,type!L$7,IF($B$11=2,type!L$19,IF($B$11=3,type!L$31,type!L$43)))</f>
        <v>19.75</v>
      </c>
      <c r="M17" s="249">
        <f>IF($B$11=1,type!M$7,IF($B$11=2,type!M$19,IF($B$11=3,type!M$31,type!M$43)))</f>
        <v>0</v>
      </c>
      <c r="N17" s="40">
        <f>IF($B$11=1,type!N$7,IF($B$11=2,type!N$19,IF($B$11=3,type!N$31,type!N$43)))</f>
        <v>0</v>
      </c>
      <c r="O17" s="249">
        <f>IF($B$11=1,type!O$7,IF($B$11=2,type!O$19,IF($B$11=3,type!O$31,type!O$43)))</f>
        <v>0</v>
      </c>
      <c r="P17" s="249">
        <f>IF($B$11=1,type!P$7,IF($B$11=2,type!P$19,IF($B$11=3,type!P$31,type!P$43)))</f>
        <v>0</v>
      </c>
    </row>
    <row r="18" spans="1:16" ht="13.8" thickBot="1" x14ac:dyDescent="0.3">
      <c r="A18" s="5"/>
      <c r="B18" s="20">
        <f>SUM(C18:P18)</f>
        <v>37</v>
      </c>
      <c r="C18" s="248">
        <f>D17-C17+D16-C16</f>
        <v>8.25</v>
      </c>
      <c r="D18" s="47"/>
      <c r="E18" s="248">
        <f>F17-E17+F16-E16</f>
        <v>6</v>
      </c>
      <c r="F18" s="47"/>
      <c r="G18" s="248">
        <f>H17-G17+H16-G16</f>
        <v>8.75</v>
      </c>
      <c r="H18" s="47"/>
      <c r="I18" s="248">
        <f>J17-I17+J16-I16</f>
        <v>5</v>
      </c>
      <c r="J18" s="47"/>
      <c r="K18" s="248">
        <f>L17-K17+L16-K16</f>
        <v>9</v>
      </c>
      <c r="L18" s="47"/>
      <c r="M18" s="248">
        <f>N17-M17+N16-M16</f>
        <v>0</v>
      </c>
      <c r="N18" s="47"/>
      <c r="O18" s="248">
        <f>P17-O17+P16-O16</f>
        <v>0</v>
      </c>
      <c r="P18" s="248"/>
    </row>
    <row r="19" spans="1:16" x14ac:dyDescent="0.25">
      <c r="A19" s="7" t="str">
        <f>type!$A$9</f>
        <v>y</v>
      </c>
      <c r="B19" s="2" t="s">
        <v>0</v>
      </c>
      <c r="C19" s="247">
        <f>IF($B$11=1,type!C$9,IF($B$11=2,type!C$21,IF($B$11=3,type!C$33,type!C$45)))</f>
        <v>0</v>
      </c>
      <c r="D19" s="10">
        <f>IF($B$11=1,type!D$9,IF($B$11=2,type!D$21,IF($B$11=3,type!D$33,type!D$45)))</f>
        <v>0</v>
      </c>
      <c r="E19" s="247">
        <f>IF($B$11=1,type!E$9,IF($B$11=2,type!E$21,IF($B$11=3,type!E$33,type!E$45)))</f>
        <v>0</v>
      </c>
      <c r="F19" s="10">
        <f>IF($B$11=1,type!F$9,IF($B$11=2,type!F$21,IF($B$11=3,type!F$33,type!F$45)))</f>
        <v>0</v>
      </c>
      <c r="G19" s="247">
        <f>IF($B$11=1,type!G$9,IF($B$11=2,type!G$21,IF($B$11=3,type!G$33,type!G$45)))</f>
        <v>0</v>
      </c>
      <c r="H19" s="10">
        <f>IF($B$11=1,type!H$9,IF($B$11=2,type!H$21,IF($B$11=3,type!H$33,type!H$45)))</f>
        <v>0</v>
      </c>
      <c r="I19" s="247">
        <f>IF($B$11=1,type!I$9,IF($B$11=2,type!I$21,IF($B$11=3,type!I$33,type!I$45)))</f>
        <v>0</v>
      </c>
      <c r="J19" s="10">
        <f>IF($B$11=1,type!J$9,IF($B$11=2,type!J$21,IF($B$11=3,type!J$33,type!J$45)))</f>
        <v>0</v>
      </c>
      <c r="K19" s="247">
        <f>IF($B$11=1,type!K$9,IF($B$11=2,type!K$21,IF($B$11=3,type!K$33,type!K$45)))</f>
        <v>0</v>
      </c>
      <c r="L19" s="10">
        <f>IF($B$11=1,type!L$9,IF($B$11=2,type!L$21,IF($B$11=3,type!L$33,type!L$45)))</f>
        <v>0</v>
      </c>
      <c r="M19" s="247">
        <f>IF($B$11=1,type!M$9,IF($B$11=2,type!M$21,IF($B$11=3,type!M$33,type!M$45)))</f>
        <v>0</v>
      </c>
      <c r="N19" s="10">
        <f>IF($B$11=1,type!N$9,IF($B$11=2,type!N$21,IF($B$11=3,type!N$33,type!N$45)))</f>
        <v>0</v>
      </c>
      <c r="O19" s="247">
        <f>IF($B$11=1,type!O$9,IF($B$11=2,type!O$21,IF($B$11=3,type!O$33,type!O$45)))</f>
        <v>0</v>
      </c>
      <c r="P19" s="247">
        <f>IF($B$11=1,type!P$9,IF($B$11=2,type!P$21,IF($B$11=3,type!P$33,type!P$45)))</f>
        <v>0</v>
      </c>
    </row>
    <row r="20" spans="1:16" x14ac:dyDescent="0.25">
      <c r="A20" s="5"/>
      <c r="B20" s="9" t="s">
        <v>1</v>
      </c>
      <c r="C20" s="249">
        <f>IF($B$11=1,type!C$10,IF($B$11=2,type!C$22,IF($B$11=3,type!C$34,type!C$46)))</f>
        <v>0</v>
      </c>
      <c r="D20" s="40">
        <f>IF($B$11=1,type!D$10,IF($B$11=2,type!D$22,IF($B$11=3,type!D$34,type!D$46)))</f>
        <v>0</v>
      </c>
      <c r="E20" s="249">
        <f>IF($B$11=1,type!E$10,IF($B$11=2,type!E$22,IF($B$11=3,type!E$34,type!E$46)))</f>
        <v>0</v>
      </c>
      <c r="F20" s="40">
        <f>IF($B$11=1,type!F$10,IF($B$11=2,type!F$22,IF($B$11=3,type!F$34,type!F$46)))</f>
        <v>0</v>
      </c>
      <c r="G20" s="249">
        <f>IF($B$11=1,type!G$10,IF($B$11=2,type!G$22,IF($B$11=3,type!G$34,type!G$46)))</f>
        <v>0</v>
      </c>
      <c r="H20" s="40">
        <f>IF($B$11=1,type!H$10,IF($B$11=2,type!H$22,IF($B$11=3,type!H$34,type!H$46)))</f>
        <v>0</v>
      </c>
      <c r="I20" s="249">
        <f>IF($B$11=1,type!I$10,IF($B$11=2,type!I$22,IF($B$11=3,type!I$34,type!I$46)))</f>
        <v>0</v>
      </c>
      <c r="J20" s="40">
        <f>IF($B$11=1,type!J$10,IF($B$11=2,type!J$22,IF($B$11=3,type!J$34,type!J$46)))</f>
        <v>0</v>
      </c>
      <c r="K20" s="249">
        <f>IF($B$11=1,type!K$10,IF($B$11=2,type!K$22,IF($B$11=3,type!K$34,type!K$46)))</f>
        <v>0</v>
      </c>
      <c r="L20" s="40">
        <f>IF($B$11=1,type!L$10,IF($B$11=2,type!L$22,IF($B$11=3,type!L$34,type!L$46)))</f>
        <v>0</v>
      </c>
      <c r="M20" s="249">
        <f>IF($B$11=1,type!M$10,IF($B$11=2,type!M$22,IF($B$11=3,type!M$34,type!M$46)))</f>
        <v>0</v>
      </c>
      <c r="N20" s="40">
        <f>IF($B$11=1,type!N$10,IF($B$11=2,type!N$22,IF($B$11=3,type!N$34,type!N$46)))</f>
        <v>0</v>
      </c>
      <c r="O20" s="249">
        <f>IF($B$11=1,type!O$10,IF($B$11=2,type!O$22,IF($B$11=3,type!O$34,type!O$46)))</f>
        <v>0</v>
      </c>
      <c r="P20" s="249">
        <f>IF($B$11=1,type!P$10,IF($B$11=2,type!P$22,IF($B$11=3,type!P$34,type!P$46)))</f>
        <v>0</v>
      </c>
    </row>
    <row r="21" spans="1:16" ht="13.8" thickBot="1" x14ac:dyDescent="0.3">
      <c r="A21" s="6"/>
      <c r="B21" s="20">
        <f>SUM(C21:P21)</f>
        <v>0</v>
      </c>
      <c r="C21" s="248">
        <f>D20-C20+D19-C19</f>
        <v>0</v>
      </c>
      <c r="D21" s="47"/>
      <c r="E21" s="248">
        <f>F20-E20+F19-E19</f>
        <v>0</v>
      </c>
      <c r="F21" s="47"/>
      <c r="G21" s="248">
        <f>H20-G20+H19-G19</f>
        <v>0</v>
      </c>
      <c r="H21" s="47"/>
      <c r="I21" s="248">
        <f>J20-I20+J19-I19</f>
        <v>0</v>
      </c>
      <c r="J21" s="47"/>
      <c r="K21" s="248">
        <f>L20-K20+L19-K19</f>
        <v>0</v>
      </c>
      <c r="L21" s="47"/>
      <c r="M21" s="248">
        <f>N20-M20+N19-M19</f>
        <v>0</v>
      </c>
      <c r="N21" s="47"/>
      <c r="O21" s="248">
        <f>P20-O20+P19-O19</f>
        <v>0</v>
      </c>
      <c r="P21" s="248"/>
    </row>
    <row r="22" spans="1:16" ht="13.8" thickBot="1" x14ac:dyDescent="0.3">
      <c r="A22" s="19"/>
      <c r="B22" s="22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1:16" ht="13.8" thickBot="1" x14ac:dyDescent="0.3">
      <c r="A23" s="77" t="s">
        <v>14</v>
      </c>
      <c r="B23" s="77">
        <f>IF($B$11=4,1,$B$11+1)</f>
        <v>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  <row r="24" spans="1:16" ht="13.8" thickBot="1" x14ac:dyDescent="0.3">
      <c r="A24" s="206" t="s">
        <v>10</v>
      </c>
      <c r="B24" s="24">
        <f>IF($B$12=53,1,$B$12+1)</f>
        <v>40</v>
      </c>
      <c r="C24" s="37">
        <f>M12+2</f>
        <v>44473</v>
      </c>
      <c r="D24" s="38" t="str">
        <f>IF(ISNA(VLOOKUP($C24,feries!$B$5:$B$31,1,FALSE)),"",IF(VLOOKUP($C24,feries!$B$5:$B$31,1,FALSE)=$C24,"férié",""))</f>
        <v/>
      </c>
      <c r="E24" s="37">
        <f>C24+1</f>
        <v>44474</v>
      </c>
      <c r="F24" s="38" t="str">
        <f>IF(ISNA(VLOOKUP($E24,feries!$B$5:$B$31,1,FALSE)),"",IF(VLOOKUP($E24,feries!$B$5:$B$31,1,FALSE)=$E24,"férié",""))</f>
        <v/>
      </c>
      <c r="G24" s="37">
        <f>E24+1</f>
        <v>44475</v>
      </c>
      <c r="H24" s="38" t="str">
        <f>IF(ISNA(VLOOKUP($G24,feries!$B$5:$B$31,1,FALSE)),"",IF(VLOOKUP($G24,feries!$B$5:$B$31,1,FALSE)=$G24,"férié",""))</f>
        <v/>
      </c>
      <c r="I24" s="37">
        <f>G24+1</f>
        <v>44476</v>
      </c>
      <c r="J24" s="38" t="str">
        <f>IF(ISNA(VLOOKUP($I24,feries!$B$5:$B$31,1,FALSE)),"",IF(VLOOKUP($I24,feries!$B$5:$B$31,1,FALSE)=$I24,"férié",""))</f>
        <v/>
      </c>
      <c r="K24" s="37">
        <f>I24+1</f>
        <v>44477</v>
      </c>
      <c r="L24" s="38" t="str">
        <f>IF(ISNA(VLOOKUP($K24,feries!$B$5:$B$31,1,FALSE)),"",IF(VLOOKUP($K24,feries!$B$5:$B$31,1,FALSE)=$K24,"férié",""))</f>
        <v/>
      </c>
      <c r="M24" s="37">
        <f>K24+1</f>
        <v>44478</v>
      </c>
      <c r="N24" s="38" t="str">
        <f>IF(ISNA(VLOOKUP($M24,feries!$B$5:$B$31,1,FALSE)),"",IF(VLOOKUP($M24,feries!$B$5:$B$31,1,FALSE)=$M24,"férié",""))</f>
        <v/>
      </c>
      <c r="O24" s="37">
        <f>M24+1</f>
        <v>44479</v>
      </c>
      <c r="P24" s="38" t="str">
        <f>IF(ISNA(VLOOKUP($M24,feries!$B$5:$B$31,1,FALSE)),"",IF(VLOOKUP($M24,feries!$B$5:$B$31,1,FALSE)=$M24,"férié",""))</f>
        <v/>
      </c>
    </row>
    <row r="25" spans="1:16" x14ac:dyDescent="0.25">
      <c r="A25" s="7" t="str">
        <f>type!$A$3</f>
        <v>a</v>
      </c>
      <c r="B25" s="2" t="s">
        <v>0</v>
      </c>
      <c r="C25" s="247">
        <f>IF($B$23=1,type!C$3,IF($B$23=2,type!C$15,IF($B$23=3,type!C$27,type!C$39)))</f>
        <v>8.75</v>
      </c>
      <c r="D25" s="10">
        <f>IF($B$23=1,type!D$3,IF($B$23=2,type!D$15,IF($B$23=3,type!D$27,type!D$39)))</f>
        <v>12</v>
      </c>
      <c r="E25" s="247">
        <f>IF($B$23=1,type!E$3,IF($B$23=2,type!E$15,IF($B$23=3,type!E$27,type!E$39)))</f>
        <v>8.75</v>
      </c>
      <c r="F25" s="10">
        <f>IF($B$23=1,type!F$3,IF($B$23=2,type!F$15,IF($B$23=3,type!F$27,type!F$39)))</f>
        <v>13</v>
      </c>
      <c r="G25" s="247">
        <f>IF($B$23=1,type!G$3,IF($B$23=2,type!G$15,IF($B$23=3,type!G$27,type!G$39)))</f>
        <v>0</v>
      </c>
      <c r="H25" s="10">
        <f>IF($B$23=1,type!H$3,IF($B$23=2,type!H$15,IF($B$23=3,type!H$27,type!H$39)))</f>
        <v>0</v>
      </c>
      <c r="I25" s="247">
        <f>IF($B$23=1,type!I$3,IF($B$23=2,type!I$15,IF($B$23=3,type!I$27,type!I$39)))</f>
        <v>0</v>
      </c>
      <c r="J25" s="10">
        <f>IF($B$23=1,type!J$3,IF($B$23=2,type!J$15,IF($B$23=3,type!J$27,type!J$39)))</f>
        <v>0</v>
      </c>
      <c r="K25" s="247">
        <f>IF($B$23=1,type!K$3,IF($B$23=2,type!K$15,IF($B$23=3,type!K$27,type!K$39)))</f>
        <v>8.75</v>
      </c>
      <c r="L25" s="10">
        <f>IF($B$23=1,type!L$3,IF($B$23=2,type!L$15,IF($B$23=3,type!L$27,type!L$39)))</f>
        <v>12</v>
      </c>
      <c r="M25" s="247">
        <f>IF($B$23=1,type!M$3,IF($B$23=2,type!M$15,IF($B$23=3,type!M$27,type!M$39)))</f>
        <v>0</v>
      </c>
      <c r="N25" s="10">
        <f>IF($B$23=1,type!N$3,IF($B$23=2,type!N$15,IF($B$23=3,type!N$27,type!N$39)))</f>
        <v>0</v>
      </c>
      <c r="O25" s="247">
        <f>IF($B$23=1,type!O$3,IF($B$23=2,type!O$15,IF($B$23=3,type!O$27,type!O$39)))</f>
        <v>0</v>
      </c>
      <c r="P25" s="247">
        <f>IF($B$23=1,type!P$3,IF($B$23=2,type!P$15,IF($B$23=3,type!P$27,type!P$39)))</f>
        <v>0</v>
      </c>
    </row>
    <row r="26" spans="1:16" x14ac:dyDescent="0.25">
      <c r="A26" s="5"/>
      <c r="B26" s="9" t="s">
        <v>1</v>
      </c>
      <c r="C26" s="249">
        <f>IF($B$23=1,type!C$4,IF($B$23=2,type!C$16,IF($B$23=3,type!C$28,type!C$40)))</f>
        <v>14</v>
      </c>
      <c r="D26" s="40">
        <f>IF($B$23=1,type!D$4,IF($B$23=2,type!D$16,IF($B$23=3,type!D$28,type!D$40)))</f>
        <v>19</v>
      </c>
      <c r="E26" s="249">
        <f>IF($B$23=1,type!E$4,IF($B$23=2,type!E$16,IF($B$23=3,type!E$28,type!E$40)))</f>
        <v>14.5</v>
      </c>
      <c r="F26" s="40">
        <f>IF($B$23=1,type!F$4,IF($B$23=2,type!F$16,IF($B$23=3,type!F$28,type!F$40)))</f>
        <v>20</v>
      </c>
      <c r="G26" s="249">
        <f>IF($B$23=1,type!G$4,IF($B$23=2,type!G$16,IF($B$23=3,type!G$28,type!G$40)))</f>
        <v>14</v>
      </c>
      <c r="H26" s="40">
        <f>IF($B$23=1,type!H$4,IF($B$23=2,type!H$16,IF($B$23=3,type!H$28,type!H$40)))</f>
        <v>19</v>
      </c>
      <c r="I26" s="249">
        <f>IF($B$23=1,type!I$4,IF($B$23=2,type!I$16,IF($B$23=3,type!I$28,type!I$40)))</f>
        <v>14</v>
      </c>
      <c r="J26" s="40">
        <f>IF($B$23=1,type!J$4,IF($B$23=2,type!J$16,IF($B$23=3,type!J$28,type!J$40)))</f>
        <v>19</v>
      </c>
      <c r="K26" s="249">
        <f>IF($B$23=1,type!K$4,IF($B$23=2,type!K$16,IF($B$23=3,type!K$28,type!K$40)))</f>
        <v>14</v>
      </c>
      <c r="L26" s="40">
        <f>IF($B$23=1,type!L$4,IF($B$23=2,type!L$16,IF($B$23=3,type!L$28,type!L$40)))</f>
        <v>19.75</v>
      </c>
      <c r="M26" s="249">
        <f>IF($B$23=1,type!M$4,IF($B$23=2,type!M$16,IF($B$23=3,type!M$28,type!M$40)))</f>
        <v>0</v>
      </c>
      <c r="N26" s="40">
        <f>IF($B$23=1,type!N$4,IF($B$23=2,type!N$16,IF($B$23=3,type!N$28,type!N$40)))</f>
        <v>0</v>
      </c>
      <c r="O26" s="249">
        <f>IF($B$23=1,type!O$4,IF($B$23=2,type!O$16,IF($B$23=3,type!O$28,type!O$40)))</f>
        <v>0</v>
      </c>
      <c r="P26" s="249">
        <f>IF($B$23=1,type!P$4,IF($B$23=2,type!P$16,IF($B$23=3,type!P$28,type!P$40)))</f>
        <v>0</v>
      </c>
    </row>
    <row r="27" spans="1:16" ht="13.8" thickBot="1" x14ac:dyDescent="0.3">
      <c r="A27" s="4"/>
      <c r="B27" s="20">
        <f>SUM(C27:P27)</f>
        <v>37</v>
      </c>
      <c r="C27" s="248">
        <f>D26-C26+D25-C25</f>
        <v>8.25</v>
      </c>
      <c r="D27" s="47"/>
      <c r="E27" s="248">
        <f>F26-E26+F25-E25</f>
        <v>9.75</v>
      </c>
      <c r="F27" s="47"/>
      <c r="G27" s="248">
        <f>H26-G26+H25-G25</f>
        <v>5</v>
      </c>
      <c r="H27" s="47"/>
      <c r="I27" s="248">
        <f>J26-I26+J25-I25</f>
        <v>5</v>
      </c>
      <c r="J27" s="47"/>
      <c r="K27" s="248">
        <f>L26-K26+L25-K25</f>
        <v>9</v>
      </c>
      <c r="L27" s="47"/>
      <c r="M27" s="248">
        <f>N26-M26+N25-M25</f>
        <v>0</v>
      </c>
      <c r="N27" s="47"/>
      <c r="O27" s="248">
        <f>P26-O26+P25-O25</f>
        <v>0</v>
      </c>
      <c r="P27" s="248"/>
    </row>
    <row r="28" spans="1:16" x14ac:dyDescent="0.25">
      <c r="A28" s="7" t="str">
        <f>type!$A$6</f>
        <v>b</v>
      </c>
      <c r="B28" s="2" t="s">
        <v>0</v>
      </c>
      <c r="C28" s="247">
        <f>IF($B$23=1,type!C$6,IF($B$23=2,type!C$18,IF($B$23=3,type!C$30,type!C$42)))</f>
        <v>8.75</v>
      </c>
      <c r="D28" s="10">
        <f>IF($B$23=1,type!D$6,IF($B$23=2,type!D$18,IF($B$23=3,type!D$30,type!D$42)))</f>
        <v>13</v>
      </c>
      <c r="E28" s="247">
        <f>IF($B$23=1,type!E$6,IF($B$23=2,type!E$18,IF($B$23=3,type!E$30,type!E$42)))</f>
        <v>0</v>
      </c>
      <c r="F28" s="10">
        <f>IF($B$23=1,type!F$6,IF($B$23=2,type!F$18,IF($B$23=3,type!F$30,type!F$42)))</f>
        <v>0</v>
      </c>
      <c r="G28" s="247">
        <f>IF($B$23=1,type!G$6,IF($B$23=2,type!G$18,IF($B$23=3,type!G$30,type!G$42)))</f>
        <v>8.75</v>
      </c>
      <c r="H28" s="10">
        <f>IF($B$23=1,type!H$6,IF($B$23=2,type!H$18,IF($B$23=3,type!H$30,type!H$42)))</f>
        <v>13</v>
      </c>
      <c r="I28" s="247">
        <f>IF($B$23=1,type!I$6,IF($B$23=2,type!I$18,IF($B$23=3,type!I$30,type!I$42)))</f>
        <v>0</v>
      </c>
      <c r="J28" s="10">
        <f>IF($B$23=1,type!J$6,IF($B$23=2,type!J$18,IF($B$23=3,type!J$30,type!J$42)))</f>
        <v>0</v>
      </c>
      <c r="K28" s="247">
        <f>IF($B$23=1,type!K$6,IF($B$23=2,type!K$18,IF($B$23=3,type!K$30,type!K$42)))</f>
        <v>8.75</v>
      </c>
      <c r="L28" s="10">
        <f>IF($B$23=1,type!L$6,IF($B$23=2,type!L$18,IF($B$23=3,type!L$30,type!L$42)))</f>
        <v>13</v>
      </c>
      <c r="M28" s="247">
        <f>IF($B$23=1,type!M$6,IF($B$23=2,type!M$18,IF($B$23=3,type!M$30,type!M$42)))</f>
        <v>0</v>
      </c>
      <c r="N28" s="10">
        <f>IF($B$23=1,type!N$6,IF($B$23=2,type!N$18,IF($B$23=3,type!N$30,type!N$42)))</f>
        <v>0</v>
      </c>
      <c r="O28" s="247">
        <f>IF($B$23=1,type!O$6,IF($B$23=2,type!O$18,IF($B$23=3,type!O$30,type!O$42)))</f>
        <v>0</v>
      </c>
      <c r="P28" s="247">
        <f>IF($B$23=1,type!P$6,IF($B$23=2,type!P$18,IF($B$23=3,type!P$30,type!P$42)))</f>
        <v>0</v>
      </c>
    </row>
    <row r="29" spans="1:16" x14ac:dyDescent="0.25">
      <c r="A29" s="5"/>
      <c r="B29" s="9" t="s">
        <v>1</v>
      </c>
      <c r="C29" s="249">
        <f>IF($B$23=1,type!C$7,IF($B$23=2,type!C$19,IF($B$23=3,type!C$31,type!C$43)))</f>
        <v>14.5</v>
      </c>
      <c r="D29" s="40">
        <f>IF($B$23=1,type!D$7,IF($B$23=2,type!D$19,IF($B$23=3,type!D$31,type!D$43)))</f>
        <v>20</v>
      </c>
      <c r="E29" s="249">
        <f>IF($B$23=1,type!E$7,IF($B$23=2,type!E$19,IF($B$23=3,type!E$31,type!E$43)))</f>
        <v>14</v>
      </c>
      <c r="F29" s="40">
        <f>IF($B$23=1,type!F$7,IF($B$23=2,type!F$19,IF($B$23=3,type!F$31,type!F$43)))</f>
        <v>19</v>
      </c>
      <c r="G29" s="249">
        <f>IF($B$23=1,type!G$7,IF($B$23=2,type!G$19,IF($B$23=3,type!G$31,type!G$43)))</f>
        <v>14.5</v>
      </c>
      <c r="H29" s="40">
        <f>IF($B$23=1,type!H$7,IF($B$23=2,type!H$19,IF($B$23=3,type!H$31,type!H$43)))</f>
        <v>20</v>
      </c>
      <c r="I29" s="249">
        <f>IF($B$23=1,type!I$7,IF($B$23=2,type!I$19,IF($B$23=3,type!I$31,type!I$43)))</f>
        <v>14</v>
      </c>
      <c r="J29" s="40">
        <f>IF($B$23=1,type!J$7,IF($B$23=2,type!J$19,IF($B$23=3,type!J$31,type!J$43)))</f>
        <v>20</v>
      </c>
      <c r="K29" s="249">
        <f>IF($B$23=1,type!K$7,IF($B$23=2,type!K$19,IF($B$23=3,type!K$31,type!K$43)))</f>
        <v>0</v>
      </c>
      <c r="L29" s="40">
        <f>IF($B$23=1,type!L$7,IF($B$23=2,type!L$19,IF($B$23=3,type!L$31,type!L$43)))</f>
        <v>0</v>
      </c>
      <c r="M29" s="249">
        <f>IF($B$23=1,type!M$7,IF($B$23=2,type!M$19,IF($B$23=3,type!M$31,type!M$43)))</f>
        <v>0</v>
      </c>
      <c r="N29" s="40">
        <f>IF($B$23=1,type!N$7,IF($B$23=2,type!N$19,IF($B$23=3,type!N$31,type!N$43)))</f>
        <v>0</v>
      </c>
      <c r="O29" s="249">
        <f>IF($B$23=1,type!O$7,IF($B$23=2,type!O$19,IF($B$23=3,type!O$31,type!O$43)))</f>
        <v>0</v>
      </c>
      <c r="P29" s="249">
        <f>IF($B$23=1,type!P$7,IF($B$23=2,type!P$19,IF($B$23=3,type!P$31,type!P$43)))</f>
        <v>0</v>
      </c>
    </row>
    <row r="30" spans="1:16" ht="13.8" thickBot="1" x14ac:dyDescent="0.3">
      <c r="A30" s="5"/>
      <c r="B30" s="20">
        <f>SUM(C30:P30)</f>
        <v>34.75</v>
      </c>
      <c r="C30" s="248">
        <f>D29-C29+D28-C28</f>
        <v>9.75</v>
      </c>
      <c r="D30" s="47"/>
      <c r="E30" s="248">
        <f>F29-E29+F28-E28</f>
        <v>5</v>
      </c>
      <c r="F30" s="47"/>
      <c r="G30" s="248">
        <f>H29-G29+H28-G28</f>
        <v>9.75</v>
      </c>
      <c r="H30" s="47"/>
      <c r="I30" s="248">
        <f>J29-I29+J28-I28</f>
        <v>6</v>
      </c>
      <c r="J30" s="47"/>
      <c r="K30" s="248">
        <f>L29-K29+L28-K28</f>
        <v>4.25</v>
      </c>
      <c r="L30" s="47"/>
      <c r="M30" s="248">
        <f>N29-M29+N28-M28</f>
        <v>0</v>
      </c>
      <c r="N30" s="47"/>
      <c r="O30" s="248">
        <f>P29-O29+P28-O28</f>
        <v>0</v>
      </c>
      <c r="P30" s="248"/>
    </row>
    <row r="31" spans="1:16" x14ac:dyDescent="0.25">
      <c r="A31" s="7" t="str">
        <f>type!$A$9</f>
        <v>y</v>
      </c>
      <c r="B31" s="2" t="s">
        <v>0</v>
      </c>
      <c r="C31" s="247">
        <f>IF($B$23=1,type!C$9,IF($B$23=2,type!C$21,IF($B$23=3,type!C$33,type!C$45)))</f>
        <v>0</v>
      </c>
      <c r="D31" s="10">
        <f>IF($B$23=1,type!D$9,IF($B$23=2,type!D$21,IF($B$23=3,type!D$33,type!D$45)))</f>
        <v>0</v>
      </c>
      <c r="E31" s="247">
        <f>IF($B$23=1,type!E$9,IF($B$23=2,type!E$21,IF($B$23=3,type!E$33,type!E$45)))</f>
        <v>0</v>
      </c>
      <c r="F31" s="10">
        <f>IF($B$23=1,type!F$9,IF($B$23=2,type!F$21,IF($B$23=3,type!F$33,type!F$45)))</f>
        <v>0</v>
      </c>
      <c r="G31" s="247">
        <f>IF($B$23=1,type!G$9,IF($B$23=2,type!G$21,IF($B$23=3,type!G$33,type!G$45)))</f>
        <v>0</v>
      </c>
      <c r="H31" s="10">
        <f>IF($B$23=1,type!H$9,IF($B$23=2,type!H$21,IF($B$23=3,type!H$33,type!H$45)))</f>
        <v>0</v>
      </c>
      <c r="I31" s="247">
        <f>IF($B$23=1,type!I$9,IF($B$23=2,type!I$21,IF($B$23=3,type!I$33,type!I$45)))</f>
        <v>0</v>
      </c>
      <c r="J31" s="10">
        <f>IF($B$23=1,type!J$9,IF($B$23=2,type!J$21,IF($B$23=3,type!J$33,type!J$45)))</f>
        <v>0</v>
      </c>
      <c r="K31" s="247">
        <f>IF($B$23=1,type!K$9,IF($B$23=2,type!K$21,IF($B$23=3,type!K$33,type!K$45)))</f>
        <v>0</v>
      </c>
      <c r="L31" s="10">
        <f>IF($B$23=1,type!L$9,IF($B$23=2,type!L$21,IF($B$23=3,type!L$33,type!L$45)))</f>
        <v>0</v>
      </c>
      <c r="M31" s="247">
        <f>IF($B$23=1,type!M$9,IF($B$23=2,type!M$21,IF($B$23=3,type!M$33,type!M$45)))</f>
        <v>0</v>
      </c>
      <c r="N31" s="10">
        <f>IF($B$23=1,type!N$9,IF($B$23=2,type!N$21,IF($B$23=3,type!N$33,type!N$45)))</f>
        <v>0</v>
      </c>
      <c r="O31" s="247">
        <f>IF($B$23=1,type!O$9,IF($B$23=2,type!O$21,IF($B$23=3,type!O$33,type!O$45)))</f>
        <v>0</v>
      </c>
      <c r="P31" s="247">
        <f>IF($B$23=1,type!P$9,IF($B$23=2,type!P$21,IF($B$23=3,type!P$33,type!P$45)))</f>
        <v>0</v>
      </c>
    </row>
    <row r="32" spans="1:16" x14ac:dyDescent="0.25">
      <c r="A32" s="5"/>
      <c r="B32" s="9" t="s">
        <v>1</v>
      </c>
      <c r="C32" s="249">
        <f>IF($B$23=1,type!C$10,IF($B$23=2,type!C$22,IF($B$23=3,type!C$34,type!C$46)))</f>
        <v>0</v>
      </c>
      <c r="D32" s="40">
        <f>IF($B$23=1,type!D$10,IF($B$23=2,type!D$22,IF($B$23=3,type!D$34,type!D$46)))</f>
        <v>0</v>
      </c>
      <c r="E32" s="249">
        <f>IF($B$23=1,type!E$10,IF($B$23=2,type!E$22,IF($B$23=3,type!E$34,type!E$46)))</f>
        <v>0</v>
      </c>
      <c r="F32" s="40">
        <f>IF($B$23=1,type!F$10,IF($B$23=2,type!F$22,IF($B$23=3,type!F$34,type!F$46)))</f>
        <v>0</v>
      </c>
      <c r="G32" s="249">
        <f>IF($B$23=1,type!G$10,IF($B$23=2,type!G$22,IF($B$23=3,type!G$34,type!G$46)))</f>
        <v>0</v>
      </c>
      <c r="H32" s="40">
        <f>IF($B$23=1,type!H$10,IF($B$23=2,type!H$22,IF($B$23=3,type!H$34,type!H$46)))</f>
        <v>0</v>
      </c>
      <c r="I32" s="249">
        <f>IF($B$23=1,type!I$10,IF($B$23=2,type!I$22,IF($B$23=3,type!I$34,type!I$46)))</f>
        <v>0</v>
      </c>
      <c r="J32" s="40">
        <f>IF($B$23=1,type!J$10,IF($B$23=2,type!J$22,IF($B$23=3,type!J$34,type!J$46)))</f>
        <v>0</v>
      </c>
      <c r="K32" s="249">
        <f>IF($B$23=1,type!K$10,IF($B$23=2,type!K$22,IF($B$23=3,type!K$34,type!K$46)))</f>
        <v>0</v>
      </c>
      <c r="L32" s="40">
        <f>IF($B$23=1,type!L$10,IF($B$23=2,type!L$22,IF($B$23=3,type!L$34,type!L$46)))</f>
        <v>0</v>
      </c>
      <c r="M32" s="249">
        <f>IF($B$23=1,type!M$10,IF($B$23=2,type!M$22,IF($B$23=3,type!M$34,type!M$46)))</f>
        <v>0</v>
      </c>
      <c r="N32" s="40">
        <f>IF($B$23=1,type!N$10,IF($B$23=2,type!N$22,IF($B$23=3,type!N$34,type!N$46)))</f>
        <v>0</v>
      </c>
      <c r="O32" s="249">
        <f>IF($B$23=1,type!O$10,IF($B$23=2,type!O$22,IF($B$23=3,type!O$34,type!O$46)))</f>
        <v>0</v>
      </c>
      <c r="P32" s="249">
        <f>IF($B$23=1,type!P$10,IF($B$23=2,type!P$22,IF($B$23=3,type!P$34,type!P$46)))</f>
        <v>0</v>
      </c>
    </row>
    <row r="33" spans="1:16" ht="13.8" thickBot="1" x14ac:dyDescent="0.3">
      <c r="A33" s="6"/>
      <c r="B33" s="20">
        <f>SUM(C33:P33)</f>
        <v>0</v>
      </c>
      <c r="C33" s="248">
        <f>D32-C32+D31-C31</f>
        <v>0</v>
      </c>
      <c r="D33" s="47"/>
      <c r="E33" s="248">
        <f>F32-E32+F31-E31</f>
        <v>0</v>
      </c>
      <c r="F33" s="47"/>
      <c r="G33" s="248">
        <f>H32-G32+H31-G31</f>
        <v>0</v>
      </c>
      <c r="H33" s="47"/>
      <c r="I33" s="248">
        <f>J32-I32+J31-I31</f>
        <v>0</v>
      </c>
      <c r="J33" s="47"/>
      <c r="K33" s="248">
        <f>L32-K32+L31-K31</f>
        <v>0</v>
      </c>
      <c r="L33" s="47"/>
      <c r="M33" s="248">
        <f>N32-M32+N31-M31</f>
        <v>0</v>
      </c>
      <c r="N33" s="47"/>
      <c r="O33" s="248">
        <f>P32-O32+P31-O31</f>
        <v>0</v>
      </c>
      <c r="P33" s="248"/>
    </row>
    <row r="34" spans="1:16" ht="13.8" thickBot="1" x14ac:dyDescent="0.3">
      <c r="A34" s="19"/>
      <c r="B34" s="22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</row>
    <row r="35" spans="1:16" ht="13.8" thickBot="1" x14ac:dyDescent="0.3">
      <c r="A35" s="77" t="s">
        <v>14</v>
      </c>
      <c r="B35" s="77">
        <f>IF($B$23=4,1,$B$23+1)</f>
        <v>4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</row>
    <row r="36" spans="1:16" ht="13.8" thickBot="1" x14ac:dyDescent="0.3">
      <c r="A36" s="206" t="s">
        <v>10</v>
      </c>
      <c r="B36" s="24">
        <f>$B$24+1</f>
        <v>41</v>
      </c>
      <c r="C36" s="37">
        <f>M24+2</f>
        <v>44480</v>
      </c>
      <c r="D36" s="38" t="str">
        <f>IF(ISNA(VLOOKUP($C36,feries!$B$5:$B$31,1,FALSE)),"",IF(VLOOKUP($C36,feries!$B$5:$B$31,1,FALSE)=$C36,"férié",""))</f>
        <v/>
      </c>
      <c r="E36" s="37">
        <f>C36+1</f>
        <v>44481</v>
      </c>
      <c r="F36" s="38" t="str">
        <f>IF(ISNA(VLOOKUP($E36,feries!$B$5:$B$31,1,FALSE)),"",IF(VLOOKUP($E36,feries!$B$5:$B$31,1,FALSE)=$E36,"férié",""))</f>
        <v/>
      </c>
      <c r="G36" s="37">
        <f>E36+1</f>
        <v>44482</v>
      </c>
      <c r="H36" s="38" t="str">
        <f>IF(ISNA(VLOOKUP($G36,feries!$B$5:$B$31,1,FALSE)),"",IF(VLOOKUP($G36,feries!$B$5:$B$31,1,FALSE)=$G36,"férié",""))</f>
        <v/>
      </c>
      <c r="I36" s="37">
        <f>G36+1</f>
        <v>44483</v>
      </c>
      <c r="J36" s="38" t="str">
        <f>IF(ISNA(VLOOKUP($I36,feries!$B$5:$B$31,1,FALSE)),"",IF(VLOOKUP($I36,feries!$B$5:$B$31,1,FALSE)=$I36,"férié",""))</f>
        <v/>
      </c>
      <c r="K36" s="37">
        <f>I36+1</f>
        <v>44484</v>
      </c>
      <c r="L36" s="38" t="str">
        <f>IF(ISNA(VLOOKUP($K36,feries!$B$5:$B$31,1,FALSE)),"",IF(VLOOKUP($K36,feries!$B$5:$B$31,1,FALSE)=$K36,"férié",""))</f>
        <v/>
      </c>
      <c r="M36" s="37">
        <f>K36+1</f>
        <v>44485</v>
      </c>
      <c r="N36" s="38" t="str">
        <f>IF(ISNA(VLOOKUP($M36,feries!$B$5:$B$31,1,FALSE)),"",IF(VLOOKUP($M36,feries!$B$5:$B$31,1,FALSE)=$M36,"férié",""))</f>
        <v/>
      </c>
      <c r="O36" s="37">
        <f>M36+1</f>
        <v>44486</v>
      </c>
      <c r="P36" s="38" t="str">
        <f>IF(ISNA(VLOOKUP($M36,feries!$B$5:$B$31,1,FALSE)),"",IF(VLOOKUP($M36,feries!$B$5:$B$31,1,FALSE)=$M36,"férié",""))</f>
        <v/>
      </c>
    </row>
    <row r="37" spans="1:16" x14ac:dyDescent="0.25">
      <c r="A37" s="7" t="str">
        <f>type!$A$3</f>
        <v>a</v>
      </c>
      <c r="B37" s="2" t="s">
        <v>0</v>
      </c>
      <c r="C37" s="247">
        <f>IF($B$35=1,type!C$3,IF($B$35=2,type!C$15,IF($B$35=3,type!C$27,type!C$39)))</f>
        <v>8.75</v>
      </c>
      <c r="D37" s="10">
        <f>IF($B$35=1,type!D$3,IF($B$35=2,type!D$15,IF($B$35=3,type!D$27,type!D$39)))</f>
        <v>13</v>
      </c>
      <c r="E37" s="247">
        <f>IF($B$35=1,type!E$3,IF($B$35=2,type!E$15,IF($B$35=3,type!E$27,type!E$39)))</f>
        <v>8.75</v>
      </c>
      <c r="F37" s="10">
        <f>IF($B$35=1,type!F$3,IF($B$35=2,type!F$15,IF($B$35=3,type!F$27,type!F$39)))</f>
        <v>13</v>
      </c>
      <c r="G37" s="247">
        <f>IF($B$35=1,type!G$3,IF($B$35=2,type!G$15,IF($B$35=3,type!G$27,type!G$39)))</f>
        <v>0</v>
      </c>
      <c r="H37" s="10">
        <f>IF($B$35=1,type!H$3,IF($B$35=2,type!H$15,IF($B$35=3,type!H$27,type!H$39)))</f>
        <v>0</v>
      </c>
      <c r="I37" s="247">
        <f>IF($B$35=1,type!I$3,IF($B$35=2,type!I$15,IF($B$35=3,type!I$27,type!I$39)))</f>
        <v>0</v>
      </c>
      <c r="J37" s="10">
        <f>IF($B$35=1,type!J$3,IF($B$35=2,type!J$15,IF($B$35=3,type!J$27,type!J$39)))</f>
        <v>0</v>
      </c>
      <c r="K37" s="247">
        <f>IF($B$35=1,type!K$3,IF($B$35=2,type!K$15,IF($B$35=3,type!K$27,type!K$39)))</f>
        <v>8.75</v>
      </c>
      <c r="L37" s="10">
        <f>IF($B$35=1,type!L$3,IF($B$35=2,type!L$15,IF($B$35=3,type!L$27,type!L$39)))</f>
        <v>13</v>
      </c>
      <c r="M37" s="247">
        <f>IF($B$35=1,type!M$3,IF($B$35=2,type!M$15,IF($B$35=3,type!M$27,type!M$39)))</f>
        <v>0</v>
      </c>
      <c r="N37" s="10">
        <f>IF($B$35=1,type!N$3,IF($B$35=2,type!N$15,IF($B$35=3,type!N$27,type!N$39)))</f>
        <v>0</v>
      </c>
      <c r="O37" s="247">
        <f>IF($B$35=1,type!O$3,IF($B$35=2,type!O$15,IF($B$35=3,type!O$27,type!O$39)))</f>
        <v>0</v>
      </c>
      <c r="P37" s="247">
        <f>IF($B$35=1,type!P$3,IF($B$35=2,type!P$15,IF($B$35=3,type!P$27,type!P$39)))</f>
        <v>0</v>
      </c>
    </row>
    <row r="38" spans="1:16" x14ac:dyDescent="0.25">
      <c r="A38" s="5"/>
      <c r="B38" s="9" t="s">
        <v>1</v>
      </c>
      <c r="C38" s="249">
        <f>IF($B$35=1,type!C$4,IF($B$35=2,type!C$16,IF($B$35=3,type!C$28,type!C$40)))</f>
        <v>14</v>
      </c>
      <c r="D38" s="40">
        <f>IF($B$35=1,type!D$4,IF($B$35=2,type!D$16,IF($B$35=3,type!D$28,type!D$40)))</f>
        <v>20</v>
      </c>
      <c r="E38" s="249">
        <f>IF($B$35=1,type!E$4,IF($B$35=2,type!E$16,IF($B$35=3,type!E$28,type!E$40)))</f>
        <v>14.5</v>
      </c>
      <c r="F38" s="40">
        <f>IF($B$35=1,type!F$4,IF($B$35=2,type!F$16,IF($B$35=3,type!F$28,type!F$40)))</f>
        <v>19</v>
      </c>
      <c r="G38" s="249">
        <f>IF($B$35=1,type!G$4,IF($B$35=2,type!G$16,IF($B$35=3,type!G$28,type!G$40)))</f>
        <v>14</v>
      </c>
      <c r="H38" s="40">
        <f>IF($B$35=1,type!H$4,IF($B$35=2,type!H$16,IF($B$35=3,type!H$28,type!H$40)))</f>
        <v>20</v>
      </c>
      <c r="I38" s="249">
        <f>IF($B$35=1,type!I$4,IF($B$35=2,type!I$16,IF($B$35=3,type!I$28,type!I$40)))</f>
        <v>14</v>
      </c>
      <c r="J38" s="40">
        <f>IF($B$35=1,type!J$4,IF($B$35=2,type!J$16,IF($B$35=3,type!J$28,type!J$40)))</f>
        <v>20</v>
      </c>
      <c r="K38" s="249">
        <f>IF($B$35=1,type!K$4,IF($B$35=2,type!K$16,IF($B$35=3,type!K$28,type!K$40)))</f>
        <v>0</v>
      </c>
      <c r="L38" s="40">
        <f>IF($B$35=1,type!L$4,IF($B$35=2,type!L$16,IF($B$35=3,type!L$28,type!L$40)))</f>
        <v>0</v>
      </c>
      <c r="M38" s="249">
        <f>IF($B$35=1,type!M$4,IF($B$35=2,type!M$16,IF($B$35=3,type!M$28,type!M$40)))</f>
        <v>0</v>
      </c>
      <c r="N38" s="40">
        <f>IF($B$35=1,type!N$4,IF($B$35=2,type!N$16,IF($B$35=3,type!N$28,type!N$40)))</f>
        <v>0</v>
      </c>
      <c r="O38" s="249">
        <f>IF($B$35=1,type!O$4,IF($B$35=2,type!O$16,IF($B$35=3,type!O$28,type!O$40)))</f>
        <v>0</v>
      </c>
      <c r="P38" s="249">
        <f>IF($B$35=1,type!P$4,IF($B$35=2,type!P$16,IF($B$35=3,type!P$28,type!P$40)))</f>
        <v>0</v>
      </c>
    </row>
    <row r="39" spans="1:16" ht="13.8" thickBot="1" x14ac:dyDescent="0.3">
      <c r="A39" s="4"/>
      <c r="B39" s="20">
        <f>SUM(C39:P39)</f>
        <v>35.25</v>
      </c>
      <c r="C39" s="248">
        <f>D38-C38+D37-C37</f>
        <v>10.25</v>
      </c>
      <c r="D39" s="47"/>
      <c r="E39" s="248">
        <f>F38-E38+F37-E37</f>
        <v>8.75</v>
      </c>
      <c r="F39" s="47"/>
      <c r="G39" s="248">
        <f>H38-G38+H37-G37</f>
        <v>6</v>
      </c>
      <c r="H39" s="47"/>
      <c r="I39" s="248">
        <f>J38-I38+J37-I37</f>
        <v>6</v>
      </c>
      <c r="J39" s="47"/>
      <c r="K39" s="248">
        <f>L38-K38+L37-K37</f>
        <v>4.25</v>
      </c>
      <c r="L39" s="47"/>
      <c r="M39" s="248">
        <f>N38-M38+N37-M37</f>
        <v>0</v>
      </c>
      <c r="N39" s="47"/>
      <c r="O39" s="248">
        <f>P38-O38+P37-O37</f>
        <v>0</v>
      </c>
      <c r="P39" s="248"/>
    </row>
    <row r="40" spans="1:16" x14ac:dyDescent="0.25">
      <c r="A40" s="7" t="str">
        <f>type!$A$6</f>
        <v>b</v>
      </c>
      <c r="B40" s="2" t="s">
        <v>0</v>
      </c>
      <c r="C40" s="247">
        <f>IF($B$35=1,type!C$6,IF($B$35=2,type!C$18,IF($B$35=3,type!C$30,type!C$42)))</f>
        <v>8.75</v>
      </c>
      <c r="D40" s="10">
        <f>IF($B$35=1,type!D$6,IF($B$35=2,type!D$18,IF($B$35=3,type!D$30,type!D$42)))</f>
        <v>12</v>
      </c>
      <c r="E40" s="247">
        <f>IF($B$35=1,type!E$6,IF($B$35=2,type!E$18,IF($B$35=3,type!E$30,type!E$42)))</f>
        <v>0</v>
      </c>
      <c r="F40" s="10">
        <f>IF($B$35=1,type!F$6,IF($B$35=2,type!F$18,IF($B$35=3,type!F$30,type!F$42)))</f>
        <v>0</v>
      </c>
      <c r="G40" s="247">
        <f>IF($B$35=1,type!G$6,IF($B$35=2,type!G$18,IF($B$35=3,type!G$30,type!G$42)))</f>
        <v>8.75</v>
      </c>
      <c r="H40" s="10">
        <f>IF($B$35=1,type!H$6,IF($B$35=2,type!H$18,IF($B$35=3,type!H$30,type!H$42)))</f>
        <v>13</v>
      </c>
      <c r="I40" s="247">
        <f>IF($B$35=1,type!I$6,IF($B$35=2,type!I$18,IF($B$35=3,type!I$30,type!I$42)))</f>
        <v>0</v>
      </c>
      <c r="J40" s="10">
        <f>IF($B$35=1,type!J$6,IF($B$35=2,type!J$18,IF($B$35=3,type!J$30,type!J$42)))</f>
        <v>0</v>
      </c>
      <c r="K40" s="247">
        <f>IF($B$35=1,type!K$6,IF($B$35=2,type!K$18,IF($B$35=3,type!K$30,type!K$42)))</f>
        <v>8.75</v>
      </c>
      <c r="L40" s="10">
        <f>IF($B$35=1,type!L$6,IF($B$35=2,type!L$18,IF($B$35=3,type!L$30,type!L$42)))</f>
        <v>12</v>
      </c>
      <c r="M40" s="247">
        <f>IF($B$35=1,type!M$6,IF($B$35=2,type!M$18,IF($B$35=3,type!M$30,type!M$42)))</f>
        <v>0</v>
      </c>
      <c r="N40" s="10">
        <f>IF($B$35=1,type!N$6,IF($B$35=2,type!N$18,IF($B$35=3,type!N$30,type!N$42)))</f>
        <v>0</v>
      </c>
      <c r="O40" s="247">
        <f>IF($B$35=1,type!O$6,IF($B$35=2,type!O$18,IF($B$35=3,type!O$30,type!O$42)))</f>
        <v>0</v>
      </c>
      <c r="P40" s="247">
        <f>IF($B$35=1,type!P$6,IF($B$35=2,type!P$18,IF($B$35=3,type!P$30,type!P$42)))</f>
        <v>0</v>
      </c>
    </row>
    <row r="41" spans="1:16" x14ac:dyDescent="0.25">
      <c r="A41" s="5"/>
      <c r="B41" s="9" t="s">
        <v>1</v>
      </c>
      <c r="C41" s="249">
        <f>IF($B$35=1,type!C$7,IF($B$35=2,type!C$19,IF($B$35=3,type!C$31,type!C$43)))</f>
        <v>14</v>
      </c>
      <c r="D41" s="40">
        <f>IF($B$35=1,type!D$7,IF($B$35=2,type!D$19,IF($B$35=3,type!D$31,type!D$43)))</f>
        <v>19</v>
      </c>
      <c r="E41" s="249">
        <f>IF($B$35=1,type!E$7,IF($B$35=2,type!E$19,IF($B$35=3,type!E$31,type!E$43)))</f>
        <v>14</v>
      </c>
      <c r="F41" s="40">
        <f>IF($B$35=1,type!F$7,IF($B$35=2,type!F$19,IF($B$35=3,type!F$31,type!F$43)))</f>
        <v>20</v>
      </c>
      <c r="G41" s="249">
        <f>IF($B$35=1,type!G$7,IF($B$35=2,type!G$19,IF($B$35=3,type!G$31,type!G$43)))</f>
        <v>14.5</v>
      </c>
      <c r="H41" s="40">
        <f>IF($B$35=1,type!H$7,IF($B$35=2,type!H$19,IF($B$35=3,type!H$31,type!H$43)))</f>
        <v>19</v>
      </c>
      <c r="I41" s="249">
        <f>IF($B$35=1,type!I$7,IF($B$35=2,type!I$19,IF($B$35=3,type!I$31,type!I$43)))</f>
        <v>14</v>
      </c>
      <c r="J41" s="40">
        <f>IF($B$35=1,type!J$7,IF($B$35=2,type!J$19,IF($B$35=3,type!J$31,type!J$43)))</f>
        <v>19</v>
      </c>
      <c r="K41" s="249">
        <f>IF($B$35=1,type!K$7,IF($B$35=2,type!K$19,IF($B$35=3,type!K$31,type!K$43)))</f>
        <v>14</v>
      </c>
      <c r="L41" s="40">
        <f>IF($B$35=1,type!L$7,IF($B$35=2,type!L$19,IF($B$35=3,type!L$31,type!L$43)))</f>
        <v>19.75</v>
      </c>
      <c r="M41" s="249">
        <f>IF($B$35=1,type!M$7,IF($B$35=2,type!M$19,IF($B$35=3,type!M$31,type!M$43)))</f>
        <v>0</v>
      </c>
      <c r="N41" s="40">
        <f>IF($B$35=1,type!N$7,IF($B$35=2,type!N$19,IF($B$35=3,type!N$31,type!N$43)))</f>
        <v>0</v>
      </c>
      <c r="O41" s="249">
        <f>IF($B$35=1,type!O$7,IF($B$35=2,type!O$19,IF($B$35=3,type!O$31,type!O$43)))</f>
        <v>0</v>
      </c>
      <c r="P41" s="249">
        <f>IF($B$35=1,type!P$7,IF($B$35=2,type!P$19,IF($B$35=3,type!P$31,type!P$43)))</f>
        <v>0</v>
      </c>
    </row>
    <row r="42" spans="1:16" ht="13.8" thickBot="1" x14ac:dyDescent="0.3">
      <c r="A42" s="5"/>
      <c r="B42" s="20">
        <f>SUM(C42:P42)</f>
        <v>37</v>
      </c>
      <c r="C42" s="248">
        <f>D41-C41+D40-C40</f>
        <v>8.25</v>
      </c>
      <c r="D42" s="47"/>
      <c r="E42" s="248">
        <f>F41-E41+F40-E40</f>
        <v>6</v>
      </c>
      <c r="F42" s="47"/>
      <c r="G42" s="248">
        <f>H41-G41+H40-G40</f>
        <v>8.75</v>
      </c>
      <c r="H42" s="47"/>
      <c r="I42" s="248">
        <f>J41-I41+J40-I40</f>
        <v>5</v>
      </c>
      <c r="J42" s="47"/>
      <c r="K42" s="248">
        <f>L41-K41+L40-K40</f>
        <v>9</v>
      </c>
      <c r="L42" s="47"/>
      <c r="M42" s="248">
        <f>N41-M41+N40-M40</f>
        <v>0</v>
      </c>
      <c r="N42" s="47"/>
      <c r="O42" s="248">
        <f>P41-O41+P40-O40</f>
        <v>0</v>
      </c>
      <c r="P42" s="248"/>
    </row>
    <row r="43" spans="1:16" x14ac:dyDescent="0.25">
      <c r="A43" s="7" t="str">
        <f>type!$A$9</f>
        <v>y</v>
      </c>
      <c r="B43" s="2" t="s">
        <v>0</v>
      </c>
      <c r="C43" s="247">
        <f>IF($B$35=1,type!C$9,IF($B$35=2,type!C$21,IF($B$35=3,type!C$33,type!C$45)))</f>
        <v>0</v>
      </c>
      <c r="D43" s="10">
        <f>IF($B$35=1,type!D$9,IF($B$35=2,type!D$21,IF($B$35=3,type!D$33,type!D$45)))</f>
        <v>0</v>
      </c>
      <c r="E43" s="247">
        <f>IF($B$35=1,type!E$9,IF($B$35=2,type!E$21,IF($B$35=3,type!E$33,type!E$45)))</f>
        <v>0</v>
      </c>
      <c r="F43" s="10">
        <f>IF($B$35=1,type!F$9,IF($B$35=2,type!F$21,IF($B$35=3,type!F$33,type!F$45)))</f>
        <v>0</v>
      </c>
      <c r="G43" s="247">
        <f>IF($B$35=1,type!G$9,IF($B$35=2,type!G$21,IF($B$35=3,type!G$33,type!G$45)))</f>
        <v>0</v>
      </c>
      <c r="H43" s="10">
        <f>IF($B$35=1,type!H$9,IF($B$35=2,type!H$21,IF($B$35=3,type!H$33,type!H$45)))</f>
        <v>0</v>
      </c>
      <c r="I43" s="247">
        <f>IF($B$35=1,type!I$9,IF($B$35=2,type!I$21,IF($B$35=3,type!I$33,type!I$45)))</f>
        <v>0</v>
      </c>
      <c r="J43" s="10">
        <f>IF($B$35=1,type!J$9,IF($B$35=2,type!J$21,IF($B$35=3,type!J$33,type!J$45)))</f>
        <v>0</v>
      </c>
      <c r="K43" s="247">
        <f>IF($B$35=1,type!K$9,IF($B$35=2,type!K$21,IF($B$35=3,type!K$33,type!K$45)))</f>
        <v>0</v>
      </c>
      <c r="L43" s="10">
        <f>IF($B$35=1,type!L$9,IF($B$35=2,type!L$21,IF($B$35=3,type!L$33,type!L$45)))</f>
        <v>0</v>
      </c>
      <c r="M43" s="247">
        <f>IF($B$35=1,type!M$9,IF($B$35=2,type!M$21,IF($B$35=3,type!M$33,type!M$45)))</f>
        <v>0</v>
      </c>
      <c r="N43" s="10">
        <f>IF($B$35=1,type!N$9,IF($B$35=2,type!N$21,IF($B$35=3,type!N$33,type!N$45)))</f>
        <v>0</v>
      </c>
      <c r="O43" s="247">
        <f>IF($B$35=1,type!O$9,IF($B$35=2,type!O$21,IF($B$35=3,type!O$33,type!O$45)))</f>
        <v>0</v>
      </c>
      <c r="P43" s="247">
        <f>IF($B$35=1,type!P$9,IF($B$35=2,type!P$21,IF($B$35=3,type!P$33,type!P$45)))</f>
        <v>0</v>
      </c>
    </row>
    <row r="44" spans="1:16" x14ac:dyDescent="0.25">
      <c r="A44" s="5"/>
      <c r="B44" s="9" t="s">
        <v>1</v>
      </c>
      <c r="C44" s="249">
        <f>IF($B$35=1,type!C$10,IF($B$35=2,type!C$22,IF($B$35=3,type!C$34,type!C$46)))</f>
        <v>0</v>
      </c>
      <c r="D44" s="40">
        <f>IF($B$35=1,type!D$10,IF($B$35=2,type!D$22,IF($B$35=3,type!D$34,type!D$46)))</f>
        <v>0</v>
      </c>
      <c r="E44" s="249">
        <f>IF($B$35=1,type!E$10,IF($B$35=2,type!E$22,IF($B$35=3,type!E$34,type!E$46)))</f>
        <v>0</v>
      </c>
      <c r="F44" s="40">
        <f>IF($B$35=1,type!F$10,IF($B$35=2,type!F$22,IF($B$35=3,type!F$34,type!F$46)))</f>
        <v>0</v>
      </c>
      <c r="G44" s="249">
        <f>IF($B$35=1,type!G$10,IF($B$35=2,type!G$22,IF($B$35=3,type!G$34,type!G$46)))</f>
        <v>0</v>
      </c>
      <c r="H44" s="40">
        <f>IF($B$35=1,type!H$10,IF($B$35=2,type!H$22,IF($B$35=3,type!H$34,type!H$46)))</f>
        <v>0</v>
      </c>
      <c r="I44" s="249">
        <f>IF($B$35=1,type!I$10,IF($B$35=2,type!I$22,IF($B$35=3,type!I$34,type!I$46)))</f>
        <v>0</v>
      </c>
      <c r="J44" s="40">
        <f>IF($B$35=1,type!J$10,IF($B$35=2,type!J$22,IF($B$35=3,type!J$34,type!J$46)))</f>
        <v>0</v>
      </c>
      <c r="K44" s="249">
        <f>IF($B$35=1,type!K$10,IF($B$35=2,type!K$22,IF($B$35=3,type!K$34,type!K$46)))</f>
        <v>0</v>
      </c>
      <c r="L44" s="40">
        <f>IF($B$35=1,type!L$10,IF($B$35=2,type!L$22,IF($B$35=3,type!L$34,type!L$46)))</f>
        <v>0</v>
      </c>
      <c r="M44" s="249">
        <f>IF($B$35=1,type!M$10,IF($B$35=2,type!M$22,IF($B$35=3,type!M$34,type!M$46)))</f>
        <v>0</v>
      </c>
      <c r="N44" s="40">
        <f>IF($B$35=1,type!N$10,IF($B$35=2,type!N$22,IF($B$35=3,type!N$34,type!N$46)))</f>
        <v>0</v>
      </c>
      <c r="O44" s="249">
        <f>IF($B$35=1,type!O$10,IF($B$35=2,type!O$22,IF($B$35=3,type!O$34,type!O$46)))</f>
        <v>0</v>
      </c>
      <c r="P44" s="249">
        <f>IF($B$35=1,type!P$10,IF($B$35=2,type!P$22,IF($B$35=3,type!P$34,type!P$46)))</f>
        <v>0</v>
      </c>
    </row>
    <row r="45" spans="1:16" ht="13.8" thickBot="1" x14ac:dyDescent="0.3">
      <c r="A45" s="6"/>
      <c r="B45" s="20">
        <f>SUM(C45:P45)</f>
        <v>0</v>
      </c>
      <c r="C45" s="248">
        <f>D44-C44+D43-C43</f>
        <v>0</v>
      </c>
      <c r="D45" s="47"/>
      <c r="E45" s="248">
        <f>F44-E44+F43-E43</f>
        <v>0</v>
      </c>
      <c r="F45" s="47"/>
      <c r="G45" s="248">
        <f>H44-G44+H43-G43</f>
        <v>0</v>
      </c>
      <c r="H45" s="47"/>
      <c r="I45" s="248">
        <f>J44-I44+J43-I43</f>
        <v>0</v>
      </c>
      <c r="J45" s="47"/>
      <c r="K45" s="248">
        <f>L44-K44+L43-K43</f>
        <v>0</v>
      </c>
      <c r="L45" s="47"/>
      <c r="M45" s="248">
        <f>N44-M44+N43-M43</f>
        <v>0</v>
      </c>
      <c r="N45" s="47"/>
      <c r="O45" s="248">
        <f>P44-O44+P43-O43</f>
        <v>0</v>
      </c>
      <c r="P45" s="248"/>
    </row>
    <row r="46" spans="1:16" ht="13.8" thickBot="1" x14ac:dyDescent="0.3">
      <c r="A46" s="19"/>
      <c r="B46" s="22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</row>
    <row r="47" spans="1:16" ht="13.8" thickBot="1" x14ac:dyDescent="0.3">
      <c r="A47" s="77" t="s">
        <v>14</v>
      </c>
      <c r="B47" s="77">
        <f>IF($B$35=4,1,$B$35+1)</f>
        <v>1</v>
      </c>
      <c r="C47" s="49"/>
      <c r="D47" s="49"/>
      <c r="E47" s="49"/>
      <c r="F47" s="49"/>
      <c r="G47" s="49"/>
      <c r="H47" s="49"/>
      <c r="I47" s="49"/>
      <c r="J47" s="49"/>
      <c r="K47" s="49" t="s">
        <v>16</v>
      </c>
      <c r="L47" s="49"/>
      <c r="M47" s="49"/>
      <c r="N47" s="49"/>
      <c r="O47" s="49"/>
      <c r="P47" s="49"/>
    </row>
    <row r="48" spans="1:16" ht="13.8" thickBot="1" x14ac:dyDescent="0.3">
      <c r="A48" s="206" t="s">
        <v>10</v>
      </c>
      <c r="B48" s="24">
        <f>IF($B$36=52,1,$B$36+1)</f>
        <v>42</v>
      </c>
      <c r="C48" s="37">
        <f>M36+2</f>
        <v>44487</v>
      </c>
      <c r="D48" s="38" t="str">
        <f>IF(ISNA(VLOOKUP($C48,feries!$B$5:$B$31,1,FALSE)),"",IF(VLOOKUP($C48,feries!$B$5:$B$31,1,FALSE)=$C48,"férié",""))</f>
        <v/>
      </c>
      <c r="E48" s="37">
        <f>C48+1</f>
        <v>44488</v>
      </c>
      <c r="F48" s="38" t="str">
        <f>IF(ISNA(VLOOKUP($E48,feries!$B$5:$B$31,1,FALSE)),"",IF(VLOOKUP($E48,feries!$B$5:$B$31,1,FALSE)=$E48,"férié",""))</f>
        <v/>
      </c>
      <c r="G48" s="37">
        <f>E48+1</f>
        <v>44489</v>
      </c>
      <c r="H48" s="38" t="str">
        <f>IF(ISNA(VLOOKUP($G48,feries!$B$5:$B$31,1,FALSE)),"",IF(VLOOKUP($G48,feries!$B$5:$B$31,1,FALSE)=$G48,"férié",""))</f>
        <v/>
      </c>
      <c r="I48" s="37">
        <f>G48+1</f>
        <v>44490</v>
      </c>
      <c r="J48" s="38" t="str">
        <f>IF(ISNA(VLOOKUP($I48,feries!$B$5:$B$31,1,FALSE)),"",IF(VLOOKUP($I48,feries!$B$5:$B$31,1,FALSE)=$I48,"férié",""))</f>
        <v/>
      </c>
      <c r="K48" s="37">
        <f>I48+1</f>
        <v>44491</v>
      </c>
      <c r="L48" s="38" t="str">
        <f>IF(ISNA(VLOOKUP($K48,feries!$B$5:$B$31,1,FALSE)),"",IF(VLOOKUP($K48,feries!$B$5:$B$31,1,FALSE)=$K48,"férié",""))</f>
        <v/>
      </c>
      <c r="M48" s="37">
        <f>K48+1</f>
        <v>44492</v>
      </c>
      <c r="N48" s="38" t="str">
        <f>IF(ISNA(VLOOKUP($M48,feries!$B$5:$B$31,1,FALSE)),"",IF(VLOOKUP($M48,feries!$B$5:$B$31,1,FALSE)=$M48,"férié",""))</f>
        <v/>
      </c>
      <c r="O48" s="37">
        <f>M48+1</f>
        <v>44493</v>
      </c>
      <c r="P48" s="38" t="str">
        <f>IF(ISNA(VLOOKUP($M48,feries!$B$5:$B$31,1,FALSE)),"",IF(VLOOKUP($M48,feries!$B$5:$B$31,1,FALSE)=$M48,"férié",""))</f>
        <v/>
      </c>
    </row>
    <row r="49" spans="1:16" x14ac:dyDescent="0.25">
      <c r="A49" s="7" t="str">
        <f>type!$A$3</f>
        <v>a</v>
      </c>
      <c r="B49" s="2" t="s">
        <v>0</v>
      </c>
      <c r="C49" s="247">
        <f>IF($B$47=1,type!C$3,IF($B$47=2,type!C$15,IF($B$47=3,type!C$27,type!C$39)))</f>
        <v>8.75</v>
      </c>
      <c r="D49" s="10">
        <f>IF($B$47=1,type!D$3,IF($B$47=2,type!D$15,IF($B$47=3,type!D$27,type!D$39)))</f>
        <v>12</v>
      </c>
      <c r="E49" s="247">
        <f>IF($B$47=1,type!E$3,IF($B$47=2,type!E$15,IF($B$47=3,type!E$27,type!E$39)))</f>
        <v>8.75</v>
      </c>
      <c r="F49" s="10">
        <f>IF($B$47=1,type!F$3,IF($B$47=2,type!F$15,IF($B$47=3,type!F$27,type!F$39)))</f>
        <v>13</v>
      </c>
      <c r="G49" s="247">
        <f>IF($B$47=1,type!G$3,IF($B$47=2,type!G$15,IF($B$47=3,type!G$27,type!G$39)))</f>
        <v>0</v>
      </c>
      <c r="H49" s="10">
        <f>IF($B$47=1,type!H$3,IF($B$47=2,type!H$15,IF($B$47=3,type!H$27,type!H$39)))</f>
        <v>0</v>
      </c>
      <c r="I49" s="247">
        <f>IF($B$47=1,type!I$3,IF($B$47=2,type!I$15,IF($B$47=3,type!I$27,type!I$39)))</f>
        <v>0</v>
      </c>
      <c r="J49" s="10">
        <f>IF($B$47=1,type!J$3,IF($B$47=2,type!J$15,IF($B$47=3,type!J$27,type!J$39)))</f>
        <v>0</v>
      </c>
      <c r="K49" s="247">
        <f>IF($B$47=1,type!K$3,IF($B$47=2,type!K$15,IF($B$47=3,type!K$27,type!K$39)))</f>
        <v>8.75</v>
      </c>
      <c r="L49" s="10">
        <f>IF($B$47=1,type!L$3,IF($B$47=2,type!L$15,IF($B$47=3,type!L$27,type!L$39)))</f>
        <v>12</v>
      </c>
      <c r="M49" s="247">
        <f>IF($B$47=1,type!M$3,IF($B$47=2,type!M$15,IF($B$47=3,type!M$27,type!M$39)))</f>
        <v>0</v>
      </c>
      <c r="N49" s="10">
        <f>IF($B$47=1,type!N$3,IF($B$47=2,type!N$15,IF($B$47=3,type!N$27,type!N$39)))</f>
        <v>0</v>
      </c>
      <c r="O49" s="247">
        <f>IF($B$47=1,type!O$3,IF($B$47=2,type!O$15,IF($B$47=3,type!O$27,type!O$39)))</f>
        <v>0</v>
      </c>
      <c r="P49" s="247">
        <f>IF($B$47=1,type!P$3,IF($B$47=2,type!P$15,IF($B$47=3,type!P$27,type!P$39)))</f>
        <v>0</v>
      </c>
    </row>
    <row r="50" spans="1:16" x14ac:dyDescent="0.25">
      <c r="A50" s="5"/>
      <c r="B50" s="9" t="s">
        <v>1</v>
      </c>
      <c r="C50" s="249">
        <f>IF($B$47=1,type!C$4,IF($B$47=2,type!C$16,IF($B$47=3,type!C$28,type!C$40)))</f>
        <v>14</v>
      </c>
      <c r="D50" s="40">
        <f>IF($B$47=1,type!D$4,IF($B$47=2,type!D$16,IF($B$47=3,type!D$28,type!D$40)))</f>
        <v>19</v>
      </c>
      <c r="E50" s="249">
        <f>IF($B$47=1,type!E$4,IF($B$47=2,type!E$16,IF($B$47=3,type!E$28,type!E$40)))</f>
        <v>14.5</v>
      </c>
      <c r="F50" s="40">
        <f>IF($B$47=1,type!F$4,IF($B$47=2,type!F$16,IF($B$47=3,type!F$28,type!F$40)))</f>
        <v>20</v>
      </c>
      <c r="G50" s="249">
        <f>IF($B$47=1,type!G$4,IF($B$47=2,type!G$16,IF($B$47=3,type!G$28,type!G$40)))</f>
        <v>14</v>
      </c>
      <c r="H50" s="40">
        <f>IF($B$47=1,type!H$4,IF($B$47=2,type!H$16,IF($B$47=3,type!H$28,type!H$40)))</f>
        <v>19</v>
      </c>
      <c r="I50" s="249">
        <f>IF($B$47=1,type!I$4,IF($B$47=2,type!I$16,IF($B$47=3,type!I$28,type!I$40)))</f>
        <v>14</v>
      </c>
      <c r="J50" s="40">
        <f>IF($B$47=1,type!J$4,IF($B$47=2,type!J$16,IF($B$47=3,type!J$28,type!J$40)))</f>
        <v>19</v>
      </c>
      <c r="K50" s="249">
        <f>IF($B$47=1,type!K$4,IF($B$47=2,type!K$16,IF($B$47=3,type!K$28,type!K$40)))</f>
        <v>14</v>
      </c>
      <c r="L50" s="40">
        <f>IF($B$47=1,type!L$4,IF($B$47=2,type!L$16,IF($B$47=3,type!L$28,type!L$40)))</f>
        <v>19.75</v>
      </c>
      <c r="M50" s="249">
        <f>IF($B$47=1,type!M$4,IF($B$47=2,type!M$16,IF($B$47=3,type!M$28,type!M$40)))</f>
        <v>0</v>
      </c>
      <c r="N50" s="40">
        <f>IF($B$47=1,type!N$4,IF($B$47=2,type!N$16,IF($B$47=3,type!N$28,type!N$40)))</f>
        <v>0</v>
      </c>
      <c r="O50" s="249">
        <f>IF($B$47=1,type!O$4,IF($B$47=2,type!O$16,IF($B$47=3,type!O$28,type!O$40)))</f>
        <v>0</v>
      </c>
      <c r="P50" s="249">
        <f>IF($B$47=1,type!P$4,IF($B$47=2,type!P$16,IF($B$47=3,type!P$28,type!P$40)))</f>
        <v>0</v>
      </c>
    </row>
    <row r="51" spans="1:16" ht="13.8" thickBot="1" x14ac:dyDescent="0.3">
      <c r="A51" s="4"/>
      <c r="B51" s="20">
        <f>SUM(C51:P51)</f>
        <v>37</v>
      </c>
      <c r="C51" s="248">
        <f>D50-C50+D49-C49</f>
        <v>8.25</v>
      </c>
      <c r="D51" s="47"/>
      <c r="E51" s="248">
        <f>F50-E50+F49-E49</f>
        <v>9.75</v>
      </c>
      <c r="F51" s="47"/>
      <c r="G51" s="248">
        <f>H50-G50+H49-G49</f>
        <v>5</v>
      </c>
      <c r="H51" s="47"/>
      <c r="I51" s="248">
        <f>J50-I50+J49-I49</f>
        <v>5</v>
      </c>
      <c r="J51" s="47"/>
      <c r="K51" s="248">
        <f>L50-K50+L49-K49</f>
        <v>9</v>
      </c>
      <c r="L51" s="47"/>
      <c r="M51" s="248">
        <f>N50-M50+N49-M49</f>
        <v>0</v>
      </c>
      <c r="N51" s="47"/>
      <c r="O51" s="248">
        <f>P50-O50+P49-O49</f>
        <v>0</v>
      </c>
      <c r="P51" s="248"/>
    </row>
    <row r="52" spans="1:16" x14ac:dyDescent="0.25">
      <c r="A52" s="7" t="str">
        <f>type!$A$6</f>
        <v>b</v>
      </c>
      <c r="B52" s="2" t="s">
        <v>0</v>
      </c>
      <c r="C52" s="247">
        <f>IF($B$47=1,type!C$6,IF($B$47=2,type!C$18,IF($B$47=3,type!C$30,type!C$42)))</f>
        <v>8.75</v>
      </c>
      <c r="D52" s="10">
        <f>IF($B$47=1,type!D$6,IF($B$47=2,type!D$18,IF($B$47=3,type!D$30,type!D$42)))</f>
        <v>13</v>
      </c>
      <c r="E52" s="247">
        <f>IF($B$47=1,type!E$6,IF($B$47=2,type!E$18,IF($B$47=3,type!E$30,type!E$42)))</f>
        <v>0</v>
      </c>
      <c r="F52" s="10">
        <f>IF($B$47=1,type!F$6,IF($B$47=2,type!F$18,IF($B$47=3,type!F$30,type!F$42)))</f>
        <v>0</v>
      </c>
      <c r="G52" s="247">
        <f>IF($B$47=1,type!G$6,IF($B$47=2,type!G$18,IF($B$47=3,type!G$30,type!G$42)))</f>
        <v>8.75</v>
      </c>
      <c r="H52" s="10">
        <f>IF($B$47=1,type!H$6,IF($B$47=2,type!H$18,IF($B$47=3,type!H$30,type!H$42)))</f>
        <v>13</v>
      </c>
      <c r="I52" s="247">
        <f>IF($B$47=1,type!I$6,IF($B$47=2,type!I$18,IF($B$47=3,type!I$30,type!I$42)))</f>
        <v>0</v>
      </c>
      <c r="J52" s="10">
        <f>IF($B$47=1,type!J$6,IF($B$47=2,type!J$18,IF($B$47=3,type!J$30,type!J$42)))</f>
        <v>0</v>
      </c>
      <c r="K52" s="247">
        <f>IF($B$47=1,type!K$6,IF($B$47=2,type!K$18,IF($B$47=3,type!K$30,type!K$42)))</f>
        <v>8.75</v>
      </c>
      <c r="L52" s="10">
        <f>IF($B$47=1,type!L$6,IF($B$47=2,type!L$18,IF($B$47=3,type!L$30,type!L$42)))</f>
        <v>13</v>
      </c>
      <c r="M52" s="247">
        <f>IF($B$47=1,type!M$6,IF($B$47=2,type!M$18,IF($B$47=3,type!M$30,type!M$42)))</f>
        <v>0</v>
      </c>
      <c r="N52" s="10">
        <f>IF($B$47=1,type!N$6,IF($B$47=2,type!N$18,IF($B$47=3,type!N$30,type!N$42)))</f>
        <v>0</v>
      </c>
      <c r="O52" s="247">
        <f>IF($B$47=1,type!O$6,IF($B$47=2,type!O$18,IF($B$47=3,type!O$30,type!O$42)))</f>
        <v>0</v>
      </c>
      <c r="P52" s="247">
        <f>IF($B$47=1,type!P$6,IF($B$47=2,type!P$18,IF($B$47=3,type!P$30,type!P$42)))</f>
        <v>0</v>
      </c>
    </row>
    <row r="53" spans="1:16" x14ac:dyDescent="0.25">
      <c r="A53" s="5"/>
      <c r="B53" s="9" t="s">
        <v>1</v>
      </c>
      <c r="C53" s="249">
        <f>IF($B$47=1,type!C$7,IF($B$47=2,type!C$19,IF($B$47=3,type!C$31,type!C$43)))</f>
        <v>14.5</v>
      </c>
      <c r="D53" s="40">
        <f>IF($B$47=1,type!D$7,IF($B$47=2,type!D$19,IF($B$47=3,type!D$31,type!D$43)))</f>
        <v>20</v>
      </c>
      <c r="E53" s="249">
        <f>IF($B$47=1,type!E$7,IF($B$47=2,type!E$19,IF($B$47=3,type!E$31,type!E$43)))</f>
        <v>14</v>
      </c>
      <c r="F53" s="40">
        <f>IF($B$47=1,type!F$7,IF($B$47=2,type!F$19,IF($B$47=3,type!F$31,type!F$43)))</f>
        <v>19</v>
      </c>
      <c r="G53" s="249">
        <f>IF($B$47=1,type!G$7,IF($B$47=2,type!G$19,IF($B$47=3,type!G$31,type!G$43)))</f>
        <v>14.5</v>
      </c>
      <c r="H53" s="40">
        <f>IF($B$47=1,type!H$7,IF($B$47=2,type!H$19,IF($B$47=3,type!H$31,type!H$43)))</f>
        <v>20</v>
      </c>
      <c r="I53" s="249">
        <f>IF($B$47=1,type!I$7,IF($B$47=2,type!I$19,IF($B$47=3,type!I$31,type!I$43)))</f>
        <v>14</v>
      </c>
      <c r="J53" s="40">
        <f>IF($B$47=1,type!J$7,IF($B$47=2,type!J$19,IF($B$47=3,type!J$31,type!J$43)))</f>
        <v>20</v>
      </c>
      <c r="K53" s="249">
        <f>IF($B$47=1,type!K$7,IF($B$47=2,type!K$19,IF($B$47=3,type!K$31,type!K$43)))</f>
        <v>0</v>
      </c>
      <c r="L53" s="40">
        <f>IF($B$47=1,type!L$7,IF($B$47=2,type!L$19,IF($B$47=3,type!L$31,type!L$43)))</f>
        <v>0</v>
      </c>
      <c r="M53" s="249">
        <f>IF($B$47=1,type!M$7,IF($B$47=2,type!M$19,IF($B$47=3,type!M$31,type!M$43)))</f>
        <v>0</v>
      </c>
      <c r="N53" s="40">
        <f>IF($B$47=1,type!N$7,IF($B$47=2,type!N$19,IF($B$47=3,type!N$31,type!N$43)))</f>
        <v>0</v>
      </c>
      <c r="O53" s="249">
        <f>IF($B$47=1,type!O$7,IF($B$47=2,type!O$19,IF($B$47=3,type!O$31,type!O$43)))</f>
        <v>0</v>
      </c>
      <c r="P53" s="249">
        <f>IF($B$47=1,type!P$7,IF($B$47=2,type!P$19,IF($B$47=3,type!P$31,type!P$43)))</f>
        <v>0</v>
      </c>
    </row>
    <row r="54" spans="1:16" ht="13.8" thickBot="1" x14ac:dyDescent="0.3">
      <c r="A54" s="5"/>
      <c r="B54" s="20">
        <f>SUM(C54:P54)</f>
        <v>34.75</v>
      </c>
      <c r="C54" s="248">
        <f>D53-C53+D52-C52</f>
        <v>9.75</v>
      </c>
      <c r="D54" s="47"/>
      <c r="E54" s="248">
        <f>F53-E53+F52-E52</f>
        <v>5</v>
      </c>
      <c r="F54" s="47"/>
      <c r="G54" s="248">
        <f>H53-G53+H52-G52</f>
        <v>9.75</v>
      </c>
      <c r="H54" s="47"/>
      <c r="I54" s="248">
        <f>J53-I53+J52-I52</f>
        <v>6</v>
      </c>
      <c r="J54" s="47"/>
      <c r="K54" s="248">
        <f>L53-K53+L52-K52</f>
        <v>4.25</v>
      </c>
      <c r="L54" s="47"/>
      <c r="M54" s="248">
        <f>N53-M53+N52-M52</f>
        <v>0</v>
      </c>
      <c r="N54" s="47"/>
      <c r="O54" s="248">
        <f>P53-O53+P52-O52</f>
        <v>0</v>
      </c>
      <c r="P54" s="248"/>
    </row>
    <row r="55" spans="1:16" x14ac:dyDescent="0.25">
      <c r="A55" s="7" t="str">
        <f>type!$A$9</f>
        <v>y</v>
      </c>
      <c r="B55" s="2" t="s">
        <v>0</v>
      </c>
      <c r="C55" s="247">
        <f>IF($B$47=1,type!C$9,IF($B$47=2,type!C$21,IF($B$47=3,type!C$33,type!C$45)))</f>
        <v>0</v>
      </c>
      <c r="D55" s="10">
        <f>IF($B$47=1,type!D$9,IF($B$47=2,type!D$21,IF($B$47=3,type!D$33,type!D$45)))</f>
        <v>0</v>
      </c>
      <c r="E55" s="247">
        <f>IF($B$47=1,type!E$9,IF($B$47=2,type!E$21,IF($B$47=3,type!E$33,type!E$45)))</f>
        <v>0</v>
      </c>
      <c r="F55" s="10">
        <f>IF($B$47=1,type!F$9,IF($B$47=2,type!F$21,IF($B$47=3,type!F$33,type!F$45)))</f>
        <v>0</v>
      </c>
      <c r="G55" s="247">
        <f>IF($B$47=1,type!G$9,IF($B$47=2,type!G$21,IF($B$47=3,type!G$33,type!G$45)))</f>
        <v>0</v>
      </c>
      <c r="H55" s="10">
        <f>IF($B$47=1,type!H$9,IF($B$47=2,type!H$21,IF($B$47=3,type!H$33,type!H$45)))</f>
        <v>0</v>
      </c>
      <c r="I55" s="247">
        <f>IF($B$47=1,type!I$9,IF($B$47=2,type!I$21,IF($B$47=3,type!I$33,type!I$45)))</f>
        <v>0</v>
      </c>
      <c r="J55" s="10">
        <f>IF($B$47=1,type!J$9,IF($B$47=2,type!J$21,IF($B$47=3,type!J$33,type!J$45)))</f>
        <v>0</v>
      </c>
      <c r="K55" s="247">
        <f>IF($B$47=1,type!K$9,IF($B$47=2,type!K$21,IF($B$47=3,type!K$33,type!K$45)))</f>
        <v>0</v>
      </c>
      <c r="L55" s="10">
        <f>IF($B$47=1,type!L$9,IF($B$47=2,type!L$21,IF($B$47=3,type!L$33,type!L$45)))</f>
        <v>0</v>
      </c>
      <c r="M55" s="247">
        <f>IF($B$47=1,type!M$9,IF($B$47=2,type!M$21,IF($B$47=3,type!M$33,type!M$45)))</f>
        <v>0</v>
      </c>
      <c r="N55" s="10">
        <f>IF($B$47=1,type!N$9,IF($B$47=2,type!N$21,IF($B$47=3,type!N$33,type!N$45)))</f>
        <v>0</v>
      </c>
      <c r="O55" s="247">
        <f>IF($B$47=1,type!O$9,IF($B$47=2,type!O$21,IF($B$47=3,type!O$33,type!O$45)))</f>
        <v>0</v>
      </c>
      <c r="P55" s="247">
        <f>IF($B$47=1,type!P$9,IF($B$47=2,type!P$21,IF($B$47=3,type!P$33,type!P$45)))</f>
        <v>0</v>
      </c>
    </row>
    <row r="56" spans="1:16" x14ac:dyDescent="0.25">
      <c r="A56" s="5"/>
      <c r="B56" s="9" t="s">
        <v>1</v>
      </c>
      <c r="C56" s="249">
        <f>IF($B$47=1,type!C$10,IF($B$47=2,type!C$22,IF($B$47=3,type!C$34,type!C$46)))</f>
        <v>0</v>
      </c>
      <c r="D56" s="40">
        <f>IF($B$47=1,type!D$10,IF($B$47=2,type!D$22,IF($B$47=3,type!D$34,type!D$46)))</f>
        <v>0</v>
      </c>
      <c r="E56" s="249">
        <f>IF($B$47=1,type!E$10,IF($B$47=2,type!E$22,IF($B$47=3,type!E$34,type!E$46)))</f>
        <v>0</v>
      </c>
      <c r="F56" s="40">
        <f>IF($B$47=1,type!F$10,IF($B$47=2,type!F$22,IF($B$47=3,type!F$34,type!F$46)))</f>
        <v>0</v>
      </c>
      <c r="G56" s="249">
        <f>IF($B$47=1,type!G$10,IF($B$47=2,type!G$22,IF($B$47=3,type!G$34,type!G$46)))</f>
        <v>0</v>
      </c>
      <c r="H56" s="40">
        <f>IF($B$47=1,type!H$10,IF($B$47=2,type!H$22,IF($B$47=3,type!H$34,type!H$46)))</f>
        <v>0</v>
      </c>
      <c r="I56" s="249">
        <f>IF($B$47=1,type!I$10,IF($B$47=2,type!I$22,IF($B$47=3,type!I$34,type!I$46)))</f>
        <v>0</v>
      </c>
      <c r="J56" s="40">
        <f>IF($B$47=1,type!J$10,IF($B$47=2,type!J$22,IF($B$47=3,type!J$34,type!J$46)))</f>
        <v>0</v>
      </c>
      <c r="K56" s="249">
        <f>IF($B$47=1,type!K$10,IF($B$47=2,type!K$22,IF($B$47=3,type!K$34,type!K$46)))</f>
        <v>0</v>
      </c>
      <c r="L56" s="40">
        <f>IF($B$47=1,type!L$10,IF($B$47=2,type!L$22,IF($B$47=3,type!L$34,type!L$46)))</f>
        <v>0</v>
      </c>
      <c r="M56" s="249">
        <f>IF($B$47=1,type!M$10,IF($B$47=2,type!M$22,IF($B$47=3,type!M$34,type!M$46)))</f>
        <v>0</v>
      </c>
      <c r="N56" s="40">
        <f>IF($B$47=1,type!N$10,IF($B$47=2,type!N$22,IF($B$47=3,type!N$34,type!N$46)))</f>
        <v>0</v>
      </c>
      <c r="O56" s="249">
        <f>IF($B$47=1,type!O$10,IF($B$47=2,type!O$22,IF($B$47=3,type!O$34,type!O$46)))</f>
        <v>0</v>
      </c>
      <c r="P56" s="249">
        <f>IF($B$47=1,type!P$10,IF($B$47=2,type!P$22,IF($B$47=3,type!P$34,type!P$46)))</f>
        <v>0</v>
      </c>
    </row>
    <row r="57" spans="1:16" ht="13.8" thickBot="1" x14ac:dyDescent="0.3">
      <c r="A57" s="6"/>
      <c r="B57" s="20">
        <f>SUM(C57:P57)</f>
        <v>0</v>
      </c>
      <c r="C57" s="248">
        <f>D56-C56+D55-C55</f>
        <v>0</v>
      </c>
      <c r="D57" s="47"/>
      <c r="E57" s="248">
        <f>F56-E56+F55-E55</f>
        <v>0</v>
      </c>
      <c r="F57" s="47"/>
      <c r="G57" s="248">
        <f>H56-G56+H55-G55</f>
        <v>0</v>
      </c>
      <c r="H57" s="47"/>
      <c r="I57" s="248">
        <f>J56-I56+J55-I55</f>
        <v>0</v>
      </c>
      <c r="J57" s="47"/>
      <c r="K57" s="248">
        <f>L56-K56+L55-K55</f>
        <v>0</v>
      </c>
      <c r="L57" s="47"/>
      <c r="M57" s="248">
        <f>N56-M56+N55-M55</f>
        <v>0</v>
      </c>
      <c r="N57" s="47"/>
      <c r="O57" s="248">
        <f>P56-O56+P55-O55</f>
        <v>0</v>
      </c>
      <c r="P57" s="248"/>
    </row>
    <row r="58" spans="1:16" ht="13.8" thickBot="1" x14ac:dyDescent="0.3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59" spans="1:16" ht="13.8" thickBot="1" x14ac:dyDescent="0.3">
      <c r="A59" s="77" t="s">
        <v>14</v>
      </c>
      <c r="B59" s="77">
        <f>IF($B$47=4,1,$B$47+1)</f>
        <v>2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</row>
    <row r="60" spans="1:16" ht="13.8" thickBot="1" x14ac:dyDescent="0.3">
      <c r="A60" s="206" t="s">
        <v>10</v>
      </c>
      <c r="B60" s="24">
        <f>$B$48+1</f>
        <v>43</v>
      </c>
      <c r="C60" s="37">
        <f>M48+2</f>
        <v>44494</v>
      </c>
      <c r="D60" s="38" t="str">
        <f>IF(ISNA(VLOOKUP($C60,feries!$B$5:$B$31,1,FALSE)),"",IF(VLOOKUP($C60,feries!$B$5:$B$31,1,FALSE)=$C60,"férié",""))</f>
        <v/>
      </c>
      <c r="E60" s="37">
        <f>C60+1</f>
        <v>44495</v>
      </c>
      <c r="F60" s="38" t="str">
        <f>IF(ISNA(VLOOKUP($E60,feries!$B$5:$B$31,1,FALSE)),"",IF(VLOOKUP($E60,feries!$B$5:$B$31,1,FALSE)=$E60,"férié",""))</f>
        <v/>
      </c>
      <c r="G60" s="37">
        <f>E60+1</f>
        <v>44496</v>
      </c>
      <c r="H60" s="38" t="str">
        <f>IF(ISNA(VLOOKUP($G60,feries!$B$5:$B$31,1,FALSE)),"",IF(VLOOKUP($G60,feries!$B$5:$B$31,1,FALSE)=$G60,"férié",""))</f>
        <v/>
      </c>
      <c r="I60" s="37">
        <f>G60+1</f>
        <v>44497</v>
      </c>
      <c r="J60" s="38" t="str">
        <f>IF(ISNA(VLOOKUP($I60,feries!$B$5:$B$31,1,FALSE)),"",IF(VLOOKUP($I60,feries!$B$5:$B$31,1,FALSE)=$I60,"férié",""))</f>
        <v/>
      </c>
      <c r="K60" s="37">
        <f>I60+1</f>
        <v>44498</v>
      </c>
      <c r="L60" s="38" t="str">
        <f>IF(ISNA(VLOOKUP($K60,feries!$B$5:$B$31,1,FALSE)),"",IF(VLOOKUP($K60,feries!$B$5:$B$31,1,FALSE)=$K60,"férié",""))</f>
        <v/>
      </c>
      <c r="M60" s="37">
        <f>K60+1</f>
        <v>44499</v>
      </c>
      <c r="N60" s="38" t="str">
        <f>IF(ISNA(VLOOKUP($M60,feries!$B$5:$B$31,1,FALSE)),"",IF(VLOOKUP($M60,feries!$B$5:$B$31,1,FALSE)=$M60,"férié",""))</f>
        <v/>
      </c>
      <c r="O60" s="37">
        <f>M60+1</f>
        <v>44500</v>
      </c>
      <c r="P60" s="38" t="str">
        <f>IF(ISNA(VLOOKUP($M60,feries!$B$5:$B$31,1,FALSE)),"",IF(VLOOKUP($M60,feries!$B$5:$B$31,1,FALSE)=$M60,"férié",""))</f>
        <v/>
      </c>
    </row>
    <row r="61" spans="1:16" x14ac:dyDescent="0.25">
      <c r="A61" s="7" t="str">
        <f>type!$A$3</f>
        <v>a</v>
      </c>
      <c r="B61" s="2" t="s">
        <v>0</v>
      </c>
      <c r="C61" s="247">
        <f>IF($B$59=1,type!C$3,IF($B$59=2,type!C$15,IF($B$59=3,type!C$27,type!C$39)))</f>
        <v>8.75</v>
      </c>
      <c r="D61" s="10">
        <f>IF($B$59=1,type!D$3,IF($B$59=2,type!D$15,IF($B$59=3,type!D$27,type!D$39)))</f>
        <v>13</v>
      </c>
      <c r="E61" s="247">
        <f>IF($B$59=1,type!E$3,IF($B$59=2,type!E$15,IF($B$59=3,type!E$27,type!E$39)))</f>
        <v>8.75</v>
      </c>
      <c r="F61" s="10">
        <f>IF($B$59=1,type!F$3,IF($B$59=2,type!F$15,IF($B$59=3,type!F$27,type!F$39)))</f>
        <v>13</v>
      </c>
      <c r="G61" s="247">
        <f>IF($B$59=1,type!G$3,IF($B$59=2,type!G$15,IF($B$59=3,type!G$27,type!G$39)))</f>
        <v>0</v>
      </c>
      <c r="H61" s="10">
        <f>IF($B$59=1,type!H$3,IF($B$59=2,type!H$15,IF($B$59=3,type!H$27,type!H$39)))</f>
        <v>0</v>
      </c>
      <c r="I61" s="247">
        <f>IF($B$59=1,type!I$3,IF($B$59=2,type!I$15,IF($B$59=3,type!I$27,type!I$39)))</f>
        <v>0</v>
      </c>
      <c r="J61" s="10">
        <f>IF($B$59=1,type!J$3,IF($B$59=2,type!J$15,IF($B$59=3,type!J$27,type!J$39)))</f>
        <v>0</v>
      </c>
      <c r="K61" s="247">
        <f>IF($B$59=1,type!K$3,IF($B$59=2,type!K$15,IF($B$59=3,type!K$27,type!K$39)))</f>
        <v>8.75</v>
      </c>
      <c r="L61" s="10">
        <f>IF($B$59=1,type!L$3,IF($B$59=2,type!L$15,IF($B$59=3,type!L$27,type!L$39)))</f>
        <v>13</v>
      </c>
      <c r="M61" s="247">
        <f>IF($B$59=1,type!M$3,IF($B$59=2,type!M$15,IF($B$59=3,type!M$27,type!M$39)))</f>
        <v>0</v>
      </c>
      <c r="N61" s="10">
        <f>IF($B$59=1,type!N$3,IF($B$59=2,type!N$15,IF($B$59=3,type!N$27,type!N$39)))</f>
        <v>0</v>
      </c>
      <c r="O61" s="247">
        <f>IF($B$59=1,type!O$3,IF($B$59=2,type!O$15,IF($B$59=3,type!O$27,type!O$39)))</f>
        <v>0</v>
      </c>
      <c r="P61" s="247">
        <f>IF($B$59=1,type!P$3,IF($B$59=2,type!P$15,IF($B$59=3,type!P$27,type!P$39)))</f>
        <v>0</v>
      </c>
    </row>
    <row r="62" spans="1:16" x14ac:dyDescent="0.25">
      <c r="A62" s="5"/>
      <c r="B62" s="9" t="s">
        <v>1</v>
      </c>
      <c r="C62" s="249">
        <f>IF($B$59=1,type!C$4,IF($B$59=2,type!C$16,IF($B$59=3,type!C$28,type!C$40)))</f>
        <v>14</v>
      </c>
      <c r="D62" s="40">
        <f>IF($B$59=1,type!D$4,IF($B$59=2,type!D$16,IF($B$59=3,type!D$28,type!D$40)))</f>
        <v>20</v>
      </c>
      <c r="E62" s="249">
        <f>IF($B$59=1,type!E$4,IF($B$59=2,type!E$16,IF($B$59=3,type!E$28,type!E$40)))</f>
        <v>14.5</v>
      </c>
      <c r="F62" s="40">
        <f>IF($B$59=1,type!F$4,IF($B$59=2,type!F$16,IF($B$59=3,type!F$28,type!F$40)))</f>
        <v>19</v>
      </c>
      <c r="G62" s="249">
        <f>IF($B$59=1,type!G$4,IF($B$59=2,type!G$16,IF($B$59=3,type!G$28,type!G$40)))</f>
        <v>14</v>
      </c>
      <c r="H62" s="40">
        <f>IF($B$59=1,type!H$4,IF($B$59=2,type!H$16,IF($B$59=3,type!H$28,type!H$40)))</f>
        <v>20</v>
      </c>
      <c r="I62" s="249">
        <f>IF($B$59=1,type!I$4,IF($B$59=2,type!I$16,IF($B$59=3,type!I$28,type!I$40)))</f>
        <v>14</v>
      </c>
      <c r="J62" s="40">
        <f>IF($B$59=1,type!J$4,IF($B$59=2,type!J$16,IF($B$59=3,type!J$28,type!J$40)))</f>
        <v>20</v>
      </c>
      <c r="K62" s="249">
        <f>IF($B$59=1,type!K$4,IF($B$59=2,type!K$16,IF($B$59=3,type!K$28,type!K$40)))</f>
        <v>0</v>
      </c>
      <c r="L62" s="40">
        <f>IF($B$59=1,type!L$4,IF($B$59=2,type!L$16,IF($B$59=3,type!L$28,type!L$40)))</f>
        <v>0</v>
      </c>
      <c r="M62" s="249">
        <f>IF($B$59=1,type!M$4,IF($B$59=2,type!M$16,IF($B$59=3,type!M$28,type!M$40)))</f>
        <v>0</v>
      </c>
      <c r="N62" s="40">
        <f>IF($B$59=1,type!N$4,IF($B$59=2,type!N$16,IF($B$59=3,type!N$28,type!N$40)))</f>
        <v>0</v>
      </c>
      <c r="O62" s="249">
        <f>IF($B$59=1,type!O$4,IF($B$59=2,type!O$16,IF($B$59=3,type!O$28,type!O$40)))</f>
        <v>0</v>
      </c>
      <c r="P62" s="249">
        <f>IF($B$59=1,type!P$4,IF($B$59=2,type!P$16,IF($B$59=3,type!P$28,type!P$40)))</f>
        <v>0</v>
      </c>
    </row>
    <row r="63" spans="1:16" ht="13.8" thickBot="1" x14ac:dyDescent="0.3">
      <c r="A63" s="4"/>
      <c r="B63" s="20">
        <f>SUM(C63:P63)</f>
        <v>35.25</v>
      </c>
      <c r="C63" s="248">
        <f>D62-C62+D61-C61</f>
        <v>10.25</v>
      </c>
      <c r="D63" s="47"/>
      <c r="E63" s="248">
        <f>F62-E62+F61-E61</f>
        <v>8.75</v>
      </c>
      <c r="F63" s="47"/>
      <c r="G63" s="248">
        <f>H62-G62+H61-G61</f>
        <v>6</v>
      </c>
      <c r="H63" s="47"/>
      <c r="I63" s="248">
        <f>J62-I62+J61-I61</f>
        <v>6</v>
      </c>
      <c r="J63" s="47"/>
      <c r="K63" s="248">
        <f>L62-K62+L61-K61</f>
        <v>4.25</v>
      </c>
      <c r="L63" s="47"/>
      <c r="M63" s="248">
        <f>N62-M62+N61-M61</f>
        <v>0</v>
      </c>
      <c r="N63" s="47"/>
      <c r="O63" s="248">
        <f>P62-O62+P61-O61</f>
        <v>0</v>
      </c>
      <c r="P63" s="248"/>
    </row>
    <row r="64" spans="1:16" x14ac:dyDescent="0.25">
      <c r="A64" s="7" t="str">
        <f>type!$A$6</f>
        <v>b</v>
      </c>
      <c r="B64" s="2" t="s">
        <v>0</v>
      </c>
      <c r="C64" s="247">
        <f>IF($B$59=1,type!C$6,IF($B$59=2,type!C$18,IF($B$59=3,type!C$30,type!C$42)))</f>
        <v>8.75</v>
      </c>
      <c r="D64" s="10">
        <f>IF($B$59=1,type!D$6,IF($B$59=2,type!D$18,IF($B$59=3,type!D$30,type!D$42)))</f>
        <v>12</v>
      </c>
      <c r="E64" s="247">
        <f>IF($B$59=1,type!E$6,IF($B$59=2,type!E$18,IF($B$59=3,type!E$30,type!E$42)))</f>
        <v>0</v>
      </c>
      <c r="F64" s="10">
        <f>IF($B$59=1,type!F$6,IF($B$59=2,type!F$18,IF($B$59=3,type!F$30,type!F$42)))</f>
        <v>0</v>
      </c>
      <c r="G64" s="247">
        <f>IF($B$59=1,type!G$6,IF($B$59=2,type!G$18,IF($B$59=3,type!G$30,type!G$42)))</f>
        <v>8.75</v>
      </c>
      <c r="H64" s="10">
        <f>IF($B$59=1,type!H$6,IF($B$59=2,type!H$18,IF($B$59=3,type!H$30,type!H$42)))</f>
        <v>13</v>
      </c>
      <c r="I64" s="247">
        <f>IF($B$59=1,type!I$6,IF($B$59=2,type!I$18,IF($B$59=3,type!I$30,type!I$42)))</f>
        <v>0</v>
      </c>
      <c r="J64" s="10">
        <f>IF($B$59=1,type!J$6,IF($B$59=2,type!J$18,IF($B$59=3,type!J$30,type!J$42)))</f>
        <v>0</v>
      </c>
      <c r="K64" s="247">
        <f>IF($B$59=1,type!K$6,IF($B$59=2,type!K$18,IF($B$59=3,type!K$30,type!K$42)))</f>
        <v>8.75</v>
      </c>
      <c r="L64" s="10">
        <f>IF($B$59=1,type!L$6,IF($B$59=2,type!L$18,IF($B$59=3,type!L$30,type!L$42)))</f>
        <v>12</v>
      </c>
      <c r="M64" s="247">
        <f>IF($B$59=1,type!M$6,IF($B$59=2,type!M$18,IF($B$59=3,type!M$30,type!M$42)))</f>
        <v>0</v>
      </c>
      <c r="N64" s="10">
        <f>IF($B$59=1,type!N$6,IF($B$59=2,type!N$18,IF($B$59=3,type!N$30,type!N$42)))</f>
        <v>0</v>
      </c>
      <c r="O64" s="247">
        <f>IF($B$59=1,type!O$6,IF($B$59=2,type!O$18,IF($B$59=3,type!O$30,type!O$42)))</f>
        <v>0</v>
      </c>
      <c r="P64" s="247">
        <f>IF($B$59=1,type!P$6,IF($B$59=2,type!P$18,IF($B$59=3,type!P$30,type!P$42)))</f>
        <v>0</v>
      </c>
    </row>
    <row r="65" spans="1:16" x14ac:dyDescent="0.25">
      <c r="A65" s="5"/>
      <c r="B65" s="9" t="s">
        <v>1</v>
      </c>
      <c r="C65" s="249">
        <f>IF($B$59=1,type!C$7,IF($B$59=2,type!C$19,IF($B$59=3,type!C$31,type!C$43)))</f>
        <v>14</v>
      </c>
      <c r="D65" s="40">
        <f>IF($B$59=1,type!D$7,IF($B$59=2,type!D$19,IF($B$59=3,type!D$31,type!D$43)))</f>
        <v>19</v>
      </c>
      <c r="E65" s="249">
        <f>IF($B$59=1,type!E$7,IF($B$59=2,type!E$19,IF($B$59=3,type!E$31,type!E$43)))</f>
        <v>14</v>
      </c>
      <c r="F65" s="40">
        <f>IF($B$59=1,type!F$7,IF($B$59=2,type!F$19,IF($B$59=3,type!F$31,type!F$43)))</f>
        <v>20</v>
      </c>
      <c r="G65" s="249">
        <f>IF($B$59=1,type!G$7,IF($B$59=2,type!G$19,IF($B$59=3,type!G$31,type!G$43)))</f>
        <v>14.5</v>
      </c>
      <c r="H65" s="40">
        <f>IF($B$59=1,type!H$7,IF($B$59=2,type!H$19,IF($B$59=3,type!H$31,type!H$43)))</f>
        <v>19</v>
      </c>
      <c r="I65" s="249">
        <f>IF($B$59=1,type!I$7,IF($B$59=2,type!I$19,IF($B$59=3,type!I$31,type!I$43)))</f>
        <v>14</v>
      </c>
      <c r="J65" s="40">
        <f>IF($B$59=1,type!J$7,IF($B$59=2,type!J$19,IF($B$59=3,type!J$31,type!J$43)))</f>
        <v>19</v>
      </c>
      <c r="K65" s="249">
        <f>IF($B$59=1,type!K$7,IF($B$59=2,type!K$19,IF($B$59=3,type!K$31,type!K$43)))</f>
        <v>14</v>
      </c>
      <c r="L65" s="40">
        <f>IF($B$59=1,type!L$7,IF($B$59=2,type!L$19,IF($B$59=3,type!L$31,type!L$43)))</f>
        <v>19.75</v>
      </c>
      <c r="M65" s="249">
        <f>IF($B$59=1,type!M$7,IF($B$59=2,type!M$19,IF($B$59=3,type!M$31,type!M$43)))</f>
        <v>0</v>
      </c>
      <c r="N65" s="40">
        <f>IF($B$59=1,type!N$7,IF($B$59=2,type!N$19,IF($B$59=3,type!N$31,type!N$43)))</f>
        <v>0</v>
      </c>
      <c r="O65" s="249">
        <f>IF($B$59=1,type!O$7,IF($B$59=2,type!O$19,IF($B$59=3,type!O$31,type!O$43)))</f>
        <v>0</v>
      </c>
      <c r="P65" s="249">
        <f>IF($B$59=1,type!P$7,IF($B$59=2,type!P$19,IF($B$59=3,type!P$31,type!P$43)))</f>
        <v>0</v>
      </c>
    </row>
    <row r="66" spans="1:16" ht="13.8" thickBot="1" x14ac:dyDescent="0.3">
      <c r="A66" s="5"/>
      <c r="B66" s="20">
        <f>SUM(C66:P66)</f>
        <v>37</v>
      </c>
      <c r="C66" s="248">
        <f>D65-C65+D64-C64</f>
        <v>8.25</v>
      </c>
      <c r="D66" s="47"/>
      <c r="E66" s="248">
        <f>F65-E65+F64-E64</f>
        <v>6</v>
      </c>
      <c r="F66" s="47"/>
      <c r="G66" s="248">
        <f>H65-G65+H64-G64</f>
        <v>8.75</v>
      </c>
      <c r="H66" s="47"/>
      <c r="I66" s="248">
        <f>J65-I65+J64-I64</f>
        <v>5</v>
      </c>
      <c r="J66" s="47"/>
      <c r="K66" s="248">
        <f>L65-K65+L64-K64</f>
        <v>9</v>
      </c>
      <c r="L66" s="47"/>
      <c r="M66" s="248">
        <f>N65-M65+N64-M64</f>
        <v>0</v>
      </c>
      <c r="N66" s="47"/>
      <c r="O66" s="248">
        <f>P65-O65+P64-O64</f>
        <v>0</v>
      </c>
      <c r="P66" s="248"/>
    </row>
    <row r="67" spans="1:16" x14ac:dyDescent="0.25">
      <c r="A67" s="7" t="str">
        <f>type!$A$9</f>
        <v>y</v>
      </c>
      <c r="B67" s="2" t="s">
        <v>0</v>
      </c>
      <c r="C67" s="247">
        <f>IF($B$59=1,type!C$9,IF($B$59=2,type!C$21,IF($B$59=3,type!C$33,type!C$45)))</f>
        <v>0</v>
      </c>
      <c r="D67" s="10">
        <f>IF($B$59=1,type!D$9,IF($B$59=2,type!D$21,IF($B$59=3,type!D$33,type!D$45)))</f>
        <v>0</v>
      </c>
      <c r="E67" s="247">
        <f>IF($B$59=1,type!E$9,IF($B$59=2,type!E$21,IF($B$59=3,type!E$33,type!E$45)))</f>
        <v>0</v>
      </c>
      <c r="F67" s="10">
        <f>IF($B$59=1,type!F$9,IF($B$59=2,type!F$21,IF($B$59=3,type!F$33,type!F$45)))</f>
        <v>0</v>
      </c>
      <c r="G67" s="247">
        <f>IF($B$59=1,type!G$9,IF($B$59=2,type!G$21,IF($B$59=3,type!G$33,type!G$45)))</f>
        <v>0</v>
      </c>
      <c r="H67" s="10">
        <f>IF($B$59=1,type!H$9,IF($B$59=2,type!H$21,IF($B$59=3,type!H$33,type!H$45)))</f>
        <v>0</v>
      </c>
      <c r="I67" s="247">
        <f>IF($B$59=1,type!I$9,IF($B$59=2,type!I$21,IF($B$59=3,type!I$33,type!I$45)))</f>
        <v>0</v>
      </c>
      <c r="J67" s="10">
        <f>IF($B$59=1,type!J$9,IF($B$59=2,type!J$21,IF($B$59=3,type!J$33,type!J$45)))</f>
        <v>0</v>
      </c>
      <c r="K67" s="247">
        <f>IF($B$59=1,type!K$9,IF($B$59=2,type!K$21,IF($B$59=3,type!K$33,type!K$45)))</f>
        <v>0</v>
      </c>
      <c r="L67" s="10">
        <f>IF($B$59=1,type!L$9,IF($B$59=2,type!L$21,IF($B$59=3,type!L$33,type!L$45)))</f>
        <v>0</v>
      </c>
      <c r="M67" s="247">
        <f>IF($B$59=1,type!M$9,IF($B$59=2,type!M$21,IF($B$59=3,type!M$33,type!M$45)))</f>
        <v>0</v>
      </c>
      <c r="N67" s="10">
        <f>IF($B$59=1,type!N$9,IF($B$59=2,type!N$21,IF($B$59=3,type!N$33,type!N$45)))</f>
        <v>0</v>
      </c>
      <c r="O67" s="247">
        <f>IF($B$59=1,type!O$9,IF($B$59=2,type!O$21,IF($B$59=3,type!O$33,type!O$45)))</f>
        <v>0</v>
      </c>
      <c r="P67" s="247">
        <f>IF($B$59=1,type!P$9,IF($B$59=2,type!P$21,IF($B$59=3,type!P$33,type!P$45)))</f>
        <v>0</v>
      </c>
    </row>
    <row r="68" spans="1:16" x14ac:dyDescent="0.25">
      <c r="A68" s="5"/>
      <c r="B68" s="9" t="s">
        <v>1</v>
      </c>
      <c r="C68" s="249">
        <f>IF($B$59=1,type!C$10,IF($B$59=2,type!C$22,IF($B$59=3,type!C$34,type!C$46)))</f>
        <v>0</v>
      </c>
      <c r="D68" s="40">
        <f>IF($B$59=1,type!D$10,IF($B$59=2,type!D$22,IF($B$59=3,type!D$34,type!D$46)))</f>
        <v>0</v>
      </c>
      <c r="E68" s="249">
        <f>IF($B$59=1,type!E$10,IF($B$59=2,type!E$22,IF($B$59=3,type!E$34,type!E$46)))</f>
        <v>0</v>
      </c>
      <c r="F68" s="40">
        <f>IF($B$59=1,type!F$10,IF($B$59=2,type!F$22,IF($B$59=3,type!F$34,type!F$46)))</f>
        <v>0</v>
      </c>
      <c r="G68" s="249">
        <f>IF($B$59=1,type!G$10,IF($B$59=2,type!G$22,IF($B$59=3,type!G$34,type!G$46)))</f>
        <v>0</v>
      </c>
      <c r="H68" s="40">
        <f>IF($B$59=1,type!H$10,IF($B$59=2,type!H$22,IF($B$59=3,type!H$34,type!H$46)))</f>
        <v>0</v>
      </c>
      <c r="I68" s="249">
        <f>IF($B$59=1,type!I$10,IF($B$59=2,type!I$22,IF($B$59=3,type!I$34,type!I$46)))</f>
        <v>0</v>
      </c>
      <c r="J68" s="40">
        <f>IF($B$59=1,type!J$10,IF($B$59=2,type!J$22,IF($B$59=3,type!J$34,type!J$46)))</f>
        <v>0</v>
      </c>
      <c r="K68" s="249">
        <f>IF($B$59=1,type!K$10,IF($B$59=2,type!K$22,IF($B$59=3,type!K$34,type!K$46)))</f>
        <v>0</v>
      </c>
      <c r="L68" s="40">
        <f>IF($B$59=1,type!L$10,IF($B$59=2,type!L$22,IF($B$59=3,type!L$34,type!L$46)))</f>
        <v>0</v>
      </c>
      <c r="M68" s="249">
        <f>IF($B$59=1,type!M$10,IF($B$59=2,type!M$22,IF($B$59=3,type!M$34,type!M$46)))</f>
        <v>0</v>
      </c>
      <c r="N68" s="40">
        <f>IF($B$59=1,type!N$10,IF($B$59=2,type!N$22,IF($B$59=3,type!N$34,type!N$46)))</f>
        <v>0</v>
      </c>
      <c r="O68" s="249">
        <f>IF($B$59=1,type!O$10,IF($B$59=2,type!O$22,IF($B$59=3,type!O$34,type!O$46)))</f>
        <v>0</v>
      </c>
      <c r="P68" s="249">
        <f>IF($B$59=1,type!P$10,IF($B$59=2,type!P$22,IF($B$59=3,type!P$34,type!P$46)))</f>
        <v>0</v>
      </c>
    </row>
    <row r="69" spans="1:16" ht="13.8" thickBot="1" x14ac:dyDescent="0.3">
      <c r="A69" s="6"/>
      <c r="B69" s="20">
        <f>SUM(C69:P69)</f>
        <v>0</v>
      </c>
      <c r="C69" s="248">
        <f>D68-C68+D67-C67</f>
        <v>0</v>
      </c>
      <c r="D69" s="47"/>
      <c r="E69" s="248">
        <f>F68-E68+F67-E67</f>
        <v>0</v>
      </c>
      <c r="F69" s="47"/>
      <c r="G69" s="248">
        <f>H68-G68+H67-G67</f>
        <v>0</v>
      </c>
      <c r="H69" s="47"/>
      <c r="I69" s="248">
        <f>J68-I68+J67-I67</f>
        <v>0</v>
      </c>
      <c r="J69" s="47"/>
      <c r="K69" s="248">
        <f>L68-K68+L67-K67</f>
        <v>0</v>
      </c>
      <c r="L69" s="47"/>
      <c r="M69" s="248">
        <f>N68-M68+N67-M67</f>
        <v>0</v>
      </c>
      <c r="N69" s="47"/>
      <c r="O69" s="248">
        <f>P68-O68+P67-O67</f>
        <v>0</v>
      </c>
      <c r="P69" s="248"/>
    </row>
    <row r="70" spans="1:16" ht="13.8" thickBot="1" x14ac:dyDescent="0.3"/>
    <row r="71" spans="1:16" ht="13.8" thickBot="1" x14ac:dyDescent="0.3">
      <c r="A71" s="77" t="s">
        <v>14</v>
      </c>
      <c r="B71" s="77">
        <f>IF($B$59=4,1,$B$59+1)</f>
        <v>3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</row>
    <row r="72" spans="1:16" ht="13.8" thickBot="1" x14ac:dyDescent="0.3">
      <c r="A72" s="206" t="s">
        <v>10</v>
      </c>
      <c r="B72" s="24">
        <f>$B$60+1</f>
        <v>44</v>
      </c>
      <c r="C72" s="37">
        <f>M60+2</f>
        <v>44501</v>
      </c>
      <c r="D72" s="38" t="str">
        <f>IF(ISNA(VLOOKUP($C72,feries!$B$5:$B$31,1,FALSE)),"",IF(VLOOKUP($C72,feries!$B$5:$B$31,1,FALSE)=$C72,"férié",""))</f>
        <v>férié</v>
      </c>
      <c r="E72" s="37">
        <f>C72+1</f>
        <v>44502</v>
      </c>
      <c r="F72" s="38" t="str">
        <f>IF(ISNA(VLOOKUP($E72,feries!$B$5:$B$31,1,FALSE)),"",IF(VLOOKUP($E72,feries!$B$5:$B$31,1,FALSE)=$E72,"férié",""))</f>
        <v/>
      </c>
      <c r="G72" s="37">
        <f>E72+1</f>
        <v>44503</v>
      </c>
      <c r="H72" s="38" t="str">
        <f>IF(ISNA(VLOOKUP($G72,feries!$B$5:$B$31,1,FALSE)),"",IF(VLOOKUP($G72,feries!$B$5:$B$31,1,FALSE)=$G72,"férié",""))</f>
        <v/>
      </c>
      <c r="I72" s="37">
        <f>G72+1</f>
        <v>44504</v>
      </c>
      <c r="J72" s="38" t="str">
        <f>IF(ISNA(VLOOKUP($I72,feries!$B$5:$B$31,1,FALSE)),"",IF(VLOOKUP($I72,feries!$B$5:$B$31,1,FALSE)=$I72,"férié",""))</f>
        <v/>
      </c>
      <c r="K72" s="37">
        <f>I72+1</f>
        <v>44505</v>
      </c>
      <c r="L72" s="38" t="str">
        <f>IF(ISNA(VLOOKUP($K72,feries!$B$5:$B$31,1,FALSE)),"",IF(VLOOKUP($K72,feries!$B$5:$B$31,1,FALSE)=$K72,"férié",""))</f>
        <v/>
      </c>
      <c r="M72" s="37">
        <f>K72+1</f>
        <v>44506</v>
      </c>
      <c r="N72" s="38" t="str">
        <f>IF(ISNA(VLOOKUP($M72,feries!$B$5:$B$31,1,FALSE)),"",IF(VLOOKUP($M72,feries!$B$5:$B$31,1,FALSE)=$M72,"férié",""))</f>
        <v/>
      </c>
      <c r="O72" s="37">
        <f>M72+1</f>
        <v>44507</v>
      </c>
      <c r="P72" s="38" t="str">
        <f>IF(ISNA(VLOOKUP($M72,feries!$B$5:$B$31,1,FALSE)),"",IF(VLOOKUP($M72,feries!$B$5:$B$31,1,FALSE)=$M72,"férié",""))</f>
        <v/>
      </c>
    </row>
    <row r="73" spans="1:16" x14ac:dyDescent="0.25">
      <c r="A73" s="7" t="str">
        <f>type!$A$3</f>
        <v>a</v>
      </c>
      <c r="B73" s="2" t="s">
        <v>0</v>
      </c>
      <c r="C73" s="247">
        <f>IF($B$71=1,type!C$3,IF($B$71=2,type!C$15,IF($B$71=3,type!C$27,type!C$39)))</f>
        <v>8.75</v>
      </c>
      <c r="D73" s="10">
        <f>IF($B$71=1,type!D$3,IF($B$71=2,type!D$15,IF($B$71=3,type!D$27,type!D$39)))</f>
        <v>12</v>
      </c>
      <c r="E73" s="247">
        <f>IF($B$71=1,type!E$3,IF($B$71=2,type!E$15,IF($B$71=3,type!E$27,type!E$39)))</f>
        <v>8.75</v>
      </c>
      <c r="F73" s="17">
        <f>IF($B$71=1,type!F$3,IF($B$71=2,type!F$15,IF($B$71=3,type!F$27,type!F$39)))</f>
        <v>13</v>
      </c>
      <c r="G73" s="247">
        <f>IF($B$71=1,type!G$3,IF($B$71=2,type!G$15,IF($B$71=3,type!G$27,type!G$39)))</f>
        <v>0</v>
      </c>
      <c r="H73" s="10">
        <f>IF($B$71=1,type!H$3,IF($B$71=2,type!H$15,IF($B$71=3,type!H$27,type!H$39)))</f>
        <v>0</v>
      </c>
      <c r="I73" s="247">
        <f>IF($B$71=1,type!I$3,IF($B$71=2,type!I$15,IF($B$71=3,type!I$27,type!I$39)))</f>
        <v>0</v>
      </c>
      <c r="J73" s="10">
        <f>IF($B$71=1,type!J$3,IF($B$71=2,type!J$15,IF($B$71=3,type!J$27,type!J$39)))</f>
        <v>0</v>
      </c>
      <c r="K73" s="247">
        <f>IF($B$71=1,type!K$3,IF($B$71=2,type!K$15,IF($B$71=3,type!K$27,type!K$39)))</f>
        <v>8.75</v>
      </c>
      <c r="L73" s="10">
        <f>IF($B$71=1,type!L$3,IF($B$71=2,type!L$15,IF($B$71=3,type!L$27,type!L$39)))</f>
        <v>12</v>
      </c>
      <c r="M73" s="247">
        <f>IF($B$71=1,type!M$3,IF($B$71=2,type!M$15,IF($B$71=3,type!M$27,type!M$39)))</f>
        <v>0</v>
      </c>
      <c r="N73" s="10">
        <f>IF($B$71=1,type!N$3,IF($B$71=2,type!N$15,IF($B$71=3,type!N$27,type!N$39)))</f>
        <v>0</v>
      </c>
      <c r="O73" s="247">
        <f>IF($B$71=1,type!O$3,IF($B$71=2,type!O$15,IF($B$71=3,type!O$27,type!O$39)))</f>
        <v>0</v>
      </c>
      <c r="P73" s="17">
        <f>IF($B$71=1,type!P$3,IF($B$71=2,type!P$15,IF($B$71=3,type!P$27,type!P$39)))</f>
        <v>0</v>
      </c>
    </row>
    <row r="74" spans="1:16" x14ac:dyDescent="0.25">
      <c r="A74" s="5"/>
      <c r="B74" s="9" t="s">
        <v>1</v>
      </c>
      <c r="C74" s="249">
        <f>IF($B$71=1,type!C$4,IF($B$71=2,type!C$16,IF($B$71=3,type!C$28,type!C$40)))</f>
        <v>14</v>
      </c>
      <c r="D74" s="40">
        <f>IF($B$71=1,type!D$4,IF($B$71=2,type!D$16,IF($B$71=3,type!D$28,type!D$40)))</f>
        <v>19</v>
      </c>
      <c r="E74" s="249">
        <f>IF($B$71=1,type!E$4,IF($B$71=2,type!E$16,IF($B$71=3,type!E$28,type!E$40)))</f>
        <v>14.5</v>
      </c>
      <c r="F74" s="58">
        <f>IF($B$71=1,type!F$4,IF($B$71=2,type!F$16,IF($B$71=3,type!F$28,type!F$40)))</f>
        <v>20</v>
      </c>
      <c r="G74" s="249">
        <f>IF($B$71=1,type!G$4,IF($B$71=2,type!G$16,IF($B$71=3,type!G$28,type!G$40)))</f>
        <v>14</v>
      </c>
      <c r="H74" s="40">
        <f>IF($B$71=1,type!H$4,IF($B$71=2,type!H$16,IF($B$71=3,type!H$28,type!H$40)))</f>
        <v>19</v>
      </c>
      <c r="I74" s="249">
        <f>IF($B$71=1,type!I$4,IF($B$71=2,type!I$16,IF($B$71=3,type!I$28,type!I$40)))</f>
        <v>14</v>
      </c>
      <c r="J74" s="40">
        <f>IF($B$71=1,type!J$4,IF($B$71=2,type!J$16,IF($B$71=3,type!J$28,type!J$40)))</f>
        <v>19</v>
      </c>
      <c r="K74" s="249">
        <f>IF($B$71=1,type!K$4,IF($B$71=2,type!K$16,IF($B$71=3,type!K$28,type!K$40)))</f>
        <v>14</v>
      </c>
      <c r="L74" s="40">
        <f>IF($B$71=1,type!L$4,IF($B$71=2,type!L$16,IF($B$71=3,type!L$28,type!L$40)))</f>
        <v>19.75</v>
      </c>
      <c r="M74" s="249">
        <f>IF($B$71=1,type!M$4,IF($B$71=2,type!M$16,IF($B$71=3,type!M$28,type!M$40)))</f>
        <v>0</v>
      </c>
      <c r="N74" s="40">
        <f>IF($B$71=1,type!N$4,IF($B$71=2,type!N$16,IF($B$71=3,type!N$28,type!N$40)))</f>
        <v>0</v>
      </c>
      <c r="O74" s="249">
        <f>IF($B$71=1,type!O$4,IF($B$71=2,type!O$16,IF($B$71=3,type!O$28,type!O$40)))</f>
        <v>0</v>
      </c>
      <c r="P74" s="58">
        <f>IF($B$71=1,type!P$4,IF($B$71=2,type!P$16,IF($B$71=3,type!P$28,type!P$40)))</f>
        <v>0</v>
      </c>
    </row>
    <row r="75" spans="1:16" ht="13.8" thickBot="1" x14ac:dyDescent="0.3">
      <c r="A75" s="4"/>
      <c r="B75" s="20">
        <f>SUM(C75:P75)</f>
        <v>37</v>
      </c>
      <c r="C75" s="248">
        <f>D74-C74+D73-C73</f>
        <v>8.25</v>
      </c>
      <c r="D75" s="47"/>
      <c r="E75" s="248">
        <f>F74-E74+F73-E73</f>
        <v>9.75</v>
      </c>
      <c r="F75" s="47"/>
      <c r="G75" s="248">
        <f>H74-G74+H73-G73</f>
        <v>5</v>
      </c>
      <c r="H75" s="47"/>
      <c r="I75" s="248">
        <f>J74-I74+J73-I73</f>
        <v>5</v>
      </c>
      <c r="J75" s="47"/>
      <c r="K75" s="248">
        <f>L74-K74+L73-K73</f>
        <v>9</v>
      </c>
      <c r="L75" s="47"/>
      <c r="M75" s="248">
        <f>N74-M74+N73-M73</f>
        <v>0</v>
      </c>
      <c r="N75" s="47"/>
      <c r="O75" s="248">
        <f>P74-O74+P73-O73</f>
        <v>0</v>
      </c>
      <c r="P75" s="47"/>
    </row>
    <row r="76" spans="1:16" x14ac:dyDescent="0.25">
      <c r="A76" s="7" t="str">
        <f>type!$A$6</f>
        <v>b</v>
      </c>
      <c r="B76" s="2" t="s">
        <v>0</v>
      </c>
      <c r="C76" s="247">
        <f>IF($B$71=1,type!C$6,IF($B$71=2,type!C$18,IF($B$71=3,type!C$30,type!C$42)))</f>
        <v>8.75</v>
      </c>
      <c r="D76" s="10">
        <f>IF($B$71=1,type!D$6,IF($B$71=2,type!D$18,IF($B$71=3,type!D$30,type!D$42)))</f>
        <v>13</v>
      </c>
      <c r="E76" s="247">
        <f>IF($B$71=1,type!E$6,IF($B$71=2,type!E$18,IF($B$71=3,type!E$30,type!E$42)))</f>
        <v>0</v>
      </c>
      <c r="F76" s="17">
        <f>IF($B$71=1,type!F$6,IF($B$71=2,type!F$18,IF($B$71=3,type!F$30,type!F$42)))</f>
        <v>0</v>
      </c>
      <c r="G76" s="247">
        <f>IF($B$71=1,type!G$6,IF($B$71=2,type!G$18,IF($B$71=3,type!G$30,type!G$42)))</f>
        <v>8.75</v>
      </c>
      <c r="H76" s="10">
        <f>IF($B$71=1,type!H$6,IF($B$71=2,type!H$18,IF($B$71=3,type!H$30,type!H$42)))</f>
        <v>13</v>
      </c>
      <c r="I76" s="247">
        <f>IF($B$71=1,type!I$6,IF($B$71=2,type!I$18,IF($B$71=3,type!I$30,type!I$42)))</f>
        <v>0</v>
      </c>
      <c r="J76" s="10">
        <f>IF($B$71=1,type!J$6,IF($B$71=2,type!J$18,IF($B$71=3,type!J$30,type!J$42)))</f>
        <v>0</v>
      </c>
      <c r="K76" s="247">
        <f>IF($B$71=1,type!K$6,IF($B$71=2,type!K$18,IF($B$71=3,type!K$30,type!K$42)))</f>
        <v>8.75</v>
      </c>
      <c r="L76" s="10">
        <f>IF($B$71=1,type!L$6,IF($B$71=2,type!L$18,IF($B$71=3,type!L$30,type!L$42)))</f>
        <v>13</v>
      </c>
      <c r="M76" s="247">
        <f>IF($B$71=1,type!M$6,IF($B$71=2,type!M$18,IF($B$71=3,type!M$30,type!M$42)))</f>
        <v>0</v>
      </c>
      <c r="N76" s="10">
        <f>IF($B$71=1,type!N$6,IF($B$71=2,type!N$18,IF($B$71=3,type!N$30,type!N$42)))</f>
        <v>0</v>
      </c>
      <c r="O76" s="247">
        <f>IF($B$71=1,type!O$6,IF($B$71=2,type!O$18,IF($B$71=3,type!O$30,type!O$42)))</f>
        <v>0</v>
      </c>
      <c r="P76" s="17">
        <f>IF($B$71=1,type!P$6,IF($B$71=2,type!P$18,IF($B$71=3,type!P$30,type!P$42)))</f>
        <v>0</v>
      </c>
    </row>
    <row r="77" spans="1:16" x14ac:dyDescent="0.25">
      <c r="A77" s="5"/>
      <c r="B77" s="9" t="s">
        <v>1</v>
      </c>
      <c r="C77" s="249">
        <f>IF($B$71=1,type!C$7,IF($B$71=2,type!C$19,IF($B$71=3,type!C$31,type!C$43)))</f>
        <v>14.5</v>
      </c>
      <c r="D77" s="40">
        <f>IF($B$71=1,type!D$7,IF($B$71=2,type!D$19,IF($B$71=3,type!D$31,type!D$43)))</f>
        <v>20</v>
      </c>
      <c r="E77" s="249">
        <f>IF($B$71=1,type!E$7,IF($B$71=2,type!E$19,IF($B$71=3,type!E$31,type!E$43)))</f>
        <v>14</v>
      </c>
      <c r="F77" s="58">
        <f>IF($B$71=1,type!F$7,IF($B$71=2,type!F$19,IF($B$71=3,type!F$31,type!F$43)))</f>
        <v>19</v>
      </c>
      <c r="G77" s="249">
        <f>IF($B$71=1,type!G$7,IF($B$71=2,type!G$19,IF($B$71=3,type!G$31,type!G$43)))</f>
        <v>14.5</v>
      </c>
      <c r="H77" s="40">
        <f>IF($B$71=1,type!H$7,IF($B$71=2,type!H$19,IF($B$71=3,type!H$31,type!H$43)))</f>
        <v>20</v>
      </c>
      <c r="I77" s="249">
        <f>IF($B$71=1,type!I$7,IF($B$71=2,type!I$19,IF($B$71=3,type!I$31,type!I$43)))</f>
        <v>14</v>
      </c>
      <c r="J77" s="40">
        <f>IF($B$71=1,type!J$7,IF($B$71=2,type!J$19,IF($B$71=3,type!J$31,type!J$43)))</f>
        <v>20</v>
      </c>
      <c r="K77" s="249">
        <f>IF($B$71=1,type!K$7,IF($B$71=2,type!K$19,IF($B$71=3,type!K$31,type!K$43)))</f>
        <v>0</v>
      </c>
      <c r="L77" s="40">
        <f>IF($B$71=1,type!L$7,IF($B$71=2,type!L$19,IF($B$71=3,type!L$31,type!L$43)))</f>
        <v>0</v>
      </c>
      <c r="M77" s="249">
        <f>IF($B$71=1,type!M$7,IF($B$71=2,type!M$19,IF($B$71=3,type!M$31,type!M$43)))</f>
        <v>0</v>
      </c>
      <c r="N77" s="40">
        <f>IF($B$71=1,type!N$7,IF($B$71=2,type!N$19,IF($B$71=3,type!N$31,type!N$43)))</f>
        <v>0</v>
      </c>
      <c r="O77" s="249">
        <f>IF($B$71=1,type!O$7,IF($B$71=2,type!O$19,IF($B$71=3,type!O$31,type!O$43)))</f>
        <v>0</v>
      </c>
      <c r="P77" s="58">
        <f>IF($B$71=1,type!P$7,IF($B$71=2,type!P$19,IF($B$71=3,type!P$31,type!P$43)))</f>
        <v>0</v>
      </c>
    </row>
    <row r="78" spans="1:16" ht="13.8" thickBot="1" x14ac:dyDescent="0.3">
      <c r="A78" s="5"/>
      <c r="B78" s="20">
        <f>SUM(C78:P78)</f>
        <v>34.75</v>
      </c>
      <c r="C78" s="248">
        <f>D77-C77+D76-C76</f>
        <v>9.75</v>
      </c>
      <c r="D78" s="47"/>
      <c r="E78" s="248">
        <f>F77-E77+F76-E76</f>
        <v>5</v>
      </c>
      <c r="F78" s="47"/>
      <c r="G78" s="248">
        <f>H77-G77+H76-G76</f>
        <v>9.75</v>
      </c>
      <c r="H78" s="47"/>
      <c r="I78" s="248">
        <f>J77-I77+J76-I76</f>
        <v>6</v>
      </c>
      <c r="J78" s="47"/>
      <c r="K78" s="248">
        <f>L77-K77+L76-K76</f>
        <v>4.25</v>
      </c>
      <c r="L78" s="47"/>
      <c r="M78" s="248">
        <f>N77-M77+N76-M76</f>
        <v>0</v>
      </c>
      <c r="N78" s="47"/>
      <c r="O78" s="248">
        <f>P77-O77+P76-O76</f>
        <v>0</v>
      </c>
      <c r="P78" s="47"/>
    </row>
    <row r="79" spans="1:16" x14ac:dyDescent="0.25">
      <c r="A79" s="7" t="str">
        <f>type!$A$9</f>
        <v>y</v>
      </c>
      <c r="B79" s="2" t="s">
        <v>0</v>
      </c>
      <c r="C79" s="247">
        <f>IF($B$71=1,type!C$9,IF($B$71=2,type!C$21,IF($B$71=3,type!C$33,type!C$45)))</f>
        <v>0</v>
      </c>
      <c r="D79" s="10">
        <f>IF($B$71=1,type!D$9,IF($B$71=2,type!D$21,IF($B$71=3,type!D$33,type!D$45)))</f>
        <v>0</v>
      </c>
      <c r="E79" s="247">
        <f>IF($B$71=1,type!E$9,IF($B$71=2,type!E$21,IF($B$71=3,type!E$33,type!E$45)))</f>
        <v>0</v>
      </c>
      <c r="F79" s="17">
        <f>IF($B$71=1,type!F$9,IF($B$71=2,type!F$21,IF($B$71=3,type!F$33,type!F$45)))</f>
        <v>0</v>
      </c>
      <c r="G79" s="247">
        <f>IF($B$71=1,type!G$9,IF($B$71=2,type!G$21,IF($B$71=3,type!G$33,type!G$45)))</f>
        <v>0</v>
      </c>
      <c r="H79" s="10">
        <f>IF($B$71=1,type!H$9,IF($B$71=2,type!H$21,IF($B$71=3,type!H$33,type!H$45)))</f>
        <v>0</v>
      </c>
      <c r="I79" s="247">
        <f>IF($B$71=1,type!I$9,IF($B$71=2,type!I$21,IF($B$71=3,type!I$33,type!I$45)))</f>
        <v>0</v>
      </c>
      <c r="J79" s="10">
        <f>IF($B$71=1,type!J$9,IF($B$71=2,type!J$21,IF($B$71=3,type!J$33,type!J$45)))</f>
        <v>0</v>
      </c>
      <c r="K79" s="247">
        <f>IF($B$71=1,type!K$9,IF($B$71=2,type!K$21,IF($B$71=3,type!K$33,type!K$45)))</f>
        <v>0</v>
      </c>
      <c r="L79" s="10">
        <f>IF($B$71=1,type!L$9,IF($B$71=2,type!L$21,IF($B$71=3,type!L$33,type!L$45)))</f>
        <v>0</v>
      </c>
      <c r="M79" s="247">
        <f>IF($B$71=1,type!M$9,IF($B$71=2,type!M$21,IF($B$71=3,type!M$33,type!M$45)))</f>
        <v>0</v>
      </c>
      <c r="N79" s="10">
        <f>IF($B$71=1,type!N$9,IF($B$71=2,type!N$21,IF($B$71=3,type!N$33,type!N$45)))</f>
        <v>0</v>
      </c>
      <c r="O79" s="247">
        <f>IF($B$71=1,type!O$9,IF($B$71=2,type!O$21,IF($B$71=3,type!O$33,type!O$45)))</f>
        <v>0</v>
      </c>
      <c r="P79" s="17">
        <f>IF($B$71=1,type!P$9,IF($B$71=2,type!P$21,IF($B$71=3,type!P$33,type!P$45)))</f>
        <v>0</v>
      </c>
    </row>
    <row r="80" spans="1:16" x14ac:dyDescent="0.25">
      <c r="A80" s="5"/>
      <c r="B80" s="9" t="s">
        <v>1</v>
      </c>
      <c r="C80" s="249">
        <f>IF($B$71=1,type!C$10,IF($B$71=2,type!C$22,IF($B$71=3,type!C$34,type!C$46)))</f>
        <v>0</v>
      </c>
      <c r="D80" s="40">
        <f>IF($B$71=1,type!D$10,IF($B$71=2,type!D$22,IF($B$71=3,type!D$34,type!D$46)))</f>
        <v>0</v>
      </c>
      <c r="E80" s="249">
        <f>IF($B$71=1,type!E$10,IF($B$71=2,type!E$22,IF($B$71=3,type!E$34,type!E$46)))</f>
        <v>0</v>
      </c>
      <c r="F80" s="58">
        <f>IF($B$71=1,type!F$10,IF($B$71=2,type!F$22,IF($B$71=3,type!F$34,type!F$46)))</f>
        <v>0</v>
      </c>
      <c r="G80" s="249">
        <f>IF($B$71=1,type!G$10,IF($B$71=2,type!G$22,IF($B$71=3,type!G$34,type!G$46)))</f>
        <v>0</v>
      </c>
      <c r="H80" s="40">
        <f>IF($B$71=1,type!H$10,IF($B$71=2,type!H$22,IF($B$71=3,type!H$34,type!H$46)))</f>
        <v>0</v>
      </c>
      <c r="I80" s="249">
        <f>IF($B$71=1,type!I$10,IF($B$71=2,type!I$22,IF($B$71=3,type!I$34,type!I$46)))</f>
        <v>0</v>
      </c>
      <c r="J80" s="40">
        <f>IF($B$71=1,type!J$10,IF($B$71=2,type!J$22,IF($B$71=3,type!J$34,type!J$46)))</f>
        <v>0</v>
      </c>
      <c r="K80" s="249">
        <f>IF($B$71=1,type!K$10,IF($B$71=2,type!K$22,IF($B$71=3,type!K$34,type!K$46)))</f>
        <v>0</v>
      </c>
      <c r="L80" s="40">
        <f>IF($B$71=1,type!L$10,IF($B$71=2,type!L$22,IF($B$71=3,type!L$34,type!L$46)))</f>
        <v>0</v>
      </c>
      <c r="M80" s="249">
        <f>IF($B$71=1,type!M$10,IF($B$71=2,type!M$22,IF($B$71=3,type!M$34,type!M$46)))</f>
        <v>0</v>
      </c>
      <c r="N80" s="40">
        <f>IF($B$71=1,type!N$10,IF($B$71=2,type!N$22,IF($B$71=3,type!N$34,type!N$46)))</f>
        <v>0</v>
      </c>
      <c r="O80" s="249">
        <f>IF($B$71=1,type!O$10,IF($B$71=2,type!O$22,IF($B$71=3,type!O$34,type!O$46)))</f>
        <v>0</v>
      </c>
      <c r="P80" s="58">
        <f>IF($B$71=1,type!P$10,IF($B$71=2,type!P$22,IF($B$71=3,type!P$34,type!P$46)))</f>
        <v>0</v>
      </c>
    </row>
    <row r="81" spans="1:16" ht="13.8" thickBot="1" x14ac:dyDescent="0.3">
      <c r="A81" s="6"/>
      <c r="B81" s="20">
        <f>SUM(C81:P81)</f>
        <v>0</v>
      </c>
      <c r="C81" s="248">
        <f>D80-C80+D79-C79</f>
        <v>0</v>
      </c>
      <c r="D81" s="47"/>
      <c r="E81" s="248">
        <f>F80-E80+F79-E79</f>
        <v>0</v>
      </c>
      <c r="F81" s="47"/>
      <c r="G81" s="248">
        <f>H80-G80+H79-G79</f>
        <v>0</v>
      </c>
      <c r="H81" s="47"/>
      <c r="I81" s="248">
        <f>J80-I80+J79-I79</f>
        <v>0</v>
      </c>
      <c r="J81" s="47"/>
      <c r="K81" s="248">
        <f>L80-K80+L79-K79</f>
        <v>0</v>
      </c>
      <c r="L81" s="47"/>
      <c r="M81" s="248">
        <f>N80-M80+N79-M79</f>
        <v>0</v>
      </c>
      <c r="N81" s="47"/>
      <c r="O81" s="248">
        <f>P80-O80+P79-O79</f>
        <v>0</v>
      </c>
      <c r="P81" s="47"/>
    </row>
  </sheetData>
  <phoneticPr fontId="0" type="noConversion"/>
  <pageMargins left="0.19685039370078741" right="0.19685039370078741" top="0.19685039370078741" bottom="0.59055118110236227" header="0" footer="0"/>
  <pageSetup paperSize="9" scale="45" orientation="landscape" r:id="rId1"/>
  <headerFooter alignWithMargins="0"/>
  <rowBreaks count="2" manualBreakCount="2">
    <brk id="34" max="16383" man="1"/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2">
    <tabColor rgb="FFFF0000"/>
  </sheetPr>
  <dimension ref="A1:P47"/>
  <sheetViews>
    <sheetView topLeftCell="A19" workbookViewId="0">
      <selection activeCell="T27" sqref="T27"/>
    </sheetView>
  </sheetViews>
  <sheetFormatPr baseColWidth="10" defaultRowHeight="13.2" x14ac:dyDescent="0.25"/>
  <cols>
    <col min="1" max="1" width="19.6640625" customWidth="1"/>
    <col min="2" max="2" width="10.6640625" bestFit="1" customWidth="1"/>
    <col min="3" max="14" width="5.5546875" bestFit="1" customWidth="1"/>
    <col min="15" max="15" width="6.5546875" bestFit="1" customWidth="1"/>
    <col min="16" max="16" width="5.5546875" bestFit="1" customWidth="1"/>
  </cols>
  <sheetData>
    <row r="1" spans="1:16" ht="13.8" thickBot="1" x14ac:dyDescent="0.3"/>
    <row r="2" spans="1:16" ht="13.8" thickBot="1" x14ac:dyDescent="0.3">
      <c r="A2" s="25" t="s">
        <v>10</v>
      </c>
      <c r="B2" s="24">
        <v>1</v>
      </c>
      <c r="C2" s="35" t="s">
        <v>2</v>
      </c>
      <c r="D2" s="13"/>
      <c r="E2" s="35" t="s">
        <v>3</v>
      </c>
      <c r="F2" s="13"/>
      <c r="G2" s="35" t="s">
        <v>4</v>
      </c>
      <c r="H2" s="29"/>
      <c r="I2" s="35" t="s">
        <v>5</v>
      </c>
      <c r="J2" s="8"/>
      <c r="K2" s="35" t="s">
        <v>6</v>
      </c>
      <c r="L2" s="8"/>
      <c r="M2" s="35" t="s">
        <v>7</v>
      </c>
      <c r="N2" s="8"/>
      <c r="O2" s="35" t="s">
        <v>45</v>
      </c>
      <c r="P2" s="8"/>
    </row>
    <row r="3" spans="1:16" x14ac:dyDescent="0.25">
      <c r="A3" s="7" t="s">
        <v>131</v>
      </c>
      <c r="B3" s="2" t="s">
        <v>0</v>
      </c>
      <c r="C3" s="210">
        <v>8.75</v>
      </c>
      <c r="D3" s="209">
        <v>12</v>
      </c>
      <c r="E3" s="210">
        <v>8.75</v>
      </c>
      <c r="F3" s="216">
        <v>13</v>
      </c>
      <c r="G3" s="210">
        <v>0</v>
      </c>
      <c r="H3" s="209">
        <v>0</v>
      </c>
      <c r="I3" s="210">
        <v>0</v>
      </c>
      <c r="J3" s="209">
        <v>0</v>
      </c>
      <c r="K3" s="210">
        <v>8.75</v>
      </c>
      <c r="L3" s="209">
        <v>12</v>
      </c>
      <c r="M3" s="210">
        <v>0</v>
      </c>
      <c r="N3" s="209">
        <v>0</v>
      </c>
      <c r="O3" s="210">
        <v>0</v>
      </c>
      <c r="P3" s="209">
        <v>0</v>
      </c>
    </row>
    <row r="4" spans="1:16" x14ac:dyDescent="0.25">
      <c r="A4" s="59" t="s">
        <v>116</v>
      </c>
      <c r="B4" s="9" t="s">
        <v>1</v>
      </c>
      <c r="C4" s="211">
        <v>14</v>
      </c>
      <c r="D4" s="213">
        <v>19</v>
      </c>
      <c r="E4" s="211">
        <v>14.5</v>
      </c>
      <c r="F4" s="215">
        <v>20</v>
      </c>
      <c r="G4" s="211">
        <v>14</v>
      </c>
      <c r="H4" s="213">
        <v>19</v>
      </c>
      <c r="I4" s="211">
        <v>14</v>
      </c>
      <c r="J4" s="215">
        <v>19</v>
      </c>
      <c r="K4" s="211">
        <v>14</v>
      </c>
      <c r="L4" s="215">
        <v>19.75</v>
      </c>
      <c r="M4" s="211">
        <v>0</v>
      </c>
      <c r="N4" s="215">
        <v>0</v>
      </c>
      <c r="O4" s="211">
        <v>0</v>
      </c>
      <c r="P4" s="215">
        <v>0</v>
      </c>
    </row>
    <row r="5" spans="1:16" ht="13.8" thickBot="1" x14ac:dyDescent="0.3">
      <c r="A5" s="187">
        <v>37</v>
      </c>
      <c r="B5" s="20">
        <f>SUM(C5:P5)</f>
        <v>37</v>
      </c>
      <c r="C5" s="36">
        <f>D4-C4+D3-C3</f>
        <v>8.25</v>
      </c>
      <c r="D5" s="21"/>
      <c r="E5" s="36">
        <f>F4-E4+F3-E3</f>
        <v>9.75</v>
      </c>
      <c r="F5" s="47"/>
      <c r="G5" s="36">
        <f>H4-G4+H3-G3</f>
        <v>5</v>
      </c>
      <c r="H5" s="21"/>
      <c r="I5" s="36">
        <f>J4-I4+J3-I3</f>
        <v>5</v>
      </c>
      <c r="J5" s="21"/>
      <c r="K5" s="36">
        <f>L4-K4+L3-K3</f>
        <v>9</v>
      </c>
      <c r="L5" s="21"/>
      <c r="M5" s="36">
        <f>N4-M4+N3-M3</f>
        <v>0</v>
      </c>
      <c r="N5" s="21"/>
      <c r="O5" s="36">
        <f>P4-O4+P3-O3</f>
        <v>0</v>
      </c>
      <c r="P5" s="21"/>
    </row>
    <row r="6" spans="1:16" x14ac:dyDescent="0.25">
      <c r="A6" s="7" t="s">
        <v>132</v>
      </c>
      <c r="B6" s="2" t="s">
        <v>0</v>
      </c>
      <c r="C6" s="210">
        <v>8.75</v>
      </c>
      <c r="D6" s="209">
        <v>13</v>
      </c>
      <c r="E6" s="210">
        <v>0</v>
      </c>
      <c r="F6" s="216">
        <v>0</v>
      </c>
      <c r="G6" s="210">
        <v>8.75</v>
      </c>
      <c r="H6" s="209">
        <v>13</v>
      </c>
      <c r="I6" s="210">
        <v>0</v>
      </c>
      <c r="J6" s="209">
        <v>0</v>
      </c>
      <c r="K6" s="210">
        <v>8.75</v>
      </c>
      <c r="L6" s="216">
        <v>13</v>
      </c>
      <c r="M6" s="210">
        <v>0</v>
      </c>
      <c r="N6" s="217">
        <v>0</v>
      </c>
      <c r="O6" s="210">
        <v>0</v>
      </c>
      <c r="P6" s="209">
        <v>0</v>
      </c>
    </row>
    <row r="7" spans="1:16" x14ac:dyDescent="0.25">
      <c r="A7" s="59" t="s">
        <v>116</v>
      </c>
      <c r="B7" s="9" t="s">
        <v>1</v>
      </c>
      <c r="C7" s="211">
        <v>14.5</v>
      </c>
      <c r="D7" s="213">
        <v>20</v>
      </c>
      <c r="E7" s="211">
        <v>14</v>
      </c>
      <c r="F7" s="215">
        <v>19</v>
      </c>
      <c r="G7" s="211">
        <v>14.5</v>
      </c>
      <c r="H7" s="213">
        <v>20</v>
      </c>
      <c r="I7" s="211">
        <v>14</v>
      </c>
      <c r="J7" s="213">
        <v>20</v>
      </c>
      <c r="K7" s="211">
        <v>0</v>
      </c>
      <c r="L7" s="213">
        <v>0</v>
      </c>
      <c r="M7" s="211">
        <v>0</v>
      </c>
      <c r="N7" s="215">
        <v>0</v>
      </c>
      <c r="O7" s="211">
        <v>0</v>
      </c>
      <c r="P7" s="215">
        <v>0</v>
      </c>
    </row>
    <row r="8" spans="1:16" ht="13.8" thickBot="1" x14ac:dyDescent="0.3">
      <c r="A8" s="257">
        <v>34.799999999999997</v>
      </c>
      <c r="B8" s="20">
        <f>SUM(C8:P8)</f>
        <v>34.75</v>
      </c>
      <c r="C8" s="36">
        <f>D7-C7+D6-C6</f>
        <v>9.75</v>
      </c>
      <c r="D8" s="21"/>
      <c r="E8" s="36">
        <f>F7-E7+F6-E6</f>
        <v>5</v>
      </c>
      <c r="F8" s="47"/>
      <c r="G8" s="36">
        <f>H7-G7+H6-G6</f>
        <v>9.75</v>
      </c>
      <c r="H8" s="21"/>
      <c r="I8" s="36">
        <f>J7-I7+J6-I6</f>
        <v>6</v>
      </c>
      <c r="J8" s="21"/>
      <c r="K8" s="36">
        <f>L7-K7+L6-K6</f>
        <v>4.25</v>
      </c>
      <c r="L8" s="21"/>
      <c r="M8" s="36">
        <f>N7-M7+N6-M6</f>
        <v>0</v>
      </c>
      <c r="N8" s="21"/>
      <c r="O8" s="36">
        <f>P7-O7+P6-O6</f>
        <v>0</v>
      </c>
      <c r="P8" s="21"/>
    </row>
    <row r="9" spans="1:16" x14ac:dyDescent="0.25">
      <c r="A9" s="7" t="s">
        <v>129</v>
      </c>
      <c r="B9" s="2" t="s">
        <v>0</v>
      </c>
      <c r="C9" s="210">
        <v>0</v>
      </c>
      <c r="D9" s="209">
        <v>0</v>
      </c>
      <c r="E9" s="210">
        <v>0</v>
      </c>
      <c r="F9" s="209">
        <v>0</v>
      </c>
      <c r="G9" s="210">
        <v>0</v>
      </c>
      <c r="H9" s="209">
        <v>0</v>
      </c>
      <c r="I9" s="210">
        <v>0</v>
      </c>
      <c r="J9" s="209">
        <v>0</v>
      </c>
      <c r="K9" s="214">
        <v>0</v>
      </c>
      <c r="L9" s="218">
        <v>0</v>
      </c>
      <c r="M9" s="210">
        <v>0</v>
      </c>
      <c r="N9" s="209">
        <v>0</v>
      </c>
      <c r="O9" s="210">
        <v>0</v>
      </c>
      <c r="P9" s="209">
        <v>0</v>
      </c>
    </row>
    <row r="10" spans="1:16" x14ac:dyDescent="0.25">
      <c r="A10" s="59" t="s">
        <v>116</v>
      </c>
      <c r="B10" s="9" t="s">
        <v>1</v>
      </c>
      <c r="C10" s="211">
        <v>0</v>
      </c>
      <c r="D10" s="213">
        <v>0</v>
      </c>
      <c r="E10" s="211">
        <v>0</v>
      </c>
      <c r="F10" s="213">
        <v>0</v>
      </c>
      <c r="G10" s="211">
        <v>0</v>
      </c>
      <c r="H10" s="215">
        <v>0</v>
      </c>
      <c r="I10" s="211">
        <v>0</v>
      </c>
      <c r="J10" s="215">
        <v>0</v>
      </c>
      <c r="K10" s="212">
        <v>0</v>
      </c>
      <c r="L10" s="215">
        <v>0</v>
      </c>
      <c r="M10" s="211">
        <v>0</v>
      </c>
      <c r="N10" s="213">
        <v>0</v>
      </c>
      <c r="O10" s="211">
        <v>0</v>
      </c>
      <c r="P10" s="213">
        <v>0</v>
      </c>
    </row>
    <row r="11" spans="1:16" ht="13.8" thickBot="1" x14ac:dyDescent="0.3">
      <c r="A11" s="64">
        <v>0</v>
      </c>
      <c r="B11" s="20">
        <f>SUM(C11:P11)</f>
        <v>0</v>
      </c>
      <c r="C11" s="36">
        <f>D10-C10+D9-C9</f>
        <v>0</v>
      </c>
      <c r="D11" s="21"/>
      <c r="E11" s="36">
        <f>F10-E10+F9-E9</f>
        <v>0</v>
      </c>
      <c r="F11" s="47"/>
      <c r="G11" s="36">
        <f>H10-G10+H9-G9</f>
        <v>0</v>
      </c>
      <c r="H11" s="21"/>
      <c r="I11" s="36">
        <f>J10-I10+J9-I9</f>
        <v>0</v>
      </c>
      <c r="J11" s="21"/>
      <c r="K11" s="36">
        <f>L10-K10+L9-K9</f>
        <v>0</v>
      </c>
      <c r="L11" s="21"/>
      <c r="M11" s="36">
        <f>N10-M10+N9-M9</f>
        <v>0</v>
      </c>
      <c r="N11" s="21"/>
      <c r="O11" s="36">
        <f>P10-O10+P9-O9</f>
        <v>0</v>
      </c>
      <c r="P11" s="21"/>
    </row>
    <row r="12" spans="1:16" x14ac:dyDescent="0.25">
      <c r="A12" s="19"/>
      <c r="B12" s="22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13.8" thickBot="1" x14ac:dyDescent="0.3">
      <c r="A13" s="19"/>
      <c r="B13" s="22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</row>
    <row r="14" spans="1:16" ht="13.8" thickBot="1" x14ac:dyDescent="0.3">
      <c r="A14" s="25" t="s">
        <v>10</v>
      </c>
      <c r="B14" s="24">
        <v>2</v>
      </c>
      <c r="C14" s="37" t="s">
        <v>2</v>
      </c>
      <c r="D14" s="42"/>
      <c r="E14" s="37" t="s">
        <v>3</v>
      </c>
      <c r="F14" s="42"/>
      <c r="G14" s="37" t="s">
        <v>4</v>
      </c>
      <c r="H14" s="43"/>
      <c r="I14" s="37" t="s">
        <v>5</v>
      </c>
      <c r="J14" s="38"/>
      <c r="K14" s="37" t="s">
        <v>6</v>
      </c>
      <c r="L14" s="38"/>
      <c r="M14" s="37" t="s">
        <v>7</v>
      </c>
      <c r="N14" s="38"/>
      <c r="O14" s="37" t="s">
        <v>45</v>
      </c>
      <c r="P14" s="38"/>
    </row>
    <row r="15" spans="1:16" x14ac:dyDescent="0.25">
      <c r="A15" s="7" t="str">
        <f>$A$3</f>
        <v>a</v>
      </c>
      <c r="B15" s="2" t="s">
        <v>0</v>
      </c>
      <c r="C15" s="210">
        <v>8.75</v>
      </c>
      <c r="D15" s="209">
        <v>13</v>
      </c>
      <c r="E15" s="210">
        <v>8.75</v>
      </c>
      <c r="F15" s="216">
        <v>13</v>
      </c>
      <c r="G15" s="210">
        <v>0</v>
      </c>
      <c r="H15" s="209">
        <v>0</v>
      </c>
      <c r="I15" s="210">
        <v>0</v>
      </c>
      <c r="J15" s="209">
        <v>0</v>
      </c>
      <c r="K15" s="210">
        <v>8.75</v>
      </c>
      <c r="L15" s="209">
        <v>13</v>
      </c>
      <c r="M15" s="210">
        <v>0</v>
      </c>
      <c r="N15" s="209">
        <v>0</v>
      </c>
      <c r="O15" s="210">
        <v>0</v>
      </c>
      <c r="P15" s="209">
        <v>0</v>
      </c>
    </row>
    <row r="16" spans="1:16" x14ac:dyDescent="0.25">
      <c r="A16" s="59" t="s">
        <v>116</v>
      </c>
      <c r="B16" s="9" t="s">
        <v>1</v>
      </c>
      <c r="C16" s="211">
        <v>14</v>
      </c>
      <c r="D16" s="213">
        <v>20</v>
      </c>
      <c r="E16" s="211">
        <v>14.5</v>
      </c>
      <c r="F16" s="215">
        <v>19</v>
      </c>
      <c r="G16" s="211">
        <v>14</v>
      </c>
      <c r="H16" s="213">
        <v>20</v>
      </c>
      <c r="I16" s="211">
        <v>14</v>
      </c>
      <c r="J16" s="215">
        <v>20</v>
      </c>
      <c r="K16" s="211">
        <v>0</v>
      </c>
      <c r="L16" s="215">
        <v>0</v>
      </c>
      <c r="M16" s="211">
        <v>0</v>
      </c>
      <c r="N16" s="215">
        <v>0</v>
      </c>
      <c r="O16" s="211">
        <v>0</v>
      </c>
      <c r="P16" s="215">
        <v>0</v>
      </c>
    </row>
    <row r="17" spans="1:16" ht="13.8" thickBot="1" x14ac:dyDescent="0.3">
      <c r="A17" s="257">
        <v>35.299999999999997</v>
      </c>
      <c r="B17" s="20">
        <f>SUM(C17:P17)</f>
        <v>35.25</v>
      </c>
      <c r="C17" s="36">
        <f>D16-C16+D15-C15</f>
        <v>10.25</v>
      </c>
      <c r="D17" s="21"/>
      <c r="E17" s="36">
        <f>F16-E16+F15-E15</f>
        <v>8.75</v>
      </c>
      <c r="F17" s="47"/>
      <c r="G17" s="36">
        <f>H16-G16+H15-G15</f>
        <v>6</v>
      </c>
      <c r="H17" s="21"/>
      <c r="I17" s="36">
        <f>J16-I16+J15-I15</f>
        <v>6</v>
      </c>
      <c r="J17" s="21"/>
      <c r="K17" s="36">
        <f>L16-K16+L15-K15</f>
        <v>4.25</v>
      </c>
      <c r="L17" s="21"/>
      <c r="M17" s="36">
        <f>N16-M16+N15-M15</f>
        <v>0</v>
      </c>
      <c r="N17" s="21"/>
      <c r="O17" s="36">
        <f>P16-O16+P15-O15</f>
        <v>0</v>
      </c>
      <c r="P17" s="21"/>
    </row>
    <row r="18" spans="1:16" x14ac:dyDescent="0.25">
      <c r="A18" s="7" t="str">
        <f>$A$6</f>
        <v>b</v>
      </c>
      <c r="B18" s="2" t="s">
        <v>0</v>
      </c>
      <c r="C18" s="210">
        <v>8.75</v>
      </c>
      <c r="D18" s="209">
        <v>12</v>
      </c>
      <c r="E18" s="210">
        <v>0</v>
      </c>
      <c r="F18" s="216">
        <v>0</v>
      </c>
      <c r="G18" s="210">
        <v>8.75</v>
      </c>
      <c r="H18" s="209">
        <v>13</v>
      </c>
      <c r="I18" s="210">
        <v>0</v>
      </c>
      <c r="J18" s="216">
        <v>0</v>
      </c>
      <c r="K18" s="210">
        <v>8.75</v>
      </c>
      <c r="L18" s="209">
        <v>12</v>
      </c>
      <c r="M18" s="210">
        <v>0</v>
      </c>
      <c r="N18" s="216">
        <v>0</v>
      </c>
      <c r="O18" s="210">
        <v>0</v>
      </c>
      <c r="P18" s="216">
        <v>0</v>
      </c>
    </row>
    <row r="19" spans="1:16" x14ac:dyDescent="0.25">
      <c r="A19" s="59" t="s">
        <v>116</v>
      </c>
      <c r="B19" s="9" t="s">
        <v>1</v>
      </c>
      <c r="C19" s="211">
        <v>14</v>
      </c>
      <c r="D19" s="213">
        <v>19</v>
      </c>
      <c r="E19" s="211">
        <v>14</v>
      </c>
      <c r="F19" s="215">
        <v>20</v>
      </c>
      <c r="G19" s="211">
        <v>14.5</v>
      </c>
      <c r="H19" s="213">
        <v>19</v>
      </c>
      <c r="I19" s="212">
        <v>14</v>
      </c>
      <c r="J19" s="215">
        <v>19</v>
      </c>
      <c r="K19" s="211">
        <v>14</v>
      </c>
      <c r="L19" s="213">
        <v>19.75</v>
      </c>
      <c r="M19" s="211">
        <v>0</v>
      </c>
      <c r="N19" s="213">
        <v>0</v>
      </c>
      <c r="O19" s="211">
        <v>0</v>
      </c>
      <c r="P19" s="213">
        <v>0</v>
      </c>
    </row>
    <row r="20" spans="1:16" ht="13.8" thickBot="1" x14ac:dyDescent="0.3">
      <c r="A20" s="59">
        <v>37</v>
      </c>
      <c r="B20" s="20">
        <f>SUM(C20:P20)</f>
        <v>37</v>
      </c>
      <c r="C20" s="36">
        <f>D19-C19+D18-C18</f>
        <v>8.25</v>
      </c>
      <c r="D20" s="21"/>
      <c r="E20" s="36">
        <f>F19-E19+F18-E18</f>
        <v>6</v>
      </c>
      <c r="F20" s="47"/>
      <c r="G20" s="36">
        <f>H19-G19+H18-G18</f>
        <v>8.75</v>
      </c>
      <c r="H20" s="21"/>
      <c r="I20" s="36">
        <f>J19-I19+J18-I18</f>
        <v>5</v>
      </c>
      <c r="J20" s="21"/>
      <c r="K20" s="36">
        <f>L19-K19+L18-K18</f>
        <v>9</v>
      </c>
      <c r="L20" s="21"/>
      <c r="M20" s="36">
        <f>N19-M19+N18-M18</f>
        <v>0</v>
      </c>
      <c r="N20" s="21"/>
      <c r="O20" s="36">
        <f>P19-O19+P18-O18</f>
        <v>0</v>
      </c>
      <c r="P20" s="21"/>
    </row>
    <row r="21" spans="1:16" x14ac:dyDescent="0.25">
      <c r="A21" s="7" t="str">
        <f>$A$9</f>
        <v>y</v>
      </c>
      <c r="B21" s="2" t="s">
        <v>0</v>
      </c>
      <c r="C21" s="210"/>
      <c r="D21" s="209"/>
      <c r="E21" s="210"/>
      <c r="F21" s="209"/>
      <c r="G21" s="210"/>
      <c r="H21" s="209"/>
      <c r="I21" s="210"/>
      <c r="J21" s="209"/>
      <c r="K21" s="219"/>
      <c r="L21" s="220"/>
      <c r="M21" s="210"/>
      <c r="N21" s="209"/>
      <c r="O21" s="210"/>
      <c r="P21" s="209"/>
    </row>
    <row r="22" spans="1:16" x14ac:dyDescent="0.25">
      <c r="A22" s="59" t="s">
        <v>116</v>
      </c>
      <c r="B22" s="9" t="s">
        <v>1</v>
      </c>
      <c r="C22" s="211"/>
      <c r="D22" s="213"/>
      <c r="E22" s="211"/>
      <c r="F22" s="213"/>
      <c r="G22" s="211"/>
      <c r="H22" s="215"/>
      <c r="I22" s="211"/>
      <c r="J22" s="213"/>
      <c r="K22" s="212"/>
      <c r="L22" s="215"/>
      <c r="M22" s="212"/>
      <c r="N22" s="215"/>
      <c r="O22" s="212"/>
      <c r="P22" s="215"/>
    </row>
    <row r="23" spans="1:16" ht="13.8" thickBot="1" x14ac:dyDescent="0.3">
      <c r="A23" s="64">
        <v>37</v>
      </c>
      <c r="B23" s="20">
        <f>SUM(C23:P23)</f>
        <v>0</v>
      </c>
      <c r="C23" s="36">
        <f>D22-C22+D21-C21</f>
        <v>0</v>
      </c>
      <c r="D23" s="21"/>
      <c r="E23" s="36">
        <f>F22-E22+F21-E21</f>
        <v>0</v>
      </c>
      <c r="F23" s="47"/>
      <c r="G23" s="36">
        <f>H22-G22+H21-G21</f>
        <v>0</v>
      </c>
      <c r="H23" s="21"/>
      <c r="I23" s="36">
        <f>J22-I22+J21-I21</f>
        <v>0</v>
      </c>
      <c r="J23" s="21"/>
      <c r="K23" s="36">
        <f>L22-K22+L21-K21</f>
        <v>0</v>
      </c>
      <c r="L23" s="21"/>
      <c r="M23" s="36">
        <f>N22-M22+N21-M21</f>
        <v>0</v>
      </c>
      <c r="N23" s="21"/>
      <c r="O23" s="36">
        <f>P22-O22+P21-O21</f>
        <v>0</v>
      </c>
      <c r="P23" s="21"/>
    </row>
    <row r="25" spans="1:16" ht="13.8" thickBot="1" x14ac:dyDescent="0.3"/>
    <row r="26" spans="1:16" ht="13.8" thickBot="1" x14ac:dyDescent="0.3">
      <c r="A26" s="245" t="s">
        <v>10</v>
      </c>
      <c r="B26" s="24">
        <v>3</v>
      </c>
      <c r="C26" s="35" t="s">
        <v>2</v>
      </c>
      <c r="D26" s="13"/>
      <c r="E26" s="35" t="s">
        <v>3</v>
      </c>
      <c r="F26" s="13"/>
      <c r="G26" s="35" t="s">
        <v>4</v>
      </c>
      <c r="H26" s="246"/>
      <c r="I26" s="35" t="s">
        <v>5</v>
      </c>
      <c r="J26" s="8"/>
      <c r="K26" s="35" t="s">
        <v>6</v>
      </c>
      <c r="L26" s="8"/>
      <c r="M26" s="35" t="s">
        <v>7</v>
      </c>
      <c r="N26" s="8"/>
      <c r="O26" s="35" t="s">
        <v>45</v>
      </c>
      <c r="P26" s="8"/>
    </row>
    <row r="27" spans="1:16" x14ac:dyDescent="0.25">
      <c r="A27" s="7" t="s">
        <v>131</v>
      </c>
      <c r="B27" s="2" t="s">
        <v>0</v>
      </c>
      <c r="C27" s="210">
        <v>8.75</v>
      </c>
      <c r="D27" s="209">
        <v>12</v>
      </c>
      <c r="E27" s="210">
        <v>8.75</v>
      </c>
      <c r="F27" s="216">
        <v>13</v>
      </c>
      <c r="G27" s="210">
        <v>0</v>
      </c>
      <c r="H27" s="209">
        <v>0</v>
      </c>
      <c r="I27" s="210">
        <v>0</v>
      </c>
      <c r="J27" s="209">
        <v>0</v>
      </c>
      <c r="K27" s="210">
        <v>8.75</v>
      </c>
      <c r="L27" s="209">
        <v>12</v>
      </c>
      <c r="M27" s="210">
        <v>0</v>
      </c>
      <c r="N27" s="209">
        <v>0</v>
      </c>
      <c r="O27" s="210">
        <v>0</v>
      </c>
      <c r="P27" s="209">
        <v>0</v>
      </c>
    </row>
    <row r="28" spans="1:16" x14ac:dyDescent="0.25">
      <c r="A28" s="59" t="s">
        <v>116</v>
      </c>
      <c r="B28" s="9" t="s">
        <v>1</v>
      </c>
      <c r="C28" s="211">
        <v>14</v>
      </c>
      <c r="D28" s="213">
        <v>19</v>
      </c>
      <c r="E28" s="211">
        <v>14.5</v>
      </c>
      <c r="F28" s="215">
        <v>20</v>
      </c>
      <c r="G28" s="211">
        <v>14</v>
      </c>
      <c r="H28" s="213">
        <v>19</v>
      </c>
      <c r="I28" s="211">
        <v>14</v>
      </c>
      <c r="J28" s="215">
        <v>19</v>
      </c>
      <c r="K28" s="211">
        <v>14</v>
      </c>
      <c r="L28" s="215">
        <v>19.75</v>
      </c>
      <c r="M28" s="211">
        <v>0</v>
      </c>
      <c r="N28" s="215">
        <v>0</v>
      </c>
      <c r="O28" s="211">
        <v>0</v>
      </c>
      <c r="P28" s="215">
        <v>0</v>
      </c>
    </row>
    <row r="29" spans="1:16" ht="13.8" thickBot="1" x14ac:dyDescent="0.3">
      <c r="A29" s="257">
        <v>37</v>
      </c>
      <c r="B29" s="20">
        <f>SUM(C29:P29)</f>
        <v>37</v>
      </c>
      <c r="C29" s="36">
        <f>D28-C28+D27-C27</f>
        <v>8.25</v>
      </c>
      <c r="D29" s="21"/>
      <c r="E29" s="36">
        <f>F28-E28+F27-E27</f>
        <v>9.75</v>
      </c>
      <c r="F29" s="47"/>
      <c r="G29" s="36">
        <f>H28-G28+H27-G27</f>
        <v>5</v>
      </c>
      <c r="H29" s="21"/>
      <c r="I29" s="36">
        <f>J28-I28+J27-I27</f>
        <v>5</v>
      </c>
      <c r="J29" s="21"/>
      <c r="K29" s="36">
        <f>L28-K28+L27-K27</f>
        <v>9</v>
      </c>
      <c r="L29" s="21"/>
      <c r="M29" s="36">
        <f>N28-M28+N27-M27</f>
        <v>0</v>
      </c>
      <c r="N29" s="21"/>
      <c r="O29" s="36">
        <f>P28-O28+P27-O27</f>
        <v>0</v>
      </c>
      <c r="P29" s="21"/>
    </row>
    <row r="30" spans="1:16" x14ac:dyDescent="0.25">
      <c r="A30" s="7" t="s">
        <v>132</v>
      </c>
      <c r="B30" s="2" t="s">
        <v>0</v>
      </c>
      <c r="C30" s="210">
        <v>8.75</v>
      </c>
      <c r="D30" s="209">
        <v>13</v>
      </c>
      <c r="E30" s="210">
        <v>0</v>
      </c>
      <c r="F30" s="216">
        <v>0</v>
      </c>
      <c r="G30" s="210">
        <v>8.75</v>
      </c>
      <c r="H30" s="209">
        <v>13</v>
      </c>
      <c r="I30" s="210">
        <v>0</v>
      </c>
      <c r="J30" s="209">
        <v>0</v>
      </c>
      <c r="K30" s="210">
        <v>8.75</v>
      </c>
      <c r="L30" s="216">
        <v>13</v>
      </c>
      <c r="M30" s="210">
        <v>0</v>
      </c>
      <c r="N30" s="217">
        <v>0</v>
      </c>
      <c r="O30" s="210">
        <v>0</v>
      </c>
      <c r="P30" s="209">
        <v>0</v>
      </c>
    </row>
    <row r="31" spans="1:16" x14ac:dyDescent="0.25">
      <c r="A31" s="59" t="s">
        <v>116</v>
      </c>
      <c r="B31" s="9" t="s">
        <v>1</v>
      </c>
      <c r="C31" s="211">
        <v>14.5</v>
      </c>
      <c r="D31" s="213">
        <v>20</v>
      </c>
      <c r="E31" s="211">
        <v>14</v>
      </c>
      <c r="F31" s="215">
        <v>19</v>
      </c>
      <c r="G31" s="211">
        <v>14.5</v>
      </c>
      <c r="H31" s="213">
        <v>20</v>
      </c>
      <c r="I31" s="211">
        <v>14</v>
      </c>
      <c r="J31" s="213">
        <v>20</v>
      </c>
      <c r="K31" s="211">
        <v>0</v>
      </c>
      <c r="L31" s="213">
        <v>0</v>
      </c>
      <c r="M31" s="211">
        <v>0</v>
      </c>
      <c r="N31" s="215">
        <v>0</v>
      </c>
      <c r="O31" s="211">
        <v>0</v>
      </c>
      <c r="P31" s="215">
        <v>0</v>
      </c>
    </row>
    <row r="32" spans="1:16" ht="13.8" thickBot="1" x14ac:dyDescent="0.3">
      <c r="A32" s="257">
        <v>34.799999999999997</v>
      </c>
      <c r="B32" s="20">
        <f>SUM(C32:P32)</f>
        <v>34.75</v>
      </c>
      <c r="C32" s="36">
        <f>D31-C31+D30-C30</f>
        <v>9.75</v>
      </c>
      <c r="D32" s="21"/>
      <c r="E32" s="36">
        <f>F31-E31+F30-E30</f>
        <v>5</v>
      </c>
      <c r="F32" s="47"/>
      <c r="G32" s="36">
        <f>H31-G31+H30-G30</f>
        <v>9.75</v>
      </c>
      <c r="H32" s="21"/>
      <c r="I32" s="36">
        <f>J31-I31+J30-I30</f>
        <v>6</v>
      </c>
      <c r="J32" s="21"/>
      <c r="K32" s="36">
        <f>L31-K31+L30-K30</f>
        <v>4.25</v>
      </c>
      <c r="L32" s="21"/>
      <c r="M32" s="36">
        <f>N31-M31+N30-M30</f>
        <v>0</v>
      </c>
      <c r="N32" s="21"/>
      <c r="O32" s="36">
        <f>P31-O31+P30-O30</f>
        <v>0</v>
      </c>
      <c r="P32" s="21"/>
    </row>
    <row r="33" spans="1:16" x14ac:dyDescent="0.25">
      <c r="A33" s="7" t="s">
        <v>129</v>
      </c>
      <c r="B33" s="2" t="s">
        <v>0</v>
      </c>
      <c r="C33" s="210"/>
      <c r="D33" s="209"/>
      <c r="E33" s="210"/>
      <c r="F33" s="209"/>
      <c r="G33" s="210"/>
      <c r="H33" s="209"/>
      <c r="I33" s="210"/>
      <c r="J33" s="209"/>
      <c r="K33" s="214"/>
      <c r="L33" s="218"/>
      <c r="M33" s="210"/>
      <c r="N33" s="209"/>
      <c r="O33" s="210"/>
      <c r="P33" s="209"/>
    </row>
    <row r="34" spans="1:16" x14ac:dyDescent="0.25">
      <c r="A34" s="59" t="s">
        <v>116</v>
      </c>
      <c r="B34" s="9" t="s">
        <v>1</v>
      </c>
      <c r="C34" s="211"/>
      <c r="D34" s="213"/>
      <c r="E34" s="211"/>
      <c r="F34" s="213"/>
      <c r="G34" s="211"/>
      <c r="H34" s="215"/>
      <c r="I34" s="211"/>
      <c r="J34" s="215"/>
      <c r="K34" s="212"/>
      <c r="L34" s="215"/>
      <c r="M34" s="211"/>
      <c r="N34" s="213"/>
      <c r="O34" s="211"/>
      <c r="P34" s="213"/>
    </row>
    <row r="35" spans="1:16" ht="13.8" thickBot="1" x14ac:dyDescent="0.3">
      <c r="A35" s="64">
        <v>41</v>
      </c>
      <c r="B35" s="20">
        <f>SUM(C35:P35)</f>
        <v>0</v>
      </c>
      <c r="C35" s="36">
        <f>D34-C34+D33-C33</f>
        <v>0</v>
      </c>
      <c r="D35" s="21"/>
      <c r="E35" s="36">
        <f>F34-E34+F33-E33</f>
        <v>0</v>
      </c>
      <c r="F35" s="47"/>
      <c r="G35" s="36">
        <f>H34-G34+H33-G33</f>
        <v>0</v>
      </c>
      <c r="H35" s="21"/>
      <c r="I35" s="36">
        <f>J34-I34+J33-I33</f>
        <v>0</v>
      </c>
      <c r="J35" s="21"/>
      <c r="K35" s="36">
        <f>L34-K34+L33-K33</f>
        <v>0</v>
      </c>
      <c r="L35" s="21"/>
      <c r="M35" s="36">
        <f>N34-M34+N33-M33</f>
        <v>0</v>
      </c>
      <c r="N35" s="21"/>
      <c r="O35" s="36">
        <f>P34-O34+P33-O33</f>
        <v>0</v>
      </c>
      <c r="P35" s="21"/>
    </row>
    <row r="37" spans="1:16" ht="13.8" thickBot="1" x14ac:dyDescent="0.3"/>
    <row r="38" spans="1:16" ht="13.8" thickBot="1" x14ac:dyDescent="0.3">
      <c r="A38" s="245" t="s">
        <v>10</v>
      </c>
      <c r="B38" s="24">
        <v>4</v>
      </c>
      <c r="C38" s="35" t="s">
        <v>2</v>
      </c>
      <c r="D38" s="13"/>
      <c r="E38" s="35" t="s">
        <v>3</v>
      </c>
      <c r="F38" s="13"/>
      <c r="G38" s="35" t="s">
        <v>4</v>
      </c>
      <c r="H38" s="246"/>
      <c r="I38" s="35" t="s">
        <v>5</v>
      </c>
      <c r="J38" s="8"/>
      <c r="K38" s="35" t="s">
        <v>6</v>
      </c>
      <c r="L38" s="8"/>
      <c r="M38" s="35" t="s">
        <v>7</v>
      </c>
      <c r="N38" s="8"/>
      <c r="O38" s="35" t="s">
        <v>45</v>
      </c>
      <c r="P38" s="8"/>
    </row>
    <row r="39" spans="1:16" x14ac:dyDescent="0.25">
      <c r="A39" s="7" t="str">
        <f>$A$3</f>
        <v>a</v>
      </c>
      <c r="B39" s="2" t="s">
        <v>0</v>
      </c>
      <c r="C39" s="210">
        <v>8.75</v>
      </c>
      <c r="D39" s="209">
        <v>13</v>
      </c>
      <c r="E39" s="210">
        <v>8.75</v>
      </c>
      <c r="F39" s="216">
        <v>13</v>
      </c>
      <c r="G39" s="210">
        <v>0</v>
      </c>
      <c r="H39" s="209">
        <v>0</v>
      </c>
      <c r="I39" s="210">
        <v>0</v>
      </c>
      <c r="J39" s="209">
        <v>0</v>
      </c>
      <c r="K39" s="210">
        <v>8.75</v>
      </c>
      <c r="L39" s="209">
        <v>13</v>
      </c>
      <c r="M39" s="210">
        <v>0</v>
      </c>
      <c r="N39" s="209">
        <v>0</v>
      </c>
      <c r="O39" s="210">
        <v>0</v>
      </c>
      <c r="P39" s="209">
        <v>0</v>
      </c>
    </row>
    <row r="40" spans="1:16" x14ac:dyDescent="0.25">
      <c r="A40" s="59" t="s">
        <v>116</v>
      </c>
      <c r="B40" s="9" t="s">
        <v>1</v>
      </c>
      <c r="C40" s="211">
        <v>14</v>
      </c>
      <c r="D40" s="213">
        <v>20</v>
      </c>
      <c r="E40" s="211">
        <v>14.5</v>
      </c>
      <c r="F40" s="215">
        <v>19</v>
      </c>
      <c r="G40" s="211">
        <v>14</v>
      </c>
      <c r="H40" s="213">
        <v>20</v>
      </c>
      <c r="I40" s="211">
        <v>14</v>
      </c>
      <c r="J40" s="215">
        <v>20</v>
      </c>
      <c r="K40" s="211">
        <v>0</v>
      </c>
      <c r="L40" s="215">
        <v>0</v>
      </c>
      <c r="M40" s="211">
        <v>0</v>
      </c>
      <c r="N40" s="215">
        <v>0</v>
      </c>
      <c r="O40" s="211">
        <v>0</v>
      </c>
      <c r="P40" s="215">
        <v>0</v>
      </c>
    </row>
    <row r="41" spans="1:16" ht="13.8" thickBot="1" x14ac:dyDescent="0.3">
      <c r="A41" s="257">
        <v>35.299999999999997</v>
      </c>
      <c r="B41" s="20">
        <f>SUM(C41:P41)</f>
        <v>35.25</v>
      </c>
      <c r="C41" s="36">
        <f>D40-C40+D39-C39</f>
        <v>10.25</v>
      </c>
      <c r="D41" s="21"/>
      <c r="E41" s="36">
        <f>F40-E40+F39-E39</f>
        <v>8.75</v>
      </c>
      <c r="F41" s="47"/>
      <c r="G41" s="36">
        <f>H40-G40+H39-G39</f>
        <v>6</v>
      </c>
      <c r="H41" s="21"/>
      <c r="I41" s="36">
        <f>J40-I40+J39-I39</f>
        <v>6</v>
      </c>
      <c r="J41" s="21"/>
      <c r="K41" s="36">
        <f>L40-K40+L39-K39</f>
        <v>4.25</v>
      </c>
      <c r="L41" s="21"/>
      <c r="M41" s="36">
        <f>N40-M40+N39-M39</f>
        <v>0</v>
      </c>
      <c r="N41" s="21"/>
      <c r="O41" s="36">
        <f>P40-O40+P39-O39</f>
        <v>0</v>
      </c>
      <c r="P41" s="21"/>
    </row>
    <row r="42" spans="1:16" x14ac:dyDescent="0.25">
      <c r="A42" s="7" t="str">
        <f>$A$6</f>
        <v>b</v>
      </c>
      <c r="B42" s="2" t="s">
        <v>0</v>
      </c>
      <c r="C42" s="210">
        <v>8.75</v>
      </c>
      <c r="D42" s="209">
        <v>12</v>
      </c>
      <c r="E42" s="210">
        <v>0</v>
      </c>
      <c r="F42" s="216">
        <v>0</v>
      </c>
      <c r="G42" s="210">
        <v>8.75</v>
      </c>
      <c r="H42" s="209">
        <v>13</v>
      </c>
      <c r="I42" s="210">
        <v>0</v>
      </c>
      <c r="J42" s="216">
        <v>0</v>
      </c>
      <c r="K42" s="210">
        <v>8.75</v>
      </c>
      <c r="L42" s="209">
        <v>12</v>
      </c>
      <c r="M42" s="210">
        <v>0</v>
      </c>
      <c r="N42" s="216">
        <v>0</v>
      </c>
      <c r="O42" s="210">
        <v>0</v>
      </c>
      <c r="P42" s="216">
        <v>0</v>
      </c>
    </row>
    <row r="43" spans="1:16" x14ac:dyDescent="0.25">
      <c r="A43" s="59" t="s">
        <v>116</v>
      </c>
      <c r="B43" s="9" t="s">
        <v>1</v>
      </c>
      <c r="C43" s="211">
        <v>14</v>
      </c>
      <c r="D43" s="213">
        <v>19</v>
      </c>
      <c r="E43" s="211">
        <v>14</v>
      </c>
      <c r="F43" s="215">
        <v>20</v>
      </c>
      <c r="G43" s="211">
        <v>14.5</v>
      </c>
      <c r="H43" s="213">
        <v>19</v>
      </c>
      <c r="I43" s="212">
        <v>14</v>
      </c>
      <c r="J43" s="215">
        <v>19</v>
      </c>
      <c r="K43" s="211">
        <v>14</v>
      </c>
      <c r="L43" s="213">
        <v>19.75</v>
      </c>
      <c r="M43" s="211">
        <v>0</v>
      </c>
      <c r="N43" s="213">
        <v>0</v>
      </c>
      <c r="O43" s="211">
        <v>0</v>
      </c>
      <c r="P43" s="213">
        <v>0</v>
      </c>
    </row>
    <row r="44" spans="1:16" ht="13.8" thickBot="1" x14ac:dyDescent="0.3">
      <c r="A44" s="59">
        <v>37</v>
      </c>
      <c r="B44" s="20">
        <f>SUM(C44:P44)</f>
        <v>37</v>
      </c>
      <c r="C44" s="36">
        <f>D43-C43+D42-C42</f>
        <v>8.25</v>
      </c>
      <c r="D44" s="21"/>
      <c r="E44" s="36">
        <f>F43-E43+F42-E42</f>
        <v>6</v>
      </c>
      <c r="F44" s="47"/>
      <c r="G44" s="36">
        <f>H43-G43+H42-G42</f>
        <v>8.75</v>
      </c>
      <c r="H44" s="21"/>
      <c r="I44" s="36">
        <f>J43-I43+J42-I42</f>
        <v>5</v>
      </c>
      <c r="J44" s="21"/>
      <c r="K44" s="36">
        <f>L43-K43+L42-K42</f>
        <v>9</v>
      </c>
      <c r="L44" s="21"/>
      <c r="M44" s="36">
        <f>N43-M43+N42-M42</f>
        <v>0</v>
      </c>
      <c r="N44" s="21"/>
      <c r="O44" s="36">
        <f>P43-O43+P42-O42</f>
        <v>0</v>
      </c>
      <c r="P44" s="21"/>
    </row>
    <row r="45" spans="1:16" x14ac:dyDescent="0.25">
      <c r="A45" s="7" t="s">
        <v>129</v>
      </c>
      <c r="B45" s="2" t="s">
        <v>0</v>
      </c>
      <c r="C45" s="210"/>
      <c r="D45" s="209"/>
      <c r="E45" s="210"/>
      <c r="F45" s="209"/>
      <c r="G45" s="210"/>
      <c r="H45" s="209"/>
      <c r="I45" s="210"/>
      <c r="J45" s="209"/>
      <c r="K45" s="214"/>
      <c r="L45" s="218"/>
      <c r="M45" s="210"/>
      <c r="N45" s="209"/>
      <c r="O45" s="210"/>
      <c r="P45" s="209"/>
    </row>
    <row r="46" spans="1:16" x14ac:dyDescent="0.25">
      <c r="A46" s="59" t="s">
        <v>116</v>
      </c>
      <c r="B46" s="9" t="s">
        <v>1</v>
      </c>
      <c r="C46" s="211"/>
      <c r="D46" s="213"/>
      <c r="E46" s="211"/>
      <c r="F46" s="213"/>
      <c r="G46" s="211"/>
      <c r="H46" s="215"/>
      <c r="I46" s="211"/>
      <c r="J46" s="215"/>
      <c r="K46" s="212"/>
      <c r="L46" s="215"/>
      <c r="M46" s="211"/>
      <c r="N46" s="213"/>
      <c r="O46" s="211"/>
      <c r="P46" s="213"/>
    </row>
    <row r="47" spans="1:16" ht="13.8" thickBot="1" x14ac:dyDescent="0.3">
      <c r="A47" s="64">
        <v>37</v>
      </c>
      <c r="B47" s="20">
        <f>SUM(C47:P47)</f>
        <v>0</v>
      </c>
      <c r="C47" s="36">
        <f>D46-C46+D45-C45</f>
        <v>0</v>
      </c>
      <c r="D47" s="21"/>
      <c r="E47" s="36">
        <f>F46-E46+F45-E45</f>
        <v>0</v>
      </c>
      <c r="F47" s="47"/>
      <c r="G47" s="36">
        <f>H46-G46+H45-G45</f>
        <v>0</v>
      </c>
      <c r="H47" s="21"/>
      <c r="I47" s="36">
        <f>J46-I46+J45-I45</f>
        <v>0</v>
      </c>
      <c r="J47" s="21"/>
      <c r="K47" s="36">
        <f>L46-K46+L45-K45</f>
        <v>0</v>
      </c>
      <c r="L47" s="21"/>
      <c r="M47" s="36">
        <f>N46-M46+N45-M45</f>
        <v>0</v>
      </c>
      <c r="N47" s="21"/>
      <c r="O47" s="36">
        <f>P46-O46+P45-O45</f>
        <v>0</v>
      </c>
      <c r="P47" s="21"/>
    </row>
  </sheetData>
  <phoneticPr fontId="0" type="noConversion"/>
  <pageMargins left="0.19685039370078741" right="0.19685039370078741" top="0.19685039370078741" bottom="0.59055118110236227" header="0" footer="0"/>
  <pageSetup paperSize="9" scale="80" orientation="landscape" r:id="rId1"/>
  <headerFooter alignWithMargins="0"/>
  <rowBreaks count="1" manualBreakCount="1">
    <brk id="12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5">
    <tabColor rgb="FFFFFF00"/>
  </sheetPr>
  <dimension ref="A2:P36"/>
  <sheetViews>
    <sheetView workbookViewId="0">
      <selection activeCell="S22" sqref="S22"/>
    </sheetView>
  </sheetViews>
  <sheetFormatPr baseColWidth="10" defaultRowHeight="13.2" x14ac:dyDescent="0.25"/>
  <cols>
    <col min="1" max="1" width="15.44140625" bestFit="1" customWidth="1"/>
    <col min="3" max="3" width="7.33203125" bestFit="1" customWidth="1"/>
    <col min="4" max="4" width="5.88671875" customWidth="1"/>
    <col min="5" max="5" width="7.33203125" bestFit="1" customWidth="1"/>
    <col min="6" max="6" width="5.5546875" bestFit="1" customWidth="1"/>
    <col min="7" max="7" width="7.33203125" bestFit="1" customWidth="1"/>
    <col min="8" max="8" width="6.5546875" customWidth="1"/>
    <col min="9" max="9" width="7.33203125" bestFit="1" customWidth="1"/>
    <col min="10" max="10" width="5.5546875" bestFit="1" customWidth="1"/>
    <col min="11" max="11" width="7.33203125" bestFit="1" customWidth="1"/>
    <col min="12" max="12" width="5.5546875" bestFit="1" customWidth="1"/>
    <col min="13" max="13" width="7.33203125" bestFit="1" customWidth="1"/>
    <col min="14" max="14" width="5.5546875" bestFit="1" customWidth="1"/>
    <col min="15" max="15" width="7.109375" bestFit="1" customWidth="1"/>
    <col min="16" max="16" width="5.5546875" bestFit="1" customWidth="1"/>
  </cols>
  <sheetData>
    <row r="2" spans="1:16" ht="15.6" x14ac:dyDescent="0.3">
      <c r="A2" s="32">
        <f>réel!$B$2</f>
        <v>2021</v>
      </c>
      <c r="B2" s="32">
        <f>réel!$D$2</f>
        <v>10</v>
      </c>
      <c r="E2" s="53" t="str">
        <f>type!$A$3</f>
        <v>a</v>
      </c>
    </row>
    <row r="3" spans="1:16" ht="13.8" thickBot="1" x14ac:dyDescent="0.3">
      <c r="A3" s="1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6" ht="13.8" thickBot="1" x14ac:dyDescent="0.3">
      <c r="A4" s="57" t="s">
        <v>10</v>
      </c>
      <c r="B4" s="48">
        <f>réel!$B$12</f>
        <v>39</v>
      </c>
      <c r="C4" s="37">
        <f>réel!$C$12</f>
        <v>44466</v>
      </c>
      <c r="D4" s="42"/>
      <c r="E4" s="37">
        <f>réel!$E$12</f>
        <v>44467</v>
      </c>
      <c r="F4" s="42"/>
      <c r="G4" s="37">
        <f>réel!$G$12</f>
        <v>44468</v>
      </c>
      <c r="H4" s="43"/>
      <c r="I4" s="37">
        <f>réel!$I$12</f>
        <v>44469</v>
      </c>
      <c r="J4" s="38"/>
      <c r="K4" s="37">
        <f>réel!$K$12</f>
        <v>44470</v>
      </c>
      <c r="L4" s="38"/>
      <c r="M4" s="37">
        <f>réel!$M$12</f>
        <v>44471</v>
      </c>
      <c r="N4" s="38"/>
      <c r="O4" s="37">
        <f>réel!$O$12</f>
        <v>44472</v>
      </c>
      <c r="P4" s="38"/>
    </row>
    <row r="5" spans="1:16" x14ac:dyDescent="0.25">
      <c r="A5" s="50"/>
      <c r="B5" s="44" t="s">
        <v>0</v>
      </c>
      <c r="C5" s="16">
        <f>réel!$C13</f>
        <v>8.75</v>
      </c>
      <c r="D5" s="11">
        <f>réel!$D13</f>
        <v>13</v>
      </c>
      <c r="E5" s="10">
        <f>réel!$E13</f>
        <v>8.75</v>
      </c>
      <c r="F5" s="17">
        <f>réel!$F13</f>
        <v>13</v>
      </c>
      <c r="G5" s="10">
        <f>réel!$G13</f>
        <v>0</v>
      </c>
      <c r="H5" s="11">
        <f>réel!$H13</f>
        <v>0</v>
      </c>
      <c r="I5" s="10">
        <f>réel!$I13</f>
        <v>0</v>
      </c>
      <c r="J5" s="11">
        <f>réel!$J13</f>
        <v>0</v>
      </c>
      <c r="K5" s="10">
        <f>réel!$K13</f>
        <v>8.75</v>
      </c>
      <c r="L5" s="11">
        <f>réel!$L13</f>
        <v>13</v>
      </c>
      <c r="M5" s="10">
        <f>réel!$M13</f>
        <v>0</v>
      </c>
      <c r="N5" s="11">
        <f>réel!$N13</f>
        <v>0</v>
      </c>
      <c r="O5" s="10">
        <f>réel!$O13</f>
        <v>0</v>
      </c>
      <c r="P5" s="11">
        <f>réel!$P13</f>
        <v>0</v>
      </c>
    </row>
    <row r="6" spans="1:16" x14ac:dyDescent="0.25">
      <c r="A6" s="51"/>
      <c r="B6" s="45" t="s">
        <v>1</v>
      </c>
      <c r="C6" s="40">
        <f>réel!$C14</f>
        <v>14</v>
      </c>
      <c r="D6" s="41">
        <f>réel!$D14</f>
        <v>20</v>
      </c>
      <c r="E6" s="40">
        <f>réel!$E14</f>
        <v>14.5</v>
      </c>
      <c r="F6" s="58">
        <f>réel!$F14</f>
        <v>19</v>
      </c>
      <c r="G6" s="40">
        <f>réel!$G14</f>
        <v>14</v>
      </c>
      <c r="H6" s="41">
        <f>réel!$H14</f>
        <v>20</v>
      </c>
      <c r="I6" s="40">
        <f>réel!$I14</f>
        <v>14</v>
      </c>
      <c r="J6" s="41">
        <f>réel!$J14</f>
        <v>20</v>
      </c>
      <c r="K6" s="40">
        <f>réel!$K14</f>
        <v>0</v>
      </c>
      <c r="L6" s="41">
        <f>réel!$L14</f>
        <v>0</v>
      </c>
      <c r="M6" s="40">
        <f>réel!$M14</f>
        <v>0</v>
      </c>
      <c r="N6" s="41">
        <f>réel!$N14</f>
        <v>0</v>
      </c>
      <c r="O6" s="40">
        <f>réel!$O14</f>
        <v>0</v>
      </c>
      <c r="P6" s="41">
        <f>réel!$P14</f>
        <v>0</v>
      </c>
    </row>
    <row r="7" spans="1:16" ht="13.8" thickBot="1" x14ac:dyDescent="0.3">
      <c r="A7" s="52"/>
      <c r="B7" s="46">
        <f>SUM(C7:P7)</f>
        <v>35.25</v>
      </c>
      <c r="C7" s="36">
        <f>D6-C6+D5-C5</f>
        <v>10.25</v>
      </c>
      <c r="D7" s="21"/>
      <c r="E7" s="36">
        <f>F6-E6+F5-E5</f>
        <v>8.75</v>
      </c>
      <c r="F7" s="47"/>
      <c r="G7" s="36">
        <f>H6-G6+H5-G5</f>
        <v>6</v>
      </c>
      <c r="H7" s="21"/>
      <c r="I7" s="36">
        <f>J6-I6+J5-I5</f>
        <v>6</v>
      </c>
      <c r="J7" s="21"/>
      <c r="K7" s="36">
        <f>L6-K6+L5-K5</f>
        <v>4.25</v>
      </c>
      <c r="L7" s="21"/>
      <c r="M7" s="36">
        <f>N6-M6+N5-M5</f>
        <v>0</v>
      </c>
      <c r="N7" s="21"/>
      <c r="O7" s="36">
        <f>P6-O6+P5-O5</f>
        <v>0</v>
      </c>
      <c r="P7" s="21"/>
    </row>
    <row r="8" spans="1:16" x14ac:dyDescent="0.25">
      <c r="A8" s="1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6" ht="13.8" thickBot="1" x14ac:dyDescent="0.3">
      <c r="A9" s="1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6" ht="13.8" thickBot="1" x14ac:dyDescent="0.3">
      <c r="A10" s="57" t="s">
        <v>10</v>
      </c>
      <c r="B10" s="48">
        <f>réel!$B$24</f>
        <v>40</v>
      </c>
      <c r="C10" s="37">
        <f>réel!$C$24</f>
        <v>44473</v>
      </c>
      <c r="D10" s="42"/>
      <c r="E10" s="37">
        <f>réel!$E$24</f>
        <v>44474</v>
      </c>
      <c r="F10" s="42"/>
      <c r="G10" s="37">
        <f>réel!$G$24</f>
        <v>44475</v>
      </c>
      <c r="H10" s="43"/>
      <c r="I10" s="37">
        <f>réel!$I$24</f>
        <v>44476</v>
      </c>
      <c r="J10" s="38"/>
      <c r="K10" s="37">
        <f>réel!$K$24</f>
        <v>44477</v>
      </c>
      <c r="L10" s="38"/>
      <c r="M10" s="37">
        <f>réel!$M$24</f>
        <v>44478</v>
      </c>
      <c r="N10" s="38"/>
      <c r="O10" s="37">
        <f>réel!$O$24</f>
        <v>44479</v>
      </c>
      <c r="P10" s="38"/>
    </row>
    <row r="11" spans="1:16" x14ac:dyDescent="0.25">
      <c r="A11" s="50"/>
      <c r="B11" s="44" t="s">
        <v>0</v>
      </c>
      <c r="C11" s="16">
        <f>réel!$C25</f>
        <v>8.75</v>
      </c>
      <c r="D11" s="11">
        <f>réel!$D25</f>
        <v>12</v>
      </c>
      <c r="E11" s="10">
        <f>réel!$E25</f>
        <v>8.75</v>
      </c>
      <c r="F11" s="17">
        <f>réel!$F25</f>
        <v>13</v>
      </c>
      <c r="G11" s="10">
        <f>réel!$G25</f>
        <v>0</v>
      </c>
      <c r="H11" s="11">
        <f>réel!$H25</f>
        <v>0</v>
      </c>
      <c r="I11" s="10">
        <f>réel!$I25</f>
        <v>0</v>
      </c>
      <c r="J11" s="11">
        <f>réel!$J25</f>
        <v>0</v>
      </c>
      <c r="K11" s="10">
        <f>réel!$K25</f>
        <v>8.75</v>
      </c>
      <c r="L11" s="11">
        <f>réel!$L25</f>
        <v>12</v>
      </c>
      <c r="M11" s="10">
        <f>réel!$M25</f>
        <v>0</v>
      </c>
      <c r="N11" s="11">
        <f>réel!$N25</f>
        <v>0</v>
      </c>
      <c r="O11" s="10">
        <f>réel!$O25</f>
        <v>0</v>
      </c>
      <c r="P11" s="11">
        <f>réel!$P25</f>
        <v>0</v>
      </c>
    </row>
    <row r="12" spans="1:16" x14ac:dyDescent="0.25">
      <c r="A12" s="51"/>
      <c r="B12" s="45" t="s">
        <v>1</v>
      </c>
      <c r="C12" s="40">
        <f>réel!$C26</f>
        <v>14</v>
      </c>
      <c r="D12" s="41">
        <f>réel!$D26</f>
        <v>19</v>
      </c>
      <c r="E12" s="40">
        <f>réel!$E26</f>
        <v>14.5</v>
      </c>
      <c r="F12" s="58">
        <f>réel!$F26</f>
        <v>20</v>
      </c>
      <c r="G12" s="40">
        <f>réel!$G26</f>
        <v>14</v>
      </c>
      <c r="H12" s="41">
        <f>réel!$H26</f>
        <v>19</v>
      </c>
      <c r="I12" s="40">
        <f>réel!$I26</f>
        <v>14</v>
      </c>
      <c r="J12" s="41">
        <f>réel!$J26</f>
        <v>19</v>
      </c>
      <c r="K12" s="40">
        <f>réel!$K26</f>
        <v>14</v>
      </c>
      <c r="L12" s="41">
        <f>réel!$L26</f>
        <v>19.75</v>
      </c>
      <c r="M12" s="40">
        <f>réel!$M26</f>
        <v>0</v>
      </c>
      <c r="N12" s="41">
        <f>réel!$N26</f>
        <v>0</v>
      </c>
      <c r="O12" s="40">
        <f>réel!$O26</f>
        <v>0</v>
      </c>
      <c r="P12" s="41">
        <f>réel!$P26</f>
        <v>0</v>
      </c>
    </row>
    <row r="13" spans="1:16" ht="13.8" thickBot="1" x14ac:dyDescent="0.3">
      <c r="A13" s="52"/>
      <c r="B13" s="46">
        <f>SUM(C13:P13)</f>
        <v>37</v>
      </c>
      <c r="C13" s="36">
        <f>D12-C12+D11-C11</f>
        <v>8.25</v>
      </c>
      <c r="D13" s="21"/>
      <c r="E13" s="36">
        <f>F12-E12+F11-E11</f>
        <v>9.75</v>
      </c>
      <c r="F13" s="47"/>
      <c r="G13" s="36">
        <f>H12-G12+H11-G11</f>
        <v>5</v>
      </c>
      <c r="H13" s="21"/>
      <c r="I13" s="36">
        <f>J12-I12+J11-I11</f>
        <v>5</v>
      </c>
      <c r="J13" s="21"/>
      <c r="K13" s="36">
        <f>L12-K12+L11-K11</f>
        <v>9</v>
      </c>
      <c r="L13" s="21"/>
      <c r="M13" s="36">
        <f>N12-M12+N11-M11</f>
        <v>0</v>
      </c>
      <c r="N13" s="21"/>
      <c r="O13" s="36">
        <f>P12-O12+P11-O11</f>
        <v>0</v>
      </c>
      <c r="P13" s="21"/>
    </row>
    <row r="14" spans="1:16" x14ac:dyDescent="0.25">
      <c r="A14" s="1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6" ht="13.8" thickBot="1" x14ac:dyDescent="0.3">
      <c r="A15" s="1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6" ht="13.8" thickBot="1" x14ac:dyDescent="0.3">
      <c r="A16" s="57" t="s">
        <v>10</v>
      </c>
      <c r="B16" s="48">
        <f>réel!$B$36</f>
        <v>41</v>
      </c>
      <c r="C16" s="37">
        <f>réel!$C$36</f>
        <v>44480</v>
      </c>
      <c r="D16" s="42"/>
      <c r="E16" s="37">
        <f>réel!$E$36</f>
        <v>44481</v>
      </c>
      <c r="F16" s="42"/>
      <c r="G16" s="37">
        <f>réel!$G$36</f>
        <v>44482</v>
      </c>
      <c r="H16" s="43"/>
      <c r="I16" s="37">
        <f>réel!$I$36</f>
        <v>44483</v>
      </c>
      <c r="J16" s="38"/>
      <c r="K16" s="37">
        <f>réel!$K$36</f>
        <v>44484</v>
      </c>
      <c r="L16" s="38"/>
      <c r="M16" s="37">
        <f>réel!$M$36</f>
        <v>44485</v>
      </c>
      <c r="N16" s="38"/>
      <c r="O16" s="37">
        <f>réel!$O$36</f>
        <v>44486</v>
      </c>
      <c r="P16" s="38"/>
    </row>
    <row r="17" spans="1:16" x14ac:dyDescent="0.25">
      <c r="A17" s="50"/>
      <c r="B17" s="44" t="s">
        <v>0</v>
      </c>
      <c r="C17" s="16">
        <f>réel!$C37</f>
        <v>8.75</v>
      </c>
      <c r="D17" s="11">
        <f>réel!$D37</f>
        <v>13</v>
      </c>
      <c r="E17" s="10">
        <f>réel!$E37</f>
        <v>8.75</v>
      </c>
      <c r="F17" s="17">
        <f>réel!$F37</f>
        <v>13</v>
      </c>
      <c r="G17" s="10">
        <f>réel!$G37</f>
        <v>0</v>
      </c>
      <c r="H17" s="11">
        <f>réel!$H37</f>
        <v>0</v>
      </c>
      <c r="I17" s="10">
        <f>réel!$I37</f>
        <v>0</v>
      </c>
      <c r="J17" s="11">
        <f>réel!$J37</f>
        <v>0</v>
      </c>
      <c r="K17" s="10">
        <f>réel!$K37</f>
        <v>8.75</v>
      </c>
      <c r="L17" s="11">
        <f>réel!$L37</f>
        <v>13</v>
      </c>
      <c r="M17" s="10">
        <f>réel!$M37</f>
        <v>0</v>
      </c>
      <c r="N17" s="11">
        <f>réel!$N37</f>
        <v>0</v>
      </c>
      <c r="O17" s="10">
        <f>réel!$O37</f>
        <v>0</v>
      </c>
      <c r="P17" s="11">
        <f>réel!$P37</f>
        <v>0</v>
      </c>
    </row>
    <row r="18" spans="1:16" x14ac:dyDescent="0.25">
      <c r="A18" s="51"/>
      <c r="B18" s="45" t="s">
        <v>1</v>
      </c>
      <c r="C18" s="40">
        <f>réel!$C38</f>
        <v>14</v>
      </c>
      <c r="D18" s="41">
        <f>réel!$D38</f>
        <v>20</v>
      </c>
      <c r="E18" s="40">
        <f>réel!$E38</f>
        <v>14.5</v>
      </c>
      <c r="F18" s="58">
        <f>réel!$F38</f>
        <v>19</v>
      </c>
      <c r="G18" s="40">
        <f>réel!$G38</f>
        <v>14</v>
      </c>
      <c r="H18" s="41">
        <f>réel!$H38</f>
        <v>20</v>
      </c>
      <c r="I18" s="40">
        <f>réel!$I38</f>
        <v>14</v>
      </c>
      <c r="J18" s="41">
        <f>réel!$J38</f>
        <v>20</v>
      </c>
      <c r="K18" s="40">
        <f>réel!$K38</f>
        <v>0</v>
      </c>
      <c r="L18" s="41">
        <f>réel!$L38</f>
        <v>0</v>
      </c>
      <c r="M18" s="40">
        <f>réel!$M38</f>
        <v>0</v>
      </c>
      <c r="N18" s="41">
        <f>réel!$N38</f>
        <v>0</v>
      </c>
      <c r="O18" s="40">
        <f>réel!$O38</f>
        <v>0</v>
      </c>
      <c r="P18" s="41">
        <f>réel!$P38</f>
        <v>0</v>
      </c>
    </row>
    <row r="19" spans="1:16" ht="13.8" thickBot="1" x14ac:dyDescent="0.3">
      <c r="A19" s="52"/>
      <c r="B19" s="46">
        <f>SUM(C19:P19)</f>
        <v>35.25</v>
      </c>
      <c r="C19" s="36">
        <f>D18-C18+D17-C17</f>
        <v>10.25</v>
      </c>
      <c r="D19" s="21"/>
      <c r="E19" s="36">
        <f>F18-E18+F17-E17</f>
        <v>8.75</v>
      </c>
      <c r="F19" s="47"/>
      <c r="G19" s="36">
        <f>H18-G18+H17-G17</f>
        <v>6</v>
      </c>
      <c r="H19" s="21"/>
      <c r="I19" s="36">
        <f>J18-I18+J17-I17</f>
        <v>6</v>
      </c>
      <c r="J19" s="21"/>
      <c r="K19" s="36">
        <f>L18-K18+L17-K17</f>
        <v>4.25</v>
      </c>
      <c r="L19" s="21"/>
      <c r="M19" s="36">
        <f>N18-M18+N17-M17</f>
        <v>0</v>
      </c>
      <c r="N19" s="21"/>
      <c r="O19" s="36">
        <f>P18-O18+P17-O17</f>
        <v>0</v>
      </c>
      <c r="P19" s="21"/>
    </row>
    <row r="20" spans="1:16" x14ac:dyDescent="0.25">
      <c r="A20" s="19"/>
    </row>
    <row r="21" spans="1:16" ht="13.8" thickBot="1" x14ac:dyDescent="0.3">
      <c r="A21" s="19"/>
    </row>
    <row r="22" spans="1:16" ht="13.8" thickBot="1" x14ac:dyDescent="0.3">
      <c r="A22" s="57" t="s">
        <v>10</v>
      </c>
      <c r="B22" s="48">
        <f>réel!$B$48</f>
        <v>42</v>
      </c>
      <c r="C22" s="37">
        <f>réel!$C$48</f>
        <v>44487</v>
      </c>
      <c r="D22" s="42"/>
      <c r="E22" s="37">
        <f>réel!$E$48</f>
        <v>44488</v>
      </c>
      <c r="F22" s="42"/>
      <c r="G22" s="37">
        <f>réel!$G$48</f>
        <v>44489</v>
      </c>
      <c r="H22" s="43"/>
      <c r="I22" s="37">
        <f>réel!$I$48</f>
        <v>44490</v>
      </c>
      <c r="J22" s="38"/>
      <c r="K22" s="37">
        <f>réel!$K$48</f>
        <v>44491</v>
      </c>
      <c r="L22" s="38"/>
      <c r="M22" s="37">
        <f>réel!$M$48</f>
        <v>44492</v>
      </c>
      <c r="N22" s="38"/>
      <c r="O22" s="37">
        <f>réel!$O$48</f>
        <v>44493</v>
      </c>
      <c r="P22" s="38"/>
    </row>
    <row r="23" spans="1:16" x14ac:dyDescent="0.25">
      <c r="A23" s="50"/>
      <c r="B23" s="44" t="s">
        <v>0</v>
      </c>
      <c r="C23" s="16">
        <f>réel!$C49</f>
        <v>8.75</v>
      </c>
      <c r="D23" s="11">
        <f>réel!$D49</f>
        <v>12</v>
      </c>
      <c r="E23" s="10">
        <f>réel!$E49</f>
        <v>8.75</v>
      </c>
      <c r="F23" s="17">
        <f>réel!$F49</f>
        <v>13</v>
      </c>
      <c r="G23" s="10">
        <f>réel!$G49</f>
        <v>0</v>
      </c>
      <c r="H23" s="11">
        <f>réel!$H49</f>
        <v>0</v>
      </c>
      <c r="I23" s="10">
        <f>réel!$I49</f>
        <v>0</v>
      </c>
      <c r="J23" s="11">
        <f>réel!$J49</f>
        <v>0</v>
      </c>
      <c r="K23" s="10">
        <f>réel!$K49</f>
        <v>8.75</v>
      </c>
      <c r="L23" s="11">
        <f>réel!$L49</f>
        <v>12</v>
      </c>
      <c r="M23" s="10">
        <f>réel!$M49</f>
        <v>0</v>
      </c>
      <c r="N23" s="11">
        <f>réel!$N49</f>
        <v>0</v>
      </c>
      <c r="O23" s="10">
        <f>réel!$O49</f>
        <v>0</v>
      </c>
      <c r="P23" s="11">
        <f>réel!$P49</f>
        <v>0</v>
      </c>
    </row>
    <row r="24" spans="1:16" x14ac:dyDescent="0.25">
      <c r="A24" s="51"/>
      <c r="B24" s="45" t="s">
        <v>1</v>
      </c>
      <c r="C24" s="40">
        <f>réel!$C50</f>
        <v>14</v>
      </c>
      <c r="D24" s="41">
        <f>réel!$D50</f>
        <v>19</v>
      </c>
      <c r="E24" s="40">
        <f>réel!$E50</f>
        <v>14.5</v>
      </c>
      <c r="F24" s="58">
        <f>réel!$F50</f>
        <v>20</v>
      </c>
      <c r="G24" s="40">
        <f>réel!$G50</f>
        <v>14</v>
      </c>
      <c r="H24" s="41">
        <f>réel!$H50</f>
        <v>19</v>
      </c>
      <c r="I24" s="40">
        <f>réel!$I50</f>
        <v>14</v>
      </c>
      <c r="J24" s="41">
        <f>réel!$J50</f>
        <v>19</v>
      </c>
      <c r="K24" s="40">
        <f>réel!$K50</f>
        <v>14</v>
      </c>
      <c r="L24" s="41">
        <f>réel!$L50</f>
        <v>19.75</v>
      </c>
      <c r="M24" s="40">
        <f>réel!$M50</f>
        <v>0</v>
      </c>
      <c r="N24" s="41">
        <f>réel!$N50</f>
        <v>0</v>
      </c>
      <c r="O24" s="40">
        <f>réel!$O50</f>
        <v>0</v>
      </c>
      <c r="P24" s="41">
        <f>réel!$P50</f>
        <v>0</v>
      </c>
    </row>
    <row r="25" spans="1:16" ht="13.8" thickBot="1" x14ac:dyDescent="0.3">
      <c r="A25" s="52"/>
      <c r="B25" s="46">
        <f>SUM(C25:P25)</f>
        <v>37</v>
      </c>
      <c r="C25" s="36">
        <f>D24-C24+D23-C23</f>
        <v>8.25</v>
      </c>
      <c r="D25" s="21"/>
      <c r="E25" s="36">
        <f>F24-E24+F23-E23</f>
        <v>9.75</v>
      </c>
      <c r="F25" s="47"/>
      <c r="G25" s="36">
        <f>H24-G24+H23-G23</f>
        <v>5</v>
      </c>
      <c r="H25" s="21"/>
      <c r="I25" s="36">
        <f>J24-I24+J23-I23</f>
        <v>5</v>
      </c>
      <c r="J25" s="21"/>
      <c r="K25" s="36">
        <f>L24-K24+L23-K23</f>
        <v>9</v>
      </c>
      <c r="L25" s="21"/>
      <c r="M25" s="36">
        <f>N24-M24+N23-M23</f>
        <v>0</v>
      </c>
      <c r="N25" s="21"/>
      <c r="O25" s="36">
        <f>P24-O24+P23-O23</f>
        <v>0</v>
      </c>
      <c r="P25" s="21"/>
    </row>
    <row r="26" spans="1:16" x14ac:dyDescent="0.25">
      <c r="A26" s="19"/>
    </row>
    <row r="27" spans="1:16" ht="13.8" thickBot="1" x14ac:dyDescent="0.3">
      <c r="A27" s="19"/>
    </row>
    <row r="28" spans="1:16" ht="13.8" thickBot="1" x14ac:dyDescent="0.3">
      <c r="A28" s="57" t="s">
        <v>10</v>
      </c>
      <c r="B28" s="48">
        <f>réel!$B$60</f>
        <v>43</v>
      </c>
      <c r="C28" s="37">
        <f>réel!$C$60</f>
        <v>44494</v>
      </c>
      <c r="D28" s="42"/>
      <c r="E28" s="37">
        <f>réel!$E$60</f>
        <v>44495</v>
      </c>
      <c r="F28" s="42"/>
      <c r="G28" s="37">
        <f>réel!$G$60</f>
        <v>44496</v>
      </c>
      <c r="H28" s="43"/>
      <c r="I28" s="37">
        <f>réel!$I$60</f>
        <v>44497</v>
      </c>
      <c r="J28" s="38"/>
      <c r="K28" s="37">
        <f>réel!$K$60</f>
        <v>44498</v>
      </c>
      <c r="L28" s="38"/>
      <c r="M28" s="37">
        <f>réel!$M$60</f>
        <v>44499</v>
      </c>
      <c r="N28" s="38"/>
      <c r="O28" s="37">
        <f>réel!$O$60</f>
        <v>44500</v>
      </c>
      <c r="P28" s="38"/>
    </row>
    <row r="29" spans="1:16" x14ac:dyDescent="0.25">
      <c r="A29" s="50"/>
      <c r="B29" s="44" t="s">
        <v>0</v>
      </c>
      <c r="C29" s="16">
        <f>réel!$C61</f>
        <v>8.75</v>
      </c>
      <c r="D29" s="11">
        <f>réel!$D61</f>
        <v>13</v>
      </c>
      <c r="E29" s="10">
        <f>réel!$E61</f>
        <v>8.75</v>
      </c>
      <c r="F29" s="17">
        <f>réel!$F61</f>
        <v>13</v>
      </c>
      <c r="G29" s="10">
        <f>réel!$G61</f>
        <v>0</v>
      </c>
      <c r="H29" s="11">
        <f>réel!$H61</f>
        <v>0</v>
      </c>
      <c r="I29" s="10">
        <f>réel!$I61</f>
        <v>0</v>
      </c>
      <c r="J29" s="11">
        <f>réel!$J61</f>
        <v>0</v>
      </c>
      <c r="K29" s="10">
        <f>réel!$K61</f>
        <v>8.75</v>
      </c>
      <c r="L29" s="11">
        <f>réel!$L61</f>
        <v>13</v>
      </c>
      <c r="M29" s="10">
        <f>réel!$M61</f>
        <v>0</v>
      </c>
      <c r="N29" s="11">
        <f>réel!$N61</f>
        <v>0</v>
      </c>
      <c r="O29" s="10">
        <f>réel!$O61</f>
        <v>0</v>
      </c>
      <c r="P29" s="11">
        <f>réel!$P61</f>
        <v>0</v>
      </c>
    </row>
    <row r="30" spans="1:16" x14ac:dyDescent="0.25">
      <c r="A30" s="51"/>
      <c r="B30" s="45" t="s">
        <v>1</v>
      </c>
      <c r="C30" s="40">
        <f>réel!$C62</f>
        <v>14</v>
      </c>
      <c r="D30" s="41">
        <f>réel!$D62</f>
        <v>20</v>
      </c>
      <c r="E30" s="40">
        <f>réel!$E62</f>
        <v>14.5</v>
      </c>
      <c r="F30" s="58">
        <f>réel!$F62</f>
        <v>19</v>
      </c>
      <c r="G30" s="40">
        <f>réel!$G62</f>
        <v>14</v>
      </c>
      <c r="H30" s="41">
        <f>réel!$H62</f>
        <v>20</v>
      </c>
      <c r="I30" s="40">
        <f>réel!$I62</f>
        <v>14</v>
      </c>
      <c r="J30" s="41">
        <f>réel!$J62</f>
        <v>20</v>
      </c>
      <c r="K30" s="40">
        <f>réel!$K62</f>
        <v>0</v>
      </c>
      <c r="L30" s="41">
        <f>réel!$L62</f>
        <v>0</v>
      </c>
      <c r="M30" s="40">
        <f>réel!$M62</f>
        <v>0</v>
      </c>
      <c r="N30" s="41">
        <f>réel!$N62</f>
        <v>0</v>
      </c>
      <c r="O30" s="40">
        <f>réel!$O62</f>
        <v>0</v>
      </c>
      <c r="P30" s="41">
        <f>réel!$P62</f>
        <v>0</v>
      </c>
    </row>
    <row r="31" spans="1:16" ht="13.8" thickBot="1" x14ac:dyDescent="0.3">
      <c r="A31" s="52"/>
      <c r="B31" s="46">
        <f>SUM(C31:P31)</f>
        <v>35.25</v>
      </c>
      <c r="C31" s="36">
        <f>D30-C30+D29-C29</f>
        <v>10.25</v>
      </c>
      <c r="D31" s="21"/>
      <c r="E31" s="36">
        <f>F30-E30+F29-E29</f>
        <v>8.75</v>
      </c>
      <c r="F31" s="47"/>
      <c r="G31" s="36">
        <f>H30-G30+H29-G29</f>
        <v>6</v>
      </c>
      <c r="H31" s="21"/>
      <c r="I31" s="36">
        <f>J30-I30+J29-I29</f>
        <v>6</v>
      </c>
      <c r="J31" s="21"/>
      <c r="K31" s="36">
        <f>L30-K30+L29-K29</f>
        <v>4.25</v>
      </c>
      <c r="L31" s="21"/>
      <c r="M31" s="36">
        <f>N30-M30+N29-M29</f>
        <v>0</v>
      </c>
      <c r="N31" s="21"/>
      <c r="O31" s="36">
        <f>P30-O30+P29-O29</f>
        <v>0</v>
      </c>
      <c r="P31" s="21"/>
    </row>
    <row r="32" spans="1:16" ht="13.8" thickBot="1" x14ac:dyDescent="0.3">
      <c r="A32" s="19"/>
    </row>
    <row r="33" spans="1:16" ht="13.8" thickBot="1" x14ac:dyDescent="0.3">
      <c r="A33" s="57" t="s">
        <v>10</v>
      </c>
      <c r="B33" s="48">
        <f>réel!$B$72</f>
        <v>44</v>
      </c>
      <c r="C33" s="37">
        <f>réel!$C$72</f>
        <v>44501</v>
      </c>
      <c r="D33" s="42"/>
      <c r="E33" s="37">
        <f>réel!$E$72</f>
        <v>44502</v>
      </c>
      <c r="F33" s="42"/>
      <c r="G33" s="37">
        <f>réel!$G$72</f>
        <v>44503</v>
      </c>
      <c r="H33" s="43"/>
      <c r="I33" s="37">
        <f>réel!$I$72</f>
        <v>44504</v>
      </c>
      <c r="J33" s="38"/>
      <c r="K33" s="37">
        <f>réel!$K$72</f>
        <v>44505</v>
      </c>
      <c r="L33" s="38"/>
      <c r="M33" s="37">
        <f>réel!$M$72</f>
        <v>44506</v>
      </c>
      <c r="N33" s="38"/>
      <c r="O33" s="37">
        <f>réel!$O$72</f>
        <v>44507</v>
      </c>
      <c r="P33" s="38"/>
    </row>
    <row r="34" spans="1:16" x14ac:dyDescent="0.25">
      <c r="A34" s="50"/>
      <c r="B34" s="44" t="s">
        <v>0</v>
      </c>
      <c r="C34" s="16">
        <f>réel!$C73</f>
        <v>8.75</v>
      </c>
      <c r="D34" s="11">
        <f>réel!$D73</f>
        <v>12</v>
      </c>
      <c r="E34" s="10">
        <f>réel!$E73</f>
        <v>8.75</v>
      </c>
      <c r="F34" s="17">
        <f>réel!$F73</f>
        <v>13</v>
      </c>
      <c r="G34" s="10">
        <f>réel!$G73</f>
        <v>0</v>
      </c>
      <c r="H34" s="11">
        <f>réel!$H73</f>
        <v>0</v>
      </c>
      <c r="I34" s="10">
        <f>réel!$I73</f>
        <v>0</v>
      </c>
      <c r="J34" s="11">
        <f>réel!$J73</f>
        <v>0</v>
      </c>
      <c r="K34" s="10">
        <f>réel!$K73</f>
        <v>8.75</v>
      </c>
      <c r="L34" s="11">
        <f>réel!$L73</f>
        <v>12</v>
      </c>
      <c r="M34" s="10">
        <f>réel!$M73</f>
        <v>0</v>
      </c>
      <c r="N34" s="11">
        <f>réel!$N73</f>
        <v>0</v>
      </c>
      <c r="O34" s="10">
        <f>réel!$O73</f>
        <v>0</v>
      </c>
      <c r="P34" s="11">
        <f>réel!$P73</f>
        <v>0</v>
      </c>
    </row>
    <row r="35" spans="1:16" x14ac:dyDescent="0.25">
      <c r="A35" s="51"/>
      <c r="B35" s="45" t="s">
        <v>1</v>
      </c>
      <c r="C35" s="40">
        <f>réel!$C74</f>
        <v>14</v>
      </c>
      <c r="D35" s="41">
        <f>réel!$D74</f>
        <v>19</v>
      </c>
      <c r="E35" s="40">
        <f>réel!$E74</f>
        <v>14.5</v>
      </c>
      <c r="F35" s="58">
        <f>réel!$F74</f>
        <v>20</v>
      </c>
      <c r="G35" s="40">
        <f>réel!$G74</f>
        <v>14</v>
      </c>
      <c r="H35" s="41">
        <f>réel!$H74</f>
        <v>19</v>
      </c>
      <c r="I35" s="40">
        <f>réel!$I74</f>
        <v>14</v>
      </c>
      <c r="J35" s="41">
        <f>réel!$J74</f>
        <v>19</v>
      </c>
      <c r="K35" s="40">
        <f>réel!$K74</f>
        <v>14</v>
      </c>
      <c r="L35" s="41">
        <f>réel!$L74</f>
        <v>19.75</v>
      </c>
      <c r="M35" s="40">
        <f>réel!$M74</f>
        <v>0</v>
      </c>
      <c r="N35" s="41">
        <f>réel!$N74</f>
        <v>0</v>
      </c>
      <c r="O35" s="40">
        <f>réel!$O74</f>
        <v>0</v>
      </c>
      <c r="P35" s="41">
        <f>réel!$P74</f>
        <v>0</v>
      </c>
    </row>
    <row r="36" spans="1:16" ht="13.8" thickBot="1" x14ac:dyDescent="0.3">
      <c r="A36" s="52"/>
      <c r="B36" s="46">
        <f>SUM(C36:P36)</f>
        <v>37</v>
      </c>
      <c r="C36" s="36">
        <f>D35-C35+D34-C34</f>
        <v>8.25</v>
      </c>
      <c r="D36" s="21"/>
      <c r="E36" s="36">
        <f>F35-E35+F34-E34</f>
        <v>9.75</v>
      </c>
      <c r="F36" s="47"/>
      <c r="G36" s="36">
        <f>H35-G35+H34-G34</f>
        <v>5</v>
      </c>
      <c r="H36" s="21"/>
      <c r="I36" s="36">
        <f>J35-I35+J34-I34</f>
        <v>5</v>
      </c>
      <c r="J36" s="21"/>
      <c r="K36" s="36">
        <f>L35-K35+L34-K34</f>
        <v>9</v>
      </c>
      <c r="L36" s="21"/>
      <c r="M36" s="36">
        <f>N35-M35+N34-M34</f>
        <v>0</v>
      </c>
      <c r="N36" s="21"/>
      <c r="O36" s="36">
        <f>P35-O35+P34-O34</f>
        <v>0</v>
      </c>
      <c r="P36" s="21"/>
    </row>
  </sheetData>
  <sheetProtection sheet="1" objects="1" scenarios="1"/>
  <phoneticPr fontId="0" type="noConversion"/>
  <pageMargins left="0.39370078740157483" right="0.39370078740157483" top="0.39370078740157483" bottom="0.59055118110236227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6">
    <tabColor rgb="FFFFFF00"/>
  </sheetPr>
  <dimension ref="A2:P36"/>
  <sheetViews>
    <sheetView topLeftCell="A16" workbookViewId="0">
      <selection activeCell="R43" sqref="R43"/>
    </sheetView>
  </sheetViews>
  <sheetFormatPr baseColWidth="10" defaultRowHeight="13.2" x14ac:dyDescent="0.25"/>
  <cols>
    <col min="1" max="1" width="15.44140625" bestFit="1" customWidth="1"/>
    <col min="3" max="3" width="7.33203125" bestFit="1" customWidth="1"/>
    <col min="4" max="4" width="5.88671875" customWidth="1"/>
    <col min="5" max="5" width="7.33203125" bestFit="1" customWidth="1"/>
    <col min="6" max="6" width="5.5546875" bestFit="1" customWidth="1"/>
    <col min="7" max="7" width="7.33203125" bestFit="1" customWidth="1"/>
    <col min="8" max="8" width="6.5546875" customWidth="1"/>
    <col min="9" max="9" width="7.33203125" bestFit="1" customWidth="1"/>
    <col min="10" max="10" width="5.5546875" bestFit="1" customWidth="1"/>
    <col min="11" max="11" width="7.33203125" bestFit="1" customWidth="1"/>
    <col min="12" max="12" width="5.5546875" bestFit="1" customWidth="1"/>
    <col min="13" max="13" width="7.33203125" bestFit="1" customWidth="1"/>
    <col min="14" max="14" width="5.5546875" bestFit="1" customWidth="1"/>
    <col min="15" max="15" width="7.44140625" customWidth="1"/>
    <col min="16" max="16" width="6.88671875" customWidth="1"/>
  </cols>
  <sheetData>
    <row r="2" spans="1:16" ht="15.6" x14ac:dyDescent="0.3">
      <c r="A2" s="32">
        <f>réel!$B$2</f>
        <v>2021</v>
      </c>
      <c r="B2" s="32">
        <f>réel!$D$2</f>
        <v>10</v>
      </c>
      <c r="E2" s="53" t="str">
        <f>type!A6</f>
        <v>b</v>
      </c>
    </row>
    <row r="3" spans="1:16" ht="13.8" thickBot="1" x14ac:dyDescent="0.3">
      <c r="A3" s="1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6" ht="13.8" thickBot="1" x14ac:dyDescent="0.3">
      <c r="A4" s="57" t="s">
        <v>10</v>
      </c>
      <c r="B4" s="48">
        <f>réel!$B$12</f>
        <v>39</v>
      </c>
      <c r="C4" s="37">
        <f>réel!$C$12</f>
        <v>44466</v>
      </c>
      <c r="D4" s="42"/>
      <c r="E4" s="37">
        <f>réel!$E$12</f>
        <v>44467</v>
      </c>
      <c r="F4" s="42"/>
      <c r="G4" s="37">
        <f>réel!$G$12</f>
        <v>44468</v>
      </c>
      <c r="H4" s="43"/>
      <c r="I4" s="37">
        <f>réel!$I$12</f>
        <v>44469</v>
      </c>
      <c r="J4" s="38"/>
      <c r="K4" s="37">
        <f>réel!$K$12</f>
        <v>44470</v>
      </c>
      <c r="L4" s="38"/>
      <c r="M4" s="37">
        <f>réel!$M$12</f>
        <v>44471</v>
      </c>
      <c r="N4" s="38"/>
      <c r="O4" s="37">
        <f>réel!$O$12</f>
        <v>44472</v>
      </c>
      <c r="P4" s="38"/>
    </row>
    <row r="5" spans="1:16" x14ac:dyDescent="0.25">
      <c r="A5" s="50"/>
      <c r="B5" s="44" t="s">
        <v>0</v>
      </c>
      <c r="C5" s="16">
        <f>réel!$C16</f>
        <v>8.75</v>
      </c>
      <c r="D5" s="11">
        <f>réel!$D16</f>
        <v>12</v>
      </c>
      <c r="E5" s="10">
        <f>réel!$E16</f>
        <v>0</v>
      </c>
      <c r="F5" s="17">
        <f>réel!$F16</f>
        <v>0</v>
      </c>
      <c r="G5" s="10">
        <f>réel!$G16</f>
        <v>8.75</v>
      </c>
      <c r="H5" s="11">
        <f>réel!$H16</f>
        <v>13</v>
      </c>
      <c r="I5" s="10">
        <f>réel!$I16</f>
        <v>0</v>
      </c>
      <c r="J5" s="11">
        <f>réel!$J16</f>
        <v>0</v>
      </c>
      <c r="K5" s="10">
        <f>réel!$K16</f>
        <v>8.75</v>
      </c>
      <c r="L5" s="11">
        <f>réel!$L16</f>
        <v>12</v>
      </c>
      <c r="M5" s="10">
        <f>réel!$M16</f>
        <v>0</v>
      </c>
      <c r="N5" s="11">
        <f>réel!$N16</f>
        <v>0</v>
      </c>
      <c r="O5" s="10">
        <f>réel!$O16</f>
        <v>0</v>
      </c>
      <c r="P5" s="11">
        <f>réel!$P16</f>
        <v>0</v>
      </c>
    </row>
    <row r="6" spans="1:16" x14ac:dyDescent="0.25">
      <c r="A6" s="51"/>
      <c r="B6" s="45" t="s">
        <v>1</v>
      </c>
      <c r="C6" s="40">
        <f>réel!$C17</f>
        <v>14</v>
      </c>
      <c r="D6" s="41">
        <f>réel!$D17</f>
        <v>19</v>
      </c>
      <c r="E6" s="40">
        <f>réel!$E17</f>
        <v>14</v>
      </c>
      <c r="F6" s="58">
        <f>réel!$F17</f>
        <v>20</v>
      </c>
      <c r="G6" s="40">
        <f>réel!$G17</f>
        <v>14.5</v>
      </c>
      <c r="H6" s="41">
        <f>réel!$H17</f>
        <v>19</v>
      </c>
      <c r="I6" s="40">
        <f>réel!$I17</f>
        <v>14</v>
      </c>
      <c r="J6" s="41">
        <f>réel!$J17</f>
        <v>19</v>
      </c>
      <c r="K6" s="40">
        <f>réel!$K17</f>
        <v>14</v>
      </c>
      <c r="L6" s="41">
        <f>réel!$L17</f>
        <v>19.75</v>
      </c>
      <c r="M6" s="40">
        <f>réel!$M17</f>
        <v>0</v>
      </c>
      <c r="N6" s="41">
        <f>réel!$N17</f>
        <v>0</v>
      </c>
      <c r="O6" s="40">
        <f>réel!$O17</f>
        <v>0</v>
      </c>
      <c r="P6" s="41">
        <f>réel!$P17</f>
        <v>0</v>
      </c>
    </row>
    <row r="7" spans="1:16" ht="13.8" thickBot="1" x14ac:dyDescent="0.3">
      <c r="A7" s="52"/>
      <c r="B7" s="46">
        <f>SUM(C7:P7)</f>
        <v>37</v>
      </c>
      <c r="C7" s="36">
        <f>D6-C6+D5-C5</f>
        <v>8.25</v>
      </c>
      <c r="D7" s="21"/>
      <c r="E7" s="36">
        <f>F6-E6+F5-E5</f>
        <v>6</v>
      </c>
      <c r="F7" s="47"/>
      <c r="G7" s="36">
        <f>H6-G6+H5-G5</f>
        <v>8.75</v>
      </c>
      <c r="H7" s="21"/>
      <c r="I7" s="36">
        <f>J6-I6+J5-I5</f>
        <v>5</v>
      </c>
      <c r="J7" s="21"/>
      <c r="K7" s="36">
        <f>L6-K6+L5-K5</f>
        <v>9</v>
      </c>
      <c r="L7" s="21"/>
      <c r="M7" s="36">
        <f>N6-M6+N5-M5</f>
        <v>0</v>
      </c>
      <c r="N7" s="21"/>
      <c r="O7" s="36">
        <f>P6-O6+P5-O5</f>
        <v>0</v>
      </c>
      <c r="P7" s="21"/>
    </row>
    <row r="8" spans="1:16" x14ac:dyDescent="0.25">
      <c r="A8" s="1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6" ht="13.8" thickBot="1" x14ac:dyDescent="0.3">
      <c r="A9" s="1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6" ht="13.8" thickBot="1" x14ac:dyDescent="0.3">
      <c r="A10" s="57" t="s">
        <v>10</v>
      </c>
      <c r="B10" s="48">
        <f>réel!$B$24</f>
        <v>40</v>
      </c>
      <c r="C10" s="37">
        <f>réel!$C$24</f>
        <v>44473</v>
      </c>
      <c r="D10" s="42"/>
      <c r="E10" s="37">
        <f>réel!$E$24</f>
        <v>44474</v>
      </c>
      <c r="F10" s="42"/>
      <c r="G10" s="37">
        <f>réel!$G$24</f>
        <v>44475</v>
      </c>
      <c r="H10" s="43"/>
      <c r="I10" s="37">
        <f>réel!$I$24</f>
        <v>44476</v>
      </c>
      <c r="J10" s="38"/>
      <c r="K10" s="37">
        <f>réel!$K$24</f>
        <v>44477</v>
      </c>
      <c r="L10" s="38"/>
      <c r="M10" s="37">
        <f>réel!$M$24</f>
        <v>44478</v>
      </c>
      <c r="N10" s="38"/>
      <c r="O10" s="37">
        <f>réel!$O$24</f>
        <v>44479</v>
      </c>
      <c r="P10" s="38"/>
    </row>
    <row r="11" spans="1:16" x14ac:dyDescent="0.25">
      <c r="A11" s="50"/>
      <c r="B11" s="44" t="s">
        <v>0</v>
      </c>
      <c r="C11" s="16">
        <f>réel!$C28</f>
        <v>8.75</v>
      </c>
      <c r="D11" s="11">
        <f>réel!$D28</f>
        <v>13</v>
      </c>
      <c r="E11" s="10">
        <f>réel!$E28</f>
        <v>0</v>
      </c>
      <c r="F11" s="17">
        <f>réel!$F28</f>
        <v>0</v>
      </c>
      <c r="G11" s="10">
        <f>réel!$G28</f>
        <v>8.75</v>
      </c>
      <c r="H11" s="11">
        <f>réel!$H28</f>
        <v>13</v>
      </c>
      <c r="I11" s="10">
        <f>réel!$I28</f>
        <v>0</v>
      </c>
      <c r="J11" s="11">
        <f>réel!$J28</f>
        <v>0</v>
      </c>
      <c r="K11" s="10">
        <f>réel!$K28</f>
        <v>8.75</v>
      </c>
      <c r="L11" s="11">
        <f>réel!$L28</f>
        <v>13</v>
      </c>
      <c r="M11" s="10">
        <f>réel!$M28</f>
        <v>0</v>
      </c>
      <c r="N11" s="11">
        <f>réel!$N28</f>
        <v>0</v>
      </c>
      <c r="O11" s="10">
        <f>réel!$O28</f>
        <v>0</v>
      </c>
      <c r="P11" s="11">
        <f>réel!$P28</f>
        <v>0</v>
      </c>
    </row>
    <row r="12" spans="1:16" x14ac:dyDescent="0.25">
      <c r="A12" s="51"/>
      <c r="B12" s="45" t="s">
        <v>1</v>
      </c>
      <c r="C12" s="40">
        <f>réel!$C29</f>
        <v>14.5</v>
      </c>
      <c r="D12" s="41">
        <f>réel!$D29</f>
        <v>20</v>
      </c>
      <c r="E12" s="40">
        <f>réel!$E29</f>
        <v>14</v>
      </c>
      <c r="F12" s="58">
        <f>réel!$F29</f>
        <v>19</v>
      </c>
      <c r="G12" s="40">
        <f>réel!$G29</f>
        <v>14.5</v>
      </c>
      <c r="H12" s="41">
        <f>réel!$H29</f>
        <v>20</v>
      </c>
      <c r="I12" s="40">
        <f>réel!$I29</f>
        <v>14</v>
      </c>
      <c r="J12" s="41">
        <f>réel!$J29</f>
        <v>20</v>
      </c>
      <c r="K12" s="40">
        <f>réel!$K29</f>
        <v>0</v>
      </c>
      <c r="L12" s="41">
        <f>réel!$L29</f>
        <v>0</v>
      </c>
      <c r="M12" s="40">
        <f>réel!$M29</f>
        <v>0</v>
      </c>
      <c r="N12" s="41">
        <f>réel!$N29</f>
        <v>0</v>
      </c>
      <c r="O12" s="40">
        <f>réel!$O29</f>
        <v>0</v>
      </c>
      <c r="P12" s="41">
        <f>réel!$P29</f>
        <v>0</v>
      </c>
    </row>
    <row r="13" spans="1:16" ht="13.8" thickBot="1" x14ac:dyDescent="0.3">
      <c r="A13" s="52"/>
      <c r="B13" s="46">
        <f>SUM(C13:P13)</f>
        <v>34.75</v>
      </c>
      <c r="C13" s="36">
        <f>D12-C12+D11-C11</f>
        <v>9.75</v>
      </c>
      <c r="D13" s="21"/>
      <c r="E13" s="36">
        <f>F12-E12+F11-E11</f>
        <v>5</v>
      </c>
      <c r="F13" s="47"/>
      <c r="G13" s="36">
        <f>H12-G12+H11-G11</f>
        <v>9.75</v>
      </c>
      <c r="H13" s="21"/>
      <c r="I13" s="36">
        <f>J12-I12+J11-I11</f>
        <v>6</v>
      </c>
      <c r="J13" s="21"/>
      <c r="K13" s="36">
        <f>L12-K12+L11-K11</f>
        <v>4.25</v>
      </c>
      <c r="L13" s="21"/>
      <c r="M13" s="36">
        <f>N12-M12+N11-M11</f>
        <v>0</v>
      </c>
      <c r="N13" s="21"/>
      <c r="O13" s="36">
        <f>P12-O12+P11-O11</f>
        <v>0</v>
      </c>
      <c r="P13" s="21"/>
    </row>
    <row r="14" spans="1:16" x14ac:dyDescent="0.25">
      <c r="A14" s="1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6" ht="13.8" thickBot="1" x14ac:dyDescent="0.3">
      <c r="A15" s="1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6" ht="13.8" thickBot="1" x14ac:dyDescent="0.3">
      <c r="A16" s="57" t="s">
        <v>10</v>
      </c>
      <c r="B16" s="48">
        <f>réel!$B$36</f>
        <v>41</v>
      </c>
      <c r="C16" s="37">
        <f>réel!$C$36</f>
        <v>44480</v>
      </c>
      <c r="D16" s="42"/>
      <c r="E16" s="37">
        <f>réel!$E$36</f>
        <v>44481</v>
      </c>
      <c r="F16" s="42"/>
      <c r="G16" s="37">
        <f>réel!$G$36</f>
        <v>44482</v>
      </c>
      <c r="H16" s="43"/>
      <c r="I16" s="37">
        <f>réel!$I$36</f>
        <v>44483</v>
      </c>
      <c r="J16" s="38"/>
      <c r="K16" s="37">
        <f>réel!$K$36</f>
        <v>44484</v>
      </c>
      <c r="L16" s="38"/>
      <c r="M16" s="37">
        <f>réel!$M$36</f>
        <v>44485</v>
      </c>
      <c r="N16" s="38"/>
      <c r="O16" s="37">
        <f>réel!$O$36</f>
        <v>44486</v>
      </c>
      <c r="P16" s="38"/>
    </row>
    <row r="17" spans="1:16" x14ac:dyDescent="0.25">
      <c r="A17" s="50"/>
      <c r="B17" s="44" t="s">
        <v>0</v>
      </c>
      <c r="C17" s="16">
        <f>réel!$C40</f>
        <v>8.75</v>
      </c>
      <c r="D17" s="11">
        <f>réel!$D40</f>
        <v>12</v>
      </c>
      <c r="E17" s="10">
        <f>réel!$E40</f>
        <v>8.75</v>
      </c>
      <c r="F17" s="17">
        <f>réel!$F40</f>
        <v>12</v>
      </c>
      <c r="G17" s="10">
        <f>réel!$G40</f>
        <v>8.75</v>
      </c>
      <c r="H17" s="11">
        <f>réel!$H40</f>
        <v>13</v>
      </c>
      <c r="I17" s="10">
        <f>réel!$I40</f>
        <v>0</v>
      </c>
      <c r="J17" s="11">
        <f>réel!$J40</f>
        <v>0</v>
      </c>
      <c r="K17" s="10">
        <f>réel!$K40</f>
        <v>8.75</v>
      </c>
      <c r="L17" s="11">
        <f>réel!$L40</f>
        <v>12</v>
      </c>
      <c r="M17" s="10">
        <f>réel!$M40</f>
        <v>0</v>
      </c>
      <c r="N17" s="11">
        <f>réel!$N40</f>
        <v>0</v>
      </c>
      <c r="O17" s="10">
        <f>réel!$O40</f>
        <v>0</v>
      </c>
      <c r="P17" s="11">
        <f>réel!$P40</f>
        <v>0</v>
      </c>
    </row>
    <row r="18" spans="1:16" x14ac:dyDescent="0.25">
      <c r="A18" s="51"/>
      <c r="B18" s="45" t="s">
        <v>1</v>
      </c>
      <c r="C18" s="40">
        <f>réel!$C41</f>
        <v>14</v>
      </c>
      <c r="D18" s="41">
        <f>réel!$D41</f>
        <v>19</v>
      </c>
      <c r="E18" s="40">
        <f>réel!$E41</f>
        <v>14</v>
      </c>
      <c r="F18" s="58">
        <f>réel!$F41</f>
        <v>20</v>
      </c>
      <c r="G18" s="40">
        <f>réel!$G41</f>
        <v>14.5</v>
      </c>
      <c r="H18" s="41">
        <f>réel!$H41</f>
        <v>19</v>
      </c>
      <c r="I18" s="40">
        <f>réel!$I41</f>
        <v>14</v>
      </c>
      <c r="J18" s="41">
        <f>réel!$J41</f>
        <v>19</v>
      </c>
      <c r="K18" s="40">
        <f>réel!$K41</f>
        <v>14</v>
      </c>
      <c r="L18" s="41">
        <f>réel!$L41</f>
        <v>19.75</v>
      </c>
      <c r="M18" s="40">
        <f>réel!$M41</f>
        <v>0</v>
      </c>
      <c r="N18" s="41">
        <f>réel!$N41</f>
        <v>0</v>
      </c>
      <c r="O18" s="40">
        <f>réel!$O41</f>
        <v>0</v>
      </c>
      <c r="P18" s="41">
        <f>réel!$P41</f>
        <v>0</v>
      </c>
    </row>
    <row r="19" spans="1:16" ht="13.8" thickBot="1" x14ac:dyDescent="0.3">
      <c r="A19" s="52"/>
      <c r="B19" s="46">
        <f>SUM(C19:P19)</f>
        <v>40.25</v>
      </c>
      <c r="C19" s="36">
        <f>D18-C18+D17-C17</f>
        <v>8.25</v>
      </c>
      <c r="D19" s="21"/>
      <c r="E19" s="36">
        <f>F18-E18+F17-E17</f>
        <v>9.25</v>
      </c>
      <c r="F19" s="47"/>
      <c r="G19" s="36">
        <f>H18-G18+H17-G17</f>
        <v>8.75</v>
      </c>
      <c r="H19" s="21"/>
      <c r="I19" s="36">
        <f>J18-I18+J17-I17</f>
        <v>5</v>
      </c>
      <c r="J19" s="21"/>
      <c r="K19" s="36">
        <f>L18-K18+L17-K17</f>
        <v>9</v>
      </c>
      <c r="L19" s="21"/>
      <c r="M19" s="36">
        <f>N18-M18+N17-M17</f>
        <v>0</v>
      </c>
      <c r="N19" s="21"/>
      <c r="O19" s="36">
        <f>P18-O18+P17-O17</f>
        <v>0</v>
      </c>
      <c r="P19" s="21"/>
    </row>
    <row r="20" spans="1:16" x14ac:dyDescent="0.25">
      <c r="A20" s="19"/>
    </row>
    <row r="21" spans="1:16" ht="13.8" thickBot="1" x14ac:dyDescent="0.3">
      <c r="A21" s="19"/>
    </row>
    <row r="22" spans="1:16" ht="13.8" thickBot="1" x14ac:dyDescent="0.3">
      <c r="A22" s="57" t="s">
        <v>10</v>
      </c>
      <c r="B22" s="48">
        <f>réel!$B$48</f>
        <v>42</v>
      </c>
      <c r="C22" s="37">
        <f>réel!$C$48</f>
        <v>44487</v>
      </c>
      <c r="D22" s="42"/>
      <c r="E22" s="37">
        <f>réel!$E$48</f>
        <v>44488</v>
      </c>
      <c r="F22" s="42"/>
      <c r="G22" s="37">
        <f>réel!$G$48</f>
        <v>44489</v>
      </c>
      <c r="H22" s="43"/>
      <c r="I22" s="37">
        <f>réel!$I$48</f>
        <v>44490</v>
      </c>
      <c r="J22" s="38"/>
      <c r="K22" s="37">
        <f>réel!$K$48</f>
        <v>44491</v>
      </c>
      <c r="L22" s="38"/>
      <c r="M22" s="37">
        <f>réel!$M$48</f>
        <v>44492</v>
      </c>
      <c r="N22" s="38"/>
      <c r="O22" s="37">
        <f>réel!$O$48</f>
        <v>44493</v>
      </c>
      <c r="P22" s="38"/>
    </row>
    <row r="23" spans="1:16" x14ac:dyDescent="0.25">
      <c r="A23" s="50"/>
      <c r="B23" s="44" t="s">
        <v>0</v>
      </c>
      <c r="C23" s="16">
        <f>réel!$C52</f>
        <v>8.75</v>
      </c>
      <c r="D23" s="11">
        <f>réel!$D52</f>
        <v>13</v>
      </c>
      <c r="E23" s="10">
        <f>réel!$E52</f>
        <v>0</v>
      </c>
      <c r="F23" s="17">
        <f>réel!$F52</f>
        <v>0</v>
      </c>
      <c r="G23" s="10">
        <f>réel!$G52</f>
        <v>8.75</v>
      </c>
      <c r="H23" s="11">
        <f>réel!$H52</f>
        <v>13</v>
      </c>
      <c r="I23" s="10">
        <f>réel!$I52</f>
        <v>0</v>
      </c>
      <c r="J23" s="11">
        <f>réel!$J52</f>
        <v>0</v>
      </c>
      <c r="K23" s="10">
        <f>réel!$K52</f>
        <v>8.75</v>
      </c>
      <c r="L23" s="11">
        <f>réel!$L52</f>
        <v>13</v>
      </c>
      <c r="M23" s="10">
        <f>réel!$M52</f>
        <v>0</v>
      </c>
      <c r="N23" s="11">
        <f>réel!$N52</f>
        <v>0</v>
      </c>
      <c r="O23" s="10">
        <f>réel!$O52</f>
        <v>0</v>
      </c>
      <c r="P23" s="11">
        <f>réel!$P52</f>
        <v>0</v>
      </c>
    </row>
    <row r="24" spans="1:16" x14ac:dyDescent="0.25">
      <c r="A24" s="51"/>
      <c r="B24" s="45" t="s">
        <v>1</v>
      </c>
      <c r="C24" s="40">
        <f>réel!$C53</f>
        <v>14.5</v>
      </c>
      <c r="D24" s="41">
        <f>réel!$D53</f>
        <v>20</v>
      </c>
      <c r="E24" s="40">
        <f>réel!$E53</f>
        <v>14</v>
      </c>
      <c r="F24" s="58">
        <f>réel!$F53</f>
        <v>19</v>
      </c>
      <c r="G24" s="40">
        <f>réel!$G53</f>
        <v>14.5</v>
      </c>
      <c r="H24" s="41">
        <f>réel!$H53</f>
        <v>20</v>
      </c>
      <c r="I24" s="40">
        <f>réel!$I53</f>
        <v>14</v>
      </c>
      <c r="J24" s="41">
        <f>réel!$J53</f>
        <v>20</v>
      </c>
      <c r="K24" s="40">
        <f>réel!$K53</f>
        <v>0</v>
      </c>
      <c r="L24" s="41">
        <f>réel!$L53</f>
        <v>0</v>
      </c>
      <c r="M24" s="40">
        <f>réel!$M53</f>
        <v>0</v>
      </c>
      <c r="N24" s="41">
        <f>réel!$N53</f>
        <v>0</v>
      </c>
      <c r="O24" s="40">
        <f>réel!$O53</f>
        <v>0</v>
      </c>
      <c r="P24" s="41">
        <f>réel!$P53</f>
        <v>0</v>
      </c>
    </row>
    <row r="25" spans="1:16" ht="13.8" thickBot="1" x14ac:dyDescent="0.3">
      <c r="A25" s="52"/>
      <c r="B25" s="46">
        <f>SUM(C25:P25)</f>
        <v>34.75</v>
      </c>
      <c r="C25" s="36">
        <f>D24-C24+D23-C23</f>
        <v>9.75</v>
      </c>
      <c r="D25" s="21"/>
      <c r="E25" s="36">
        <f>F24-E24+F23-E23</f>
        <v>5</v>
      </c>
      <c r="F25" s="47"/>
      <c r="G25" s="36">
        <f>H24-G24+H23-G23</f>
        <v>9.75</v>
      </c>
      <c r="H25" s="21"/>
      <c r="I25" s="36">
        <f>J24-I24+J23-I23</f>
        <v>6</v>
      </c>
      <c r="J25" s="21"/>
      <c r="K25" s="36">
        <f>L24-K24+L23-K23</f>
        <v>4.25</v>
      </c>
      <c r="L25" s="21"/>
      <c r="M25" s="36">
        <f>N24-M24+N23-M23</f>
        <v>0</v>
      </c>
      <c r="N25" s="21"/>
      <c r="O25" s="36">
        <f>P24-O24+P23-O23</f>
        <v>0</v>
      </c>
      <c r="P25" s="21"/>
    </row>
    <row r="26" spans="1:16" x14ac:dyDescent="0.25">
      <c r="A26" s="19"/>
    </row>
    <row r="27" spans="1:16" ht="13.8" thickBot="1" x14ac:dyDescent="0.3">
      <c r="A27" s="19"/>
    </row>
    <row r="28" spans="1:16" ht="13.8" thickBot="1" x14ac:dyDescent="0.3">
      <c r="A28" s="57" t="s">
        <v>10</v>
      </c>
      <c r="B28" s="48">
        <f>réel!$B$60</f>
        <v>43</v>
      </c>
      <c r="C28" s="37">
        <f>réel!$C$60</f>
        <v>44494</v>
      </c>
      <c r="D28" s="42"/>
      <c r="E28" s="37">
        <f>réel!$E$60</f>
        <v>44495</v>
      </c>
      <c r="F28" s="42"/>
      <c r="G28" s="37">
        <f>réel!$G$60</f>
        <v>44496</v>
      </c>
      <c r="H28" s="43"/>
      <c r="I28" s="37">
        <f>réel!$I$60</f>
        <v>44497</v>
      </c>
      <c r="J28" s="38"/>
      <c r="K28" s="37">
        <f>réel!$K$60</f>
        <v>44498</v>
      </c>
      <c r="L28" s="38"/>
      <c r="M28" s="37">
        <f>réel!$M$60</f>
        <v>44499</v>
      </c>
      <c r="N28" s="38"/>
      <c r="O28" s="37">
        <f>réel!$O$60</f>
        <v>44500</v>
      </c>
      <c r="P28" s="38"/>
    </row>
    <row r="29" spans="1:16" x14ac:dyDescent="0.25">
      <c r="A29" s="50"/>
      <c r="B29" s="44" t="s">
        <v>0</v>
      </c>
      <c r="C29" s="16">
        <f>réel!$C64</f>
        <v>8.75</v>
      </c>
      <c r="D29" s="11">
        <f>réel!$D64</f>
        <v>12</v>
      </c>
      <c r="E29" s="10">
        <f>réel!$E64</f>
        <v>0</v>
      </c>
      <c r="F29" s="17">
        <f>réel!$F64</f>
        <v>0</v>
      </c>
      <c r="G29" s="10">
        <f>réel!$G64</f>
        <v>8.75</v>
      </c>
      <c r="H29" s="11">
        <f>réel!$H64</f>
        <v>13</v>
      </c>
      <c r="I29" s="10">
        <f>réel!$I64</f>
        <v>0</v>
      </c>
      <c r="J29" s="11">
        <f>réel!$J64</f>
        <v>0</v>
      </c>
      <c r="K29" s="10">
        <f>réel!$K64</f>
        <v>8.75</v>
      </c>
      <c r="L29" s="11">
        <f>réel!$L64</f>
        <v>12</v>
      </c>
      <c r="M29" s="10">
        <f>réel!$M64</f>
        <v>0</v>
      </c>
      <c r="N29" s="11">
        <f>réel!$N64</f>
        <v>0</v>
      </c>
      <c r="O29" s="10">
        <f>réel!$O64</f>
        <v>0</v>
      </c>
      <c r="P29" s="11">
        <f>réel!$P64</f>
        <v>0</v>
      </c>
    </row>
    <row r="30" spans="1:16" x14ac:dyDescent="0.25">
      <c r="A30" s="51"/>
      <c r="B30" s="45" t="s">
        <v>1</v>
      </c>
      <c r="C30" s="40">
        <f>réel!$C65</f>
        <v>14</v>
      </c>
      <c r="D30" s="41">
        <f>réel!$D65</f>
        <v>19</v>
      </c>
      <c r="E30" s="40">
        <f>réel!$E65</f>
        <v>14</v>
      </c>
      <c r="F30" s="58">
        <f>réel!$F65</f>
        <v>20</v>
      </c>
      <c r="G30" s="40">
        <f>réel!$G65</f>
        <v>14.5</v>
      </c>
      <c r="H30" s="41">
        <f>réel!$H65</f>
        <v>19</v>
      </c>
      <c r="I30" s="40">
        <f>réel!$I65</f>
        <v>14</v>
      </c>
      <c r="J30" s="41">
        <f>réel!$J65</f>
        <v>19</v>
      </c>
      <c r="K30" s="40">
        <f>réel!$K65</f>
        <v>14</v>
      </c>
      <c r="L30" s="41">
        <f>réel!$L65</f>
        <v>19.75</v>
      </c>
      <c r="M30" s="40">
        <f>réel!$M65</f>
        <v>0</v>
      </c>
      <c r="N30" s="41">
        <f>réel!$N65</f>
        <v>0</v>
      </c>
      <c r="O30" s="40">
        <f>réel!$O65</f>
        <v>0</v>
      </c>
      <c r="P30" s="41">
        <f>réel!$P65</f>
        <v>0</v>
      </c>
    </row>
    <row r="31" spans="1:16" ht="13.8" thickBot="1" x14ac:dyDescent="0.3">
      <c r="A31" s="52"/>
      <c r="B31" s="46">
        <f>SUM(C31:P31)</f>
        <v>37</v>
      </c>
      <c r="C31" s="36">
        <f>D30-C30+D29-C29</f>
        <v>8.25</v>
      </c>
      <c r="D31" s="21"/>
      <c r="E31" s="36">
        <f>F30-E30+F29-E29</f>
        <v>6</v>
      </c>
      <c r="F31" s="47"/>
      <c r="G31" s="36">
        <f>H30-G30+H29-G29</f>
        <v>8.75</v>
      </c>
      <c r="H31" s="21"/>
      <c r="I31" s="36">
        <f>J30-I30+J29-I29</f>
        <v>5</v>
      </c>
      <c r="J31" s="21"/>
      <c r="K31" s="36">
        <f>L30-K30+L29-K29</f>
        <v>9</v>
      </c>
      <c r="L31" s="21"/>
      <c r="M31" s="36">
        <f>N30-M30+N29-M29</f>
        <v>0</v>
      </c>
      <c r="N31" s="21"/>
      <c r="O31" s="36">
        <f>P30-O30+P29-O29</f>
        <v>0</v>
      </c>
      <c r="P31" s="21"/>
    </row>
    <row r="32" spans="1:16" ht="13.8" thickBot="1" x14ac:dyDescent="0.3">
      <c r="A32" s="19"/>
    </row>
    <row r="33" spans="1:16" ht="13.8" thickBot="1" x14ac:dyDescent="0.3">
      <c r="A33" s="57" t="s">
        <v>10</v>
      </c>
      <c r="B33" s="48">
        <f>réel!$B$72</f>
        <v>44</v>
      </c>
      <c r="C33" s="37">
        <f>réel!$C$72</f>
        <v>44501</v>
      </c>
      <c r="D33" s="42"/>
      <c r="E33" s="37">
        <f>réel!$E$72</f>
        <v>44502</v>
      </c>
      <c r="F33" s="42"/>
      <c r="G33" s="37">
        <f>réel!$G$72</f>
        <v>44503</v>
      </c>
      <c r="H33" s="43"/>
      <c r="I33" s="37">
        <f>réel!$I$72</f>
        <v>44504</v>
      </c>
      <c r="J33" s="38"/>
      <c r="K33" s="37">
        <f>réel!$K$72</f>
        <v>44505</v>
      </c>
      <c r="L33" s="38"/>
      <c r="M33" s="37">
        <f>réel!$M$72</f>
        <v>44506</v>
      </c>
      <c r="N33" s="38"/>
      <c r="O33" s="37">
        <f>réel!$O$72</f>
        <v>44507</v>
      </c>
      <c r="P33" s="38"/>
    </row>
    <row r="34" spans="1:16" x14ac:dyDescent="0.25">
      <c r="A34" s="50"/>
      <c r="B34" s="44" t="s">
        <v>0</v>
      </c>
      <c r="C34" s="16">
        <f>réel!$C76</f>
        <v>8.75</v>
      </c>
      <c r="D34" s="11">
        <f>réel!$D76</f>
        <v>13</v>
      </c>
      <c r="E34" s="10">
        <f>réel!$E76</f>
        <v>0</v>
      </c>
      <c r="F34" s="17">
        <f>réel!$F76</f>
        <v>0</v>
      </c>
      <c r="G34" s="10">
        <f>réel!$G76</f>
        <v>8.75</v>
      </c>
      <c r="H34" s="11">
        <f>réel!$H76</f>
        <v>13</v>
      </c>
      <c r="I34" s="10">
        <f>réel!$I76</f>
        <v>0</v>
      </c>
      <c r="J34" s="11">
        <f>réel!$J76</f>
        <v>0</v>
      </c>
      <c r="K34" s="10">
        <f>réel!$K76</f>
        <v>8.75</v>
      </c>
      <c r="L34" s="11">
        <f>réel!$L76</f>
        <v>13</v>
      </c>
      <c r="M34" s="10">
        <f>réel!$M76</f>
        <v>0</v>
      </c>
      <c r="N34" s="11">
        <f>réel!$N76</f>
        <v>0</v>
      </c>
      <c r="O34" s="10">
        <f>réel!$O76</f>
        <v>0</v>
      </c>
      <c r="P34" s="11">
        <f>réel!$P76</f>
        <v>0</v>
      </c>
    </row>
    <row r="35" spans="1:16" x14ac:dyDescent="0.25">
      <c r="A35" s="51"/>
      <c r="B35" s="45" t="s">
        <v>1</v>
      </c>
      <c r="C35" s="40">
        <f>réel!$C77</f>
        <v>14.5</v>
      </c>
      <c r="D35" s="41">
        <f>réel!$D77</f>
        <v>20</v>
      </c>
      <c r="E35" s="40">
        <f>réel!$E77</f>
        <v>14</v>
      </c>
      <c r="F35" s="58">
        <f>réel!$F77</f>
        <v>19</v>
      </c>
      <c r="G35" s="40">
        <f>réel!$G77</f>
        <v>14.5</v>
      </c>
      <c r="H35" s="41">
        <f>réel!$H77</f>
        <v>20</v>
      </c>
      <c r="I35" s="40">
        <f>réel!$I77</f>
        <v>14</v>
      </c>
      <c r="J35" s="41">
        <f>réel!$J77</f>
        <v>20</v>
      </c>
      <c r="K35" s="40">
        <f>réel!$K77</f>
        <v>0</v>
      </c>
      <c r="L35" s="41">
        <f>réel!$L77</f>
        <v>0</v>
      </c>
      <c r="M35" s="40">
        <f>réel!$M77</f>
        <v>0</v>
      </c>
      <c r="N35" s="41">
        <f>réel!$N77</f>
        <v>0</v>
      </c>
      <c r="O35" s="40">
        <f>réel!$O77</f>
        <v>0</v>
      </c>
      <c r="P35" s="41">
        <f>réel!$P77</f>
        <v>0</v>
      </c>
    </row>
    <row r="36" spans="1:16" ht="13.8" thickBot="1" x14ac:dyDescent="0.3">
      <c r="A36" s="52"/>
      <c r="B36" s="46">
        <f>SUM(C36:P36)</f>
        <v>34.75</v>
      </c>
      <c r="C36" s="36">
        <f>D35-C35+D34-C34</f>
        <v>9.75</v>
      </c>
      <c r="D36" s="21"/>
      <c r="E36" s="36">
        <f>F35-E35+F34-E34</f>
        <v>5</v>
      </c>
      <c r="F36" s="47"/>
      <c r="G36" s="36">
        <f>H35-G35+H34-G34</f>
        <v>9.75</v>
      </c>
      <c r="H36" s="21"/>
      <c r="I36" s="36">
        <f>J35-I35+J34-I34</f>
        <v>6</v>
      </c>
      <c r="J36" s="21"/>
      <c r="K36" s="36">
        <f>L35-K35+L34-K34</f>
        <v>4.25</v>
      </c>
      <c r="L36" s="21"/>
      <c r="M36" s="36">
        <f>N35-M35+N34-M34</f>
        <v>0</v>
      </c>
      <c r="N36" s="21"/>
      <c r="O36" s="36">
        <f>P35-O35+P34-O34</f>
        <v>0</v>
      </c>
      <c r="P36" s="21"/>
    </row>
  </sheetData>
  <sheetProtection sheet="1" objects="1" scenarios="1"/>
  <phoneticPr fontId="0" type="noConversion"/>
  <pageMargins left="0.39370078740157483" right="0.39370078740157483" top="0.39370078740157483" bottom="0.59055118110236227" header="0" footer="0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7">
    <tabColor rgb="FFFFFF00"/>
  </sheetPr>
  <dimension ref="A2:P36"/>
  <sheetViews>
    <sheetView topLeftCell="A16" workbookViewId="0">
      <selection activeCell="L40" sqref="L40"/>
    </sheetView>
  </sheetViews>
  <sheetFormatPr baseColWidth="10" defaultRowHeight="13.2" x14ac:dyDescent="0.25"/>
  <cols>
    <col min="1" max="1" width="15.44140625" bestFit="1" customWidth="1"/>
    <col min="3" max="3" width="7.33203125" bestFit="1" customWidth="1"/>
    <col min="4" max="4" width="5.88671875" customWidth="1"/>
    <col min="5" max="5" width="7.33203125" bestFit="1" customWidth="1"/>
    <col min="6" max="6" width="5.5546875" bestFit="1" customWidth="1"/>
    <col min="7" max="7" width="7.33203125" bestFit="1" customWidth="1"/>
    <col min="8" max="8" width="6.5546875" customWidth="1"/>
    <col min="9" max="9" width="7.33203125" bestFit="1" customWidth="1"/>
    <col min="10" max="10" width="5.5546875" bestFit="1" customWidth="1"/>
    <col min="11" max="11" width="7.33203125" bestFit="1" customWidth="1"/>
    <col min="12" max="12" width="5.5546875" bestFit="1" customWidth="1"/>
    <col min="13" max="13" width="7.33203125" bestFit="1" customWidth="1"/>
    <col min="14" max="14" width="5.5546875" bestFit="1" customWidth="1"/>
    <col min="15" max="15" width="6.6640625" bestFit="1" customWidth="1"/>
    <col min="16" max="16" width="5.5546875" bestFit="1" customWidth="1"/>
  </cols>
  <sheetData>
    <row r="2" spans="1:16" ht="15.6" x14ac:dyDescent="0.3">
      <c r="A2" s="32">
        <f>réel!$B$2</f>
        <v>2021</v>
      </c>
      <c r="B2" s="32">
        <f>réel!$D$2</f>
        <v>10</v>
      </c>
      <c r="E2" s="53" t="str">
        <f>type!A9</f>
        <v>y</v>
      </c>
    </row>
    <row r="3" spans="1:16" ht="13.8" thickBot="1" x14ac:dyDescent="0.3">
      <c r="A3" s="1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6" ht="13.8" thickBot="1" x14ac:dyDescent="0.3">
      <c r="A4" s="57" t="s">
        <v>10</v>
      </c>
      <c r="B4" s="48">
        <f>réel!$B$12</f>
        <v>39</v>
      </c>
      <c r="C4" s="37">
        <f>réel!$C$12</f>
        <v>44466</v>
      </c>
      <c r="D4" s="42"/>
      <c r="E4" s="37">
        <f>réel!$E$12</f>
        <v>44467</v>
      </c>
      <c r="F4" s="42"/>
      <c r="G4" s="37">
        <f>réel!$G$12</f>
        <v>44468</v>
      </c>
      <c r="H4" s="43"/>
      <c r="I4" s="37">
        <f>réel!$I$12</f>
        <v>44469</v>
      </c>
      <c r="J4" s="38"/>
      <c r="K4" s="37">
        <f>réel!$K$12</f>
        <v>44470</v>
      </c>
      <c r="L4" s="38"/>
      <c r="M4" s="37">
        <f>réel!$M$12</f>
        <v>44471</v>
      </c>
      <c r="N4" s="38"/>
      <c r="O4" s="37">
        <f>réel!$O$12</f>
        <v>44472</v>
      </c>
      <c r="P4" s="38"/>
    </row>
    <row r="5" spans="1:16" x14ac:dyDescent="0.25">
      <c r="A5" s="50"/>
      <c r="B5" s="44" t="s">
        <v>0</v>
      </c>
      <c r="C5" s="16">
        <f>réel!$C19</f>
        <v>0</v>
      </c>
      <c r="D5" s="11">
        <f>réel!$D19</f>
        <v>0</v>
      </c>
      <c r="E5" s="10">
        <f>réel!$E19</f>
        <v>0</v>
      </c>
      <c r="F5" s="17">
        <f>réel!$F19</f>
        <v>0</v>
      </c>
      <c r="G5" s="10">
        <f>réel!$G19</f>
        <v>0</v>
      </c>
      <c r="H5" s="11">
        <f>réel!$H19</f>
        <v>0</v>
      </c>
      <c r="I5" s="10">
        <f>réel!$I19</f>
        <v>0</v>
      </c>
      <c r="J5" s="11">
        <f>réel!$J19</f>
        <v>0</v>
      </c>
      <c r="K5" s="10">
        <f>réel!$K19</f>
        <v>0</v>
      </c>
      <c r="L5" s="11">
        <f>réel!$L19</f>
        <v>0</v>
      </c>
      <c r="M5" s="10">
        <f>réel!$M19</f>
        <v>0</v>
      </c>
      <c r="N5" s="11">
        <f>réel!$N19</f>
        <v>0</v>
      </c>
      <c r="O5" s="10">
        <f>réel!$O19</f>
        <v>0</v>
      </c>
      <c r="P5" s="11">
        <f>réel!$P19</f>
        <v>0</v>
      </c>
    </row>
    <row r="6" spans="1:16" x14ac:dyDescent="0.25">
      <c r="A6" s="51"/>
      <c r="B6" s="45" t="s">
        <v>1</v>
      </c>
      <c r="C6" s="40">
        <f>réel!$C20</f>
        <v>0</v>
      </c>
      <c r="D6" s="41">
        <f>réel!$D20</f>
        <v>0</v>
      </c>
      <c r="E6" s="40">
        <f>réel!$E20</f>
        <v>0</v>
      </c>
      <c r="F6" s="58">
        <f>réel!$F20</f>
        <v>0</v>
      </c>
      <c r="G6" s="40">
        <f>réel!$G20</f>
        <v>0</v>
      </c>
      <c r="H6" s="41">
        <f>réel!$H20</f>
        <v>0</v>
      </c>
      <c r="I6" s="40">
        <f>réel!$I20</f>
        <v>0</v>
      </c>
      <c r="J6" s="41">
        <f>réel!$J20</f>
        <v>0</v>
      </c>
      <c r="K6" s="40">
        <f>réel!$K20</f>
        <v>0</v>
      </c>
      <c r="L6" s="41">
        <f>réel!$L20</f>
        <v>0</v>
      </c>
      <c r="M6" s="40">
        <f>réel!$M20</f>
        <v>0</v>
      </c>
      <c r="N6" s="41">
        <f>réel!$N20</f>
        <v>0</v>
      </c>
      <c r="O6" s="40">
        <f>réel!$O20</f>
        <v>0</v>
      </c>
      <c r="P6" s="41">
        <f>réel!$P20</f>
        <v>0</v>
      </c>
    </row>
    <row r="7" spans="1:16" ht="13.8" thickBot="1" x14ac:dyDescent="0.3">
      <c r="A7" s="52"/>
      <c r="B7" s="46">
        <f>SUM(C7:P7)</f>
        <v>0</v>
      </c>
      <c r="C7" s="36">
        <f>D6-C6+D5-C5</f>
        <v>0</v>
      </c>
      <c r="D7" s="21"/>
      <c r="E7" s="36">
        <f>F6-E6+F5-E5</f>
        <v>0</v>
      </c>
      <c r="F7" s="47"/>
      <c r="G7" s="36">
        <f>H6-G6+H5-G5</f>
        <v>0</v>
      </c>
      <c r="H7" s="21"/>
      <c r="I7" s="36">
        <f>J6-I6+J5-I5</f>
        <v>0</v>
      </c>
      <c r="J7" s="21"/>
      <c r="K7" s="36">
        <f>L6-K6+L5-K5</f>
        <v>0</v>
      </c>
      <c r="L7" s="21"/>
      <c r="M7" s="36">
        <f>N6-M6+N5-M5</f>
        <v>0</v>
      </c>
      <c r="N7" s="21"/>
      <c r="O7" s="36">
        <f>P6-O6+P5-O5</f>
        <v>0</v>
      </c>
      <c r="P7" s="21"/>
    </row>
    <row r="8" spans="1:16" x14ac:dyDescent="0.25">
      <c r="A8" s="1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6" ht="13.8" thickBot="1" x14ac:dyDescent="0.3">
      <c r="A9" s="1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6" ht="13.8" thickBot="1" x14ac:dyDescent="0.3">
      <c r="A10" s="57" t="s">
        <v>10</v>
      </c>
      <c r="B10" s="48">
        <f>réel!$B$24</f>
        <v>40</v>
      </c>
      <c r="C10" s="37">
        <f>réel!$C$24</f>
        <v>44473</v>
      </c>
      <c r="D10" s="42"/>
      <c r="E10" s="37">
        <f>réel!$E$24</f>
        <v>44474</v>
      </c>
      <c r="F10" s="42"/>
      <c r="G10" s="37">
        <f>réel!$G$24</f>
        <v>44475</v>
      </c>
      <c r="H10" s="43"/>
      <c r="I10" s="37">
        <f>réel!$I$24</f>
        <v>44476</v>
      </c>
      <c r="J10" s="38"/>
      <c r="K10" s="37">
        <f>réel!$K$24</f>
        <v>44477</v>
      </c>
      <c r="L10" s="38"/>
      <c r="M10" s="37">
        <f>réel!$M$24</f>
        <v>44478</v>
      </c>
      <c r="N10" s="38"/>
      <c r="O10" s="37">
        <f>réel!$O$24</f>
        <v>44479</v>
      </c>
      <c r="P10" s="38"/>
    </row>
    <row r="11" spans="1:16" x14ac:dyDescent="0.25">
      <c r="A11" s="50"/>
      <c r="B11" s="44" t="s">
        <v>0</v>
      </c>
      <c r="C11" s="16">
        <f>réel!$C31</f>
        <v>0</v>
      </c>
      <c r="D11" s="11">
        <f>réel!$D31</f>
        <v>0</v>
      </c>
      <c r="E11" s="10">
        <f>réel!$E31</f>
        <v>0</v>
      </c>
      <c r="F11" s="17">
        <f>réel!$F31</f>
        <v>0</v>
      </c>
      <c r="G11" s="10">
        <f>réel!$G31</f>
        <v>0</v>
      </c>
      <c r="H11" s="11">
        <f>réel!$H31</f>
        <v>0</v>
      </c>
      <c r="I11" s="10">
        <f>réel!$I31</f>
        <v>0</v>
      </c>
      <c r="J11" s="11">
        <f>réel!$J31</f>
        <v>0</v>
      </c>
      <c r="K11" s="10">
        <f>réel!$K31</f>
        <v>0</v>
      </c>
      <c r="L11" s="11">
        <f>réel!$L31</f>
        <v>0</v>
      </c>
      <c r="M11" s="10">
        <f>réel!$M31</f>
        <v>0</v>
      </c>
      <c r="N11" s="11">
        <f>réel!$N31</f>
        <v>0</v>
      </c>
      <c r="O11" s="10">
        <f>réel!$O31</f>
        <v>0</v>
      </c>
      <c r="P11" s="11">
        <f>réel!$P31</f>
        <v>0</v>
      </c>
    </row>
    <row r="12" spans="1:16" x14ac:dyDescent="0.25">
      <c r="A12" s="51"/>
      <c r="B12" s="45" t="s">
        <v>1</v>
      </c>
      <c r="C12" s="40">
        <f>réel!$C32</f>
        <v>0</v>
      </c>
      <c r="D12" s="41">
        <f>réel!$D32</f>
        <v>0</v>
      </c>
      <c r="E12" s="40">
        <f>réel!$E32</f>
        <v>0</v>
      </c>
      <c r="F12" s="58">
        <f>réel!$F32</f>
        <v>0</v>
      </c>
      <c r="G12" s="40">
        <f>réel!$G32</f>
        <v>0</v>
      </c>
      <c r="H12" s="41">
        <f>réel!$H32</f>
        <v>0</v>
      </c>
      <c r="I12" s="40">
        <f>réel!$I32</f>
        <v>0</v>
      </c>
      <c r="J12" s="41">
        <f>réel!$J32</f>
        <v>0</v>
      </c>
      <c r="K12" s="40">
        <f>réel!$K32</f>
        <v>0</v>
      </c>
      <c r="L12" s="41">
        <f>réel!$L32</f>
        <v>0</v>
      </c>
      <c r="M12" s="40">
        <f>réel!$M32</f>
        <v>0</v>
      </c>
      <c r="N12" s="41">
        <f>réel!$N32</f>
        <v>0</v>
      </c>
      <c r="O12" s="40">
        <f>réel!$O32</f>
        <v>0</v>
      </c>
      <c r="P12" s="41">
        <f>réel!$P32</f>
        <v>0</v>
      </c>
    </row>
    <row r="13" spans="1:16" ht="13.8" thickBot="1" x14ac:dyDescent="0.3">
      <c r="A13" s="52"/>
      <c r="B13" s="46">
        <f>SUM(C13:P13)</f>
        <v>0</v>
      </c>
      <c r="C13" s="36">
        <f>D12-C12+D11-C11</f>
        <v>0</v>
      </c>
      <c r="D13" s="21"/>
      <c r="E13" s="36">
        <f>F12-E12+F11-E11</f>
        <v>0</v>
      </c>
      <c r="F13" s="47"/>
      <c r="G13" s="36">
        <f>H12-G12+H11-G11</f>
        <v>0</v>
      </c>
      <c r="H13" s="21"/>
      <c r="I13" s="36">
        <f>J12-I12+J11-I11</f>
        <v>0</v>
      </c>
      <c r="J13" s="21"/>
      <c r="K13" s="36">
        <f>L12-K12+L11-K11</f>
        <v>0</v>
      </c>
      <c r="L13" s="21"/>
      <c r="M13" s="36">
        <f>N12-M12+N11-M11</f>
        <v>0</v>
      </c>
      <c r="N13" s="21"/>
      <c r="O13" s="36">
        <f>P12-O12+P11-O11</f>
        <v>0</v>
      </c>
      <c r="P13" s="21"/>
    </row>
    <row r="14" spans="1:16" x14ac:dyDescent="0.25">
      <c r="A14" s="1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6" ht="13.8" thickBot="1" x14ac:dyDescent="0.3">
      <c r="A15" s="1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6" ht="13.8" thickBot="1" x14ac:dyDescent="0.3">
      <c r="A16" s="57" t="s">
        <v>10</v>
      </c>
      <c r="B16" s="48">
        <f>réel!$B$36</f>
        <v>41</v>
      </c>
      <c r="C16" s="37">
        <f>réel!$C$36</f>
        <v>44480</v>
      </c>
      <c r="D16" s="42"/>
      <c r="E16" s="37">
        <f>réel!$E$36</f>
        <v>44481</v>
      </c>
      <c r="F16" s="42"/>
      <c r="G16" s="37">
        <f>réel!$G$36</f>
        <v>44482</v>
      </c>
      <c r="H16" s="43"/>
      <c r="I16" s="37">
        <f>réel!$I$36</f>
        <v>44483</v>
      </c>
      <c r="J16" s="38"/>
      <c r="K16" s="37">
        <f>réel!$K$36</f>
        <v>44484</v>
      </c>
      <c r="L16" s="38"/>
      <c r="M16" s="37">
        <f>réel!$M$36</f>
        <v>44485</v>
      </c>
      <c r="N16" s="38"/>
      <c r="O16" s="37">
        <f>réel!$O$36</f>
        <v>44486</v>
      </c>
      <c r="P16" s="38"/>
    </row>
    <row r="17" spans="1:16" x14ac:dyDescent="0.25">
      <c r="A17" s="50"/>
      <c r="B17" s="44" t="s">
        <v>0</v>
      </c>
      <c r="C17" s="16">
        <f>réel!$C43</f>
        <v>0</v>
      </c>
      <c r="D17" s="11">
        <f>réel!$D43</f>
        <v>0</v>
      </c>
      <c r="E17" s="10">
        <f>réel!$E43</f>
        <v>0</v>
      </c>
      <c r="F17" s="17">
        <f>réel!$F43</f>
        <v>0</v>
      </c>
      <c r="G17" s="10">
        <f>réel!$G43</f>
        <v>0</v>
      </c>
      <c r="H17" s="11">
        <f>réel!$H43</f>
        <v>0</v>
      </c>
      <c r="I17" s="10">
        <f>réel!$I43</f>
        <v>0</v>
      </c>
      <c r="J17" s="11">
        <f>réel!$J43</f>
        <v>0</v>
      </c>
      <c r="K17" s="10">
        <f>réel!$K43</f>
        <v>0</v>
      </c>
      <c r="L17" s="11">
        <f>réel!$L43</f>
        <v>0</v>
      </c>
      <c r="M17" s="10">
        <f>réel!$M43</f>
        <v>0</v>
      </c>
      <c r="N17" s="11">
        <f>réel!$N43</f>
        <v>0</v>
      </c>
      <c r="O17" s="10">
        <f>réel!$O43</f>
        <v>0</v>
      </c>
      <c r="P17" s="11">
        <f>réel!$P43</f>
        <v>0</v>
      </c>
    </row>
    <row r="18" spans="1:16" x14ac:dyDescent="0.25">
      <c r="A18" s="51"/>
      <c r="B18" s="45" t="s">
        <v>1</v>
      </c>
      <c r="C18" s="40">
        <f>réel!$C44</f>
        <v>0</v>
      </c>
      <c r="D18" s="41">
        <f>réel!$D44</f>
        <v>0</v>
      </c>
      <c r="E18" s="40">
        <f>réel!$E44</f>
        <v>0</v>
      </c>
      <c r="F18" s="58">
        <f>réel!$F44</f>
        <v>0</v>
      </c>
      <c r="G18" s="40">
        <f>réel!$G44</f>
        <v>0</v>
      </c>
      <c r="H18" s="41">
        <f>réel!$H44</f>
        <v>0</v>
      </c>
      <c r="I18" s="40">
        <f>réel!$I44</f>
        <v>0</v>
      </c>
      <c r="J18" s="41">
        <f>réel!$J44</f>
        <v>0</v>
      </c>
      <c r="K18" s="40">
        <f>réel!$K44</f>
        <v>0</v>
      </c>
      <c r="L18" s="41">
        <f>réel!$L44</f>
        <v>0</v>
      </c>
      <c r="M18" s="40">
        <f>réel!$M44</f>
        <v>0</v>
      </c>
      <c r="N18" s="41">
        <f>réel!$N44</f>
        <v>0</v>
      </c>
      <c r="O18" s="40">
        <f>réel!$O44</f>
        <v>0</v>
      </c>
      <c r="P18" s="41">
        <f>réel!$P44</f>
        <v>0</v>
      </c>
    </row>
    <row r="19" spans="1:16" ht="13.8" thickBot="1" x14ac:dyDescent="0.3">
      <c r="A19" s="52"/>
      <c r="B19" s="46">
        <f>SUM(C19:P19)</f>
        <v>0</v>
      </c>
      <c r="C19" s="36">
        <f>D18-C18+D17-C17</f>
        <v>0</v>
      </c>
      <c r="D19" s="21"/>
      <c r="E19" s="36">
        <f>F18-E18+F17-E17</f>
        <v>0</v>
      </c>
      <c r="F19" s="47"/>
      <c r="G19" s="36">
        <f>H18-G18+H17-G17</f>
        <v>0</v>
      </c>
      <c r="H19" s="21"/>
      <c r="I19" s="36">
        <f>J18-I18+J17-I17</f>
        <v>0</v>
      </c>
      <c r="J19" s="21"/>
      <c r="K19" s="36">
        <f>L18-K18+L17-K17</f>
        <v>0</v>
      </c>
      <c r="L19" s="21"/>
      <c r="M19" s="36">
        <f>N18-M18+N17-M17</f>
        <v>0</v>
      </c>
      <c r="N19" s="21"/>
      <c r="O19" s="36">
        <f>P18-O18+P17-O17</f>
        <v>0</v>
      </c>
      <c r="P19" s="21"/>
    </row>
    <row r="20" spans="1:16" x14ac:dyDescent="0.25">
      <c r="A20" s="19"/>
    </row>
    <row r="21" spans="1:16" ht="13.8" thickBot="1" x14ac:dyDescent="0.3">
      <c r="A21" s="19"/>
    </row>
    <row r="22" spans="1:16" ht="13.8" thickBot="1" x14ac:dyDescent="0.3">
      <c r="A22" s="57" t="s">
        <v>10</v>
      </c>
      <c r="B22" s="48">
        <f>réel!$B$48</f>
        <v>42</v>
      </c>
      <c r="C22" s="37">
        <f>réel!$C$48</f>
        <v>44487</v>
      </c>
      <c r="D22" s="42"/>
      <c r="E22" s="37">
        <f>réel!$E$48</f>
        <v>44488</v>
      </c>
      <c r="F22" s="42"/>
      <c r="G22" s="37">
        <f>réel!$G$48</f>
        <v>44489</v>
      </c>
      <c r="H22" s="43"/>
      <c r="I22" s="37">
        <f>réel!$I$48</f>
        <v>44490</v>
      </c>
      <c r="J22" s="38"/>
      <c r="K22" s="37">
        <f>réel!$K$48</f>
        <v>44491</v>
      </c>
      <c r="L22" s="38"/>
      <c r="M22" s="37">
        <f>réel!$M$48</f>
        <v>44492</v>
      </c>
      <c r="N22" s="38"/>
      <c r="O22" s="37">
        <f>réel!$O$48</f>
        <v>44493</v>
      </c>
      <c r="P22" s="38"/>
    </row>
    <row r="23" spans="1:16" x14ac:dyDescent="0.25">
      <c r="A23" s="50"/>
      <c r="B23" s="44" t="s">
        <v>0</v>
      </c>
      <c r="C23" s="16">
        <f>réel!$C55</f>
        <v>0</v>
      </c>
      <c r="D23" s="11">
        <f>réel!$D55</f>
        <v>0</v>
      </c>
      <c r="E23" s="10">
        <f>réel!$E55</f>
        <v>0</v>
      </c>
      <c r="F23" s="17">
        <f>réel!$F55</f>
        <v>0</v>
      </c>
      <c r="G23" s="10">
        <f>réel!$G55</f>
        <v>0</v>
      </c>
      <c r="H23" s="11">
        <f>réel!$H55</f>
        <v>0</v>
      </c>
      <c r="I23" s="10">
        <f>réel!$I55</f>
        <v>0</v>
      </c>
      <c r="J23" s="11">
        <f>réel!$J55</f>
        <v>0</v>
      </c>
      <c r="K23" s="10">
        <f>réel!$K55</f>
        <v>0</v>
      </c>
      <c r="L23" s="11">
        <f>réel!$L55</f>
        <v>0</v>
      </c>
      <c r="M23" s="10">
        <f>réel!$M55</f>
        <v>0</v>
      </c>
      <c r="N23" s="11">
        <f>réel!$N55</f>
        <v>0</v>
      </c>
      <c r="O23" s="10">
        <f>réel!$O55</f>
        <v>0</v>
      </c>
      <c r="P23" s="11">
        <f>réel!$P55</f>
        <v>0</v>
      </c>
    </row>
    <row r="24" spans="1:16" x14ac:dyDescent="0.25">
      <c r="A24" s="51"/>
      <c r="B24" s="45" t="s">
        <v>1</v>
      </c>
      <c r="C24" s="40">
        <f>réel!$C56</f>
        <v>0</v>
      </c>
      <c r="D24" s="41">
        <f>réel!$D56</f>
        <v>0</v>
      </c>
      <c r="E24" s="40">
        <f>réel!$E56</f>
        <v>0</v>
      </c>
      <c r="F24" s="58">
        <f>réel!$F56</f>
        <v>0</v>
      </c>
      <c r="G24" s="40">
        <f>réel!$G56</f>
        <v>0</v>
      </c>
      <c r="H24" s="41">
        <f>réel!$H56</f>
        <v>0</v>
      </c>
      <c r="I24" s="40">
        <f>réel!$I56</f>
        <v>0</v>
      </c>
      <c r="J24" s="41">
        <f>réel!$J56</f>
        <v>0</v>
      </c>
      <c r="K24" s="40">
        <f>réel!$K56</f>
        <v>0</v>
      </c>
      <c r="L24" s="41">
        <f>réel!$L56</f>
        <v>0</v>
      </c>
      <c r="M24" s="40">
        <f>réel!$M56</f>
        <v>0</v>
      </c>
      <c r="N24" s="41">
        <f>réel!$N56</f>
        <v>0</v>
      </c>
      <c r="O24" s="40">
        <f>réel!$O56</f>
        <v>0</v>
      </c>
      <c r="P24" s="41">
        <f>réel!$P56</f>
        <v>0</v>
      </c>
    </row>
    <row r="25" spans="1:16" ht="13.8" thickBot="1" x14ac:dyDescent="0.3">
      <c r="A25" s="52"/>
      <c r="B25" s="46">
        <f>SUM(C25:P25)</f>
        <v>0</v>
      </c>
      <c r="C25" s="36">
        <f>D24-C24+D23-C23</f>
        <v>0</v>
      </c>
      <c r="D25" s="21"/>
      <c r="E25" s="36">
        <f>F24-E24+F23-E23</f>
        <v>0</v>
      </c>
      <c r="F25" s="47"/>
      <c r="G25" s="36">
        <f>H24-G24+H23-G23</f>
        <v>0</v>
      </c>
      <c r="H25" s="21"/>
      <c r="I25" s="36">
        <f>J24-I24+J23-I23</f>
        <v>0</v>
      </c>
      <c r="J25" s="21"/>
      <c r="K25" s="36">
        <f>L24-K24+L23-K23</f>
        <v>0</v>
      </c>
      <c r="L25" s="21"/>
      <c r="M25" s="36">
        <f>N24-M24+N23-M23</f>
        <v>0</v>
      </c>
      <c r="N25" s="21"/>
      <c r="O25" s="36">
        <f>P24-O24+P23-O23</f>
        <v>0</v>
      </c>
      <c r="P25" s="21"/>
    </row>
    <row r="26" spans="1:16" x14ac:dyDescent="0.25">
      <c r="A26" s="19"/>
    </row>
    <row r="27" spans="1:16" ht="13.8" thickBot="1" x14ac:dyDescent="0.3">
      <c r="A27" s="19"/>
    </row>
    <row r="28" spans="1:16" ht="13.8" thickBot="1" x14ac:dyDescent="0.3">
      <c r="A28" s="57" t="s">
        <v>10</v>
      </c>
      <c r="B28" s="48">
        <f>réel!$B$60</f>
        <v>43</v>
      </c>
      <c r="C28" s="37">
        <f>réel!$C$60</f>
        <v>44494</v>
      </c>
      <c r="D28" s="42"/>
      <c r="E28" s="37">
        <f>réel!$E$60</f>
        <v>44495</v>
      </c>
      <c r="F28" s="42"/>
      <c r="G28" s="37">
        <f>réel!$G$60</f>
        <v>44496</v>
      </c>
      <c r="H28" s="43"/>
      <c r="I28" s="37">
        <f>réel!$I$60</f>
        <v>44497</v>
      </c>
      <c r="J28" s="38"/>
      <c r="K28" s="37">
        <f>réel!$K$60</f>
        <v>44498</v>
      </c>
      <c r="L28" s="38"/>
      <c r="M28" s="37">
        <f>réel!$M$60</f>
        <v>44499</v>
      </c>
      <c r="N28" s="38"/>
      <c r="O28" s="37">
        <f>réel!$O$60</f>
        <v>44500</v>
      </c>
      <c r="P28" s="38"/>
    </row>
    <row r="29" spans="1:16" x14ac:dyDescent="0.25">
      <c r="A29" s="50"/>
      <c r="B29" s="44" t="s">
        <v>0</v>
      </c>
      <c r="C29" s="16">
        <f>réel!$C67</f>
        <v>0</v>
      </c>
      <c r="D29" s="11">
        <f>réel!$D67</f>
        <v>0</v>
      </c>
      <c r="E29" s="10">
        <f>réel!$E67</f>
        <v>0</v>
      </c>
      <c r="F29" s="17">
        <f>réel!$F67</f>
        <v>0</v>
      </c>
      <c r="G29" s="10">
        <f>réel!$G67</f>
        <v>0</v>
      </c>
      <c r="H29" s="11">
        <f>réel!$H67</f>
        <v>0</v>
      </c>
      <c r="I29" s="10">
        <f>réel!$I67</f>
        <v>0</v>
      </c>
      <c r="J29" s="11">
        <f>réel!$J67</f>
        <v>0</v>
      </c>
      <c r="K29" s="10">
        <f>réel!$K67</f>
        <v>0</v>
      </c>
      <c r="L29" s="11">
        <f>réel!$L67</f>
        <v>0</v>
      </c>
      <c r="M29" s="10">
        <f>réel!$M67</f>
        <v>0</v>
      </c>
      <c r="N29" s="11">
        <f>réel!$N67</f>
        <v>0</v>
      </c>
      <c r="O29" s="10">
        <f>réel!$O67</f>
        <v>0</v>
      </c>
      <c r="P29" s="11">
        <f>réel!$P67</f>
        <v>0</v>
      </c>
    </row>
    <row r="30" spans="1:16" x14ac:dyDescent="0.25">
      <c r="A30" s="51"/>
      <c r="B30" s="45" t="s">
        <v>1</v>
      </c>
      <c r="C30" s="40">
        <f>réel!$C68</f>
        <v>0</v>
      </c>
      <c r="D30" s="41">
        <f>réel!$D68</f>
        <v>0</v>
      </c>
      <c r="E30" s="40">
        <f>réel!$E68</f>
        <v>0</v>
      </c>
      <c r="F30" s="58">
        <f>réel!$F68</f>
        <v>0</v>
      </c>
      <c r="G30" s="40">
        <f>réel!$G68</f>
        <v>0</v>
      </c>
      <c r="H30" s="41">
        <f>réel!$H68</f>
        <v>0</v>
      </c>
      <c r="I30" s="40">
        <f>réel!$I68</f>
        <v>0</v>
      </c>
      <c r="J30" s="41">
        <f>réel!$J68</f>
        <v>0</v>
      </c>
      <c r="K30" s="40">
        <f>réel!$K68</f>
        <v>0</v>
      </c>
      <c r="L30" s="41">
        <f>réel!$L68</f>
        <v>0</v>
      </c>
      <c r="M30" s="40">
        <f>réel!$M68</f>
        <v>0</v>
      </c>
      <c r="N30" s="41">
        <f>réel!$N68</f>
        <v>0</v>
      </c>
      <c r="O30" s="40">
        <f>réel!$O68</f>
        <v>0</v>
      </c>
      <c r="P30" s="41">
        <f>réel!$P68</f>
        <v>0</v>
      </c>
    </row>
    <row r="31" spans="1:16" ht="13.8" thickBot="1" x14ac:dyDescent="0.3">
      <c r="A31" s="52"/>
      <c r="B31" s="46">
        <f>SUM(C31:P31)</f>
        <v>0</v>
      </c>
      <c r="C31" s="36">
        <f>D30-C30+D29-C29</f>
        <v>0</v>
      </c>
      <c r="D31" s="21"/>
      <c r="E31" s="36">
        <f>F30-E30+F29-E29</f>
        <v>0</v>
      </c>
      <c r="F31" s="47"/>
      <c r="G31" s="36">
        <f>H30-G30+H29-G29</f>
        <v>0</v>
      </c>
      <c r="H31" s="21"/>
      <c r="I31" s="36">
        <f>J30-I30+J29-I29</f>
        <v>0</v>
      </c>
      <c r="J31" s="21"/>
      <c r="K31" s="36">
        <f>L30-K30+L29-K29</f>
        <v>0</v>
      </c>
      <c r="L31" s="21"/>
      <c r="M31" s="36">
        <f>N30-M30+N29-M29</f>
        <v>0</v>
      </c>
      <c r="N31" s="21"/>
      <c r="O31" s="36">
        <f>P30-O30+P29-O29</f>
        <v>0</v>
      </c>
      <c r="P31" s="21"/>
    </row>
    <row r="32" spans="1:16" ht="13.8" thickBot="1" x14ac:dyDescent="0.3">
      <c r="A32" s="19"/>
    </row>
    <row r="33" spans="1:16" ht="13.8" thickBot="1" x14ac:dyDescent="0.3">
      <c r="A33" s="57" t="s">
        <v>10</v>
      </c>
      <c r="B33" s="48">
        <f>réel!$B$72</f>
        <v>44</v>
      </c>
      <c r="C33" s="37">
        <f>réel!$C$72</f>
        <v>44501</v>
      </c>
      <c r="D33" s="42"/>
      <c r="E33" s="37">
        <f>réel!$E$72</f>
        <v>44502</v>
      </c>
      <c r="F33" s="42"/>
      <c r="G33" s="37">
        <f>réel!$G$72</f>
        <v>44503</v>
      </c>
      <c r="H33" s="43"/>
      <c r="I33" s="37">
        <f>réel!$I$72</f>
        <v>44504</v>
      </c>
      <c r="J33" s="38"/>
      <c r="K33" s="37">
        <f>réel!$K$72</f>
        <v>44505</v>
      </c>
      <c r="L33" s="38"/>
      <c r="M33" s="37">
        <f>réel!$M$72</f>
        <v>44506</v>
      </c>
      <c r="N33" s="38"/>
      <c r="O33" s="37">
        <f>réel!$O$72</f>
        <v>44507</v>
      </c>
      <c r="P33" s="38"/>
    </row>
    <row r="34" spans="1:16" x14ac:dyDescent="0.25">
      <c r="A34" s="50"/>
      <c r="B34" s="44" t="s">
        <v>0</v>
      </c>
      <c r="C34" s="16">
        <f>réel!$C79</f>
        <v>0</v>
      </c>
      <c r="D34" s="11">
        <f>réel!$D79</f>
        <v>0</v>
      </c>
      <c r="E34" s="10">
        <f>réel!$E79</f>
        <v>0</v>
      </c>
      <c r="F34" s="17">
        <f>réel!$F79</f>
        <v>0</v>
      </c>
      <c r="G34" s="10">
        <f>réel!$G79</f>
        <v>0</v>
      </c>
      <c r="H34" s="11">
        <f>réel!$H79</f>
        <v>0</v>
      </c>
      <c r="I34" s="10">
        <f>réel!$I79</f>
        <v>0</v>
      </c>
      <c r="J34" s="11">
        <f>réel!$J79</f>
        <v>0</v>
      </c>
      <c r="K34" s="10">
        <f>réel!$K79</f>
        <v>0</v>
      </c>
      <c r="L34" s="11">
        <f>réel!$L79</f>
        <v>0</v>
      </c>
      <c r="M34" s="10">
        <f>réel!$M79</f>
        <v>0</v>
      </c>
      <c r="N34" s="11">
        <f>réel!$N79</f>
        <v>0</v>
      </c>
      <c r="O34" s="10">
        <f>réel!$O79</f>
        <v>0</v>
      </c>
      <c r="P34" s="11">
        <f>réel!$P79</f>
        <v>0</v>
      </c>
    </row>
    <row r="35" spans="1:16" x14ac:dyDescent="0.25">
      <c r="A35" s="51"/>
      <c r="B35" s="45" t="s">
        <v>1</v>
      </c>
      <c r="C35" s="40">
        <f>réel!$C80</f>
        <v>0</v>
      </c>
      <c r="D35" s="41">
        <f>réel!$D80</f>
        <v>0</v>
      </c>
      <c r="E35" s="40">
        <f>réel!$E80</f>
        <v>0</v>
      </c>
      <c r="F35" s="58">
        <f>réel!$F80</f>
        <v>0</v>
      </c>
      <c r="G35" s="40">
        <f>réel!$G80</f>
        <v>0</v>
      </c>
      <c r="H35" s="41">
        <f>réel!$H80</f>
        <v>0</v>
      </c>
      <c r="I35" s="40">
        <f>réel!$I80</f>
        <v>0</v>
      </c>
      <c r="J35" s="41">
        <f>réel!$J80</f>
        <v>0</v>
      </c>
      <c r="K35" s="40">
        <f>réel!$K80</f>
        <v>0</v>
      </c>
      <c r="L35" s="41">
        <f>réel!$L80</f>
        <v>0</v>
      </c>
      <c r="M35" s="40">
        <f>réel!$M80</f>
        <v>0</v>
      </c>
      <c r="N35" s="41">
        <f>réel!$N80</f>
        <v>0</v>
      </c>
      <c r="O35" s="40">
        <f>réel!$O80</f>
        <v>0</v>
      </c>
      <c r="P35" s="41">
        <f>réel!$P80</f>
        <v>0</v>
      </c>
    </row>
    <row r="36" spans="1:16" ht="13.8" thickBot="1" x14ac:dyDescent="0.3">
      <c r="A36" s="52"/>
      <c r="B36" s="46">
        <f>SUM(C36:P36)</f>
        <v>0</v>
      </c>
      <c r="C36" s="36">
        <f>D35-C35+D34-C34</f>
        <v>0</v>
      </c>
      <c r="D36" s="21"/>
      <c r="E36" s="36">
        <f>F35-E35+F34-E34</f>
        <v>0</v>
      </c>
      <c r="F36" s="47"/>
      <c r="G36" s="36">
        <f>H35-G35+H34-G34</f>
        <v>0</v>
      </c>
      <c r="H36" s="21"/>
      <c r="I36" s="36">
        <f>J35-I35+J34-I34</f>
        <v>0</v>
      </c>
      <c r="J36" s="21"/>
      <c r="K36" s="36">
        <f>L35-K35+L34-K34</f>
        <v>0</v>
      </c>
      <c r="L36" s="21"/>
      <c r="M36" s="36">
        <f>N35-M35+N34-M34</f>
        <v>0</v>
      </c>
      <c r="N36" s="21"/>
      <c r="O36" s="36">
        <f>P35-O35+P34-O34</f>
        <v>0</v>
      </c>
      <c r="P36" s="21"/>
    </row>
  </sheetData>
  <sheetProtection sheet="1" objects="1" scenarios="1"/>
  <phoneticPr fontId="0" type="noConversion"/>
  <pageMargins left="0.39370078740157483" right="0.39370078740157483" top="0.39370078740157483" bottom="0.59055118110236227" header="0" footer="0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5</vt:i4>
      </vt:variant>
    </vt:vector>
  </HeadingPairs>
  <TitlesOfParts>
    <vt:vector size="17" baseType="lpstr">
      <vt:lpstr>réel</vt:lpstr>
      <vt:lpstr>navette</vt:lpstr>
      <vt:lpstr>notice</vt:lpstr>
      <vt:lpstr>synthese</vt:lpstr>
      <vt:lpstr>horaire</vt:lpstr>
      <vt:lpstr>type</vt:lpstr>
      <vt:lpstr>a</vt:lpstr>
      <vt:lpstr>b</vt:lpstr>
      <vt:lpstr>y</vt:lpstr>
      <vt:lpstr>semaine</vt:lpstr>
      <vt:lpstr>feries</vt:lpstr>
      <vt:lpstr>scol</vt:lpstr>
      <vt:lpstr>feries!An</vt:lpstr>
      <vt:lpstr>An</vt:lpstr>
      <vt:lpstr>Fériés</vt:lpstr>
      <vt:lpstr>navette!Impression_des_titres</vt:lpstr>
      <vt:lpstr>Pâques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willard</dc:creator>
  <cp:lastModifiedBy>marc willard</cp:lastModifiedBy>
  <cp:lastPrinted>2017-10-21T11:58:38Z</cp:lastPrinted>
  <dcterms:created xsi:type="dcterms:W3CDTF">2005-07-22T15:41:08Z</dcterms:created>
  <dcterms:modified xsi:type="dcterms:W3CDTF">2021-09-05T09:12:21Z</dcterms:modified>
</cp:coreProperties>
</file>