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imelineCaches/timelineCache1.xml" ContentType="application/vnd.ms-excel.timeline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1.xml" ContentType="application/vnd.openxmlformats-officedocument.spreadsheetml.comments+xml"/>
  <Override PartName="/xl/tables/table5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timelines/timeline1.xml" ContentType="application/vnd.ms-excel.timelin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Z:\S_STOCKAGE\00-ENTRETIENS-REPARATIONS\Suivi Caisse outillage FRANCE\"/>
    </mc:Choice>
  </mc:AlternateContent>
  <xr:revisionPtr revIDLastSave="0" documentId="13_ncr:1_{502A7E7E-E08D-4668-BEA8-23C67F571EA5}" xr6:coauthVersionLast="45" xr6:coauthVersionMax="45" xr10:uidLastSave="{00000000-0000-0000-0000-000000000000}"/>
  <bookViews>
    <workbookView xWindow="-120" yWindow="-120" windowWidth="29040" windowHeight="15840" firstSheet="9" activeTab="10" xr2:uid="{DB3F11BB-29F6-441A-AC13-8AFFB8486AB8}"/>
  </bookViews>
  <sheets>
    <sheet name="2018" sheetId="1" state="hidden" r:id="rId1"/>
    <sheet name="à commander 2019" sheetId="3" state="hidden" r:id="rId2"/>
    <sheet name="2019" sheetId="4" state="hidden" r:id="rId3"/>
    <sheet name="2019 suite" sheetId="5" state="hidden" r:id="rId4"/>
    <sheet name="à commander 2020" sheetId="6" state="hidden" r:id="rId5"/>
    <sheet name="à commander 2020 suite" sheetId="8" state="hidden" r:id="rId6"/>
    <sheet name="recap Luc-Carine" sheetId="9" state="hidden" r:id="rId7"/>
    <sheet name="2020 (ancienne version)" sheetId="7" state="hidden" r:id="rId8"/>
    <sheet name="2020" sheetId="10" state="hidden" r:id="rId9"/>
    <sheet name="Listes" sheetId="11" r:id="rId10"/>
    <sheet name="TDB" sheetId="12" r:id="rId11"/>
    <sheet name="A COMMANDER" sheetId="16" r:id="rId12"/>
    <sheet name="Suivi" sheetId="15" r:id="rId13"/>
    <sheet name="Indicateurs" sheetId="13" r:id="rId14"/>
  </sheets>
  <definedNames>
    <definedName name="_xlnm._FilterDatabase" localSheetId="0" hidden="1">'2018'!$A$3:$K$27</definedName>
    <definedName name="_xlnm._FilterDatabase" localSheetId="2" hidden="1">'2019'!$A$3:$K$27</definedName>
    <definedName name="_xlnm._FilterDatabase" localSheetId="3" hidden="1">'2019 suite'!$A$3:$K$27</definedName>
    <definedName name="_xlnm._FilterDatabase" localSheetId="7" hidden="1">'2020 (ancienne version)'!$A$3:$K$27</definedName>
    <definedName name="_xlnm._FilterDatabase" localSheetId="6" hidden="1">'recap Luc-Carine'!$A$5:$B$82</definedName>
    <definedName name="ChronologieNative_Date">#N/A</definedName>
    <definedName name="Segment_État">#N/A</definedName>
    <definedName name="Segment_Matricule">#N/A</definedName>
    <definedName name="_xlnm.Print_Area" localSheetId="0">'2018'!$A$1:$AJ$31</definedName>
    <definedName name="_xlnm.Print_Area" localSheetId="2">'2019'!$A$1:$AL$29</definedName>
    <definedName name="_xlnm.Print_Area" localSheetId="3">'2019 suite'!$A$3:$AE$27</definedName>
    <definedName name="_xlnm.Print_Area" localSheetId="8">'2020'!$A$1:$X$77</definedName>
    <definedName name="_xlnm.Print_Area" localSheetId="7">'2020 (ancienne version)'!$A$3:$BQ$27</definedName>
    <definedName name="_xlnm.Print_Area" localSheetId="4">'à commander 2020'!$A$4:$CB$28</definedName>
    <definedName name="_xlnm.Print_Area" localSheetId="5">'à commander 2020 suite'!$A$4:$CB$28</definedName>
    <definedName name="_xlnm.Print_Area" localSheetId="12">Tableau5[[#All],[Réf matériel]:[JDE]]</definedName>
    <definedName name="_xlnm.Print_Area" localSheetId="10">TDB!$A$2:$J$372</definedName>
  </definedNames>
  <calcPr calcId="191029"/>
  <pivotCaches>
    <pivotCache cacheId="44" r:id="rId15"/>
  </pivotCaches>
  <extLst>
    <ext xmlns:x14="http://schemas.microsoft.com/office/spreadsheetml/2009/9/main" uri="{BBE1A952-AA13-448e-AADC-164F8A28A991}">
      <x14:slicerCaches>
        <x14:slicerCache r:id="rId16"/>
        <x14:slicerCache r:id="rId17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A2CB5862-8E78-49c6-8D9D-AF26E26ADB89}">
      <x15:timelineCachePivotCaches>
        <pivotCache cacheId="37" r:id="rId18"/>
      </x15:timelineCachePivotCaches>
    </ext>
    <ext xmlns:x15="http://schemas.microsoft.com/office/spreadsheetml/2010/11/main" uri="{D0CA8CA8-9F24-4464-BF8E-62219DCF47F9}">
      <x15:timelineCacheRefs>
        <x15:timelineCacheRef r:id="rId19"/>
      </x15:timelineCacheRefs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16" i="12" l="1"/>
  <c r="C1017" i="12"/>
  <c r="D1016" i="12"/>
  <c r="D1017" i="12"/>
  <c r="F1016" i="12"/>
  <c r="F1017" i="12"/>
  <c r="G1016" i="12"/>
  <c r="G1017" i="12"/>
  <c r="H1016" i="12"/>
  <c r="H1017" i="12"/>
  <c r="K1016" i="12"/>
  <c r="K1017" i="12"/>
  <c r="D42" i="15"/>
  <c r="E42" i="15" s="1"/>
  <c r="G42" i="15"/>
  <c r="H42" i="15" s="1"/>
  <c r="J42" i="15"/>
  <c r="K42" i="15" s="1"/>
  <c r="M42" i="15"/>
  <c r="N42" i="15" s="1"/>
  <c r="P42" i="15"/>
  <c r="Q42" i="15" s="1"/>
  <c r="S42" i="15"/>
  <c r="T42" i="15" s="1"/>
  <c r="V42" i="15"/>
  <c r="W42" i="15" s="1"/>
  <c r="Y42" i="15"/>
  <c r="Z42" i="15" s="1"/>
  <c r="AB42" i="15"/>
  <c r="AC42" i="15" s="1"/>
  <c r="AE42" i="15"/>
  <c r="AF42" i="15" s="1"/>
  <c r="AH42" i="15"/>
  <c r="AI42" i="15" s="1"/>
  <c r="AK42" i="15"/>
  <c r="AL42" i="15" s="1"/>
  <c r="AN42" i="15"/>
  <c r="AO42" i="15" s="1"/>
  <c r="AQ42" i="15"/>
  <c r="AR42" i="15" s="1"/>
  <c r="AT42" i="15"/>
  <c r="AU42" i="15" s="1"/>
  <c r="AW42" i="15"/>
  <c r="AX42" i="15" s="1"/>
  <c r="AZ42" i="15"/>
  <c r="BA42" i="15" s="1"/>
  <c r="BF42" i="15"/>
  <c r="BG42" i="15" s="1"/>
  <c r="BI42" i="15"/>
  <c r="BJ42" i="15" s="1"/>
  <c r="BL42" i="15"/>
  <c r="BM42" i="15" s="1"/>
  <c r="BO42" i="15"/>
  <c r="BP42" i="15" s="1"/>
  <c r="BR42" i="15"/>
  <c r="BS42" i="15" s="1"/>
  <c r="BU42" i="15"/>
  <c r="BV42" i="15" s="1"/>
  <c r="BX42" i="15"/>
  <c r="BY42" i="15" s="1"/>
  <c r="CA42" i="15"/>
  <c r="CB42" i="15" s="1"/>
  <c r="CD42" i="15"/>
  <c r="CE42" i="15" s="1"/>
  <c r="CG42" i="15"/>
  <c r="CH42" i="15" s="1"/>
  <c r="C1015" i="12"/>
  <c r="D1015" i="12"/>
  <c r="F1015" i="12"/>
  <c r="G1015" i="12"/>
  <c r="H1015" i="12"/>
  <c r="K1015" i="12"/>
  <c r="BC42" i="15" s="1"/>
  <c r="BD42" i="15" s="1"/>
  <c r="C1013" i="12" l="1"/>
  <c r="C1014" i="12"/>
  <c r="D1013" i="12"/>
  <c r="D1014" i="12"/>
  <c r="F1013" i="12"/>
  <c r="F1014" i="12"/>
  <c r="G1013" i="12"/>
  <c r="G1014" i="12"/>
  <c r="H1013" i="12"/>
  <c r="H1014" i="12"/>
  <c r="K1013" i="12"/>
  <c r="K1014" i="12"/>
  <c r="C1012" i="12" l="1"/>
  <c r="D1012" i="12"/>
  <c r="F1012" i="12"/>
  <c r="G1012" i="12"/>
  <c r="H1012" i="12"/>
  <c r="K1012" i="12"/>
  <c r="AB71" i="15"/>
  <c r="AC71" i="15" s="1"/>
  <c r="AB72" i="15"/>
  <c r="D71" i="15"/>
  <c r="E71" i="15" s="1"/>
  <c r="G71" i="15"/>
  <c r="H71" i="15" s="1"/>
  <c r="J71" i="15"/>
  <c r="K71" i="15" s="1"/>
  <c r="M71" i="15"/>
  <c r="N71" i="15" s="1"/>
  <c r="P71" i="15"/>
  <c r="Q71" i="15" s="1"/>
  <c r="S71" i="15"/>
  <c r="T71" i="15" s="1"/>
  <c r="V71" i="15"/>
  <c r="W71" i="15" s="1"/>
  <c r="Y71" i="15"/>
  <c r="Z71" i="15" s="1"/>
  <c r="AE71" i="15"/>
  <c r="AF71" i="15" s="1"/>
  <c r="AH71" i="15"/>
  <c r="AI71" i="15" s="1"/>
  <c r="AK71" i="15"/>
  <c r="AL71" i="15" s="1"/>
  <c r="AN71" i="15"/>
  <c r="AO71" i="15" s="1"/>
  <c r="AT71" i="15"/>
  <c r="AU71" i="15" s="1"/>
  <c r="AW71" i="15"/>
  <c r="AX71" i="15" s="1"/>
  <c r="AZ71" i="15"/>
  <c r="BA71" i="15" s="1"/>
  <c r="BC71" i="15"/>
  <c r="BD71" i="15" s="1"/>
  <c r="BF71" i="15"/>
  <c r="BG71" i="15" s="1"/>
  <c r="BI71" i="15"/>
  <c r="BJ71" i="15" s="1"/>
  <c r="BL71" i="15"/>
  <c r="BM71" i="15" s="1"/>
  <c r="BO71" i="15"/>
  <c r="BP71" i="15" s="1"/>
  <c r="BR71" i="15"/>
  <c r="BS71" i="15" s="1"/>
  <c r="BU71" i="15"/>
  <c r="BV71" i="15" s="1"/>
  <c r="BX71" i="15"/>
  <c r="BY71" i="15" s="1"/>
  <c r="CA71" i="15"/>
  <c r="CB71" i="15" s="1"/>
  <c r="CD71" i="15"/>
  <c r="CE71" i="15" s="1"/>
  <c r="CG71" i="15"/>
  <c r="CH71" i="15" s="1"/>
  <c r="C1011" i="12"/>
  <c r="D1011" i="12"/>
  <c r="F1011" i="12"/>
  <c r="G1011" i="12"/>
  <c r="H1011" i="12"/>
  <c r="K1011" i="12"/>
  <c r="C1010" i="12"/>
  <c r="D1010" i="12"/>
  <c r="F1010" i="12"/>
  <c r="G1010" i="12"/>
  <c r="H1010" i="12"/>
  <c r="K1010" i="12"/>
  <c r="AQ71" i="15" s="1"/>
  <c r="AR71" i="15" s="1"/>
  <c r="C1009" i="12" l="1"/>
  <c r="D1009" i="12"/>
  <c r="F1009" i="12"/>
  <c r="G1009" i="12"/>
  <c r="H1009" i="12"/>
  <c r="K1009" i="12"/>
  <c r="G44" i="15" s="1"/>
  <c r="H44" i="15" s="1"/>
  <c r="D44" i="15"/>
  <c r="E44" i="15" s="1"/>
  <c r="J44" i="15"/>
  <c r="K44" i="15" s="1"/>
  <c r="M44" i="15"/>
  <c r="N44" i="15" s="1"/>
  <c r="P44" i="15"/>
  <c r="Q44" i="15" s="1"/>
  <c r="S44" i="15"/>
  <c r="T44" i="15" s="1"/>
  <c r="V44" i="15"/>
  <c r="W44" i="15" s="1"/>
  <c r="Y44" i="15"/>
  <c r="Z44" i="15" s="1"/>
  <c r="AB44" i="15"/>
  <c r="AC44" i="15" s="1"/>
  <c r="AE44" i="15"/>
  <c r="AF44" i="15" s="1"/>
  <c r="AH44" i="15"/>
  <c r="AI44" i="15" s="1"/>
  <c r="AK44" i="15"/>
  <c r="AL44" i="15" s="1"/>
  <c r="AN44" i="15"/>
  <c r="AO44" i="15" s="1"/>
  <c r="AQ44" i="15"/>
  <c r="AR44" i="15" s="1"/>
  <c r="AT44" i="15"/>
  <c r="AU44" i="15" s="1"/>
  <c r="AW44" i="15"/>
  <c r="AX44" i="15" s="1"/>
  <c r="AZ44" i="15"/>
  <c r="BA44" i="15" s="1"/>
  <c r="BC44" i="15"/>
  <c r="BD44" i="15" s="1"/>
  <c r="BF44" i="15"/>
  <c r="BG44" i="15" s="1"/>
  <c r="BI44" i="15"/>
  <c r="BJ44" i="15" s="1"/>
  <c r="BL44" i="15"/>
  <c r="BM44" i="15" s="1"/>
  <c r="BO44" i="15"/>
  <c r="BP44" i="15" s="1"/>
  <c r="BR44" i="15"/>
  <c r="BS44" i="15" s="1"/>
  <c r="BU44" i="15"/>
  <c r="BV44" i="15" s="1"/>
  <c r="BX44" i="15"/>
  <c r="BY44" i="15" s="1"/>
  <c r="CA44" i="15"/>
  <c r="CB44" i="15" s="1"/>
  <c r="CD44" i="15"/>
  <c r="CE44" i="15" s="1"/>
  <c r="CG44" i="15"/>
  <c r="CH44" i="15" s="1"/>
  <c r="C1008" i="12"/>
  <c r="D1008" i="12"/>
  <c r="F1008" i="12"/>
  <c r="G1008" i="12"/>
  <c r="H1008" i="12"/>
  <c r="K1008" i="12"/>
  <c r="C1007" i="12"/>
  <c r="D1007" i="12"/>
  <c r="F1007" i="12"/>
  <c r="G1007" i="12"/>
  <c r="H1007" i="12"/>
  <c r="K1007" i="12"/>
  <c r="C1006" i="12" l="1"/>
  <c r="D1006" i="12"/>
  <c r="F1006" i="12"/>
  <c r="G1006" i="12"/>
  <c r="H1006" i="12"/>
  <c r="K1006" i="12"/>
  <c r="C1005" i="12" l="1"/>
  <c r="D1005" i="12"/>
  <c r="F1005" i="12"/>
  <c r="G1005" i="12"/>
  <c r="H1005" i="12"/>
  <c r="K1005" i="12"/>
  <c r="C1004" i="12"/>
  <c r="D1004" i="12"/>
  <c r="F1004" i="12"/>
  <c r="G1004" i="12"/>
  <c r="H1004" i="12"/>
  <c r="K1004" i="12"/>
  <c r="C1003" i="12"/>
  <c r="D1003" i="12"/>
  <c r="F1003" i="12"/>
  <c r="G1003" i="12"/>
  <c r="H1003" i="12"/>
  <c r="K1003" i="12"/>
  <c r="C1002" i="12"/>
  <c r="D1002" i="12"/>
  <c r="F1002" i="12"/>
  <c r="G1002" i="12"/>
  <c r="H1002" i="12"/>
  <c r="K1002" i="12"/>
  <c r="C1001" i="12"/>
  <c r="D1001" i="12"/>
  <c r="F1001" i="12"/>
  <c r="G1001" i="12"/>
  <c r="H1001" i="12"/>
  <c r="K1001" i="12"/>
  <c r="C1000" i="12"/>
  <c r="D1000" i="12"/>
  <c r="F1000" i="12"/>
  <c r="G1000" i="12"/>
  <c r="H1000" i="12"/>
  <c r="K1000" i="12"/>
  <c r="C999" i="12"/>
  <c r="D999" i="12"/>
  <c r="F999" i="12"/>
  <c r="G999" i="12"/>
  <c r="H999" i="12"/>
  <c r="K999" i="12"/>
  <c r="C998" i="12"/>
  <c r="D998" i="12"/>
  <c r="F998" i="12"/>
  <c r="G998" i="12"/>
  <c r="H998" i="12"/>
  <c r="K998" i="12"/>
  <c r="C997" i="12"/>
  <c r="D997" i="12"/>
  <c r="F997" i="12"/>
  <c r="G997" i="12"/>
  <c r="H997" i="12"/>
  <c r="K997" i="12"/>
  <c r="C996" i="12"/>
  <c r="D996" i="12"/>
  <c r="F996" i="12"/>
  <c r="G996" i="12"/>
  <c r="H996" i="12"/>
  <c r="K996" i="12"/>
  <c r="C995" i="12"/>
  <c r="D995" i="12"/>
  <c r="F995" i="12"/>
  <c r="G995" i="12"/>
  <c r="H995" i="12"/>
  <c r="K995" i="12"/>
  <c r="C994" i="12"/>
  <c r="D994" i="12"/>
  <c r="F994" i="12"/>
  <c r="G994" i="12"/>
  <c r="H994" i="12"/>
  <c r="K994" i="12"/>
  <c r="C993" i="12"/>
  <c r="D993" i="12"/>
  <c r="F993" i="12"/>
  <c r="G993" i="12"/>
  <c r="H993" i="12"/>
  <c r="K993" i="12"/>
  <c r="C992" i="12"/>
  <c r="D992" i="12"/>
  <c r="F992" i="12"/>
  <c r="G992" i="12"/>
  <c r="H992" i="12"/>
  <c r="K992" i="12"/>
  <c r="C991" i="12"/>
  <c r="D991" i="12"/>
  <c r="F991" i="12"/>
  <c r="G991" i="12"/>
  <c r="H991" i="12"/>
  <c r="K991" i="12"/>
  <c r="C990" i="12"/>
  <c r="D990" i="12"/>
  <c r="F990" i="12"/>
  <c r="G990" i="12"/>
  <c r="H990" i="12"/>
  <c r="K990" i="12"/>
  <c r="C989" i="12"/>
  <c r="D989" i="12"/>
  <c r="F989" i="12"/>
  <c r="G989" i="12"/>
  <c r="H989" i="12"/>
  <c r="K989" i="12"/>
  <c r="C988" i="12"/>
  <c r="D988" i="12"/>
  <c r="F988" i="12"/>
  <c r="G988" i="12"/>
  <c r="H988" i="12"/>
  <c r="K988" i="12"/>
  <c r="C987" i="12"/>
  <c r="D987" i="12"/>
  <c r="F987" i="12"/>
  <c r="G987" i="12"/>
  <c r="H987" i="12"/>
  <c r="K987" i="12"/>
  <c r="C986" i="12"/>
  <c r="D986" i="12"/>
  <c r="F986" i="12"/>
  <c r="G986" i="12"/>
  <c r="H986" i="12"/>
  <c r="K986" i="12"/>
  <c r="C985" i="12"/>
  <c r="D985" i="12"/>
  <c r="F985" i="12"/>
  <c r="G985" i="12"/>
  <c r="H985" i="12"/>
  <c r="K985" i="12"/>
  <c r="C984" i="12"/>
  <c r="D984" i="12"/>
  <c r="F984" i="12"/>
  <c r="G984" i="12"/>
  <c r="H984" i="12"/>
  <c r="K984" i="12"/>
  <c r="C983" i="12"/>
  <c r="D983" i="12"/>
  <c r="F983" i="12"/>
  <c r="G983" i="12"/>
  <c r="H983" i="12"/>
  <c r="K983" i="12"/>
  <c r="C982" i="12"/>
  <c r="D982" i="12"/>
  <c r="F982" i="12"/>
  <c r="G982" i="12"/>
  <c r="H982" i="12"/>
  <c r="K982" i="12"/>
  <c r="C981" i="12"/>
  <c r="D981" i="12"/>
  <c r="F981" i="12"/>
  <c r="G981" i="12"/>
  <c r="H981" i="12"/>
  <c r="K981" i="12"/>
  <c r="C980" i="12"/>
  <c r="D980" i="12"/>
  <c r="F980" i="12"/>
  <c r="G980" i="12"/>
  <c r="H980" i="12"/>
  <c r="K980" i="12"/>
  <c r="C979" i="12"/>
  <c r="D979" i="12"/>
  <c r="F979" i="12"/>
  <c r="G979" i="12"/>
  <c r="H979" i="12"/>
  <c r="K979" i="12"/>
  <c r="C978" i="12"/>
  <c r="D978" i="12"/>
  <c r="F978" i="12"/>
  <c r="G978" i="12"/>
  <c r="H978" i="12"/>
  <c r="K978" i="12"/>
  <c r="C977" i="12"/>
  <c r="D977" i="12"/>
  <c r="F977" i="12"/>
  <c r="G977" i="12"/>
  <c r="H977" i="12"/>
  <c r="K977" i="12"/>
  <c r="C976" i="12"/>
  <c r="D976" i="12"/>
  <c r="F976" i="12"/>
  <c r="G976" i="12"/>
  <c r="H976" i="12"/>
  <c r="K976" i="12"/>
  <c r="C975" i="12"/>
  <c r="D975" i="12"/>
  <c r="F975" i="12"/>
  <c r="G975" i="12"/>
  <c r="H975" i="12"/>
  <c r="K975" i="12"/>
  <c r="C974" i="12"/>
  <c r="D974" i="12"/>
  <c r="F974" i="12"/>
  <c r="G974" i="12"/>
  <c r="H974" i="12"/>
  <c r="K974" i="12"/>
  <c r="C973" i="12"/>
  <c r="D973" i="12"/>
  <c r="F973" i="12"/>
  <c r="G973" i="12"/>
  <c r="H973" i="12"/>
  <c r="K973" i="12"/>
  <c r="C972" i="12"/>
  <c r="D972" i="12"/>
  <c r="F972" i="12"/>
  <c r="G972" i="12"/>
  <c r="H972" i="12"/>
  <c r="K972" i="12"/>
  <c r="C971" i="12"/>
  <c r="D971" i="12"/>
  <c r="F971" i="12"/>
  <c r="G971" i="12"/>
  <c r="H971" i="12"/>
  <c r="K971" i="12"/>
  <c r="C970" i="12"/>
  <c r="D970" i="12"/>
  <c r="F970" i="12"/>
  <c r="G970" i="12"/>
  <c r="H970" i="12"/>
  <c r="K970" i="12"/>
  <c r="C969" i="12"/>
  <c r="D969" i="12"/>
  <c r="F969" i="12"/>
  <c r="G969" i="12"/>
  <c r="H969" i="12"/>
  <c r="K969" i="12"/>
  <c r="C968" i="12"/>
  <c r="D968" i="12"/>
  <c r="F968" i="12"/>
  <c r="G968" i="12"/>
  <c r="H968" i="12"/>
  <c r="K968" i="12"/>
  <c r="C967" i="12"/>
  <c r="D967" i="12"/>
  <c r="F967" i="12"/>
  <c r="G967" i="12"/>
  <c r="H967" i="12"/>
  <c r="K967" i="12"/>
  <c r="C966" i="12"/>
  <c r="D966" i="12"/>
  <c r="F966" i="12"/>
  <c r="G966" i="12"/>
  <c r="H966" i="12"/>
  <c r="K966" i="12"/>
  <c r="C965" i="12"/>
  <c r="D965" i="12"/>
  <c r="F965" i="12"/>
  <c r="G965" i="12"/>
  <c r="H965" i="12"/>
  <c r="K965" i="12"/>
  <c r="C964" i="12"/>
  <c r="D964" i="12"/>
  <c r="F964" i="12"/>
  <c r="G964" i="12"/>
  <c r="H964" i="12"/>
  <c r="K964" i="12"/>
  <c r="C963" i="12"/>
  <c r="D963" i="12"/>
  <c r="F963" i="12"/>
  <c r="G963" i="12"/>
  <c r="H963" i="12"/>
  <c r="K963" i="12"/>
  <c r="C962" i="12"/>
  <c r="D962" i="12"/>
  <c r="F962" i="12"/>
  <c r="G962" i="12"/>
  <c r="H962" i="12"/>
  <c r="K962" i="12"/>
  <c r="C961" i="12"/>
  <c r="D961" i="12"/>
  <c r="F961" i="12"/>
  <c r="G961" i="12"/>
  <c r="H961" i="12"/>
  <c r="K961" i="12"/>
  <c r="C960" i="12"/>
  <c r="D960" i="12"/>
  <c r="F960" i="12"/>
  <c r="G960" i="12"/>
  <c r="H960" i="12"/>
  <c r="K960" i="12"/>
  <c r="C959" i="12"/>
  <c r="D959" i="12"/>
  <c r="F959" i="12"/>
  <c r="G959" i="12"/>
  <c r="H959" i="12"/>
  <c r="K959" i="12"/>
  <c r="C946" i="12"/>
  <c r="C947" i="12"/>
  <c r="C948" i="12"/>
  <c r="C949" i="12"/>
  <c r="C950" i="12"/>
  <c r="C951" i="12"/>
  <c r="C952" i="12"/>
  <c r="C953" i="12"/>
  <c r="C954" i="12"/>
  <c r="C955" i="12"/>
  <c r="C956" i="12"/>
  <c r="C957" i="12"/>
  <c r="C958" i="12"/>
  <c r="D946" i="12"/>
  <c r="D947" i="12"/>
  <c r="D948" i="12"/>
  <c r="D949" i="12"/>
  <c r="D950" i="12"/>
  <c r="D951" i="12"/>
  <c r="D952" i="12"/>
  <c r="D953" i="12"/>
  <c r="D954" i="12"/>
  <c r="D955" i="12"/>
  <c r="D956" i="12"/>
  <c r="D957" i="12"/>
  <c r="D958" i="12"/>
  <c r="F946" i="12"/>
  <c r="F947" i="12"/>
  <c r="F948" i="12"/>
  <c r="F949" i="12"/>
  <c r="F950" i="12"/>
  <c r="F951" i="12"/>
  <c r="F952" i="12"/>
  <c r="F953" i="12"/>
  <c r="F954" i="12"/>
  <c r="F955" i="12"/>
  <c r="F956" i="12"/>
  <c r="F957" i="12"/>
  <c r="F958" i="12"/>
  <c r="G946" i="12"/>
  <c r="G947" i="12"/>
  <c r="G948" i="12"/>
  <c r="G949" i="12"/>
  <c r="G950" i="12"/>
  <c r="G951" i="12"/>
  <c r="G952" i="12"/>
  <c r="G953" i="12"/>
  <c r="G954" i="12"/>
  <c r="G955" i="12"/>
  <c r="G956" i="12"/>
  <c r="G957" i="12"/>
  <c r="G958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K946" i="12"/>
  <c r="K947" i="12"/>
  <c r="K948" i="12"/>
  <c r="K949" i="12"/>
  <c r="K950" i="12"/>
  <c r="K951" i="12"/>
  <c r="K952" i="12"/>
  <c r="K953" i="12"/>
  <c r="K954" i="12"/>
  <c r="K955" i="12"/>
  <c r="K956" i="12"/>
  <c r="K957" i="12"/>
  <c r="K958" i="12"/>
  <c r="AB3" i="15"/>
  <c r="AC3" i="15" s="1"/>
  <c r="AB4" i="15"/>
  <c r="AC4" i="15" s="1"/>
  <c r="AB5" i="15"/>
  <c r="AC5" i="15" s="1"/>
  <c r="AB6" i="15"/>
  <c r="AC6" i="15" s="1"/>
  <c r="AB7" i="15"/>
  <c r="AC7" i="15" s="1"/>
  <c r="AB8" i="15"/>
  <c r="AC8" i="15" s="1"/>
  <c r="AB9" i="15"/>
  <c r="AC9" i="15" s="1"/>
  <c r="AB11" i="15"/>
  <c r="AC11" i="15" s="1"/>
  <c r="AB12" i="15"/>
  <c r="AC12" i="15" s="1"/>
  <c r="AB13" i="15"/>
  <c r="AC13" i="15" s="1"/>
  <c r="AB14" i="15"/>
  <c r="AC14" i="15" s="1"/>
  <c r="AB15" i="15"/>
  <c r="AC15" i="15" s="1"/>
  <c r="AB16" i="15"/>
  <c r="AC16" i="15" s="1"/>
  <c r="AB17" i="15"/>
  <c r="AC17" i="15" s="1"/>
  <c r="AB18" i="15"/>
  <c r="AC18" i="15" s="1"/>
  <c r="AB19" i="15"/>
  <c r="AC19" i="15" s="1"/>
  <c r="AB20" i="15"/>
  <c r="AC20" i="15" s="1"/>
  <c r="AB21" i="15"/>
  <c r="AC21" i="15" s="1"/>
  <c r="AB22" i="15"/>
  <c r="AC22" i="15" s="1"/>
  <c r="AB23" i="15"/>
  <c r="AC23" i="15" s="1"/>
  <c r="AB24" i="15"/>
  <c r="AC24" i="15" s="1"/>
  <c r="AB25" i="15"/>
  <c r="AC25" i="15" s="1"/>
  <c r="AB26" i="15"/>
  <c r="AC26" i="15" s="1"/>
  <c r="AB27" i="15"/>
  <c r="AC27" i="15" s="1"/>
  <c r="AB28" i="15"/>
  <c r="AC28" i="15" s="1"/>
  <c r="AB29" i="15"/>
  <c r="AC29" i="15" s="1"/>
  <c r="AB30" i="15"/>
  <c r="AC30" i="15" s="1"/>
  <c r="AB31" i="15"/>
  <c r="AC31" i="15" s="1"/>
  <c r="AB32" i="15"/>
  <c r="AC32" i="15" s="1"/>
  <c r="AB33" i="15"/>
  <c r="AC33" i="15" s="1"/>
  <c r="AB34" i="15"/>
  <c r="AC34" i="15" s="1"/>
  <c r="AB35" i="15"/>
  <c r="AC35" i="15" s="1"/>
  <c r="AB36" i="15"/>
  <c r="AC36" i="15" s="1"/>
  <c r="AB37" i="15"/>
  <c r="AC37" i="15" s="1"/>
  <c r="AB38" i="15"/>
  <c r="AC38" i="15" s="1"/>
  <c r="AB39" i="15"/>
  <c r="AC39" i="15" s="1"/>
  <c r="AB40" i="15"/>
  <c r="AC40" i="15" s="1"/>
  <c r="AB41" i="15"/>
  <c r="AC41" i="15" s="1"/>
  <c r="AB43" i="15"/>
  <c r="AC43" i="15" s="1"/>
  <c r="AB45" i="15"/>
  <c r="AC45" i="15" s="1"/>
  <c r="AB46" i="15"/>
  <c r="AC46" i="15" s="1"/>
  <c r="AB47" i="15"/>
  <c r="AC47" i="15" s="1"/>
  <c r="AB48" i="15"/>
  <c r="AC48" i="15" s="1"/>
  <c r="AB49" i="15"/>
  <c r="AC49" i="15" s="1"/>
  <c r="AB50" i="15"/>
  <c r="AC50" i="15" s="1"/>
  <c r="AB51" i="15"/>
  <c r="AC51" i="15" s="1"/>
  <c r="AB52" i="15"/>
  <c r="AC52" i="15" s="1"/>
  <c r="AB53" i="15"/>
  <c r="AC53" i="15" s="1"/>
  <c r="AB54" i="15"/>
  <c r="AC54" i="15" s="1"/>
  <c r="AB55" i="15"/>
  <c r="AC55" i="15" s="1"/>
  <c r="AB56" i="15"/>
  <c r="AC56" i="15" s="1"/>
  <c r="AB57" i="15"/>
  <c r="AC57" i="15" s="1"/>
  <c r="AB58" i="15"/>
  <c r="AC58" i="15" s="1"/>
  <c r="AB59" i="15"/>
  <c r="AC59" i="15" s="1"/>
  <c r="AB60" i="15"/>
  <c r="AC60" i="15" s="1"/>
  <c r="AB61" i="15"/>
  <c r="AC61" i="15" s="1"/>
  <c r="AB62" i="15"/>
  <c r="AC62" i="15" s="1"/>
  <c r="AB63" i="15"/>
  <c r="AC63" i="15" s="1"/>
  <c r="AB64" i="15"/>
  <c r="AC64" i="15" s="1"/>
  <c r="AB65" i="15"/>
  <c r="AC65" i="15" s="1"/>
  <c r="AB66" i="15"/>
  <c r="AC66" i="15" s="1"/>
  <c r="AB67" i="15"/>
  <c r="AC67" i="15" s="1"/>
  <c r="AB68" i="15"/>
  <c r="AC68" i="15" s="1"/>
  <c r="AB69" i="15"/>
  <c r="AC69" i="15" s="1"/>
  <c r="AB70" i="15"/>
  <c r="AC70" i="15" s="1"/>
  <c r="AC72" i="15"/>
  <c r="AB73" i="15"/>
  <c r="AC73" i="15" s="1"/>
  <c r="AB74" i="15"/>
  <c r="AC74" i="15" s="1"/>
  <c r="AB75" i="15"/>
  <c r="AC75" i="15" s="1"/>
  <c r="AB76" i="15"/>
  <c r="AC76" i="15" s="1"/>
  <c r="AB77" i="15"/>
  <c r="AC77" i="15" s="1"/>
  <c r="AB78" i="15"/>
  <c r="AC78" i="15" s="1"/>
  <c r="AB79" i="15"/>
  <c r="AC79" i="15" s="1"/>
  <c r="AB80" i="15"/>
  <c r="AC80" i="15" s="1"/>
  <c r="AB81" i="15"/>
  <c r="AC81" i="15" s="1"/>
  <c r="AB82" i="15"/>
  <c r="AC82" i="15" s="1"/>
  <c r="BR10" i="15"/>
  <c r="BS10" i="15" s="1"/>
  <c r="BR3" i="15"/>
  <c r="BS3" i="15" s="1"/>
  <c r="BR5" i="15"/>
  <c r="BS5" i="15" s="1"/>
  <c r="BR6" i="15"/>
  <c r="BS6" i="15" s="1"/>
  <c r="BR11" i="15"/>
  <c r="BS11" i="15" s="1"/>
  <c r="BR12" i="15"/>
  <c r="BS12" i="15" s="1"/>
  <c r="BR15" i="15"/>
  <c r="BS15" i="15" s="1"/>
  <c r="BR17" i="15"/>
  <c r="BS17" i="15" s="1"/>
  <c r="BR18" i="15"/>
  <c r="BS18" i="15" s="1"/>
  <c r="BR21" i="15"/>
  <c r="BS21" i="15" s="1"/>
  <c r="BR23" i="15"/>
  <c r="BS23" i="15" s="1"/>
  <c r="BR24" i="15"/>
  <c r="BS24" i="15" s="1"/>
  <c r="BR25" i="15"/>
  <c r="BS25" i="15" s="1"/>
  <c r="BR26" i="15"/>
  <c r="BS26" i="15" s="1"/>
  <c r="BR28" i="15"/>
  <c r="BS28" i="15" s="1"/>
  <c r="BR29" i="15"/>
  <c r="BS29" i="15" s="1"/>
  <c r="BR31" i="15"/>
  <c r="BS31" i="15" s="1"/>
  <c r="BR32" i="15"/>
  <c r="BS32" i="15" s="1"/>
  <c r="BR34" i="15"/>
  <c r="BS34" i="15" s="1"/>
  <c r="BR36" i="15"/>
  <c r="BS36" i="15" s="1"/>
  <c r="BR37" i="15"/>
  <c r="BS37" i="15" s="1"/>
  <c r="BR38" i="15"/>
  <c r="BS38" i="15" s="1"/>
  <c r="BR39" i="15"/>
  <c r="BS39" i="15" s="1"/>
  <c r="BR40" i="15"/>
  <c r="BS40" i="15" s="1"/>
  <c r="BR43" i="15"/>
  <c r="BS43" i="15" s="1"/>
  <c r="BR46" i="15"/>
  <c r="BS46" i="15" s="1"/>
  <c r="BR47" i="15"/>
  <c r="BS47" i="15" s="1"/>
  <c r="BR48" i="15"/>
  <c r="BS48" i="15" s="1"/>
  <c r="BR49" i="15"/>
  <c r="BS49" i="15" s="1"/>
  <c r="BR50" i="15"/>
  <c r="BS50" i="15" s="1"/>
  <c r="BR51" i="15"/>
  <c r="BS51" i="15" s="1"/>
  <c r="BR52" i="15"/>
  <c r="BS52" i="15" s="1"/>
  <c r="BR53" i="15"/>
  <c r="BS53" i="15" s="1"/>
  <c r="BR54" i="15"/>
  <c r="BS54" i="15" s="1"/>
  <c r="BR55" i="15"/>
  <c r="BS55" i="15" s="1"/>
  <c r="BR56" i="15"/>
  <c r="BS56" i="15" s="1"/>
  <c r="BR58" i="15"/>
  <c r="BS58" i="15" s="1"/>
  <c r="BR60" i="15"/>
  <c r="BS60" i="15" s="1"/>
  <c r="BR62" i="15"/>
  <c r="BS62" i="15" s="1"/>
  <c r="BR66" i="15"/>
  <c r="BS66" i="15" s="1"/>
  <c r="BR67" i="15"/>
  <c r="BS67" i="15" s="1"/>
  <c r="BR69" i="15"/>
  <c r="BS69" i="15" s="1"/>
  <c r="BR75" i="15"/>
  <c r="BS75" i="15" s="1"/>
  <c r="BR76" i="15"/>
  <c r="BS76" i="15" s="1"/>
  <c r="BR77" i="15"/>
  <c r="BS77" i="15" s="1"/>
  <c r="BR78" i="15"/>
  <c r="BS78" i="15" s="1"/>
  <c r="BR80" i="15"/>
  <c r="BS80" i="15" s="1"/>
  <c r="BR81" i="15"/>
  <c r="BS81" i="15" s="1"/>
  <c r="C945" i="12"/>
  <c r="D945" i="12"/>
  <c r="F945" i="12"/>
  <c r="G945" i="12"/>
  <c r="H945" i="12"/>
  <c r="K945" i="12"/>
  <c r="BR72" i="15" s="1"/>
  <c r="BS72" i="15" s="1"/>
  <c r="C944" i="12"/>
  <c r="D944" i="12"/>
  <c r="F944" i="12"/>
  <c r="G944" i="12"/>
  <c r="H944" i="12"/>
  <c r="K944" i="12"/>
  <c r="BR4" i="15" s="1"/>
  <c r="BS4" i="15" s="1"/>
  <c r="C943" i="12"/>
  <c r="D943" i="12"/>
  <c r="F943" i="12"/>
  <c r="G943" i="12"/>
  <c r="H943" i="12"/>
  <c r="K943" i="12"/>
  <c r="BR82" i="15" s="1"/>
  <c r="BS82" i="15" s="1"/>
  <c r="C942" i="12"/>
  <c r="D942" i="12"/>
  <c r="F942" i="12"/>
  <c r="G942" i="12"/>
  <c r="H942" i="12"/>
  <c r="K942" i="12"/>
  <c r="BR70" i="15" s="1"/>
  <c r="BS70" i="15" s="1"/>
  <c r="C941" i="12"/>
  <c r="D941" i="12"/>
  <c r="F941" i="12"/>
  <c r="G941" i="12"/>
  <c r="H941" i="12"/>
  <c r="K941" i="12"/>
  <c r="BR65" i="15" s="1"/>
  <c r="BS65" i="15" s="1"/>
  <c r="C940" i="12"/>
  <c r="D940" i="12"/>
  <c r="F940" i="12"/>
  <c r="G940" i="12"/>
  <c r="H940" i="12"/>
  <c r="K940" i="12"/>
  <c r="BR22" i="15" s="1"/>
  <c r="BS22" i="15" s="1"/>
  <c r="C939" i="12"/>
  <c r="D939" i="12"/>
  <c r="F939" i="12"/>
  <c r="G939" i="12"/>
  <c r="H939" i="12"/>
  <c r="K939" i="12"/>
  <c r="BR35" i="15" s="1"/>
  <c r="BS35" i="15" s="1"/>
  <c r="C938" i="12"/>
  <c r="D938" i="12"/>
  <c r="F938" i="12"/>
  <c r="G938" i="12"/>
  <c r="H938" i="12"/>
  <c r="K938" i="12"/>
  <c r="BR33" i="15" s="1"/>
  <c r="BS33" i="15" s="1"/>
  <c r="C937" i="12"/>
  <c r="D937" i="12"/>
  <c r="F937" i="12"/>
  <c r="G937" i="12"/>
  <c r="H937" i="12"/>
  <c r="K937" i="12"/>
  <c r="BR30" i="15" s="1"/>
  <c r="BS30" i="15" s="1"/>
  <c r="C936" i="12"/>
  <c r="D936" i="12"/>
  <c r="F936" i="12"/>
  <c r="G936" i="12"/>
  <c r="H936" i="12"/>
  <c r="K936" i="12"/>
  <c r="BR27" i="15" s="1"/>
  <c r="BS27" i="15" s="1"/>
  <c r="C935" i="12"/>
  <c r="D935" i="12"/>
  <c r="F935" i="12"/>
  <c r="G935" i="12"/>
  <c r="H935" i="12"/>
  <c r="K935" i="12"/>
  <c r="BR20" i="15" s="1"/>
  <c r="BS20" i="15" s="1"/>
  <c r="C934" i="12"/>
  <c r="D934" i="12"/>
  <c r="F934" i="12"/>
  <c r="G934" i="12"/>
  <c r="H934" i="12"/>
  <c r="K934" i="12"/>
  <c r="BR19" i="15" s="1"/>
  <c r="BS19" i="15" s="1"/>
  <c r="C933" i="12"/>
  <c r="D933" i="12"/>
  <c r="F933" i="12"/>
  <c r="G933" i="12"/>
  <c r="H933" i="12"/>
  <c r="K933" i="12"/>
  <c r="BR16" i="15" s="1"/>
  <c r="BS16" i="15" s="1"/>
  <c r="C932" i="12"/>
  <c r="D932" i="12"/>
  <c r="F932" i="12"/>
  <c r="G932" i="12"/>
  <c r="H932" i="12"/>
  <c r="K932" i="12"/>
  <c r="BR14" i="15" s="1"/>
  <c r="BS14" i="15" s="1"/>
  <c r="C931" i="12"/>
  <c r="D931" i="12"/>
  <c r="F931" i="12"/>
  <c r="G931" i="12"/>
  <c r="H931" i="12"/>
  <c r="K931" i="12"/>
  <c r="BR74" i="15" s="1"/>
  <c r="BS74" i="15" s="1"/>
  <c r="C930" i="12"/>
  <c r="D930" i="12"/>
  <c r="F930" i="12"/>
  <c r="G930" i="12"/>
  <c r="H930" i="12"/>
  <c r="K930" i="12"/>
  <c r="BR57" i="15" s="1"/>
  <c r="BS57" i="15" s="1"/>
  <c r="C929" i="12"/>
  <c r="D929" i="12"/>
  <c r="F929" i="12"/>
  <c r="G929" i="12"/>
  <c r="H929" i="12"/>
  <c r="K929" i="12"/>
  <c r="BR64" i="15" s="1"/>
  <c r="BS64" i="15" s="1"/>
  <c r="C928" i="12"/>
  <c r="D928" i="12"/>
  <c r="F928" i="12"/>
  <c r="G928" i="12"/>
  <c r="H928" i="12"/>
  <c r="K928" i="12"/>
  <c r="BR61" i="15" s="1"/>
  <c r="BS61" i="15" s="1"/>
  <c r="C927" i="12"/>
  <c r="D927" i="12"/>
  <c r="F927" i="12"/>
  <c r="G927" i="12"/>
  <c r="H927" i="12"/>
  <c r="K927" i="12"/>
  <c r="BR8" i="15" s="1"/>
  <c r="BS8" i="15" s="1"/>
  <c r="C926" i="12"/>
  <c r="D926" i="12"/>
  <c r="F926" i="12"/>
  <c r="G926" i="12"/>
  <c r="H926" i="12"/>
  <c r="K926" i="12"/>
  <c r="BR7" i="15" s="1"/>
  <c r="BS7" i="15" s="1"/>
  <c r="C925" i="12"/>
  <c r="D925" i="12"/>
  <c r="F925" i="12"/>
  <c r="G925" i="12"/>
  <c r="H925" i="12"/>
  <c r="K925" i="12"/>
  <c r="BR63" i="15" s="1"/>
  <c r="BS63" i="15" s="1"/>
  <c r="C924" i="12"/>
  <c r="D924" i="12"/>
  <c r="F924" i="12"/>
  <c r="G924" i="12"/>
  <c r="H924" i="12"/>
  <c r="K924" i="12"/>
  <c r="BR79" i="15" s="1"/>
  <c r="BS79" i="15" s="1"/>
  <c r="C923" i="12"/>
  <c r="D923" i="12"/>
  <c r="F923" i="12"/>
  <c r="G923" i="12"/>
  <c r="H923" i="12"/>
  <c r="K923" i="12"/>
  <c r="BR45" i="15" s="1"/>
  <c r="BS45" i="15" s="1"/>
  <c r="C922" i="12"/>
  <c r="D922" i="12"/>
  <c r="F922" i="12"/>
  <c r="G922" i="12"/>
  <c r="H922" i="12"/>
  <c r="K922" i="12"/>
  <c r="BR73" i="15" s="1"/>
  <c r="BS73" i="15" s="1"/>
  <c r="C921" i="12"/>
  <c r="D921" i="12"/>
  <c r="F921" i="12"/>
  <c r="G921" i="12"/>
  <c r="H921" i="12"/>
  <c r="K921" i="12"/>
  <c r="BR59" i="15" s="1"/>
  <c r="BS59" i="15" s="1"/>
  <c r="C920" i="12"/>
  <c r="D920" i="12"/>
  <c r="F920" i="12"/>
  <c r="G920" i="12"/>
  <c r="H920" i="12"/>
  <c r="K920" i="12"/>
  <c r="BR68" i="15" s="1"/>
  <c r="BS68" i="15" s="1"/>
  <c r="C919" i="12"/>
  <c r="D919" i="12"/>
  <c r="F919" i="12"/>
  <c r="G919" i="12"/>
  <c r="H919" i="12"/>
  <c r="K919" i="12"/>
  <c r="BR13" i="15" s="1"/>
  <c r="BS13" i="15" s="1"/>
  <c r="C918" i="12"/>
  <c r="D918" i="12"/>
  <c r="F918" i="12"/>
  <c r="G918" i="12"/>
  <c r="H918" i="12"/>
  <c r="K918" i="12"/>
  <c r="BR41" i="15" s="1"/>
  <c r="BS41" i="15" s="1"/>
  <c r="C917" i="12"/>
  <c r="D917" i="12"/>
  <c r="F917" i="12"/>
  <c r="G917" i="12"/>
  <c r="H917" i="12"/>
  <c r="K917" i="12"/>
  <c r="BR9" i="15" s="1"/>
  <c r="BS9" i="15" s="1"/>
  <c r="C916" i="12" l="1"/>
  <c r="D916" i="12"/>
  <c r="F916" i="12"/>
  <c r="G916" i="12"/>
  <c r="H916" i="12"/>
  <c r="K916" i="12"/>
  <c r="C915" i="12"/>
  <c r="D915" i="12"/>
  <c r="F915" i="12"/>
  <c r="G915" i="12"/>
  <c r="H915" i="12"/>
  <c r="K915" i="12"/>
  <c r="C914" i="12"/>
  <c r="D914" i="12"/>
  <c r="F914" i="12"/>
  <c r="G914" i="12"/>
  <c r="H914" i="12"/>
  <c r="K914" i="12"/>
  <c r="C913" i="12"/>
  <c r="D913" i="12"/>
  <c r="F913" i="12"/>
  <c r="G913" i="12"/>
  <c r="H913" i="12"/>
  <c r="K913" i="12"/>
  <c r="C912" i="12"/>
  <c r="D912" i="12"/>
  <c r="F912" i="12"/>
  <c r="G912" i="12"/>
  <c r="H912" i="12"/>
  <c r="K912" i="12"/>
  <c r="C911" i="12"/>
  <c r="D911" i="12"/>
  <c r="F911" i="12"/>
  <c r="G911" i="12"/>
  <c r="H911" i="12"/>
  <c r="K911" i="12"/>
  <c r="AB10" i="15" s="1"/>
  <c r="AC10" i="15" s="1"/>
  <c r="H910" i="12" l="1"/>
  <c r="G910" i="12"/>
  <c r="F910" i="12"/>
  <c r="D910" i="12"/>
  <c r="C910" i="12"/>
  <c r="K834" i="12"/>
  <c r="H834" i="12"/>
  <c r="G834" i="12"/>
  <c r="F834" i="12"/>
  <c r="D834" i="12"/>
  <c r="C834" i="12"/>
  <c r="C909" i="12" l="1"/>
  <c r="D909" i="12"/>
  <c r="F909" i="12"/>
  <c r="G909" i="12"/>
  <c r="H909" i="12"/>
  <c r="K909" i="12"/>
  <c r="CG82" i="15" s="1"/>
  <c r="CH82" i="15" s="1"/>
  <c r="C908" i="12"/>
  <c r="D908" i="12"/>
  <c r="F908" i="12"/>
  <c r="G908" i="12"/>
  <c r="H908" i="12"/>
  <c r="K908" i="12"/>
  <c r="CG79" i="15" s="1"/>
  <c r="CH79" i="15" s="1"/>
  <c r="C907" i="12"/>
  <c r="D907" i="12"/>
  <c r="F907" i="12"/>
  <c r="G907" i="12"/>
  <c r="H907" i="12"/>
  <c r="K907" i="12"/>
  <c r="CG76" i="15" s="1"/>
  <c r="CH76" i="15" s="1"/>
  <c r="C903" i="12"/>
  <c r="C904" i="12"/>
  <c r="C905" i="12"/>
  <c r="C906" i="12"/>
  <c r="D903" i="12"/>
  <c r="D904" i="12"/>
  <c r="D905" i="12"/>
  <c r="D906" i="12"/>
  <c r="F903" i="12"/>
  <c r="F904" i="12"/>
  <c r="F905" i="12"/>
  <c r="F906" i="12"/>
  <c r="G903" i="12"/>
  <c r="G904" i="12"/>
  <c r="G905" i="12"/>
  <c r="G906" i="12"/>
  <c r="H903" i="12"/>
  <c r="H904" i="12"/>
  <c r="H905" i="12"/>
  <c r="H906" i="12"/>
  <c r="K903" i="12"/>
  <c r="CG70" i="15" s="1"/>
  <c r="CH70" i="15" s="1"/>
  <c r="K904" i="12"/>
  <c r="CG72" i="15" s="1"/>
  <c r="CH72" i="15" s="1"/>
  <c r="K905" i="12"/>
  <c r="K906" i="12"/>
  <c r="CG74" i="15" s="1"/>
  <c r="CH74" i="15" s="1"/>
  <c r="C902" i="12"/>
  <c r="D902" i="12"/>
  <c r="F902" i="12"/>
  <c r="G902" i="12"/>
  <c r="H902" i="12"/>
  <c r="K902" i="12"/>
  <c r="CG68" i="15" s="1"/>
  <c r="CH68" i="15" s="1"/>
  <c r="C898" i="12"/>
  <c r="C899" i="12"/>
  <c r="C900" i="12"/>
  <c r="C901" i="12"/>
  <c r="D898" i="12"/>
  <c r="D899" i="12"/>
  <c r="D900" i="12"/>
  <c r="D901" i="12"/>
  <c r="F898" i="12"/>
  <c r="F899" i="12"/>
  <c r="F900" i="12"/>
  <c r="F901" i="12"/>
  <c r="G898" i="12"/>
  <c r="G899" i="12"/>
  <c r="G900" i="12"/>
  <c r="G901" i="12"/>
  <c r="H898" i="12"/>
  <c r="H899" i="12"/>
  <c r="H900" i="12"/>
  <c r="H901" i="12"/>
  <c r="K898" i="12"/>
  <c r="CG63" i="15" s="1"/>
  <c r="CH63" i="15" s="1"/>
  <c r="K899" i="12"/>
  <c r="CG64" i="15" s="1"/>
  <c r="CH64" i="15" s="1"/>
  <c r="K900" i="12"/>
  <c r="CG65" i="15" s="1"/>
  <c r="CH65" i="15" s="1"/>
  <c r="K901" i="12"/>
  <c r="CG66" i="15" s="1"/>
  <c r="CH66" i="15" s="1"/>
  <c r="C897" i="12"/>
  <c r="D897" i="12"/>
  <c r="F897" i="12"/>
  <c r="G897" i="12"/>
  <c r="H897" i="12"/>
  <c r="K897" i="12"/>
  <c r="CG61" i="15" s="1"/>
  <c r="CH61" i="15" s="1"/>
  <c r="C893" i="12"/>
  <c r="C894" i="12"/>
  <c r="C895" i="12"/>
  <c r="C896" i="12"/>
  <c r="D893" i="12"/>
  <c r="D894" i="12"/>
  <c r="D895" i="12"/>
  <c r="D896" i="12"/>
  <c r="F893" i="12"/>
  <c r="F894" i="12"/>
  <c r="F895" i="12"/>
  <c r="F896" i="12"/>
  <c r="G893" i="12"/>
  <c r="G894" i="12"/>
  <c r="G895" i="12"/>
  <c r="G896" i="12"/>
  <c r="H893" i="12"/>
  <c r="H894" i="12"/>
  <c r="H895" i="12"/>
  <c r="H896" i="12"/>
  <c r="K893" i="12"/>
  <c r="K894" i="12"/>
  <c r="K895" i="12"/>
  <c r="CG58" i="15" s="1"/>
  <c r="CH58" i="15" s="1"/>
  <c r="K896" i="12"/>
  <c r="CG59" i="15" s="1"/>
  <c r="CH59" i="15" s="1"/>
  <c r="C892" i="12"/>
  <c r="D892" i="12"/>
  <c r="F892" i="12"/>
  <c r="G892" i="12"/>
  <c r="H892" i="12"/>
  <c r="K892" i="12"/>
  <c r="CG54" i="15" s="1"/>
  <c r="CH54" i="15" s="1"/>
  <c r="C886" i="12"/>
  <c r="C887" i="12"/>
  <c r="C888" i="12"/>
  <c r="C889" i="12"/>
  <c r="C890" i="12"/>
  <c r="C891" i="12"/>
  <c r="D886" i="12"/>
  <c r="D887" i="12"/>
  <c r="D888" i="12"/>
  <c r="D889" i="12"/>
  <c r="D890" i="12"/>
  <c r="D891" i="12"/>
  <c r="F886" i="12"/>
  <c r="F887" i="12"/>
  <c r="F888" i="12"/>
  <c r="F889" i="12"/>
  <c r="F890" i="12"/>
  <c r="F891" i="12"/>
  <c r="G886" i="12"/>
  <c r="G887" i="12"/>
  <c r="G888" i="12"/>
  <c r="G889" i="12"/>
  <c r="G890" i="12"/>
  <c r="G891" i="12"/>
  <c r="H886" i="12"/>
  <c r="H887" i="12"/>
  <c r="H888" i="12"/>
  <c r="H889" i="12"/>
  <c r="H890" i="12"/>
  <c r="H891" i="12"/>
  <c r="K886" i="12"/>
  <c r="K887" i="12"/>
  <c r="CG41" i="15" s="1"/>
  <c r="CH41" i="15" s="1"/>
  <c r="K888" i="12"/>
  <c r="CG43" i="15" s="1"/>
  <c r="CH43" i="15" s="1"/>
  <c r="K889" i="12"/>
  <c r="CG45" i="15" s="1"/>
  <c r="CH45" i="15" s="1"/>
  <c r="K890" i="12"/>
  <c r="CG46" i="15" s="1"/>
  <c r="CH46" i="15" s="1"/>
  <c r="K891" i="12"/>
  <c r="CG47" i="15" s="1"/>
  <c r="CH47" i="15" s="1"/>
  <c r="C885" i="12"/>
  <c r="D885" i="12"/>
  <c r="F885" i="12"/>
  <c r="G885" i="12"/>
  <c r="H885" i="12"/>
  <c r="K885" i="12"/>
  <c r="CG36" i="15" s="1"/>
  <c r="CH36" i="15" s="1"/>
  <c r="C884" i="12"/>
  <c r="D884" i="12"/>
  <c r="F884" i="12"/>
  <c r="G884" i="12"/>
  <c r="H884" i="12"/>
  <c r="K884" i="12"/>
  <c r="CG24" i="15" s="1"/>
  <c r="CH24" i="15" s="1"/>
  <c r="C879" i="12"/>
  <c r="C880" i="12"/>
  <c r="C881" i="12"/>
  <c r="C882" i="12"/>
  <c r="C883" i="12"/>
  <c r="D879" i="12"/>
  <c r="D880" i="12"/>
  <c r="D881" i="12"/>
  <c r="D882" i="12"/>
  <c r="D883" i="12"/>
  <c r="F879" i="12"/>
  <c r="F880" i="12"/>
  <c r="F881" i="12"/>
  <c r="F882" i="12"/>
  <c r="F883" i="12"/>
  <c r="G879" i="12"/>
  <c r="G880" i="12"/>
  <c r="G881" i="12"/>
  <c r="G882" i="12"/>
  <c r="G883" i="12"/>
  <c r="H879" i="12"/>
  <c r="H880" i="12"/>
  <c r="H881" i="12"/>
  <c r="H882" i="12"/>
  <c r="H883" i="12"/>
  <c r="K879" i="12"/>
  <c r="CG18" i="15" s="1"/>
  <c r="CH18" i="15" s="1"/>
  <c r="K880" i="12"/>
  <c r="CG19" i="15" s="1"/>
  <c r="CH19" i="15" s="1"/>
  <c r="K881" i="12"/>
  <c r="CG20" i="15" s="1"/>
  <c r="CH20" i="15" s="1"/>
  <c r="K882" i="12"/>
  <c r="CG21" i="15" s="1"/>
  <c r="CH21" i="15" s="1"/>
  <c r="K883" i="12"/>
  <c r="CG22" i="15" s="1"/>
  <c r="CH22" i="15" s="1"/>
  <c r="C878" i="12"/>
  <c r="D878" i="12"/>
  <c r="F878" i="12"/>
  <c r="G878" i="12"/>
  <c r="H878" i="12"/>
  <c r="K878" i="12"/>
  <c r="CG16" i="15" s="1"/>
  <c r="CH16" i="15" s="1"/>
  <c r="C876" i="12"/>
  <c r="C877" i="12"/>
  <c r="D876" i="12"/>
  <c r="D877" i="12"/>
  <c r="F876" i="12"/>
  <c r="F877" i="12"/>
  <c r="G876" i="12"/>
  <c r="G877" i="12"/>
  <c r="H876" i="12"/>
  <c r="H877" i="12"/>
  <c r="K876" i="12"/>
  <c r="CG13" i="15" s="1"/>
  <c r="CH13" i="15" s="1"/>
  <c r="K877" i="12"/>
  <c r="CG14" i="15" s="1"/>
  <c r="CH14" i="15" s="1"/>
  <c r="C873" i="12"/>
  <c r="C874" i="12"/>
  <c r="C875" i="12"/>
  <c r="D873" i="12"/>
  <c r="D874" i="12"/>
  <c r="D875" i="12"/>
  <c r="F873" i="12"/>
  <c r="F874" i="12"/>
  <c r="F875" i="12"/>
  <c r="G873" i="12"/>
  <c r="G874" i="12"/>
  <c r="G875" i="12"/>
  <c r="H873" i="12"/>
  <c r="H874" i="12"/>
  <c r="H875" i="12"/>
  <c r="K873" i="12"/>
  <c r="CG7" i="15" s="1"/>
  <c r="CH7" i="15" s="1"/>
  <c r="K874" i="12"/>
  <c r="CG8" i="15" s="1"/>
  <c r="CH8" i="15" s="1"/>
  <c r="K875" i="12"/>
  <c r="CG9" i="15" s="1"/>
  <c r="CH9" i="15" s="1"/>
  <c r="C872" i="12"/>
  <c r="D872" i="12"/>
  <c r="F872" i="12"/>
  <c r="G872" i="12"/>
  <c r="H872" i="12"/>
  <c r="K872" i="12"/>
  <c r="CG4" i="15" s="1"/>
  <c r="CH4" i="15" s="1"/>
  <c r="CG3" i="15"/>
  <c r="CH3" i="15" s="1"/>
  <c r="CG5" i="15"/>
  <c r="CH5" i="15" s="1"/>
  <c r="CG6" i="15"/>
  <c r="CH6" i="15" s="1"/>
  <c r="CG10" i="15"/>
  <c r="CH10" i="15" s="1"/>
  <c r="CG11" i="15"/>
  <c r="CH11" i="15" s="1"/>
  <c r="CG12" i="15"/>
  <c r="CH12" i="15" s="1"/>
  <c r="CG15" i="15"/>
  <c r="CH15" i="15" s="1"/>
  <c r="CG17" i="15"/>
  <c r="CH17" i="15" s="1"/>
  <c r="CG23" i="15"/>
  <c r="CH23" i="15" s="1"/>
  <c r="CG25" i="15"/>
  <c r="CH25" i="15" s="1"/>
  <c r="CG26" i="15"/>
  <c r="CH26" i="15" s="1"/>
  <c r="CG27" i="15"/>
  <c r="CH27" i="15" s="1"/>
  <c r="CG28" i="15"/>
  <c r="CH28" i="15" s="1"/>
  <c r="CG29" i="15"/>
  <c r="CH29" i="15" s="1"/>
  <c r="CG30" i="15"/>
  <c r="CH30" i="15" s="1"/>
  <c r="CG31" i="15"/>
  <c r="CH31" i="15" s="1"/>
  <c r="CG32" i="15"/>
  <c r="CH32" i="15" s="1"/>
  <c r="CG33" i="15"/>
  <c r="CH33" i="15" s="1"/>
  <c r="CG34" i="15"/>
  <c r="CH34" i="15" s="1"/>
  <c r="CG35" i="15"/>
  <c r="CH35" i="15" s="1"/>
  <c r="CG37" i="15"/>
  <c r="CH37" i="15" s="1"/>
  <c r="CG38" i="15"/>
  <c r="CH38" i="15" s="1"/>
  <c r="CG39" i="15"/>
  <c r="CH39" i="15" s="1"/>
  <c r="CG40" i="15"/>
  <c r="CH40" i="15" s="1"/>
  <c r="CG48" i="15"/>
  <c r="CH48" i="15" s="1"/>
  <c r="CG49" i="15"/>
  <c r="CH49" i="15" s="1"/>
  <c r="CG50" i="15"/>
  <c r="CH50" i="15" s="1"/>
  <c r="CG51" i="15"/>
  <c r="CH51" i="15" s="1"/>
  <c r="CG52" i="15"/>
  <c r="CH52" i="15" s="1"/>
  <c r="CG53" i="15"/>
  <c r="CH53" i="15" s="1"/>
  <c r="CG55" i="15"/>
  <c r="CH55" i="15" s="1"/>
  <c r="CG56" i="15"/>
  <c r="CH56" i="15" s="1"/>
  <c r="CG57" i="15"/>
  <c r="CH57" i="15" s="1"/>
  <c r="CG60" i="15"/>
  <c r="CH60" i="15" s="1"/>
  <c r="CG62" i="15"/>
  <c r="CH62" i="15" s="1"/>
  <c r="CG67" i="15"/>
  <c r="CH67" i="15" s="1"/>
  <c r="CG69" i="15"/>
  <c r="CH69" i="15" s="1"/>
  <c r="CG73" i="15"/>
  <c r="CH73" i="15" s="1"/>
  <c r="CG75" i="15"/>
  <c r="CH75" i="15" s="1"/>
  <c r="CG77" i="15"/>
  <c r="CH77" i="15" s="1"/>
  <c r="CG78" i="15"/>
  <c r="CH78" i="15" s="1"/>
  <c r="CG80" i="15"/>
  <c r="CH80" i="15" s="1"/>
  <c r="CG81" i="15"/>
  <c r="CH81" i="15" s="1"/>
  <c r="C871" i="12" l="1"/>
  <c r="D871" i="12"/>
  <c r="F871" i="12"/>
  <c r="G871" i="12"/>
  <c r="H871" i="12"/>
  <c r="K871" i="12"/>
  <c r="C870" i="12"/>
  <c r="D870" i="12"/>
  <c r="F870" i="12"/>
  <c r="G870" i="12"/>
  <c r="H870" i="12"/>
  <c r="K870" i="12"/>
  <c r="C869" i="12"/>
  <c r="D869" i="12"/>
  <c r="F869" i="12"/>
  <c r="G869" i="12"/>
  <c r="H869" i="12"/>
  <c r="K869" i="12"/>
  <c r="C868" i="12"/>
  <c r="D868" i="12"/>
  <c r="F868" i="12"/>
  <c r="G868" i="12"/>
  <c r="H868" i="12"/>
  <c r="K868" i="12"/>
  <c r="C867" i="12"/>
  <c r="D867" i="12"/>
  <c r="F867" i="12"/>
  <c r="G867" i="12"/>
  <c r="H867" i="12"/>
  <c r="K867" i="12"/>
  <c r="C866" i="12"/>
  <c r="D866" i="12"/>
  <c r="F866" i="12"/>
  <c r="G866" i="12"/>
  <c r="H866" i="12"/>
  <c r="K866" i="12"/>
  <c r="C865" i="12"/>
  <c r="D865" i="12"/>
  <c r="F865" i="12"/>
  <c r="G865" i="12"/>
  <c r="H865" i="12"/>
  <c r="K865" i="12"/>
  <c r="C864" i="12"/>
  <c r="D864" i="12"/>
  <c r="F864" i="12"/>
  <c r="G864" i="12"/>
  <c r="H864" i="12"/>
  <c r="K864" i="12"/>
  <c r="C863" i="12"/>
  <c r="D863" i="12"/>
  <c r="F863" i="12"/>
  <c r="G863" i="12"/>
  <c r="H863" i="12"/>
  <c r="K863" i="12"/>
  <c r="C862" i="12"/>
  <c r="D862" i="12"/>
  <c r="F862" i="12"/>
  <c r="G862" i="12"/>
  <c r="H862" i="12"/>
  <c r="K862" i="12"/>
  <c r="C861" i="12"/>
  <c r="D861" i="12"/>
  <c r="F861" i="12"/>
  <c r="G861" i="12"/>
  <c r="H861" i="12"/>
  <c r="K861" i="12"/>
  <c r="C860" i="12"/>
  <c r="D860" i="12"/>
  <c r="F860" i="12"/>
  <c r="G860" i="12"/>
  <c r="H860" i="12"/>
  <c r="K860" i="12"/>
  <c r="C859" i="12"/>
  <c r="D859" i="12"/>
  <c r="F859" i="12"/>
  <c r="G859" i="12"/>
  <c r="H859" i="12"/>
  <c r="K859" i="12"/>
  <c r="C858" i="12"/>
  <c r="D858" i="12"/>
  <c r="F858" i="12"/>
  <c r="G858" i="12"/>
  <c r="H858" i="12"/>
  <c r="K858" i="12"/>
  <c r="C857" i="12"/>
  <c r="D857" i="12"/>
  <c r="F857" i="12"/>
  <c r="G857" i="12"/>
  <c r="H857" i="12"/>
  <c r="K857" i="12"/>
  <c r="C856" i="12"/>
  <c r="D856" i="12"/>
  <c r="F856" i="12"/>
  <c r="G856" i="12"/>
  <c r="H856" i="12"/>
  <c r="K856" i="12"/>
  <c r="C855" i="12"/>
  <c r="D855" i="12"/>
  <c r="F855" i="12"/>
  <c r="G855" i="12"/>
  <c r="H855" i="12"/>
  <c r="K855" i="12"/>
  <c r="C854" i="12"/>
  <c r="D854" i="12"/>
  <c r="F854" i="12"/>
  <c r="G854" i="12"/>
  <c r="H854" i="12"/>
  <c r="K854" i="12"/>
  <c r="C853" i="12"/>
  <c r="D853" i="12"/>
  <c r="F853" i="12"/>
  <c r="G853" i="12"/>
  <c r="H853" i="12"/>
  <c r="K853" i="12"/>
  <c r="C852" i="12"/>
  <c r="D852" i="12"/>
  <c r="F852" i="12"/>
  <c r="G852" i="12"/>
  <c r="H852" i="12"/>
  <c r="K852" i="12"/>
  <c r="C851" i="12"/>
  <c r="D851" i="12"/>
  <c r="F851" i="12"/>
  <c r="G851" i="12"/>
  <c r="H851" i="12"/>
  <c r="K851" i="12"/>
  <c r="C850" i="12"/>
  <c r="D850" i="12"/>
  <c r="F850" i="12"/>
  <c r="G850" i="12"/>
  <c r="H850" i="12"/>
  <c r="K850" i="12"/>
  <c r="C849" i="12"/>
  <c r="D849" i="12"/>
  <c r="F849" i="12"/>
  <c r="G849" i="12"/>
  <c r="H849" i="12"/>
  <c r="K849" i="12"/>
  <c r="C848" i="12"/>
  <c r="D848" i="12"/>
  <c r="F848" i="12"/>
  <c r="G848" i="12"/>
  <c r="H848" i="12"/>
  <c r="K848" i="12"/>
  <c r="C847" i="12"/>
  <c r="D847" i="12"/>
  <c r="F847" i="12"/>
  <c r="G847" i="12"/>
  <c r="H847" i="12"/>
  <c r="K847" i="12"/>
  <c r="C846" i="12"/>
  <c r="D846" i="12"/>
  <c r="F846" i="12"/>
  <c r="G846" i="12"/>
  <c r="H846" i="12"/>
  <c r="K846" i="12"/>
  <c r="C845" i="12"/>
  <c r="D845" i="12"/>
  <c r="F845" i="12"/>
  <c r="G845" i="12"/>
  <c r="H845" i="12"/>
  <c r="K845" i="12"/>
  <c r="C844" i="12"/>
  <c r="D844" i="12"/>
  <c r="F844" i="12"/>
  <c r="G844" i="12"/>
  <c r="H844" i="12"/>
  <c r="K844" i="12"/>
  <c r="C843" i="12"/>
  <c r="D843" i="12"/>
  <c r="F843" i="12"/>
  <c r="G843" i="12"/>
  <c r="H843" i="12"/>
  <c r="K843" i="12"/>
  <c r="C842" i="12"/>
  <c r="D842" i="12"/>
  <c r="F842" i="12"/>
  <c r="G842" i="12"/>
  <c r="H842" i="12"/>
  <c r="K842" i="12"/>
  <c r="C841" i="12"/>
  <c r="D841" i="12"/>
  <c r="F841" i="12"/>
  <c r="G841" i="12"/>
  <c r="H841" i="12"/>
  <c r="K841" i="12"/>
  <c r="C840" i="12"/>
  <c r="D840" i="12"/>
  <c r="F840" i="12"/>
  <c r="G840" i="12"/>
  <c r="H840" i="12"/>
  <c r="K840" i="12"/>
  <c r="C839" i="12"/>
  <c r="D839" i="12"/>
  <c r="F839" i="12"/>
  <c r="G839" i="12"/>
  <c r="H839" i="12"/>
  <c r="K839" i="12"/>
  <c r="C838" i="12"/>
  <c r="D838" i="12"/>
  <c r="F838" i="12"/>
  <c r="G838" i="12"/>
  <c r="H838" i="12"/>
  <c r="K838" i="12"/>
  <c r="C837" i="12"/>
  <c r="D837" i="12"/>
  <c r="F837" i="12"/>
  <c r="G837" i="12"/>
  <c r="H837" i="12"/>
  <c r="K837" i="12"/>
  <c r="C836" i="12"/>
  <c r="D836" i="12"/>
  <c r="F836" i="12"/>
  <c r="G836" i="12"/>
  <c r="H836" i="12"/>
  <c r="K836" i="12"/>
  <c r="C835" i="12"/>
  <c r="D835" i="12"/>
  <c r="F835" i="12"/>
  <c r="G835" i="12"/>
  <c r="H835" i="12"/>
  <c r="K835" i="12"/>
  <c r="C833" i="12"/>
  <c r="D833" i="12"/>
  <c r="F833" i="12"/>
  <c r="G833" i="12"/>
  <c r="H833" i="12"/>
  <c r="K833" i="12"/>
  <c r="C832" i="12"/>
  <c r="D832" i="12"/>
  <c r="F832" i="12"/>
  <c r="G832" i="12"/>
  <c r="H832" i="12"/>
  <c r="K832" i="12"/>
  <c r="C570" i="12"/>
  <c r="D570" i="12"/>
  <c r="F570" i="12"/>
  <c r="G570" i="12"/>
  <c r="H570" i="12"/>
  <c r="K570" i="12"/>
  <c r="C571" i="12"/>
  <c r="D571" i="12"/>
  <c r="F571" i="12"/>
  <c r="G571" i="12"/>
  <c r="H571" i="12"/>
  <c r="K571" i="12"/>
  <c r="C445" i="12"/>
  <c r="D445" i="12"/>
  <c r="F445" i="12"/>
  <c r="G445" i="12"/>
  <c r="H445" i="12"/>
  <c r="K445" i="12"/>
  <c r="C446" i="12"/>
  <c r="D446" i="12"/>
  <c r="F446" i="12"/>
  <c r="G446" i="12"/>
  <c r="H446" i="12"/>
  <c r="K446" i="12"/>
  <c r="C573" i="12"/>
  <c r="D573" i="12"/>
  <c r="F573" i="12"/>
  <c r="G573" i="12"/>
  <c r="H573" i="12"/>
  <c r="K573" i="12"/>
  <c r="C574" i="12"/>
  <c r="D574" i="12"/>
  <c r="F574" i="12"/>
  <c r="G574" i="12"/>
  <c r="H574" i="12"/>
  <c r="K574" i="12"/>
  <c r="C437" i="12"/>
  <c r="D437" i="12"/>
  <c r="F437" i="12"/>
  <c r="G437" i="12"/>
  <c r="H437" i="12"/>
  <c r="K437" i="12"/>
  <c r="C438" i="12"/>
  <c r="D438" i="12"/>
  <c r="F438" i="12"/>
  <c r="G438" i="12"/>
  <c r="H438" i="12"/>
  <c r="K438" i="12"/>
  <c r="C422" i="12"/>
  <c r="D422" i="12"/>
  <c r="F422" i="12"/>
  <c r="G422" i="12"/>
  <c r="H422" i="12"/>
  <c r="K422" i="12"/>
  <c r="D510" i="12" l="1"/>
  <c r="C510" i="12"/>
  <c r="F510" i="12"/>
  <c r="G510" i="12"/>
  <c r="H510" i="12"/>
  <c r="K510" i="12"/>
  <c r="K508" i="12"/>
  <c r="H508" i="12"/>
  <c r="G508" i="12"/>
  <c r="F508" i="12"/>
  <c r="D508" i="12"/>
  <c r="C508" i="12"/>
  <c r="K485" i="12"/>
  <c r="H485" i="12"/>
  <c r="G485" i="12"/>
  <c r="F485" i="12"/>
  <c r="D485" i="12"/>
  <c r="C485" i="12"/>
  <c r="K483" i="12"/>
  <c r="H483" i="12"/>
  <c r="G483" i="12"/>
  <c r="F483" i="12"/>
  <c r="D483" i="12"/>
  <c r="C483" i="12"/>
  <c r="K481" i="12"/>
  <c r="H481" i="12"/>
  <c r="G481" i="12"/>
  <c r="F481" i="12"/>
  <c r="D481" i="12"/>
  <c r="C481" i="12"/>
  <c r="K479" i="12"/>
  <c r="H479" i="12"/>
  <c r="G479" i="12"/>
  <c r="F479" i="12"/>
  <c r="D479" i="12"/>
  <c r="C479" i="12"/>
  <c r="K477" i="12"/>
  <c r="H477" i="12"/>
  <c r="G477" i="12"/>
  <c r="F477" i="12"/>
  <c r="D477" i="12"/>
  <c r="C477" i="12"/>
  <c r="K475" i="12"/>
  <c r="H475" i="12"/>
  <c r="G475" i="12"/>
  <c r="F475" i="12"/>
  <c r="D475" i="12"/>
  <c r="C475" i="12"/>
  <c r="K473" i="12"/>
  <c r="H473" i="12"/>
  <c r="G473" i="12"/>
  <c r="F473" i="12"/>
  <c r="D473" i="12"/>
  <c r="C473" i="12"/>
  <c r="K471" i="12"/>
  <c r="H471" i="12"/>
  <c r="G471" i="12"/>
  <c r="F471" i="12"/>
  <c r="D471" i="12"/>
  <c r="C471" i="12"/>
  <c r="K469" i="12"/>
  <c r="H469" i="12"/>
  <c r="G469" i="12"/>
  <c r="F469" i="12"/>
  <c r="D469" i="12"/>
  <c r="C469" i="12"/>
  <c r="K467" i="12"/>
  <c r="H467" i="12"/>
  <c r="G467" i="12"/>
  <c r="F467" i="12"/>
  <c r="D467" i="12"/>
  <c r="C467" i="12"/>
  <c r="K465" i="12"/>
  <c r="H465" i="12"/>
  <c r="G465" i="12"/>
  <c r="F465" i="12"/>
  <c r="D465" i="12"/>
  <c r="C465" i="12"/>
  <c r="K463" i="12"/>
  <c r="H463" i="12"/>
  <c r="G463" i="12"/>
  <c r="F463" i="12"/>
  <c r="D463" i="12"/>
  <c r="C463" i="12"/>
  <c r="K461" i="12"/>
  <c r="H461" i="12"/>
  <c r="G461" i="12"/>
  <c r="F461" i="12"/>
  <c r="D461" i="12"/>
  <c r="C461" i="12"/>
  <c r="K459" i="12"/>
  <c r="H459" i="12"/>
  <c r="G459" i="12"/>
  <c r="F459" i="12"/>
  <c r="D459" i="12"/>
  <c r="C459" i="12"/>
  <c r="C480" i="12"/>
  <c r="D480" i="12"/>
  <c r="F480" i="12"/>
  <c r="G480" i="12"/>
  <c r="H480" i="12"/>
  <c r="K480" i="12"/>
  <c r="K452" i="12"/>
  <c r="H452" i="12"/>
  <c r="G452" i="12"/>
  <c r="F452" i="12"/>
  <c r="D452" i="12"/>
  <c r="C452" i="12"/>
  <c r="K423" i="12"/>
  <c r="H423" i="12"/>
  <c r="G423" i="12"/>
  <c r="F423" i="12"/>
  <c r="D423" i="12"/>
  <c r="C423" i="12"/>
  <c r="K420" i="12"/>
  <c r="H420" i="12"/>
  <c r="G420" i="12"/>
  <c r="F420" i="12"/>
  <c r="D420" i="12"/>
  <c r="C420" i="12"/>
  <c r="K180" i="12"/>
  <c r="H180" i="12"/>
  <c r="G180" i="12"/>
  <c r="F180" i="12"/>
  <c r="D180" i="12"/>
  <c r="C180" i="12"/>
  <c r="K178" i="12"/>
  <c r="H178" i="12"/>
  <c r="G178" i="12"/>
  <c r="F178" i="12"/>
  <c r="D178" i="12"/>
  <c r="C178" i="12"/>
  <c r="K176" i="12"/>
  <c r="H176" i="12"/>
  <c r="G176" i="12"/>
  <c r="F176" i="12"/>
  <c r="D176" i="12"/>
  <c r="C176" i="12"/>
  <c r="K173" i="12"/>
  <c r="H173" i="12"/>
  <c r="G173" i="12"/>
  <c r="F173" i="12"/>
  <c r="D173" i="12"/>
  <c r="C173" i="12"/>
  <c r="K171" i="12"/>
  <c r="H171" i="12"/>
  <c r="G171" i="12"/>
  <c r="F171" i="12"/>
  <c r="D171" i="12"/>
  <c r="C171" i="12"/>
  <c r="K169" i="12"/>
  <c r="H169" i="12"/>
  <c r="G169" i="12"/>
  <c r="F169" i="12"/>
  <c r="D169" i="12"/>
  <c r="C169" i="12"/>
  <c r="K167" i="12"/>
  <c r="H167" i="12"/>
  <c r="G167" i="12"/>
  <c r="F167" i="12"/>
  <c r="D167" i="12"/>
  <c r="C167" i="12"/>
  <c r="K165" i="12"/>
  <c r="H165" i="12"/>
  <c r="G165" i="12"/>
  <c r="F165" i="12"/>
  <c r="D165" i="12"/>
  <c r="C165" i="12"/>
  <c r="K163" i="12"/>
  <c r="H163" i="12"/>
  <c r="G163" i="12"/>
  <c r="F163" i="12"/>
  <c r="D163" i="12"/>
  <c r="C163" i="12"/>
  <c r="K161" i="12"/>
  <c r="H161" i="12"/>
  <c r="G161" i="12"/>
  <c r="F161" i="12"/>
  <c r="D161" i="12"/>
  <c r="C161" i="12"/>
  <c r="K159" i="12"/>
  <c r="H159" i="12"/>
  <c r="G159" i="12"/>
  <c r="F159" i="12"/>
  <c r="D159" i="12"/>
  <c r="C159" i="12"/>
  <c r="K146" i="12"/>
  <c r="H146" i="12"/>
  <c r="G146" i="12"/>
  <c r="F146" i="12"/>
  <c r="D146" i="12"/>
  <c r="C146" i="12"/>
  <c r="K137" i="12"/>
  <c r="H137" i="12"/>
  <c r="G137" i="12"/>
  <c r="F137" i="12"/>
  <c r="D137" i="12"/>
  <c r="C137" i="12"/>
  <c r="K131" i="12"/>
  <c r="H131" i="12"/>
  <c r="G131" i="12"/>
  <c r="F131" i="12"/>
  <c r="D131" i="12"/>
  <c r="C131" i="12"/>
  <c r="K781" i="12"/>
  <c r="H781" i="12"/>
  <c r="G781" i="12"/>
  <c r="F781" i="12"/>
  <c r="D781" i="12"/>
  <c r="C781" i="12"/>
  <c r="K796" i="12"/>
  <c r="H796" i="12"/>
  <c r="G796" i="12"/>
  <c r="F796" i="12"/>
  <c r="D796" i="12"/>
  <c r="C796" i="12"/>
  <c r="K794" i="12"/>
  <c r="H794" i="12"/>
  <c r="G794" i="12"/>
  <c r="F794" i="12"/>
  <c r="D794" i="12"/>
  <c r="C794" i="12"/>
  <c r="K785" i="12"/>
  <c r="H785" i="12"/>
  <c r="G785" i="12"/>
  <c r="F785" i="12"/>
  <c r="D785" i="12"/>
  <c r="C785" i="12"/>
  <c r="K633" i="12"/>
  <c r="H633" i="12"/>
  <c r="G633" i="12"/>
  <c r="F633" i="12"/>
  <c r="D633" i="12"/>
  <c r="C633" i="12"/>
  <c r="K617" i="12"/>
  <c r="H617" i="12"/>
  <c r="G617" i="12"/>
  <c r="F617" i="12"/>
  <c r="D617" i="12"/>
  <c r="C617" i="12"/>
  <c r="K594" i="12"/>
  <c r="H594" i="12"/>
  <c r="G594" i="12"/>
  <c r="F594" i="12"/>
  <c r="D594" i="12"/>
  <c r="C594" i="12"/>
  <c r="H37" i="12"/>
  <c r="G37" i="12"/>
  <c r="F37" i="12"/>
  <c r="D37" i="12"/>
  <c r="C37" i="12"/>
  <c r="K37" i="12"/>
  <c r="C792" i="12"/>
  <c r="D792" i="12"/>
  <c r="F792" i="12"/>
  <c r="G792" i="12"/>
  <c r="H792" i="12"/>
  <c r="K792" i="12"/>
  <c r="C249" i="12" l="1"/>
  <c r="D249" i="12"/>
  <c r="F249" i="12"/>
  <c r="G249" i="12"/>
  <c r="H249" i="12"/>
  <c r="K249" i="12"/>
  <c r="C248" i="12"/>
  <c r="D248" i="12"/>
  <c r="F248" i="12"/>
  <c r="G248" i="12"/>
  <c r="H248" i="12"/>
  <c r="K248" i="12"/>
  <c r="K800" i="12"/>
  <c r="K801" i="12"/>
  <c r="K802" i="12"/>
  <c r="K803" i="12"/>
  <c r="K804" i="12"/>
  <c r="K805" i="12"/>
  <c r="K806" i="12"/>
  <c r="K807" i="12"/>
  <c r="K808" i="12"/>
  <c r="K809" i="12"/>
  <c r="K810" i="12"/>
  <c r="K811" i="12"/>
  <c r="K812" i="12"/>
  <c r="K813" i="12"/>
  <c r="K814" i="12"/>
  <c r="K815" i="12"/>
  <c r="K816" i="12"/>
  <c r="K817" i="12"/>
  <c r="K818" i="12"/>
  <c r="K819" i="12"/>
  <c r="K820" i="12"/>
  <c r="K821" i="12"/>
  <c r="K822" i="12"/>
  <c r="K823" i="12"/>
  <c r="K824" i="12"/>
  <c r="K825" i="12"/>
  <c r="K826" i="12"/>
  <c r="K827" i="12"/>
  <c r="K828" i="12"/>
  <c r="K829" i="12"/>
  <c r="K830" i="12"/>
  <c r="K831" i="12"/>
  <c r="H831" i="12"/>
  <c r="G831" i="12"/>
  <c r="F831" i="12"/>
  <c r="D831" i="12"/>
  <c r="C831" i="12"/>
  <c r="H830" i="12"/>
  <c r="G830" i="12"/>
  <c r="F830" i="12"/>
  <c r="D830" i="12"/>
  <c r="C830" i="12"/>
  <c r="H829" i="12"/>
  <c r="G829" i="12"/>
  <c r="F829" i="12"/>
  <c r="D829" i="12"/>
  <c r="C829" i="12"/>
  <c r="H828" i="12"/>
  <c r="G828" i="12"/>
  <c r="F828" i="12"/>
  <c r="D828" i="12"/>
  <c r="C828" i="12"/>
  <c r="H827" i="12"/>
  <c r="G827" i="12"/>
  <c r="F827" i="12"/>
  <c r="D827" i="12"/>
  <c r="C827" i="12"/>
  <c r="H826" i="12"/>
  <c r="G826" i="12"/>
  <c r="F826" i="12"/>
  <c r="D826" i="12"/>
  <c r="C826" i="12"/>
  <c r="H825" i="12"/>
  <c r="G825" i="12"/>
  <c r="F825" i="12"/>
  <c r="D825" i="12"/>
  <c r="C825" i="12"/>
  <c r="H824" i="12"/>
  <c r="G824" i="12"/>
  <c r="F824" i="12"/>
  <c r="D824" i="12"/>
  <c r="C824" i="12"/>
  <c r="H823" i="12"/>
  <c r="G823" i="12"/>
  <c r="F823" i="12"/>
  <c r="D823" i="12"/>
  <c r="C823" i="12"/>
  <c r="H822" i="12"/>
  <c r="G822" i="12"/>
  <c r="F822" i="12"/>
  <c r="D822" i="12"/>
  <c r="C822" i="12"/>
  <c r="H821" i="12"/>
  <c r="G821" i="12"/>
  <c r="F821" i="12"/>
  <c r="D821" i="12"/>
  <c r="C821" i="12"/>
  <c r="H820" i="12"/>
  <c r="G820" i="12"/>
  <c r="F820" i="12"/>
  <c r="D820" i="12"/>
  <c r="C820" i="12"/>
  <c r="H819" i="12"/>
  <c r="G819" i="12"/>
  <c r="F819" i="12"/>
  <c r="D819" i="12"/>
  <c r="C819" i="12"/>
  <c r="H818" i="12"/>
  <c r="G818" i="12"/>
  <c r="F818" i="12"/>
  <c r="D818" i="12"/>
  <c r="C818" i="12"/>
  <c r="H817" i="12"/>
  <c r="G817" i="12"/>
  <c r="F817" i="12"/>
  <c r="D817" i="12"/>
  <c r="C817" i="12"/>
  <c r="H816" i="12"/>
  <c r="G816" i="12"/>
  <c r="F816" i="12"/>
  <c r="D816" i="12"/>
  <c r="C816" i="12"/>
  <c r="H815" i="12"/>
  <c r="G815" i="12"/>
  <c r="F815" i="12"/>
  <c r="D815" i="12"/>
  <c r="C815" i="12"/>
  <c r="H814" i="12"/>
  <c r="G814" i="12"/>
  <c r="F814" i="12"/>
  <c r="D814" i="12"/>
  <c r="C814" i="12"/>
  <c r="H813" i="12"/>
  <c r="G813" i="12"/>
  <c r="F813" i="12"/>
  <c r="D813" i="12"/>
  <c r="C813" i="12"/>
  <c r="H812" i="12"/>
  <c r="G812" i="12"/>
  <c r="F812" i="12"/>
  <c r="D812" i="12"/>
  <c r="C812" i="12"/>
  <c r="H811" i="12"/>
  <c r="G811" i="12"/>
  <c r="F811" i="12"/>
  <c r="D811" i="12"/>
  <c r="C811" i="12"/>
  <c r="H810" i="12"/>
  <c r="G810" i="12"/>
  <c r="F810" i="12"/>
  <c r="D810" i="12"/>
  <c r="C810" i="12"/>
  <c r="H809" i="12"/>
  <c r="G809" i="12"/>
  <c r="F809" i="12"/>
  <c r="D809" i="12"/>
  <c r="C809" i="12"/>
  <c r="H808" i="12"/>
  <c r="G808" i="12"/>
  <c r="F808" i="12"/>
  <c r="D808" i="12"/>
  <c r="C808" i="12"/>
  <c r="H807" i="12"/>
  <c r="G807" i="12"/>
  <c r="F807" i="12"/>
  <c r="D807" i="12"/>
  <c r="C807" i="12"/>
  <c r="H806" i="12"/>
  <c r="G806" i="12"/>
  <c r="F806" i="12"/>
  <c r="D806" i="12"/>
  <c r="C806" i="12"/>
  <c r="H805" i="12"/>
  <c r="G805" i="12"/>
  <c r="F805" i="12"/>
  <c r="D805" i="12"/>
  <c r="C805" i="12"/>
  <c r="H804" i="12"/>
  <c r="G804" i="12"/>
  <c r="F804" i="12"/>
  <c r="D804" i="12"/>
  <c r="C804" i="12"/>
  <c r="H803" i="12"/>
  <c r="G803" i="12"/>
  <c r="F803" i="12"/>
  <c r="D803" i="12"/>
  <c r="C803" i="12"/>
  <c r="H802" i="12"/>
  <c r="G802" i="12"/>
  <c r="F802" i="12"/>
  <c r="D802" i="12"/>
  <c r="C802" i="12"/>
  <c r="H801" i="12"/>
  <c r="G801" i="12"/>
  <c r="F801" i="12"/>
  <c r="D801" i="12"/>
  <c r="C801" i="12"/>
  <c r="H800" i="12"/>
  <c r="G800" i="12"/>
  <c r="F800" i="12"/>
  <c r="D800" i="12"/>
  <c r="C800" i="12"/>
  <c r="H799" i="12"/>
  <c r="G799" i="12"/>
  <c r="F799" i="12"/>
  <c r="D799" i="12"/>
  <c r="C799" i="12"/>
  <c r="CA54" i="15" l="1"/>
  <c r="CB54" i="15" s="1"/>
  <c r="CA55" i="15"/>
  <c r="CA56" i="15"/>
  <c r="CA62" i="15"/>
  <c r="CA66" i="15"/>
  <c r="CA69" i="15"/>
  <c r="CA75" i="15"/>
  <c r="CA77" i="15"/>
  <c r="CA80" i="15"/>
  <c r="CA81" i="15"/>
  <c r="BX54" i="15"/>
  <c r="BY54" i="15" s="1"/>
  <c r="BX55" i="15"/>
  <c r="BX56" i="15"/>
  <c r="BX62" i="15"/>
  <c r="BX66" i="15"/>
  <c r="BX67" i="15"/>
  <c r="BX69" i="15"/>
  <c r="BX75" i="15"/>
  <c r="BX76" i="15"/>
  <c r="BX77" i="15"/>
  <c r="BX78" i="15"/>
  <c r="BX80" i="15"/>
  <c r="BX81" i="15"/>
  <c r="K799" i="12"/>
  <c r="D54" i="15"/>
  <c r="E54" i="15" s="1"/>
  <c r="G54" i="15"/>
  <c r="H54" i="15" s="1"/>
  <c r="J54" i="15"/>
  <c r="K54" i="15" s="1"/>
  <c r="M54" i="15"/>
  <c r="N54" i="15" s="1"/>
  <c r="P54" i="15"/>
  <c r="Q54" i="15" s="1"/>
  <c r="V54" i="15"/>
  <c r="W54" i="15" s="1"/>
  <c r="Y54" i="15"/>
  <c r="Z54" i="15" s="1"/>
  <c r="AE54" i="15"/>
  <c r="AF54" i="15" s="1"/>
  <c r="AH54" i="15"/>
  <c r="AI54" i="15" s="1"/>
  <c r="AK54" i="15"/>
  <c r="AL54" i="15" s="1"/>
  <c r="AN54" i="15"/>
  <c r="AO54" i="15" s="1"/>
  <c r="AQ54" i="15"/>
  <c r="AR54" i="15" s="1"/>
  <c r="AT54" i="15"/>
  <c r="AU54" i="15" s="1"/>
  <c r="AW54" i="15"/>
  <c r="AX54" i="15" s="1"/>
  <c r="AZ54" i="15"/>
  <c r="BA54" i="15" s="1"/>
  <c r="BC54" i="15"/>
  <c r="BD54" i="15" s="1"/>
  <c r="BF54" i="15"/>
  <c r="BG54" i="15" s="1"/>
  <c r="BI54" i="15"/>
  <c r="BJ54" i="15" s="1"/>
  <c r="BL54" i="15"/>
  <c r="BM54" i="15" s="1"/>
  <c r="BO54" i="15"/>
  <c r="BP54" i="15" s="1"/>
  <c r="BU54" i="15"/>
  <c r="BV54" i="15" s="1"/>
  <c r="CD54" i="15"/>
  <c r="C142" i="12"/>
  <c r="D142" i="12"/>
  <c r="F142" i="12"/>
  <c r="G142" i="12"/>
  <c r="H142" i="12"/>
  <c r="K142" i="12"/>
  <c r="S54" i="15" s="1"/>
  <c r="T54" i="15" s="1"/>
  <c r="CE54" i="15" l="1"/>
  <c r="C778" i="12"/>
  <c r="D778" i="12"/>
  <c r="F778" i="12"/>
  <c r="G778" i="12"/>
  <c r="H778" i="12"/>
  <c r="K778" i="12"/>
  <c r="C776" i="12"/>
  <c r="D776" i="12"/>
  <c r="F776" i="12"/>
  <c r="G776" i="12"/>
  <c r="H776" i="12"/>
  <c r="K776" i="12"/>
  <c r="C777" i="12"/>
  <c r="D777" i="12"/>
  <c r="F777" i="12"/>
  <c r="G777" i="12"/>
  <c r="H777" i="12"/>
  <c r="K777" i="12"/>
  <c r="C774" i="12"/>
  <c r="D774" i="12"/>
  <c r="F774" i="12"/>
  <c r="G774" i="12"/>
  <c r="H774" i="12"/>
  <c r="K774" i="12"/>
  <c r="C771" i="12"/>
  <c r="D771" i="12"/>
  <c r="F771" i="12"/>
  <c r="G771" i="12"/>
  <c r="H771" i="12"/>
  <c r="K771" i="12"/>
  <c r="C768" i="12"/>
  <c r="D768" i="12"/>
  <c r="F768" i="12"/>
  <c r="G768" i="12"/>
  <c r="H768" i="12"/>
  <c r="K768" i="12"/>
  <c r="C766" i="12"/>
  <c r="D766" i="12"/>
  <c r="F766" i="12"/>
  <c r="G766" i="12"/>
  <c r="H766" i="12"/>
  <c r="K766" i="12"/>
  <c r="C764" i="12"/>
  <c r="D764" i="12"/>
  <c r="F764" i="12"/>
  <c r="G764" i="12"/>
  <c r="H764" i="12"/>
  <c r="K764" i="12"/>
  <c r="C752" i="12"/>
  <c r="D752" i="12"/>
  <c r="F752" i="12"/>
  <c r="G752" i="12"/>
  <c r="H752" i="12"/>
  <c r="K752" i="12"/>
  <c r="C753" i="12"/>
  <c r="D753" i="12"/>
  <c r="F753" i="12"/>
  <c r="G753" i="12"/>
  <c r="H753" i="12"/>
  <c r="K753" i="12"/>
  <c r="C754" i="12"/>
  <c r="D754" i="12"/>
  <c r="F754" i="12"/>
  <c r="G754" i="12"/>
  <c r="H754" i="12"/>
  <c r="K754" i="12"/>
  <c r="C755" i="12"/>
  <c r="D755" i="12"/>
  <c r="F755" i="12"/>
  <c r="G755" i="12"/>
  <c r="H755" i="12"/>
  <c r="K755" i="12"/>
  <c r="C756" i="12"/>
  <c r="D756" i="12"/>
  <c r="F756" i="12"/>
  <c r="G756" i="12"/>
  <c r="H756" i="12"/>
  <c r="K756" i="12"/>
  <c r="C757" i="12"/>
  <c r="D757" i="12"/>
  <c r="F757" i="12"/>
  <c r="G757" i="12"/>
  <c r="H757" i="12"/>
  <c r="K757" i="12"/>
  <c r="C758" i="12"/>
  <c r="D758" i="12"/>
  <c r="F758" i="12"/>
  <c r="G758" i="12"/>
  <c r="H758" i="12"/>
  <c r="K758" i="12"/>
  <c r="C759" i="12"/>
  <c r="D759" i="12"/>
  <c r="F759" i="12"/>
  <c r="G759" i="12"/>
  <c r="H759" i="12"/>
  <c r="K759" i="12"/>
  <c r="C760" i="12"/>
  <c r="D760" i="12"/>
  <c r="F760" i="12"/>
  <c r="G760" i="12"/>
  <c r="H760" i="12"/>
  <c r="K760" i="12"/>
  <c r="C747" i="12"/>
  <c r="D747" i="12"/>
  <c r="F747" i="12"/>
  <c r="G747" i="12"/>
  <c r="H747" i="12"/>
  <c r="K747" i="12"/>
  <c r="C748" i="12"/>
  <c r="D748" i="12"/>
  <c r="F748" i="12"/>
  <c r="G748" i="12"/>
  <c r="H748" i="12"/>
  <c r="K748" i="12"/>
  <c r="C749" i="12"/>
  <c r="D749" i="12"/>
  <c r="F749" i="12"/>
  <c r="G749" i="12"/>
  <c r="H749" i="12"/>
  <c r="K749" i="12"/>
  <c r="C743" i="12"/>
  <c r="D743" i="12"/>
  <c r="F743" i="12"/>
  <c r="G743" i="12"/>
  <c r="H743" i="12"/>
  <c r="K743" i="12"/>
  <c r="C744" i="12"/>
  <c r="D744" i="12"/>
  <c r="F744" i="12"/>
  <c r="G744" i="12"/>
  <c r="H744" i="12"/>
  <c r="K744" i="12"/>
  <c r="C740" i="12"/>
  <c r="D740" i="12"/>
  <c r="F740" i="12"/>
  <c r="G740" i="12"/>
  <c r="H740" i="12"/>
  <c r="K740" i="12"/>
  <c r="C741" i="12"/>
  <c r="D741" i="12"/>
  <c r="F741" i="12"/>
  <c r="G741" i="12"/>
  <c r="H741" i="12"/>
  <c r="K741" i="12"/>
  <c r="C738" i="12"/>
  <c r="D738" i="12"/>
  <c r="F738" i="12"/>
  <c r="G738" i="12"/>
  <c r="H738" i="12"/>
  <c r="K738" i="12"/>
  <c r="C731" i="12"/>
  <c r="D731" i="12"/>
  <c r="F731" i="12"/>
  <c r="G731" i="12"/>
  <c r="H731" i="12"/>
  <c r="K731" i="12"/>
  <c r="C732" i="12"/>
  <c r="D732" i="12"/>
  <c r="F732" i="12"/>
  <c r="G732" i="12"/>
  <c r="H732" i="12"/>
  <c r="K732" i="12"/>
  <c r="C733" i="12"/>
  <c r="D733" i="12"/>
  <c r="F733" i="12"/>
  <c r="G733" i="12"/>
  <c r="H733" i="12"/>
  <c r="K733" i="12"/>
  <c r="C726" i="12"/>
  <c r="D726" i="12"/>
  <c r="F726" i="12"/>
  <c r="G726" i="12"/>
  <c r="H726" i="12"/>
  <c r="K726" i="12"/>
  <c r="C727" i="12"/>
  <c r="D727" i="12"/>
  <c r="F727" i="12"/>
  <c r="G727" i="12"/>
  <c r="H727" i="12"/>
  <c r="K727" i="12"/>
  <c r="C728" i="12"/>
  <c r="D728" i="12"/>
  <c r="F728" i="12"/>
  <c r="G728" i="12"/>
  <c r="H728" i="12"/>
  <c r="K728" i="12"/>
  <c r="C723" i="12"/>
  <c r="D723" i="12"/>
  <c r="F723" i="12"/>
  <c r="G723" i="12"/>
  <c r="H723" i="12"/>
  <c r="K723" i="12"/>
  <c r="C720" i="12"/>
  <c r="D720" i="12"/>
  <c r="F720" i="12"/>
  <c r="G720" i="12"/>
  <c r="H720" i="12"/>
  <c r="K720" i="12"/>
  <c r="C717" i="12"/>
  <c r="D717" i="12"/>
  <c r="F717" i="12"/>
  <c r="G717" i="12"/>
  <c r="H717" i="12"/>
  <c r="K717" i="12"/>
  <c r="C718" i="12"/>
  <c r="D718" i="12"/>
  <c r="F718" i="12"/>
  <c r="G718" i="12"/>
  <c r="H718" i="12"/>
  <c r="K718" i="12"/>
  <c r="C715" i="12"/>
  <c r="D715" i="12"/>
  <c r="F715" i="12"/>
  <c r="G715" i="12"/>
  <c r="H715" i="12"/>
  <c r="K715" i="12"/>
  <c r="C709" i="12"/>
  <c r="D709" i="12"/>
  <c r="F709" i="12"/>
  <c r="G709" i="12"/>
  <c r="H709" i="12"/>
  <c r="K709" i="12"/>
  <c r="C120" i="12"/>
  <c r="D120" i="12"/>
  <c r="F120" i="12"/>
  <c r="G120" i="12"/>
  <c r="H120" i="12"/>
  <c r="K120" i="12"/>
  <c r="C697" i="12"/>
  <c r="D697" i="12"/>
  <c r="F697" i="12"/>
  <c r="G697" i="12"/>
  <c r="H697" i="12"/>
  <c r="K697" i="12"/>
  <c r="C698" i="12"/>
  <c r="D698" i="12"/>
  <c r="F698" i="12"/>
  <c r="G698" i="12"/>
  <c r="H698" i="12"/>
  <c r="K698" i="12"/>
  <c r="C699" i="12"/>
  <c r="D699" i="12"/>
  <c r="F699" i="12"/>
  <c r="G699" i="12"/>
  <c r="H699" i="12"/>
  <c r="K699" i="12"/>
  <c r="C700" i="12"/>
  <c r="D700" i="12"/>
  <c r="F700" i="12"/>
  <c r="G700" i="12"/>
  <c r="H700" i="12"/>
  <c r="K700" i="12"/>
  <c r="C695" i="12"/>
  <c r="D695" i="12"/>
  <c r="F695" i="12"/>
  <c r="G695" i="12"/>
  <c r="H695" i="12"/>
  <c r="K695" i="12"/>
  <c r="C696" i="12"/>
  <c r="D696" i="12"/>
  <c r="F696" i="12"/>
  <c r="G696" i="12"/>
  <c r="H696" i="12"/>
  <c r="K696" i="12"/>
  <c r="C693" i="12"/>
  <c r="D693" i="12"/>
  <c r="F693" i="12"/>
  <c r="G693" i="12"/>
  <c r="H693" i="12"/>
  <c r="K693" i="12"/>
  <c r="C691" i="12"/>
  <c r="D691" i="12"/>
  <c r="F691" i="12"/>
  <c r="G691" i="12"/>
  <c r="H691" i="12"/>
  <c r="K691" i="12"/>
  <c r="C688" i="12"/>
  <c r="D688" i="12"/>
  <c r="F688" i="12"/>
  <c r="G688" i="12"/>
  <c r="H688" i="12"/>
  <c r="K688" i="12"/>
  <c r="C689" i="12"/>
  <c r="D689" i="12"/>
  <c r="F689" i="12"/>
  <c r="G689" i="12"/>
  <c r="H689" i="12"/>
  <c r="K689" i="12"/>
  <c r="C797" i="12" l="1"/>
  <c r="D797" i="12"/>
  <c r="F797" i="12"/>
  <c r="G797" i="12"/>
  <c r="H797" i="12"/>
  <c r="K797" i="12"/>
  <c r="C795" i="12"/>
  <c r="D795" i="12"/>
  <c r="F795" i="12"/>
  <c r="G795" i="12"/>
  <c r="H795" i="12"/>
  <c r="K795" i="12"/>
  <c r="C793" i="12"/>
  <c r="D793" i="12"/>
  <c r="F793" i="12"/>
  <c r="G793" i="12"/>
  <c r="H793" i="12"/>
  <c r="K793" i="12"/>
  <c r="C791" i="12"/>
  <c r="D791" i="12"/>
  <c r="F791" i="12"/>
  <c r="G791" i="12"/>
  <c r="H791" i="12"/>
  <c r="K791" i="12"/>
  <c r="C790" i="12"/>
  <c r="D790" i="12"/>
  <c r="F790" i="12"/>
  <c r="G790" i="12"/>
  <c r="H790" i="12"/>
  <c r="K790" i="12"/>
  <c r="C789" i="12"/>
  <c r="D789" i="12"/>
  <c r="F789" i="12"/>
  <c r="G789" i="12"/>
  <c r="H789" i="12"/>
  <c r="K789" i="12"/>
  <c r="C788" i="12"/>
  <c r="D788" i="12"/>
  <c r="F788" i="12"/>
  <c r="G788" i="12"/>
  <c r="H788" i="12"/>
  <c r="K788" i="12"/>
  <c r="C787" i="12" l="1"/>
  <c r="D787" i="12"/>
  <c r="F787" i="12"/>
  <c r="G787" i="12"/>
  <c r="H787" i="12"/>
  <c r="K787" i="12"/>
  <c r="C786" i="12"/>
  <c r="D786" i="12"/>
  <c r="F786" i="12"/>
  <c r="G786" i="12"/>
  <c r="H786" i="12"/>
  <c r="K786" i="12"/>
  <c r="C784" i="12"/>
  <c r="D784" i="12"/>
  <c r="F784" i="12"/>
  <c r="G784" i="12"/>
  <c r="H784" i="12"/>
  <c r="K784" i="12"/>
  <c r="C783" i="12"/>
  <c r="D783" i="12"/>
  <c r="F783" i="12"/>
  <c r="G783" i="12"/>
  <c r="H783" i="12"/>
  <c r="K783" i="12"/>
  <c r="C782" i="12"/>
  <c r="D782" i="12"/>
  <c r="F782" i="12"/>
  <c r="G782" i="12"/>
  <c r="H782" i="12"/>
  <c r="K782" i="12"/>
  <c r="C780" i="12"/>
  <c r="D780" i="12"/>
  <c r="F780" i="12"/>
  <c r="G780" i="12"/>
  <c r="H780" i="12"/>
  <c r="K780" i="12"/>
  <c r="CA82" i="15" s="1"/>
  <c r="BX3" i="15" l="1"/>
  <c r="BX5" i="15"/>
  <c r="BX6" i="15"/>
  <c r="BX10" i="15"/>
  <c r="BX11" i="15"/>
  <c r="BX12" i="15"/>
  <c r="BX15" i="15"/>
  <c r="BX17" i="15"/>
  <c r="BX18" i="15"/>
  <c r="BX21" i="15"/>
  <c r="BX23" i="15"/>
  <c r="BX24" i="15"/>
  <c r="BX25" i="15"/>
  <c r="BX26" i="15"/>
  <c r="BX28" i="15"/>
  <c r="BX29" i="15"/>
  <c r="BX31" i="15"/>
  <c r="BX32" i="15"/>
  <c r="BX34" i="15"/>
  <c r="BX36" i="15"/>
  <c r="BX37" i="15"/>
  <c r="BX38" i="15"/>
  <c r="BX39" i="15"/>
  <c r="BX40" i="15"/>
  <c r="BX48" i="15"/>
  <c r="BX49" i="15"/>
  <c r="BX50" i="15"/>
  <c r="BX51" i="15"/>
  <c r="BX52" i="15"/>
  <c r="BX53" i="15"/>
  <c r="CA3" i="15"/>
  <c r="CA5" i="15"/>
  <c r="CA6" i="15"/>
  <c r="CA10" i="15"/>
  <c r="CA11" i="15"/>
  <c r="CA12" i="15"/>
  <c r="CA15" i="15"/>
  <c r="CA17" i="15"/>
  <c r="CA18" i="15"/>
  <c r="CA21" i="15"/>
  <c r="CA23" i="15"/>
  <c r="CA24" i="15"/>
  <c r="CA25" i="15"/>
  <c r="CA26" i="15"/>
  <c r="CA28" i="15"/>
  <c r="CA29" i="15"/>
  <c r="CA31" i="15"/>
  <c r="CA32" i="15"/>
  <c r="CA34" i="15"/>
  <c r="CA36" i="15"/>
  <c r="CA37" i="15"/>
  <c r="CA38" i="15"/>
  <c r="CA39" i="15"/>
  <c r="CA46" i="15"/>
  <c r="CA48" i="15"/>
  <c r="CA49" i="15"/>
  <c r="CA50" i="15"/>
  <c r="CA51" i="15"/>
  <c r="CA52" i="15"/>
  <c r="CA53" i="15"/>
  <c r="CD3" i="15"/>
  <c r="CD5" i="15"/>
  <c r="CD6" i="15"/>
  <c r="CD10" i="15"/>
  <c r="CD11" i="15"/>
  <c r="CD12" i="15"/>
  <c r="CD15" i="15"/>
  <c r="CD17" i="15"/>
  <c r="CD18" i="15"/>
  <c r="CD21" i="15"/>
  <c r="CD23" i="15"/>
  <c r="CD24" i="15"/>
  <c r="CD25" i="15"/>
  <c r="CD26" i="15"/>
  <c r="CD28" i="15"/>
  <c r="CD29" i="15"/>
  <c r="CD31" i="15"/>
  <c r="CD32" i="15"/>
  <c r="CD34" i="15"/>
  <c r="CD36" i="15"/>
  <c r="CD37" i="15"/>
  <c r="CD38" i="15"/>
  <c r="CD39" i="15"/>
  <c r="CD40" i="15"/>
  <c r="CD46" i="15"/>
  <c r="CD48" i="15"/>
  <c r="CD49" i="15"/>
  <c r="CD50" i="15"/>
  <c r="CD51" i="15"/>
  <c r="CD52" i="15"/>
  <c r="CD53" i="15"/>
  <c r="CD55" i="15"/>
  <c r="CD56" i="15"/>
  <c r="CD58" i="15"/>
  <c r="CD60" i="15"/>
  <c r="CD62" i="15"/>
  <c r="CD66" i="15"/>
  <c r="CD67" i="15"/>
  <c r="CD69" i="15"/>
  <c r="CD75" i="15"/>
  <c r="CD76" i="15"/>
  <c r="CD77" i="15"/>
  <c r="CD78" i="15"/>
  <c r="CD80" i="15"/>
  <c r="CD81" i="15"/>
  <c r="CE78" i="15" l="1"/>
  <c r="CE77" i="15"/>
  <c r="CE62" i="15"/>
  <c r="CE52" i="15"/>
  <c r="CE40" i="15"/>
  <c r="CE32" i="15"/>
  <c r="CE24" i="15"/>
  <c r="CE12" i="15"/>
  <c r="CE69" i="15"/>
  <c r="CE53" i="15"/>
  <c r="CE76" i="15"/>
  <c r="CE60" i="15"/>
  <c r="CE51" i="15"/>
  <c r="CE39" i="15"/>
  <c r="CE31" i="15"/>
  <c r="CE23" i="15"/>
  <c r="CE11" i="15"/>
  <c r="CE58" i="15"/>
  <c r="CE50" i="15"/>
  <c r="CE38" i="15"/>
  <c r="CE29" i="15"/>
  <c r="CE21" i="15"/>
  <c r="CE10" i="15"/>
  <c r="CE56" i="15"/>
  <c r="CE49" i="15"/>
  <c r="CE37" i="15"/>
  <c r="CE28" i="15"/>
  <c r="CE18" i="15"/>
  <c r="CE6" i="15"/>
  <c r="CE75" i="15"/>
  <c r="CE80" i="15"/>
  <c r="CE67" i="15"/>
  <c r="CE55" i="15"/>
  <c r="CE48" i="15"/>
  <c r="CE36" i="15"/>
  <c r="CE26" i="15"/>
  <c r="CE17" i="15"/>
  <c r="CE5" i="15"/>
  <c r="CE81" i="15"/>
  <c r="CE66" i="15"/>
  <c r="CE46" i="15"/>
  <c r="CE34" i="15"/>
  <c r="CE25" i="15"/>
  <c r="CE15" i="15"/>
  <c r="C779" i="12"/>
  <c r="D779" i="12"/>
  <c r="F779" i="12"/>
  <c r="G779" i="12"/>
  <c r="H779" i="12"/>
  <c r="K779" i="12"/>
  <c r="C772" i="12"/>
  <c r="C773" i="12"/>
  <c r="C775" i="12"/>
  <c r="D772" i="12"/>
  <c r="D773" i="12"/>
  <c r="D775" i="12"/>
  <c r="F772" i="12"/>
  <c r="F773" i="12"/>
  <c r="F775" i="12"/>
  <c r="G772" i="12"/>
  <c r="G773" i="12"/>
  <c r="G775" i="12"/>
  <c r="H772" i="12"/>
  <c r="H773" i="12"/>
  <c r="H775" i="12"/>
  <c r="K772" i="12"/>
  <c r="K773" i="12"/>
  <c r="K775" i="12"/>
  <c r="C769" i="12"/>
  <c r="C770" i="12"/>
  <c r="D769" i="12"/>
  <c r="D770" i="12"/>
  <c r="F769" i="12"/>
  <c r="F770" i="12"/>
  <c r="G769" i="12"/>
  <c r="G770" i="12"/>
  <c r="H769" i="12"/>
  <c r="H770" i="12"/>
  <c r="K769" i="12"/>
  <c r="K770" i="12"/>
  <c r="C767" i="12"/>
  <c r="D767" i="12"/>
  <c r="F767" i="12"/>
  <c r="G767" i="12"/>
  <c r="H767" i="12"/>
  <c r="K767" i="12"/>
  <c r="C761" i="12"/>
  <c r="C762" i="12"/>
  <c r="C763" i="12"/>
  <c r="C765" i="12"/>
  <c r="D761" i="12"/>
  <c r="D762" i="12"/>
  <c r="D763" i="12"/>
  <c r="D765" i="12"/>
  <c r="F761" i="12"/>
  <c r="F762" i="12"/>
  <c r="F763" i="12"/>
  <c r="F765" i="12"/>
  <c r="G761" i="12"/>
  <c r="G762" i="12"/>
  <c r="G763" i="12"/>
  <c r="G765" i="12"/>
  <c r="H761" i="12"/>
  <c r="H762" i="12"/>
  <c r="H763" i="12"/>
  <c r="H765" i="12"/>
  <c r="K761" i="12"/>
  <c r="K762" i="12"/>
  <c r="K763" i="12"/>
  <c r="K765" i="12"/>
  <c r="C751" i="12"/>
  <c r="D751" i="12"/>
  <c r="F751" i="12"/>
  <c r="G751" i="12"/>
  <c r="H751" i="12"/>
  <c r="K751" i="12"/>
  <c r="C746" i="12"/>
  <c r="C750" i="12"/>
  <c r="D746" i="12"/>
  <c r="D750" i="12"/>
  <c r="F746" i="12"/>
  <c r="F750" i="12"/>
  <c r="G746" i="12"/>
  <c r="G750" i="12"/>
  <c r="H746" i="12"/>
  <c r="H750" i="12"/>
  <c r="K746" i="12"/>
  <c r="K750" i="12"/>
  <c r="C742" i="12"/>
  <c r="C745" i="12"/>
  <c r="D742" i="12"/>
  <c r="D745" i="12"/>
  <c r="F742" i="12"/>
  <c r="F745" i="12"/>
  <c r="G742" i="12"/>
  <c r="G745" i="12"/>
  <c r="H742" i="12"/>
  <c r="H745" i="12"/>
  <c r="K742" i="12"/>
  <c r="K745" i="12"/>
  <c r="C739" i="12"/>
  <c r="D739" i="12"/>
  <c r="F739" i="12"/>
  <c r="G739" i="12"/>
  <c r="H739" i="12"/>
  <c r="K739" i="12"/>
  <c r="C736" i="12"/>
  <c r="C737" i="12"/>
  <c r="D736" i="12"/>
  <c r="D737" i="12"/>
  <c r="F736" i="12"/>
  <c r="F737" i="12"/>
  <c r="G736" i="12"/>
  <c r="G737" i="12"/>
  <c r="H736" i="12"/>
  <c r="H737" i="12"/>
  <c r="K736" i="12"/>
  <c r="K737" i="12"/>
  <c r="C724" i="12"/>
  <c r="C725" i="12"/>
  <c r="C729" i="12"/>
  <c r="C730" i="12"/>
  <c r="C734" i="12"/>
  <c r="C735" i="12"/>
  <c r="D724" i="12"/>
  <c r="D725" i="12"/>
  <c r="D729" i="12"/>
  <c r="D730" i="12"/>
  <c r="D734" i="12"/>
  <c r="D735" i="12"/>
  <c r="F724" i="12"/>
  <c r="F725" i="12"/>
  <c r="F729" i="12"/>
  <c r="F730" i="12"/>
  <c r="F734" i="12"/>
  <c r="F735" i="12"/>
  <c r="G724" i="12"/>
  <c r="G725" i="12"/>
  <c r="G729" i="12"/>
  <c r="G730" i="12"/>
  <c r="G734" i="12"/>
  <c r="G735" i="12"/>
  <c r="H724" i="12"/>
  <c r="H725" i="12"/>
  <c r="H729" i="12"/>
  <c r="H730" i="12"/>
  <c r="H734" i="12"/>
  <c r="H735" i="12"/>
  <c r="K724" i="12"/>
  <c r="K725" i="12"/>
  <c r="K729" i="12"/>
  <c r="K730" i="12"/>
  <c r="K734" i="12"/>
  <c r="K735" i="12"/>
  <c r="C714" i="12"/>
  <c r="C716" i="12"/>
  <c r="C719" i="12"/>
  <c r="C721" i="12"/>
  <c r="C722" i="12"/>
  <c r="D714" i="12"/>
  <c r="D716" i="12"/>
  <c r="D719" i="12"/>
  <c r="D721" i="12"/>
  <c r="D722" i="12"/>
  <c r="F714" i="12"/>
  <c r="F716" i="12"/>
  <c r="F719" i="12"/>
  <c r="F721" i="12"/>
  <c r="F722" i="12"/>
  <c r="G714" i="12"/>
  <c r="G716" i="12"/>
  <c r="G719" i="12"/>
  <c r="G721" i="12"/>
  <c r="G722" i="12"/>
  <c r="H714" i="12"/>
  <c r="H716" i="12"/>
  <c r="H719" i="12"/>
  <c r="H721" i="12"/>
  <c r="H722" i="12"/>
  <c r="K714" i="12"/>
  <c r="K716" i="12"/>
  <c r="K719" i="12"/>
  <c r="K721" i="12"/>
  <c r="K722" i="12"/>
  <c r="C713" i="12"/>
  <c r="D713" i="12"/>
  <c r="F713" i="12"/>
  <c r="G713" i="12"/>
  <c r="H713" i="12"/>
  <c r="K713" i="12"/>
  <c r="C706" i="12"/>
  <c r="C708" i="12"/>
  <c r="C710" i="12"/>
  <c r="C711" i="12"/>
  <c r="C712" i="12"/>
  <c r="D706" i="12"/>
  <c r="D708" i="12"/>
  <c r="D710" i="12"/>
  <c r="D711" i="12"/>
  <c r="D712" i="12"/>
  <c r="F706" i="12"/>
  <c r="F708" i="12"/>
  <c r="F710" i="12"/>
  <c r="F711" i="12"/>
  <c r="F712" i="12"/>
  <c r="G706" i="12"/>
  <c r="G708" i="12"/>
  <c r="G710" i="12"/>
  <c r="G711" i="12"/>
  <c r="G712" i="12"/>
  <c r="H706" i="12"/>
  <c r="H708" i="12"/>
  <c r="H710" i="12"/>
  <c r="H711" i="12"/>
  <c r="H712" i="12"/>
  <c r="K706" i="12"/>
  <c r="K708" i="12"/>
  <c r="K710" i="12"/>
  <c r="K711" i="12"/>
  <c r="K712" i="12"/>
  <c r="C703" i="12"/>
  <c r="C704" i="12"/>
  <c r="C705" i="12"/>
  <c r="D703" i="12"/>
  <c r="D704" i="12"/>
  <c r="D705" i="12"/>
  <c r="F703" i="12"/>
  <c r="F704" i="12"/>
  <c r="F705" i="12"/>
  <c r="G703" i="12"/>
  <c r="G704" i="12"/>
  <c r="G705" i="12"/>
  <c r="H703" i="12"/>
  <c r="H704" i="12"/>
  <c r="H705" i="12"/>
  <c r="K703" i="12"/>
  <c r="K704" i="12"/>
  <c r="K705" i="12"/>
  <c r="C701" i="12"/>
  <c r="C702" i="12"/>
  <c r="D701" i="12"/>
  <c r="D702" i="12"/>
  <c r="F701" i="12"/>
  <c r="F702" i="12"/>
  <c r="G701" i="12"/>
  <c r="G702" i="12"/>
  <c r="H701" i="12"/>
  <c r="H702" i="12"/>
  <c r="K701" i="12"/>
  <c r="K702" i="12"/>
  <c r="C692" i="12"/>
  <c r="C694" i="12"/>
  <c r="D692" i="12"/>
  <c r="D694" i="12"/>
  <c r="F692" i="12"/>
  <c r="F694" i="12"/>
  <c r="G692" i="12"/>
  <c r="G694" i="12"/>
  <c r="H692" i="12"/>
  <c r="H694" i="12"/>
  <c r="K692" i="12"/>
  <c r="K694" i="12"/>
  <c r="K910" i="12"/>
  <c r="C687" i="12"/>
  <c r="C690" i="12"/>
  <c r="D687" i="12"/>
  <c r="D690" i="12"/>
  <c r="F687" i="12"/>
  <c r="F690" i="12"/>
  <c r="G687" i="12"/>
  <c r="G690" i="12"/>
  <c r="H687" i="12"/>
  <c r="H690" i="12"/>
  <c r="K687" i="12"/>
  <c r="K690" i="12"/>
  <c r="BY10" i="15" l="1"/>
  <c r="BY15" i="15"/>
  <c r="BY17" i="15"/>
  <c r="BY18" i="15"/>
  <c r="BY21" i="15"/>
  <c r="BY23" i="15"/>
  <c r="BY24" i="15"/>
  <c r="BY25" i="15"/>
  <c r="BY26" i="15"/>
  <c r="BY28" i="15"/>
  <c r="BY29" i="15"/>
  <c r="BY31" i="15"/>
  <c r="BY32" i="15"/>
  <c r="BY34" i="15"/>
  <c r="BY36" i="15"/>
  <c r="BY37" i="15"/>
  <c r="BY38" i="15"/>
  <c r="BY39" i="15"/>
  <c r="BY40" i="15"/>
  <c r="BY48" i="15"/>
  <c r="BY49" i="15"/>
  <c r="BY50" i="15"/>
  <c r="BY51" i="15"/>
  <c r="BY52" i="15"/>
  <c r="BY53" i="15"/>
  <c r="BY55" i="15"/>
  <c r="BY56" i="15"/>
  <c r="BY62" i="15"/>
  <c r="BY66" i="15"/>
  <c r="BY67" i="15"/>
  <c r="BY69" i="15"/>
  <c r="BY75" i="15"/>
  <c r="BY76" i="15"/>
  <c r="BY77" i="15"/>
  <c r="BY78" i="15"/>
  <c r="BY80" i="15"/>
  <c r="BY81" i="15"/>
  <c r="CB5" i="15"/>
  <c r="CB6" i="15"/>
  <c r="CB10" i="15"/>
  <c r="CB11" i="15"/>
  <c r="CB12" i="15"/>
  <c r="CB15" i="15"/>
  <c r="CB17" i="15"/>
  <c r="CB18" i="15"/>
  <c r="CB21" i="15"/>
  <c r="CB23" i="15"/>
  <c r="CB24" i="15"/>
  <c r="CB25" i="15"/>
  <c r="CB26" i="15"/>
  <c r="CB28" i="15"/>
  <c r="CB29" i="15"/>
  <c r="CB31" i="15"/>
  <c r="CB32" i="15"/>
  <c r="CB34" i="15"/>
  <c r="CB36" i="15"/>
  <c r="CB37" i="15"/>
  <c r="CB38" i="15"/>
  <c r="CB39" i="15"/>
  <c r="CB46" i="15"/>
  <c r="CB48" i="15"/>
  <c r="CB49" i="15"/>
  <c r="CB50" i="15"/>
  <c r="CB51" i="15"/>
  <c r="CB52" i="15"/>
  <c r="CB53" i="15"/>
  <c r="CB55" i="15"/>
  <c r="CB56" i="15"/>
  <c r="CB62" i="15"/>
  <c r="CB66" i="15"/>
  <c r="CB69" i="15"/>
  <c r="CB75" i="15"/>
  <c r="CB77" i="15"/>
  <c r="CB80" i="15"/>
  <c r="CB81" i="15"/>
  <c r="CB82" i="15"/>
  <c r="BY5" i="15"/>
  <c r="BY6" i="15"/>
  <c r="BY11" i="15"/>
  <c r="BY12" i="15"/>
  <c r="C686" i="12"/>
  <c r="D686" i="12"/>
  <c r="F686" i="12"/>
  <c r="G686" i="12"/>
  <c r="H686" i="12"/>
  <c r="K686" i="12"/>
  <c r="C685" i="12"/>
  <c r="D685" i="12"/>
  <c r="F685" i="12"/>
  <c r="G685" i="12"/>
  <c r="H685" i="12"/>
  <c r="K685" i="12"/>
  <c r="K684" i="12"/>
  <c r="H684" i="12"/>
  <c r="G684" i="12"/>
  <c r="F684" i="12"/>
  <c r="D684" i="12"/>
  <c r="C684" i="12"/>
  <c r="C683" i="12"/>
  <c r="D683" i="12"/>
  <c r="F683" i="12"/>
  <c r="G683" i="12"/>
  <c r="H683" i="12"/>
  <c r="K683" i="12"/>
  <c r="D78" i="15"/>
  <c r="E78" i="15" s="1"/>
  <c r="G78" i="15"/>
  <c r="H78" i="15" s="1"/>
  <c r="J78" i="15"/>
  <c r="K78" i="15" s="1"/>
  <c r="M78" i="15"/>
  <c r="N78" i="15" s="1"/>
  <c r="P78" i="15"/>
  <c r="Q78" i="15" s="1"/>
  <c r="S78" i="15"/>
  <c r="T78" i="15" s="1"/>
  <c r="V78" i="15"/>
  <c r="W78" i="15" s="1"/>
  <c r="Y78" i="15"/>
  <c r="Z78" i="15" s="1"/>
  <c r="AE78" i="15"/>
  <c r="AF78" i="15" s="1"/>
  <c r="AH78" i="15"/>
  <c r="AI78" i="15" s="1"/>
  <c r="AK78" i="15"/>
  <c r="AL78" i="15" s="1"/>
  <c r="AN78" i="15"/>
  <c r="AO78" i="15" s="1"/>
  <c r="AQ78" i="15"/>
  <c r="AR78" i="15" s="1"/>
  <c r="AT78" i="15"/>
  <c r="AU78" i="15" s="1"/>
  <c r="AW78" i="15"/>
  <c r="AX78" i="15" s="1"/>
  <c r="AZ78" i="15"/>
  <c r="BA78" i="15" s="1"/>
  <c r="BC78" i="15"/>
  <c r="BD78" i="15" s="1"/>
  <c r="BF78" i="15"/>
  <c r="BG78" i="15" s="1"/>
  <c r="BI78" i="15"/>
  <c r="BJ78" i="15" s="1"/>
  <c r="BL78" i="15"/>
  <c r="BM78" i="15" s="1"/>
  <c r="BO78" i="15"/>
  <c r="BP78" i="15" s="1"/>
  <c r="BU78" i="15"/>
  <c r="BV78" i="15" s="1"/>
  <c r="D67" i="15"/>
  <c r="E67" i="15" s="1"/>
  <c r="G67" i="15"/>
  <c r="H67" i="15" s="1"/>
  <c r="J67" i="15"/>
  <c r="K67" i="15" s="1"/>
  <c r="M67" i="15"/>
  <c r="N67" i="15" s="1"/>
  <c r="P67" i="15"/>
  <c r="Q67" i="15" s="1"/>
  <c r="S67" i="15"/>
  <c r="T67" i="15" s="1"/>
  <c r="V67" i="15"/>
  <c r="W67" i="15" s="1"/>
  <c r="Y67" i="15"/>
  <c r="Z67" i="15" s="1"/>
  <c r="AE67" i="15"/>
  <c r="AF67" i="15" s="1"/>
  <c r="AH67" i="15"/>
  <c r="AI67" i="15" s="1"/>
  <c r="AK67" i="15"/>
  <c r="AL67" i="15" s="1"/>
  <c r="AN67" i="15"/>
  <c r="AO67" i="15" s="1"/>
  <c r="AQ67" i="15"/>
  <c r="AR67" i="15" s="1"/>
  <c r="AT67" i="15"/>
  <c r="AU67" i="15" s="1"/>
  <c r="AW67" i="15"/>
  <c r="AX67" i="15" s="1"/>
  <c r="AZ67" i="15"/>
  <c r="BA67" i="15" s="1"/>
  <c r="BC67" i="15"/>
  <c r="BD67" i="15" s="1"/>
  <c r="BF67" i="15"/>
  <c r="BG67" i="15" s="1"/>
  <c r="BI67" i="15"/>
  <c r="BJ67" i="15" s="1"/>
  <c r="BL67" i="15"/>
  <c r="BM67" i="15" s="1"/>
  <c r="BO67" i="15"/>
  <c r="BP67" i="15" s="1"/>
  <c r="BU67" i="15"/>
  <c r="BV67" i="15" s="1"/>
  <c r="C682" i="12"/>
  <c r="D682" i="12"/>
  <c r="F682" i="12"/>
  <c r="G682" i="12"/>
  <c r="H682" i="12"/>
  <c r="K682" i="12"/>
  <c r="C681" i="12"/>
  <c r="D681" i="12"/>
  <c r="F681" i="12"/>
  <c r="G681" i="12"/>
  <c r="H681" i="12"/>
  <c r="K681" i="12"/>
  <c r="C680" i="12"/>
  <c r="D680" i="12"/>
  <c r="F680" i="12"/>
  <c r="G680" i="12"/>
  <c r="H680" i="12"/>
  <c r="K680" i="12"/>
  <c r="C679" i="12"/>
  <c r="D679" i="12"/>
  <c r="F679" i="12"/>
  <c r="G679" i="12"/>
  <c r="H679" i="12"/>
  <c r="K679" i="12"/>
  <c r="C675" i="12"/>
  <c r="C676" i="12"/>
  <c r="C677" i="12"/>
  <c r="C678" i="12"/>
  <c r="D675" i="12"/>
  <c r="D676" i="12"/>
  <c r="D677" i="12"/>
  <c r="D678" i="12"/>
  <c r="F675" i="12"/>
  <c r="F676" i="12"/>
  <c r="F677" i="12"/>
  <c r="F678" i="12"/>
  <c r="G675" i="12"/>
  <c r="G676" i="12"/>
  <c r="G677" i="12"/>
  <c r="G678" i="12"/>
  <c r="H675" i="12"/>
  <c r="H676" i="12"/>
  <c r="H677" i="12"/>
  <c r="H678" i="12"/>
  <c r="K675" i="12"/>
  <c r="K676" i="12"/>
  <c r="K677" i="12"/>
  <c r="K678" i="12"/>
  <c r="C674" i="12"/>
  <c r="D674" i="12"/>
  <c r="F674" i="12"/>
  <c r="G674" i="12"/>
  <c r="H674" i="12"/>
  <c r="K674" i="12"/>
  <c r="C671" i="12"/>
  <c r="C672" i="12"/>
  <c r="C673" i="12"/>
  <c r="D671" i="12"/>
  <c r="D672" i="12"/>
  <c r="D673" i="12"/>
  <c r="F671" i="12"/>
  <c r="F672" i="12"/>
  <c r="F673" i="12"/>
  <c r="G671" i="12"/>
  <c r="G672" i="12"/>
  <c r="G673" i="12"/>
  <c r="H671" i="12"/>
  <c r="H672" i="12"/>
  <c r="H673" i="12"/>
  <c r="K671" i="12"/>
  <c r="K672" i="12"/>
  <c r="K673" i="12"/>
  <c r="C666" i="12"/>
  <c r="C667" i="12"/>
  <c r="C668" i="12"/>
  <c r="C669" i="12"/>
  <c r="C670" i="12"/>
  <c r="D666" i="12"/>
  <c r="D667" i="12"/>
  <c r="D668" i="12"/>
  <c r="D669" i="12"/>
  <c r="D670" i="12"/>
  <c r="F666" i="12"/>
  <c r="F667" i="12"/>
  <c r="F668" i="12"/>
  <c r="F669" i="12"/>
  <c r="F670" i="12"/>
  <c r="G666" i="12"/>
  <c r="G667" i="12"/>
  <c r="G668" i="12"/>
  <c r="G669" i="12"/>
  <c r="G670" i="12"/>
  <c r="H666" i="12"/>
  <c r="H667" i="12"/>
  <c r="H668" i="12"/>
  <c r="H669" i="12"/>
  <c r="H670" i="12"/>
  <c r="K666" i="12"/>
  <c r="K667" i="12"/>
  <c r="K668" i="12"/>
  <c r="K669" i="12"/>
  <c r="K670" i="12"/>
  <c r="C665" i="12"/>
  <c r="D665" i="12"/>
  <c r="F665" i="12"/>
  <c r="G665" i="12"/>
  <c r="H665" i="12"/>
  <c r="K665" i="12"/>
  <c r="CA47" i="15" s="1"/>
  <c r="CB47" i="15" s="1"/>
  <c r="C661" i="12"/>
  <c r="C662" i="12"/>
  <c r="C663" i="12"/>
  <c r="C664" i="12"/>
  <c r="D661" i="12"/>
  <c r="D662" i="12"/>
  <c r="D663" i="12"/>
  <c r="D664" i="12"/>
  <c r="F661" i="12"/>
  <c r="F662" i="12"/>
  <c r="F663" i="12"/>
  <c r="F664" i="12"/>
  <c r="G661" i="12"/>
  <c r="G662" i="12"/>
  <c r="G663" i="12"/>
  <c r="G664" i="12"/>
  <c r="H661" i="12"/>
  <c r="H662" i="12"/>
  <c r="H663" i="12"/>
  <c r="H664" i="12"/>
  <c r="K661" i="12"/>
  <c r="CA40" i="15" s="1"/>
  <c r="CB40" i="15" s="1"/>
  <c r="K662" i="12"/>
  <c r="CA41" i="15" s="1"/>
  <c r="CB41" i="15" s="1"/>
  <c r="K663" i="12"/>
  <c r="CA43" i="15" s="1"/>
  <c r="CB43" i="15" s="1"/>
  <c r="K664" i="12"/>
  <c r="CA45" i="15" s="1"/>
  <c r="CB45" i="15" s="1"/>
  <c r="C660" i="12"/>
  <c r="D660" i="12"/>
  <c r="F660" i="12"/>
  <c r="G660" i="12"/>
  <c r="H660" i="12"/>
  <c r="K660" i="12"/>
  <c r="CA35" i="15" s="1"/>
  <c r="CB35" i="15" s="1"/>
  <c r="C659" i="12"/>
  <c r="D659" i="12"/>
  <c r="F659" i="12"/>
  <c r="G659" i="12"/>
  <c r="H659" i="12"/>
  <c r="K659" i="12"/>
  <c r="CA33" i="15" s="1"/>
  <c r="CB33" i="15" s="1"/>
  <c r="C658" i="12"/>
  <c r="D658" i="12"/>
  <c r="F658" i="12"/>
  <c r="G658" i="12"/>
  <c r="H658" i="12"/>
  <c r="K658" i="12"/>
  <c r="CA30" i="15" s="1"/>
  <c r="CB30" i="15" s="1"/>
  <c r="C657" i="12"/>
  <c r="D657" i="12"/>
  <c r="F657" i="12"/>
  <c r="G657" i="12"/>
  <c r="H657" i="12"/>
  <c r="K657" i="12"/>
  <c r="CA27" i="15" s="1"/>
  <c r="CB27" i="15" s="1"/>
  <c r="C656" i="12"/>
  <c r="D656" i="12"/>
  <c r="F656" i="12"/>
  <c r="G656" i="12"/>
  <c r="H656" i="12"/>
  <c r="K656" i="12"/>
  <c r="CA22" i="15" s="1"/>
  <c r="CB22" i="15" s="1"/>
  <c r="C654" i="12"/>
  <c r="C655" i="12"/>
  <c r="D654" i="12"/>
  <c r="D655" i="12"/>
  <c r="F654" i="12"/>
  <c r="F655" i="12"/>
  <c r="G654" i="12"/>
  <c r="G655" i="12"/>
  <c r="H654" i="12"/>
  <c r="H655" i="12"/>
  <c r="K654" i="12"/>
  <c r="CA19" i="15" s="1"/>
  <c r="CB19" i="15" s="1"/>
  <c r="K655" i="12"/>
  <c r="CA20" i="15" s="1"/>
  <c r="CB20" i="15" s="1"/>
  <c r="C653" i="12"/>
  <c r="D653" i="12"/>
  <c r="F653" i="12"/>
  <c r="G653" i="12"/>
  <c r="H653" i="12"/>
  <c r="K653" i="12"/>
  <c r="CA16" i="15" s="1"/>
  <c r="CB16" i="15" s="1"/>
  <c r="C651" i="12"/>
  <c r="C652" i="12"/>
  <c r="D651" i="12"/>
  <c r="D652" i="12"/>
  <c r="F651" i="12"/>
  <c r="F652" i="12"/>
  <c r="G651" i="12"/>
  <c r="G652" i="12"/>
  <c r="H651" i="12"/>
  <c r="H652" i="12"/>
  <c r="K651" i="12"/>
  <c r="CA13" i="15" s="1"/>
  <c r="CB13" i="15" s="1"/>
  <c r="K652" i="12"/>
  <c r="CA14" i="15" s="1"/>
  <c r="CB14" i="15" s="1"/>
  <c r="C648" i="12"/>
  <c r="C649" i="12"/>
  <c r="C650" i="12"/>
  <c r="D648" i="12"/>
  <c r="D649" i="12"/>
  <c r="D650" i="12"/>
  <c r="F648" i="12"/>
  <c r="F649" i="12"/>
  <c r="F650" i="12"/>
  <c r="G648" i="12"/>
  <c r="G649" i="12"/>
  <c r="G650" i="12"/>
  <c r="H648" i="12"/>
  <c r="H649" i="12"/>
  <c r="H650" i="12"/>
  <c r="K648" i="12"/>
  <c r="CA7" i="15" s="1"/>
  <c r="CB7" i="15" s="1"/>
  <c r="K649" i="12"/>
  <c r="CA8" i="15" s="1"/>
  <c r="CB8" i="15" s="1"/>
  <c r="K650" i="12"/>
  <c r="CA9" i="15" s="1"/>
  <c r="CB9" i="15" s="1"/>
  <c r="C647" i="12"/>
  <c r="D647" i="12"/>
  <c r="F647" i="12"/>
  <c r="G647" i="12"/>
  <c r="H647" i="12"/>
  <c r="K647" i="12"/>
  <c r="CA4" i="15" s="1"/>
  <c r="CB4" i="15" s="1"/>
  <c r="CB3" i="15"/>
  <c r="BY3" i="15"/>
  <c r="C646" i="12"/>
  <c r="D646" i="12"/>
  <c r="F646" i="12"/>
  <c r="G646" i="12"/>
  <c r="H646" i="12"/>
  <c r="K646" i="12"/>
  <c r="C645" i="12"/>
  <c r="D645" i="12"/>
  <c r="F645" i="12"/>
  <c r="G645" i="12"/>
  <c r="H645" i="12"/>
  <c r="K645" i="12"/>
  <c r="C641" i="12"/>
  <c r="C642" i="12"/>
  <c r="C643" i="12"/>
  <c r="C644" i="12"/>
  <c r="D641" i="12"/>
  <c r="D642" i="12"/>
  <c r="D643" i="12"/>
  <c r="D644" i="12"/>
  <c r="F641" i="12"/>
  <c r="F642" i="12"/>
  <c r="F643" i="12"/>
  <c r="F644" i="12"/>
  <c r="G641" i="12"/>
  <c r="G642" i="12"/>
  <c r="G643" i="12"/>
  <c r="G644" i="12"/>
  <c r="H641" i="12"/>
  <c r="H642" i="12"/>
  <c r="H643" i="12"/>
  <c r="H644" i="12"/>
  <c r="K641" i="12"/>
  <c r="K642" i="12"/>
  <c r="K643" i="12"/>
  <c r="K644" i="12"/>
  <c r="C640" i="12"/>
  <c r="D640" i="12"/>
  <c r="F640" i="12"/>
  <c r="G640" i="12"/>
  <c r="H640" i="12"/>
  <c r="K640" i="12"/>
  <c r="C637" i="12"/>
  <c r="C638" i="12"/>
  <c r="C639" i="12"/>
  <c r="D637" i="12"/>
  <c r="D638" i="12"/>
  <c r="D639" i="12"/>
  <c r="F637" i="12"/>
  <c r="F638" i="12"/>
  <c r="F639" i="12"/>
  <c r="G637" i="12"/>
  <c r="G638" i="12"/>
  <c r="G639" i="12"/>
  <c r="H637" i="12"/>
  <c r="H638" i="12"/>
  <c r="H639" i="12"/>
  <c r="K637" i="12"/>
  <c r="K638" i="12"/>
  <c r="K639" i="12"/>
  <c r="C631" i="12"/>
  <c r="C632" i="12"/>
  <c r="C634" i="12"/>
  <c r="C635" i="12"/>
  <c r="C636" i="12"/>
  <c r="D631" i="12"/>
  <c r="D632" i="12"/>
  <c r="D634" i="12"/>
  <c r="D635" i="12"/>
  <c r="D636" i="12"/>
  <c r="F631" i="12"/>
  <c r="F632" i="12"/>
  <c r="F634" i="12"/>
  <c r="F635" i="12"/>
  <c r="F636" i="12"/>
  <c r="G631" i="12"/>
  <c r="G632" i="12"/>
  <c r="G634" i="12"/>
  <c r="G635" i="12"/>
  <c r="G636" i="12"/>
  <c r="H631" i="12"/>
  <c r="H632" i="12"/>
  <c r="H634" i="12"/>
  <c r="H635" i="12"/>
  <c r="H636" i="12"/>
  <c r="K631" i="12"/>
  <c r="K632" i="12"/>
  <c r="K634" i="12"/>
  <c r="K635" i="12"/>
  <c r="K636" i="12"/>
  <c r="C626" i="12"/>
  <c r="C627" i="12"/>
  <c r="C628" i="12"/>
  <c r="C629" i="12"/>
  <c r="C630" i="12"/>
  <c r="D626" i="12"/>
  <c r="D627" i="12"/>
  <c r="D628" i="12"/>
  <c r="D629" i="12"/>
  <c r="D630" i="12"/>
  <c r="F626" i="12"/>
  <c r="F627" i="12"/>
  <c r="F628" i="12"/>
  <c r="F629" i="12"/>
  <c r="F630" i="12"/>
  <c r="G626" i="12"/>
  <c r="G627" i="12"/>
  <c r="G628" i="12"/>
  <c r="G629" i="12"/>
  <c r="G630" i="12"/>
  <c r="H626" i="12"/>
  <c r="H627" i="12"/>
  <c r="H628" i="12"/>
  <c r="H629" i="12"/>
  <c r="H630" i="12"/>
  <c r="K626" i="12"/>
  <c r="BX41" i="15" s="1"/>
  <c r="BY41" i="15" s="1"/>
  <c r="K627" i="12"/>
  <c r="BX43" i="15" s="1"/>
  <c r="BY43" i="15" s="1"/>
  <c r="K628" i="12"/>
  <c r="BX45" i="15" s="1"/>
  <c r="BY45" i="15" s="1"/>
  <c r="K629" i="12"/>
  <c r="BX46" i="15" s="1"/>
  <c r="BY46" i="15" s="1"/>
  <c r="K630" i="12"/>
  <c r="BX47" i="15" s="1"/>
  <c r="BY47" i="15" s="1"/>
  <c r="C625" i="12"/>
  <c r="D625" i="12"/>
  <c r="F625" i="12"/>
  <c r="G625" i="12"/>
  <c r="H625" i="12"/>
  <c r="K625" i="12"/>
  <c r="BX35" i="15" s="1"/>
  <c r="BY35" i="15" s="1"/>
  <c r="C624" i="12"/>
  <c r="D624" i="12"/>
  <c r="F624" i="12"/>
  <c r="G624" i="12"/>
  <c r="H624" i="12"/>
  <c r="K624" i="12"/>
  <c r="BX33" i="15" s="1"/>
  <c r="BY33" i="15" s="1"/>
  <c r="C623" i="12"/>
  <c r="D623" i="12"/>
  <c r="F623" i="12"/>
  <c r="G623" i="12"/>
  <c r="H623" i="12"/>
  <c r="K623" i="12"/>
  <c r="BX30" i="15" s="1"/>
  <c r="BY30" i="15" s="1"/>
  <c r="C622" i="12"/>
  <c r="D622" i="12"/>
  <c r="F622" i="12"/>
  <c r="G622" i="12"/>
  <c r="H622" i="12"/>
  <c r="K622" i="12"/>
  <c r="BX27" i="15" s="1"/>
  <c r="BY27" i="15" s="1"/>
  <c r="C621" i="12"/>
  <c r="D621" i="12"/>
  <c r="F621" i="12"/>
  <c r="G621" i="12"/>
  <c r="H621" i="12"/>
  <c r="K621" i="12"/>
  <c r="BX22" i="15" s="1"/>
  <c r="BY22" i="15" s="1"/>
  <c r="C619" i="12"/>
  <c r="C620" i="12"/>
  <c r="D619" i="12"/>
  <c r="D620" i="12"/>
  <c r="F619" i="12"/>
  <c r="F620" i="12"/>
  <c r="G619" i="12"/>
  <c r="G620" i="12"/>
  <c r="H619" i="12"/>
  <c r="H620" i="12"/>
  <c r="K619" i="12"/>
  <c r="BX19" i="15" s="1"/>
  <c r="BY19" i="15" s="1"/>
  <c r="K620" i="12"/>
  <c r="BX20" i="15" s="1"/>
  <c r="BY20" i="15" s="1"/>
  <c r="C618" i="12"/>
  <c r="D618" i="12"/>
  <c r="F618" i="12"/>
  <c r="G618" i="12"/>
  <c r="H618" i="12"/>
  <c r="K618" i="12"/>
  <c r="BX16" i="15" s="1"/>
  <c r="BY16" i="15" s="1"/>
  <c r="C615" i="12"/>
  <c r="C616" i="12"/>
  <c r="D615" i="12"/>
  <c r="D616" i="12"/>
  <c r="F615" i="12"/>
  <c r="F616" i="12"/>
  <c r="G615" i="12"/>
  <c r="G616" i="12"/>
  <c r="H615" i="12"/>
  <c r="H616" i="12"/>
  <c r="K615" i="12"/>
  <c r="BX13" i="15" s="1"/>
  <c r="BY13" i="15" s="1"/>
  <c r="K616" i="12"/>
  <c r="BX14" i="15" s="1"/>
  <c r="BY14" i="15" s="1"/>
  <c r="C612" i="12"/>
  <c r="C613" i="12"/>
  <c r="C614" i="12"/>
  <c r="D612" i="12"/>
  <c r="D613" i="12"/>
  <c r="D614" i="12"/>
  <c r="F612" i="12"/>
  <c r="F613" i="12"/>
  <c r="F614" i="12"/>
  <c r="G612" i="12"/>
  <c r="G613" i="12"/>
  <c r="G614" i="12"/>
  <c r="H612" i="12"/>
  <c r="H613" i="12"/>
  <c r="H614" i="12"/>
  <c r="K612" i="12"/>
  <c r="BX7" i="15" s="1"/>
  <c r="BY7" i="15" s="1"/>
  <c r="K613" i="12"/>
  <c r="BX8" i="15" s="1"/>
  <c r="BY8" i="15" s="1"/>
  <c r="K614" i="12"/>
  <c r="BX9" i="15" s="1"/>
  <c r="BY9" i="15" s="1"/>
  <c r="C611" i="12"/>
  <c r="D611" i="12"/>
  <c r="F611" i="12"/>
  <c r="G611" i="12"/>
  <c r="H611" i="12"/>
  <c r="K611" i="12"/>
  <c r="BX4" i="15" s="1"/>
  <c r="BY4" i="15" s="1"/>
  <c r="C610" i="12"/>
  <c r="D610" i="12"/>
  <c r="F610" i="12"/>
  <c r="G610" i="12"/>
  <c r="H610" i="12"/>
  <c r="K610" i="12"/>
  <c r="CD82" i="15" s="1"/>
  <c r="C609" i="12"/>
  <c r="D609" i="12"/>
  <c r="F609" i="12"/>
  <c r="G609" i="12"/>
  <c r="H609" i="12"/>
  <c r="K609" i="12"/>
  <c r="CD79" i="15" s="1"/>
  <c r="C605" i="12"/>
  <c r="C606" i="12"/>
  <c r="C607" i="12"/>
  <c r="C608" i="12"/>
  <c r="D605" i="12"/>
  <c r="D606" i="12"/>
  <c r="D607" i="12"/>
  <c r="D608" i="12"/>
  <c r="F605" i="12"/>
  <c r="F606" i="12"/>
  <c r="F607" i="12"/>
  <c r="F608" i="12"/>
  <c r="G605" i="12"/>
  <c r="G606" i="12"/>
  <c r="G607" i="12"/>
  <c r="G608" i="12"/>
  <c r="H605" i="12"/>
  <c r="H606" i="12"/>
  <c r="H607" i="12"/>
  <c r="H608" i="12"/>
  <c r="K605" i="12"/>
  <c r="CD70" i="15" s="1"/>
  <c r="K606" i="12"/>
  <c r="CD72" i="15" s="1"/>
  <c r="K607" i="12"/>
  <c r="CD73" i="15" s="1"/>
  <c r="K608" i="12"/>
  <c r="CD74" i="15" s="1"/>
  <c r="C604" i="12"/>
  <c r="D604" i="12"/>
  <c r="F604" i="12"/>
  <c r="G604" i="12"/>
  <c r="H604" i="12"/>
  <c r="K604" i="12"/>
  <c r="CD68" i="15" s="1"/>
  <c r="C601" i="12"/>
  <c r="C602" i="12"/>
  <c r="C603" i="12"/>
  <c r="D601" i="12"/>
  <c r="D602" i="12"/>
  <c r="D603" i="12"/>
  <c r="F601" i="12"/>
  <c r="F602" i="12"/>
  <c r="F603" i="12"/>
  <c r="G601" i="12"/>
  <c r="G602" i="12"/>
  <c r="G603" i="12"/>
  <c r="H601" i="12"/>
  <c r="H602" i="12"/>
  <c r="H603" i="12"/>
  <c r="K601" i="12"/>
  <c r="CD63" i="15" s="1"/>
  <c r="K602" i="12"/>
  <c r="CD64" i="15" s="1"/>
  <c r="K603" i="12"/>
  <c r="CD65" i="15" s="1"/>
  <c r="C600" i="12"/>
  <c r="D600" i="12"/>
  <c r="F600" i="12"/>
  <c r="G600" i="12"/>
  <c r="H600" i="12"/>
  <c r="K600" i="12"/>
  <c r="CD61" i="15" s="1"/>
  <c r="C599" i="12"/>
  <c r="D599" i="12"/>
  <c r="F599" i="12"/>
  <c r="G599" i="12"/>
  <c r="H599" i="12"/>
  <c r="K599" i="12"/>
  <c r="CD59" i="15" s="1"/>
  <c r="C598" i="12"/>
  <c r="D598" i="12"/>
  <c r="F598" i="12"/>
  <c r="G598" i="12"/>
  <c r="H598" i="12"/>
  <c r="K598" i="12"/>
  <c r="CD57" i="15" s="1"/>
  <c r="C597" i="12"/>
  <c r="D597" i="12"/>
  <c r="F597" i="12"/>
  <c r="G597" i="12"/>
  <c r="H597" i="12"/>
  <c r="K597" i="12"/>
  <c r="CD47" i="15" s="1"/>
  <c r="C593" i="12"/>
  <c r="C595" i="12"/>
  <c r="C596" i="12"/>
  <c r="D593" i="12"/>
  <c r="D595" i="12"/>
  <c r="D596" i="12"/>
  <c r="F593" i="12"/>
  <c r="F595" i="12"/>
  <c r="F596" i="12"/>
  <c r="G593" i="12"/>
  <c r="G595" i="12"/>
  <c r="G596" i="12"/>
  <c r="H593" i="12"/>
  <c r="H595" i="12"/>
  <c r="H596" i="12"/>
  <c r="K593" i="12"/>
  <c r="CD41" i="15" s="1"/>
  <c r="K595" i="12"/>
  <c r="CD43" i="15" s="1"/>
  <c r="K596" i="12"/>
  <c r="CD45" i="15" s="1"/>
  <c r="C592" i="12"/>
  <c r="D592" i="12"/>
  <c r="F592" i="12"/>
  <c r="G592" i="12"/>
  <c r="H592" i="12"/>
  <c r="K592" i="12"/>
  <c r="CD35" i="15" s="1"/>
  <c r="C591" i="12"/>
  <c r="D591" i="12"/>
  <c r="F591" i="12"/>
  <c r="G591" i="12"/>
  <c r="H591" i="12"/>
  <c r="K591" i="12"/>
  <c r="CD33" i="15" s="1"/>
  <c r="C590" i="12"/>
  <c r="D590" i="12"/>
  <c r="F590" i="12"/>
  <c r="G590" i="12"/>
  <c r="H590" i="12"/>
  <c r="K590" i="12"/>
  <c r="CD30" i="15" s="1"/>
  <c r="C589" i="12"/>
  <c r="D589" i="12"/>
  <c r="F589" i="12"/>
  <c r="G589" i="12"/>
  <c r="H589" i="12"/>
  <c r="K589" i="12"/>
  <c r="CD27" i="15" s="1"/>
  <c r="C588" i="12"/>
  <c r="D588" i="12"/>
  <c r="F588" i="12"/>
  <c r="G588" i="12"/>
  <c r="H588" i="12"/>
  <c r="K588" i="12"/>
  <c r="CD22" i="15" s="1"/>
  <c r="C586" i="12"/>
  <c r="C587" i="12"/>
  <c r="D586" i="12"/>
  <c r="D587" i="12"/>
  <c r="F586" i="12"/>
  <c r="F587" i="12"/>
  <c r="G586" i="12"/>
  <c r="G587" i="12"/>
  <c r="H586" i="12"/>
  <c r="H587" i="12"/>
  <c r="K586" i="12"/>
  <c r="CD19" i="15" s="1"/>
  <c r="K587" i="12"/>
  <c r="CD20" i="15" s="1"/>
  <c r="C585" i="12"/>
  <c r="D585" i="12"/>
  <c r="F585" i="12"/>
  <c r="G585" i="12"/>
  <c r="H585" i="12"/>
  <c r="K585" i="12"/>
  <c r="CD16" i="15" s="1"/>
  <c r="C583" i="12"/>
  <c r="C584" i="12"/>
  <c r="D583" i="12"/>
  <c r="D584" i="12"/>
  <c r="F583" i="12"/>
  <c r="F584" i="12"/>
  <c r="G583" i="12"/>
  <c r="G584" i="12"/>
  <c r="H583" i="12"/>
  <c r="H584" i="12"/>
  <c r="K583" i="12"/>
  <c r="CD13" i="15" s="1"/>
  <c r="K584" i="12"/>
  <c r="CD14" i="15" s="1"/>
  <c r="C580" i="12"/>
  <c r="C581" i="12"/>
  <c r="C582" i="12"/>
  <c r="D580" i="12"/>
  <c r="D581" i="12"/>
  <c r="D582" i="12"/>
  <c r="F580" i="12"/>
  <c r="F581" i="12"/>
  <c r="F582" i="12"/>
  <c r="G580" i="12"/>
  <c r="G581" i="12"/>
  <c r="G582" i="12"/>
  <c r="H580" i="12"/>
  <c r="H581" i="12"/>
  <c r="H582" i="12"/>
  <c r="K580" i="12"/>
  <c r="CD7" i="15" s="1"/>
  <c r="K581" i="12"/>
  <c r="CD8" i="15" s="1"/>
  <c r="K582" i="12"/>
  <c r="CD9" i="15" s="1"/>
  <c r="C579" i="12"/>
  <c r="D579" i="12"/>
  <c r="F579" i="12"/>
  <c r="G579" i="12"/>
  <c r="H579" i="12"/>
  <c r="K579" i="12"/>
  <c r="CD4" i="15" s="1"/>
  <c r="CE3" i="15"/>
  <c r="CE20" i="15" l="1"/>
  <c r="CE45" i="15"/>
  <c r="CE68" i="15"/>
  <c r="CE8" i="15"/>
  <c r="CE63" i="15"/>
  <c r="CE27" i="15"/>
  <c r="CE57" i="15"/>
  <c r="CE79" i="15"/>
  <c r="CE19" i="15"/>
  <c r="CE72" i="15"/>
  <c r="CE16" i="15"/>
  <c r="CE35" i="15"/>
  <c r="CE65" i="15"/>
  <c r="CE41" i="15"/>
  <c r="CE70" i="15"/>
  <c r="CE9" i="15"/>
  <c r="CE30" i="15"/>
  <c r="CE59" i="15"/>
  <c r="CE82" i="15"/>
  <c r="CE7" i="15"/>
  <c r="CE14" i="15"/>
  <c r="CE33" i="15"/>
  <c r="CE61" i="15"/>
  <c r="CE4" i="15"/>
  <c r="CE22" i="15"/>
  <c r="CE47" i="15"/>
  <c r="CE74" i="15"/>
  <c r="CE13" i="15"/>
  <c r="CE43" i="15"/>
  <c r="CE64" i="15"/>
  <c r="CE73" i="15"/>
  <c r="CA67" i="15"/>
  <c r="CB67" i="15" s="1"/>
  <c r="CA78" i="15"/>
  <c r="CB78" i="15" s="1"/>
  <c r="BX59" i="15"/>
  <c r="BY59" i="15" s="1"/>
  <c r="CA57" i="15"/>
  <c r="CB57" i="15" s="1"/>
  <c r="CA79" i="15"/>
  <c r="CB79" i="15" s="1"/>
  <c r="BX58" i="15"/>
  <c r="BY58" i="15" s="1"/>
  <c r="BX57" i="15"/>
  <c r="BY57" i="15" s="1"/>
  <c r="BX82" i="15"/>
  <c r="BY82" i="15" s="1"/>
  <c r="CA65" i="15"/>
  <c r="CB65" i="15" s="1"/>
  <c r="CA74" i="15"/>
  <c r="CB74" i="15" s="1"/>
  <c r="CA76" i="15"/>
  <c r="CB76" i="15" s="1"/>
  <c r="CA64" i="15"/>
  <c r="CB64" i="15" s="1"/>
  <c r="CA73" i="15"/>
  <c r="CB73" i="15" s="1"/>
  <c r="BX65" i="15"/>
  <c r="BY65" i="15" s="1"/>
  <c r="BX74" i="15"/>
  <c r="BY74" i="15" s="1"/>
  <c r="BX79" i="15"/>
  <c r="BY79" i="15" s="1"/>
  <c r="CA61" i="15"/>
  <c r="CB61" i="15" s="1"/>
  <c r="CA63" i="15"/>
  <c r="CB63" i="15" s="1"/>
  <c r="CA68" i="15"/>
  <c r="CB68" i="15" s="1"/>
  <c r="CA72" i="15"/>
  <c r="CB72" i="15" s="1"/>
  <c r="BX64" i="15"/>
  <c r="BY64" i="15" s="1"/>
  <c r="BX73" i="15"/>
  <c r="BY73" i="15" s="1"/>
  <c r="CA60" i="15"/>
  <c r="CB60" i="15" s="1"/>
  <c r="CA70" i="15"/>
  <c r="CB70" i="15" s="1"/>
  <c r="BX61" i="15"/>
  <c r="BY61" i="15" s="1"/>
  <c r="BX63" i="15"/>
  <c r="BY63" i="15" s="1"/>
  <c r="BX68" i="15"/>
  <c r="BY68" i="15" s="1"/>
  <c r="BX72" i="15"/>
  <c r="BY72" i="15" s="1"/>
  <c r="CA59" i="15"/>
  <c r="CB59" i="15" s="1"/>
  <c r="BX60" i="15"/>
  <c r="BY60" i="15" s="1"/>
  <c r="BX70" i="15"/>
  <c r="BY70" i="15" s="1"/>
  <c r="CA58" i="15"/>
  <c r="CB58" i="15" s="1"/>
  <c r="C578" i="12"/>
  <c r="D578" i="12"/>
  <c r="F578" i="12"/>
  <c r="G578" i="12"/>
  <c r="H578" i="12"/>
  <c r="K578" i="12"/>
  <c r="C577" i="12"/>
  <c r="D577" i="12"/>
  <c r="F577" i="12"/>
  <c r="G577" i="12"/>
  <c r="H577" i="12"/>
  <c r="K577" i="12"/>
  <c r="C576" i="12"/>
  <c r="D576" i="12"/>
  <c r="F576" i="12"/>
  <c r="G576" i="12"/>
  <c r="H576" i="12"/>
  <c r="K576" i="12"/>
  <c r="C575" i="12"/>
  <c r="D575" i="12"/>
  <c r="F575" i="12"/>
  <c r="G575" i="12"/>
  <c r="H575" i="12"/>
  <c r="K575" i="12"/>
  <c r="C572" i="12"/>
  <c r="D572" i="12"/>
  <c r="F572" i="12"/>
  <c r="G572" i="12"/>
  <c r="H572" i="12"/>
  <c r="K572" i="12"/>
  <c r="C569" i="12"/>
  <c r="D569" i="12"/>
  <c r="F569" i="12"/>
  <c r="G569" i="12"/>
  <c r="H569" i="12"/>
  <c r="K569" i="12"/>
  <c r="C568" i="12"/>
  <c r="D568" i="12"/>
  <c r="F568" i="12"/>
  <c r="G568" i="12"/>
  <c r="H568" i="12"/>
  <c r="K568" i="12"/>
  <c r="C567" i="12"/>
  <c r="D567" i="12"/>
  <c r="F567" i="12"/>
  <c r="G567" i="12"/>
  <c r="H567" i="12"/>
  <c r="K567" i="12"/>
  <c r="C565" i="12"/>
  <c r="C566" i="12"/>
  <c r="D565" i="12"/>
  <c r="D566" i="12"/>
  <c r="F565" i="12"/>
  <c r="F566" i="12"/>
  <c r="G565" i="12"/>
  <c r="G566" i="12"/>
  <c r="H565" i="12"/>
  <c r="H566" i="12"/>
  <c r="K565" i="12"/>
  <c r="K566" i="12"/>
  <c r="C564" i="12"/>
  <c r="D564" i="12"/>
  <c r="F564" i="12"/>
  <c r="G564" i="12"/>
  <c r="H564" i="12"/>
  <c r="K564" i="12"/>
  <c r="C563" i="12"/>
  <c r="D563" i="12"/>
  <c r="F563" i="12"/>
  <c r="G563" i="12"/>
  <c r="H563" i="12"/>
  <c r="K563" i="12"/>
  <c r="C562" i="12"/>
  <c r="D562" i="12"/>
  <c r="F562" i="12"/>
  <c r="G562" i="12"/>
  <c r="H562" i="12"/>
  <c r="K562" i="12"/>
  <c r="C156" i="12"/>
  <c r="D156" i="12"/>
  <c r="F156" i="12"/>
  <c r="G156" i="12"/>
  <c r="H156" i="12"/>
  <c r="K156" i="12"/>
  <c r="C141" i="12"/>
  <c r="D141" i="12"/>
  <c r="F141" i="12"/>
  <c r="G141" i="12"/>
  <c r="H141" i="12"/>
  <c r="K141" i="12"/>
  <c r="C130" i="12"/>
  <c r="D130" i="12"/>
  <c r="F130" i="12"/>
  <c r="G130" i="12"/>
  <c r="H130" i="12"/>
  <c r="K130" i="12"/>
  <c r="C558" i="12"/>
  <c r="D558" i="12"/>
  <c r="F558" i="12"/>
  <c r="G558" i="12"/>
  <c r="H558" i="12"/>
  <c r="K558" i="12"/>
  <c r="C557" i="12" l="1"/>
  <c r="D557" i="12"/>
  <c r="F557" i="12"/>
  <c r="G557" i="12"/>
  <c r="H557" i="12"/>
  <c r="K557" i="12"/>
  <c r="C556" i="12"/>
  <c r="D556" i="12"/>
  <c r="F556" i="12"/>
  <c r="G556" i="12"/>
  <c r="H556" i="12"/>
  <c r="K556" i="12"/>
  <c r="C111" i="12" l="1"/>
  <c r="D111" i="12"/>
  <c r="F111" i="12"/>
  <c r="G111" i="12"/>
  <c r="H111" i="12"/>
  <c r="K111" i="12"/>
  <c r="S3" i="15" s="1"/>
  <c r="T3" i="15" s="1"/>
  <c r="AQ3" i="15"/>
  <c r="AR3" i="15" s="1"/>
  <c r="AQ4" i="15"/>
  <c r="AR4" i="15" s="1"/>
  <c r="AQ5" i="15"/>
  <c r="AR5" i="15" s="1"/>
  <c r="AQ6" i="15"/>
  <c r="AR6" i="15" s="1"/>
  <c r="AQ7" i="15"/>
  <c r="AR7" i="15" s="1"/>
  <c r="AQ8" i="15"/>
  <c r="AR8" i="15" s="1"/>
  <c r="AQ9" i="15"/>
  <c r="AR9" i="15" s="1"/>
  <c r="AQ11" i="15"/>
  <c r="AR11" i="15" s="1"/>
  <c r="AQ12" i="15"/>
  <c r="AR12" i="15" s="1"/>
  <c r="AQ13" i="15"/>
  <c r="AR13" i="15" s="1"/>
  <c r="AQ14" i="15"/>
  <c r="AR14" i="15" s="1"/>
  <c r="AQ15" i="15"/>
  <c r="AR15" i="15" s="1"/>
  <c r="AQ16" i="15"/>
  <c r="AR16" i="15" s="1"/>
  <c r="AQ17" i="15"/>
  <c r="AR17" i="15" s="1"/>
  <c r="AQ18" i="15"/>
  <c r="AR18" i="15" s="1"/>
  <c r="AQ19" i="15"/>
  <c r="AR19" i="15" s="1"/>
  <c r="AQ20" i="15"/>
  <c r="AR20" i="15" s="1"/>
  <c r="AQ21" i="15"/>
  <c r="AR21" i="15" s="1"/>
  <c r="AQ22" i="15"/>
  <c r="AR22" i="15" s="1"/>
  <c r="AQ23" i="15"/>
  <c r="AR23" i="15" s="1"/>
  <c r="AQ24" i="15"/>
  <c r="AR24" i="15" s="1"/>
  <c r="AQ25" i="15"/>
  <c r="AR25" i="15" s="1"/>
  <c r="AQ26" i="15"/>
  <c r="AR26" i="15" s="1"/>
  <c r="AQ27" i="15"/>
  <c r="AR27" i="15" s="1"/>
  <c r="AQ28" i="15"/>
  <c r="AR28" i="15" s="1"/>
  <c r="AQ29" i="15"/>
  <c r="AR29" i="15" s="1"/>
  <c r="AQ30" i="15"/>
  <c r="AR30" i="15" s="1"/>
  <c r="AQ31" i="15"/>
  <c r="AR31" i="15" s="1"/>
  <c r="AQ32" i="15"/>
  <c r="AR32" i="15" s="1"/>
  <c r="AQ33" i="15"/>
  <c r="AR33" i="15" s="1"/>
  <c r="AQ34" i="15"/>
  <c r="AR34" i="15" s="1"/>
  <c r="AQ35" i="15"/>
  <c r="AR35" i="15" s="1"/>
  <c r="AQ36" i="15"/>
  <c r="AR36" i="15" s="1"/>
  <c r="AQ37" i="15"/>
  <c r="AR37" i="15" s="1"/>
  <c r="AQ38" i="15"/>
  <c r="AR38" i="15" s="1"/>
  <c r="AQ39" i="15"/>
  <c r="AR39" i="15" s="1"/>
  <c r="AQ40" i="15"/>
  <c r="AR40" i="15" s="1"/>
  <c r="AQ41" i="15"/>
  <c r="AR41" i="15" s="1"/>
  <c r="AQ43" i="15"/>
  <c r="AR43" i="15" s="1"/>
  <c r="AQ46" i="15"/>
  <c r="AR46" i="15" s="1"/>
  <c r="AQ47" i="15"/>
  <c r="AR47" i="15" s="1"/>
  <c r="AQ48" i="15"/>
  <c r="AR48" i="15" s="1"/>
  <c r="AQ49" i="15"/>
  <c r="AR49" i="15" s="1"/>
  <c r="AQ50" i="15"/>
  <c r="AR50" i="15" s="1"/>
  <c r="AQ51" i="15"/>
  <c r="AR51" i="15" s="1"/>
  <c r="AQ52" i="15"/>
  <c r="AR52" i="15" s="1"/>
  <c r="AQ53" i="15"/>
  <c r="AR53" i="15" s="1"/>
  <c r="AQ55" i="15"/>
  <c r="AR55" i="15" s="1"/>
  <c r="AQ56" i="15"/>
  <c r="AR56" i="15" s="1"/>
  <c r="AQ57" i="15"/>
  <c r="AR57" i="15" s="1"/>
  <c r="AQ60" i="15"/>
  <c r="AR60" i="15" s="1"/>
  <c r="AQ61" i="15"/>
  <c r="AR61" i="15" s="1"/>
  <c r="AQ62" i="15"/>
  <c r="AR62" i="15" s="1"/>
  <c r="AQ63" i="15"/>
  <c r="AR63" i="15" s="1"/>
  <c r="AQ64" i="15"/>
  <c r="AR64" i="15" s="1"/>
  <c r="AQ65" i="15"/>
  <c r="AR65" i="15" s="1"/>
  <c r="AQ66" i="15"/>
  <c r="AR66" i="15" s="1"/>
  <c r="AQ68" i="15"/>
  <c r="AR68" i="15" s="1"/>
  <c r="AQ69" i="15"/>
  <c r="AR69" i="15" s="1"/>
  <c r="AQ72" i="15"/>
  <c r="AR72" i="15" s="1"/>
  <c r="AQ73" i="15"/>
  <c r="AR73" i="15" s="1"/>
  <c r="AQ74" i="15"/>
  <c r="AR74" i="15" s="1"/>
  <c r="AQ75" i="15"/>
  <c r="AR75" i="15" s="1"/>
  <c r="AQ76" i="15"/>
  <c r="AR76" i="15" s="1"/>
  <c r="AQ77" i="15"/>
  <c r="AR77" i="15" s="1"/>
  <c r="AQ79" i="15"/>
  <c r="AR79" i="15" s="1"/>
  <c r="AQ80" i="15"/>
  <c r="AR80" i="15" s="1"/>
  <c r="AQ81" i="15"/>
  <c r="AR81" i="15" s="1"/>
  <c r="AT3" i="15"/>
  <c r="AU3" i="15" s="1"/>
  <c r="AT4" i="15"/>
  <c r="AU4" i="15" s="1"/>
  <c r="AT5" i="15"/>
  <c r="AU5" i="15" s="1"/>
  <c r="AT6" i="15"/>
  <c r="AU6" i="15" s="1"/>
  <c r="AT10" i="15"/>
  <c r="AU10" i="15" s="1"/>
  <c r="AT11" i="15"/>
  <c r="AU11" i="15" s="1"/>
  <c r="AT12" i="15"/>
  <c r="AU12" i="15" s="1"/>
  <c r="AT15" i="15"/>
  <c r="AU15" i="15" s="1"/>
  <c r="AT18" i="15"/>
  <c r="AU18" i="15" s="1"/>
  <c r="AT23" i="15"/>
  <c r="AU23" i="15" s="1"/>
  <c r="AT24" i="15"/>
  <c r="AU24" i="15" s="1"/>
  <c r="AT25" i="15"/>
  <c r="AU25" i="15" s="1"/>
  <c r="AT26" i="15"/>
  <c r="AU26" i="15" s="1"/>
  <c r="AT28" i="15"/>
  <c r="AU28" i="15" s="1"/>
  <c r="AT29" i="15"/>
  <c r="AU29" i="15" s="1"/>
  <c r="AT32" i="15"/>
  <c r="AU32" i="15" s="1"/>
  <c r="AT34" i="15"/>
  <c r="AU34" i="15" s="1"/>
  <c r="AT36" i="15"/>
  <c r="AU36" i="15" s="1"/>
  <c r="AT37" i="15"/>
  <c r="AU37" i="15" s="1"/>
  <c r="AT38" i="15"/>
  <c r="AU38" i="15" s="1"/>
  <c r="AT39" i="15"/>
  <c r="AU39" i="15" s="1"/>
  <c r="AT40" i="15"/>
  <c r="AU40" i="15" s="1"/>
  <c r="AT45" i="15"/>
  <c r="AU45" i="15" s="1"/>
  <c r="AT46" i="15"/>
  <c r="AU46" i="15" s="1"/>
  <c r="AT48" i="15"/>
  <c r="AU48" i="15" s="1"/>
  <c r="AT49" i="15"/>
  <c r="AU49" i="15" s="1"/>
  <c r="AT50" i="15"/>
  <c r="AU50" i="15" s="1"/>
  <c r="AT51" i="15"/>
  <c r="AU51" i="15" s="1"/>
  <c r="AT52" i="15"/>
  <c r="AU52" i="15" s="1"/>
  <c r="AT53" i="15"/>
  <c r="AU53" i="15" s="1"/>
  <c r="AT56" i="15"/>
  <c r="AU56" i="15" s="1"/>
  <c r="AT60" i="15"/>
  <c r="AU60" i="15" s="1"/>
  <c r="AT62" i="15"/>
  <c r="AU62" i="15" s="1"/>
  <c r="AT65" i="15"/>
  <c r="AU65" i="15" s="1"/>
  <c r="AT66" i="15"/>
  <c r="AU66" i="15" s="1"/>
  <c r="AT68" i="15"/>
  <c r="AU68" i="15" s="1"/>
  <c r="AT70" i="15"/>
  <c r="AU70" i="15" s="1"/>
  <c r="AT72" i="15"/>
  <c r="AU72" i="15" s="1"/>
  <c r="AT76" i="15"/>
  <c r="AU76" i="15" s="1"/>
  <c r="AT77" i="15"/>
  <c r="AU77" i="15" s="1"/>
  <c r="AT81" i="15"/>
  <c r="AU81" i="15" s="1"/>
  <c r="AT82" i="15"/>
  <c r="AU82" i="15" s="1"/>
  <c r="AW3" i="15"/>
  <c r="AX3" i="15" s="1"/>
  <c r="AW6" i="15"/>
  <c r="AX6" i="15" s="1"/>
  <c r="AW9" i="15"/>
  <c r="AX9" i="15" s="1"/>
  <c r="AW10" i="15"/>
  <c r="AX10" i="15" s="1"/>
  <c r="AW11" i="15"/>
  <c r="AX11" i="15" s="1"/>
  <c r="AW12" i="15"/>
  <c r="AX12" i="15" s="1"/>
  <c r="AW15" i="15"/>
  <c r="AX15" i="15" s="1"/>
  <c r="AW17" i="15"/>
  <c r="AX17" i="15" s="1"/>
  <c r="AW18" i="15"/>
  <c r="AX18" i="15" s="1"/>
  <c r="AW21" i="15"/>
  <c r="AX21" i="15" s="1"/>
  <c r="AW23" i="15"/>
  <c r="AX23" i="15" s="1"/>
  <c r="AW24" i="15"/>
  <c r="AX24" i="15" s="1"/>
  <c r="AW36" i="15"/>
  <c r="AX36" i="15" s="1"/>
  <c r="AW38" i="15"/>
  <c r="AX38" i="15" s="1"/>
  <c r="AW39" i="15"/>
  <c r="AX39" i="15" s="1"/>
  <c r="AW40" i="15"/>
  <c r="AX40" i="15" s="1"/>
  <c r="AW46" i="15"/>
  <c r="AX46" i="15" s="1"/>
  <c r="AW48" i="15"/>
  <c r="AX48" i="15" s="1"/>
  <c r="AW49" i="15"/>
  <c r="AX49" i="15" s="1"/>
  <c r="AW50" i="15"/>
  <c r="AX50" i="15" s="1"/>
  <c r="AW51" i="15"/>
  <c r="AX51" i="15" s="1"/>
  <c r="AW52" i="15"/>
  <c r="AX52" i="15" s="1"/>
  <c r="AW53" i="15"/>
  <c r="AX53" i="15" s="1"/>
  <c r="AW55" i="15"/>
  <c r="AX55" i="15" s="1"/>
  <c r="AW56" i="15"/>
  <c r="AX56" i="15" s="1"/>
  <c r="AW58" i="15"/>
  <c r="AX58" i="15" s="1"/>
  <c r="AW60" i="15"/>
  <c r="AX60" i="15" s="1"/>
  <c r="AW62" i="15"/>
  <c r="AX62" i="15" s="1"/>
  <c r="AW66" i="15"/>
  <c r="AX66" i="15" s="1"/>
  <c r="AW69" i="15"/>
  <c r="AX69" i="15" s="1"/>
  <c r="AW72" i="15"/>
  <c r="AX72" i="15" s="1"/>
  <c r="AW75" i="15"/>
  <c r="AX75" i="15" s="1"/>
  <c r="AW76" i="15"/>
  <c r="AX76" i="15" s="1"/>
  <c r="AW77" i="15"/>
  <c r="AX77" i="15" s="1"/>
  <c r="AW80" i="15"/>
  <c r="AX80" i="15" s="1"/>
  <c r="AW81" i="15"/>
  <c r="AX81" i="15" s="1"/>
  <c r="AZ3" i="15"/>
  <c r="BA3" i="15" s="1"/>
  <c r="AZ4" i="15"/>
  <c r="BA4" i="15" s="1"/>
  <c r="AZ5" i="15"/>
  <c r="BA5" i="15" s="1"/>
  <c r="AZ6" i="15"/>
  <c r="BA6" i="15" s="1"/>
  <c r="AZ7" i="15"/>
  <c r="BA7" i="15" s="1"/>
  <c r="AZ8" i="15"/>
  <c r="BA8" i="15" s="1"/>
  <c r="AZ9" i="15"/>
  <c r="BA9" i="15" s="1"/>
  <c r="AZ11" i="15"/>
  <c r="BA11" i="15" s="1"/>
  <c r="AZ12" i="15"/>
  <c r="BA12" i="15" s="1"/>
  <c r="AZ13" i="15"/>
  <c r="BA13" i="15" s="1"/>
  <c r="AZ16" i="15"/>
  <c r="BA16" i="15" s="1"/>
  <c r="AZ17" i="15"/>
  <c r="BA17" i="15" s="1"/>
  <c r="AZ18" i="15"/>
  <c r="BA18" i="15" s="1"/>
  <c r="AZ19" i="15"/>
  <c r="BA19" i="15" s="1"/>
  <c r="AZ20" i="15"/>
  <c r="BA20" i="15" s="1"/>
  <c r="AZ21" i="15"/>
  <c r="BA21" i="15" s="1"/>
  <c r="AZ22" i="15"/>
  <c r="BA22" i="15" s="1"/>
  <c r="AZ23" i="15"/>
  <c r="BA23" i="15" s="1"/>
  <c r="AZ24" i="15"/>
  <c r="BA24" i="15" s="1"/>
  <c r="AZ25" i="15"/>
  <c r="BA25" i="15" s="1"/>
  <c r="AZ26" i="15"/>
  <c r="BA26" i="15" s="1"/>
  <c r="AZ28" i="15"/>
  <c r="BA28" i="15" s="1"/>
  <c r="AZ30" i="15"/>
  <c r="BA30" i="15" s="1"/>
  <c r="AZ31" i="15"/>
  <c r="BA31" i="15" s="1"/>
  <c r="AZ32" i="15"/>
  <c r="BA32" i="15" s="1"/>
  <c r="AZ33" i="15"/>
  <c r="BA33" i="15" s="1"/>
  <c r="AZ34" i="15"/>
  <c r="BA34" i="15" s="1"/>
  <c r="AZ35" i="15"/>
  <c r="BA35" i="15" s="1"/>
  <c r="AZ36" i="15"/>
  <c r="BA36" i="15" s="1"/>
  <c r="AZ37" i="15"/>
  <c r="BA37" i="15" s="1"/>
  <c r="AZ38" i="15"/>
  <c r="BA38" i="15" s="1"/>
  <c r="AZ39" i="15"/>
  <c r="BA39" i="15" s="1"/>
  <c r="AZ40" i="15"/>
  <c r="BA40" i="15" s="1"/>
  <c r="AZ41" i="15"/>
  <c r="BA41" i="15" s="1"/>
  <c r="AZ43" i="15"/>
  <c r="BA43" i="15" s="1"/>
  <c r="AZ46" i="15"/>
  <c r="BA46" i="15" s="1"/>
  <c r="AZ47" i="15"/>
  <c r="BA47" i="15" s="1"/>
  <c r="AZ49" i="15"/>
  <c r="BA49" i="15" s="1"/>
  <c r="AZ50" i="15"/>
  <c r="BA50" i="15" s="1"/>
  <c r="AZ51" i="15"/>
  <c r="BA51" i="15" s="1"/>
  <c r="AZ52" i="15"/>
  <c r="BA52" i="15" s="1"/>
  <c r="AZ53" i="15"/>
  <c r="BA53" i="15" s="1"/>
  <c r="AZ55" i="15"/>
  <c r="BA55" i="15" s="1"/>
  <c r="AZ56" i="15"/>
  <c r="BA56" i="15" s="1"/>
  <c r="AZ59" i="15"/>
  <c r="BA59" i="15" s="1"/>
  <c r="AZ60" i="15"/>
  <c r="BA60" i="15" s="1"/>
  <c r="AZ62" i="15"/>
  <c r="BA62" i="15" s="1"/>
  <c r="AZ63" i="15"/>
  <c r="BA63" i="15" s="1"/>
  <c r="AZ65" i="15"/>
  <c r="BA65" i="15" s="1"/>
  <c r="AZ66" i="15"/>
  <c r="BA66" i="15" s="1"/>
  <c r="AZ68" i="15"/>
  <c r="BA68" i="15" s="1"/>
  <c r="AZ69" i="15"/>
  <c r="BA69" i="15" s="1"/>
  <c r="AZ70" i="15"/>
  <c r="BA70" i="15" s="1"/>
  <c r="AZ72" i="15"/>
  <c r="BA72" i="15" s="1"/>
  <c r="AZ73" i="15"/>
  <c r="BA73" i="15" s="1"/>
  <c r="AZ74" i="15"/>
  <c r="BA74" i="15" s="1"/>
  <c r="AZ75" i="15"/>
  <c r="BA75" i="15" s="1"/>
  <c r="AZ76" i="15"/>
  <c r="BA76" i="15" s="1"/>
  <c r="AZ77" i="15"/>
  <c r="BA77" i="15" s="1"/>
  <c r="AZ80" i="15"/>
  <c r="BA80" i="15" s="1"/>
  <c r="AZ81" i="15"/>
  <c r="BA81" i="15" s="1"/>
  <c r="BC11" i="15"/>
  <c r="BD11" i="15" s="1"/>
  <c r="BC15" i="15"/>
  <c r="BD15" i="15" s="1"/>
  <c r="BC17" i="15"/>
  <c r="BD17" i="15" s="1"/>
  <c r="BC25" i="15"/>
  <c r="BD25" i="15" s="1"/>
  <c r="BC26" i="15"/>
  <c r="BD26" i="15" s="1"/>
  <c r="BC28" i="15"/>
  <c r="BD28" i="15" s="1"/>
  <c r="BC29" i="15"/>
  <c r="BD29" i="15" s="1"/>
  <c r="BC31" i="15"/>
  <c r="BD31" i="15" s="1"/>
  <c r="BC32" i="15"/>
  <c r="BD32" i="15" s="1"/>
  <c r="BC34" i="15"/>
  <c r="BD34" i="15" s="1"/>
  <c r="BC36" i="15"/>
  <c r="BD36" i="15" s="1"/>
  <c r="BC37" i="15"/>
  <c r="BD37" i="15" s="1"/>
  <c r="BC38" i="15"/>
  <c r="BD38" i="15" s="1"/>
  <c r="BC39" i="15"/>
  <c r="BD39" i="15" s="1"/>
  <c r="BC40" i="15"/>
  <c r="BD40" i="15" s="1"/>
  <c r="BC46" i="15"/>
  <c r="BD46" i="15" s="1"/>
  <c r="BC48" i="15"/>
  <c r="BD48" i="15" s="1"/>
  <c r="BC49" i="15"/>
  <c r="BD49" i="15" s="1"/>
  <c r="BC52" i="15"/>
  <c r="BD52" i="15" s="1"/>
  <c r="BC53" i="15"/>
  <c r="BD53" i="15" s="1"/>
  <c r="BC55" i="15"/>
  <c r="BD55" i="15" s="1"/>
  <c r="BC62" i="15"/>
  <c r="BD62" i="15" s="1"/>
  <c r="BC66" i="15"/>
  <c r="BD66" i="15" s="1"/>
  <c r="BC69" i="15"/>
  <c r="BD69" i="15" s="1"/>
  <c r="BC75" i="15"/>
  <c r="BD75" i="15" s="1"/>
  <c r="BC76" i="15"/>
  <c r="BD76" i="15" s="1"/>
  <c r="BC77" i="15"/>
  <c r="BD77" i="15" s="1"/>
  <c r="BC80" i="15"/>
  <c r="BD80" i="15" s="1"/>
  <c r="BC81" i="15"/>
  <c r="BD81" i="15" s="1"/>
  <c r="BF3" i="15"/>
  <c r="BG3" i="15" s="1"/>
  <c r="BF5" i="15"/>
  <c r="BG5" i="15" s="1"/>
  <c r="BF6" i="15"/>
  <c r="BG6" i="15" s="1"/>
  <c r="BF9" i="15"/>
  <c r="BG9" i="15" s="1"/>
  <c r="BF11" i="15"/>
  <c r="BG11" i="15" s="1"/>
  <c r="BF12" i="15"/>
  <c r="BG12" i="15" s="1"/>
  <c r="BF15" i="15"/>
  <c r="BG15" i="15" s="1"/>
  <c r="BF17" i="15"/>
  <c r="BG17" i="15" s="1"/>
  <c r="BF18" i="15"/>
  <c r="BG18" i="15" s="1"/>
  <c r="BF21" i="15"/>
  <c r="BG21" i="15" s="1"/>
  <c r="BF22" i="15"/>
  <c r="BG22" i="15" s="1"/>
  <c r="BF23" i="15"/>
  <c r="BG23" i="15" s="1"/>
  <c r="BF24" i="15"/>
  <c r="BG24" i="15" s="1"/>
  <c r="BF25" i="15"/>
  <c r="BG25" i="15" s="1"/>
  <c r="BF26" i="15"/>
  <c r="BG26" i="15" s="1"/>
  <c r="BF28" i="15"/>
  <c r="BG28" i="15" s="1"/>
  <c r="BF29" i="15"/>
  <c r="BG29" i="15" s="1"/>
  <c r="BF31" i="15"/>
  <c r="BG31" i="15" s="1"/>
  <c r="BF32" i="15"/>
  <c r="BG32" i="15" s="1"/>
  <c r="BF34" i="15"/>
  <c r="BG34" i="15" s="1"/>
  <c r="BF36" i="15"/>
  <c r="BG36" i="15" s="1"/>
  <c r="BF37" i="15"/>
  <c r="BG37" i="15" s="1"/>
  <c r="BF38" i="15"/>
  <c r="BG38" i="15" s="1"/>
  <c r="BF39" i="15"/>
  <c r="BG39" i="15" s="1"/>
  <c r="BF40" i="15"/>
  <c r="BG40" i="15" s="1"/>
  <c r="BF43" i="15"/>
  <c r="BG43" i="15" s="1"/>
  <c r="BF46" i="15"/>
  <c r="BG46" i="15" s="1"/>
  <c r="BF48" i="15"/>
  <c r="BG48" i="15" s="1"/>
  <c r="BF49" i="15"/>
  <c r="BG49" i="15" s="1"/>
  <c r="BF50" i="15"/>
  <c r="BG50" i="15" s="1"/>
  <c r="BF51" i="15"/>
  <c r="BG51" i="15" s="1"/>
  <c r="BF52" i="15"/>
  <c r="BG52" i="15" s="1"/>
  <c r="BF53" i="15"/>
  <c r="BG53" i="15" s="1"/>
  <c r="BF55" i="15"/>
  <c r="BG55" i="15" s="1"/>
  <c r="BF56" i="15"/>
  <c r="BG56" i="15" s="1"/>
  <c r="BF62" i="15"/>
  <c r="BG62" i="15" s="1"/>
  <c r="BF66" i="15"/>
  <c r="BG66" i="15" s="1"/>
  <c r="BF69" i="15"/>
  <c r="BG69" i="15" s="1"/>
  <c r="BF75" i="15"/>
  <c r="BG75" i="15" s="1"/>
  <c r="BF76" i="15"/>
  <c r="BG76" i="15" s="1"/>
  <c r="BF77" i="15"/>
  <c r="BG77" i="15" s="1"/>
  <c r="BF80" i="15"/>
  <c r="BG80" i="15" s="1"/>
  <c r="BF81" i="15"/>
  <c r="BG81" i="15" s="1"/>
  <c r="BI3" i="15"/>
  <c r="BJ3" i="15" s="1"/>
  <c r="BI5" i="15"/>
  <c r="BJ5" i="15" s="1"/>
  <c r="BI6" i="15"/>
  <c r="BJ6" i="15" s="1"/>
  <c r="BI11" i="15"/>
  <c r="BJ11" i="15" s="1"/>
  <c r="BI12" i="15"/>
  <c r="BJ12" i="15" s="1"/>
  <c r="BI15" i="15"/>
  <c r="BJ15" i="15" s="1"/>
  <c r="BI17" i="15"/>
  <c r="BJ17" i="15" s="1"/>
  <c r="BI18" i="15"/>
  <c r="BJ18" i="15" s="1"/>
  <c r="BI21" i="15"/>
  <c r="BJ21" i="15" s="1"/>
  <c r="BI23" i="15"/>
  <c r="BJ23" i="15" s="1"/>
  <c r="BI24" i="15"/>
  <c r="BJ24" i="15" s="1"/>
  <c r="BI25" i="15"/>
  <c r="BJ25" i="15" s="1"/>
  <c r="BI26" i="15"/>
  <c r="BJ26" i="15" s="1"/>
  <c r="BI28" i="15"/>
  <c r="BJ28" i="15" s="1"/>
  <c r="BI29" i="15"/>
  <c r="BJ29" i="15" s="1"/>
  <c r="BI31" i="15"/>
  <c r="BJ31" i="15" s="1"/>
  <c r="BI32" i="15"/>
  <c r="BJ32" i="15" s="1"/>
  <c r="BI34" i="15"/>
  <c r="BJ34" i="15" s="1"/>
  <c r="BI36" i="15"/>
  <c r="BJ36" i="15" s="1"/>
  <c r="BI37" i="15"/>
  <c r="BJ37" i="15" s="1"/>
  <c r="BI38" i="15"/>
  <c r="BJ38" i="15" s="1"/>
  <c r="BI39" i="15"/>
  <c r="BJ39" i="15" s="1"/>
  <c r="BI40" i="15"/>
  <c r="BJ40" i="15" s="1"/>
  <c r="BI46" i="15"/>
  <c r="BJ46" i="15" s="1"/>
  <c r="BI48" i="15"/>
  <c r="BJ48" i="15" s="1"/>
  <c r="BI49" i="15"/>
  <c r="BJ49" i="15" s="1"/>
  <c r="BI50" i="15"/>
  <c r="BJ50" i="15" s="1"/>
  <c r="BI51" i="15"/>
  <c r="BJ51" i="15" s="1"/>
  <c r="BI52" i="15"/>
  <c r="BJ52" i="15" s="1"/>
  <c r="BI53" i="15"/>
  <c r="BJ53" i="15" s="1"/>
  <c r="BI55" i="15"/>
  <c r="BJ55" i="15" s="1"/>
  <c r="BI56" i="15"/>
  <c r="BJ56" i="15" s="1"/>
  <c r="BI62" i="15"/>
  <c r="BJ62" i="15" s="1"/>
  <c r="BI66" i="15"/>
  <c r="BJ66" i="15" s="1"/>
  <c r="BI69" i="15"/>
  <c r="BJ69" i="15" s="1"/>
  <c r="BI75" i="15"/>
  <c r="BJ75" i="15" s="1"/>
  <c r="BI76" i="15"/>
  <c r="BJ76" i="15" s="1"/>
  <c r="BI77" i="15"/>
  <c r="BJ77" i="15" s="1"/>
  <c r="BI80" i="15"/>
  <c r="BJ80" i="15" s="1"/>
  <c r="BI81" i="15"/>
  <c r="BJ81" i="15" s="1"/>
  <c r="BL5" i="15"/>
  <c r="BM5" i="15" s="1"/>
  <c r="BL6" i="15"/>
  <c r="BM6" i="15" s="1"/>
  <c r="BL12" i="15"/>
  <c r="BM12" i="15" s="1"/>
  <c r="BL15" i="15"/>
  <c r="BM15" i="15" s="1"/>
  <c r="BL17" i="15"/>
  <c r="BM17" i="15" s="1"/>
  <c r="BL18" i="15"/>
  <c r="BM18" i="15" s="1"/>
  <c r="BL21" i="15"/>
  <c r="BM21" i="15" s="1"/>
  <c r="BL23" i="15"/>
  <c r="BM23" i="15" s="1"/>
  <c r="BL24" i="15"/>
  <c r="BM24" i="15" s="1"/>
  <c r="BL25" i="15"/>
  <c r="BM25" i="15" s="1"/>
  <c r="BL26" i="15"/>
  <c r="BM26" i="15" s="1"/>
  <c r="BL28" i="15"/>
  <c r="BM28" i="15" s="1"/>
  <c r="BL29" i="15"/>
  <c r="BM29" i="15" s="1"/>
  <c r="BL31" i="15"/>
  <c r="BM31" i="15" s="1"/>
  <c r="BL32" i="15"/>
  <c r="BM32" i="15" s="1"/>
  <c r="BL34" i="15"/>
  <c r="BM34" i="15" s="1"/>
  <c r="BL35" i="15"/>
  <c r="BM35" i="15" s="1"/>
  <c r="BL36" i="15"/>
  <c r="BM36" i="15" s="1"/>
  <c r="BL37" i="15"/>
  <c r="BM37" i="15" s="1"/>
  <c r="BL39" i="15"/>
  <c r="BM39" i="15" s="1"/>
  <c r="BL48" i="15"/>
  <c r="BM48" i="15" s="1"/>
  <c r="BL49" i="15"/>
  <c r="BM49" i="15" s="1"/>
  <c r="BL51" i="15"/>
  <c r="BM51" i="15" s="1"/>
  <c r="BL52" i="15"/>
  <c r="BM52" i="15" s="1"/>
  <c r="BL53" i="15"/>
  <c r="BM53" i="15" s="1"/>
  <c r="BL55" i="15"/>
  <c r="BM55" i="15" s="1"/>
  <c r="BL63" i="15"/>
  <c r="BM63" i="15" s="1"/>
  <c r="BL66" i="15"/>
  <c r="BM66" i="15" s="1"/>
  <c r="BL69" i="15"/>
  <c r="BM69" i="15" s="1"/>
  <c r="BL75" i="15"/>
  <c r="BM75" i="15" s="1"/>
  <c r="BL76" i="15"/>
  <c r="BM76" i="15" s="1"/>
  <c r="BL77" i="15"/>
  <c r="BM77" i="15" s="1"/>
  <c r="BL80" i="15"/>
  <c r="BM80" i="15" s="1"/>
  <c r="BL81" i="15"/>
  <c r="BM81" i="15" s="1"/>
  <c r="BO3" i="15"/>
  <c r="BP3" i="15" s="1"/>
  <c r="BO4" i="15"/>
  <c r="BO5" i="15"/>
  <c r="BP5" i="15" s="1"/>
  <c r="BO6" i="15"/>
  <c r="BP6" i="15" s="1"/>
  <c r="BO7" i="15"/>
  <c r="BP7" i="15" s="1"/>
  <c r="BO8" i="15"/>
  <c r="BP8" i="15" s="1"/>
  <c r="BO9" i="15"/>
  <c r="BP9" i="15" s="1"/>
  <c r="BO10" i="15"/>
  <c r="BP10" i="15" s="1"/>
  <c r="BO11" i="15"/>
  <c r="BP11" i="15" s="1"/>
  <c r="BO12" i="15"/>
  <c r="BP12" i="15" s="1"/>
  <c r="BO13" i="15"/>
  <c r="BP13" i="15" s="1"/>
  <c r="BO14" i="15"/>
  <c r="BP14" i="15" s="1"/>
  <c r="BO15" i="15"/>
  <c r="BP15" i="15" s="1"/>
  <c r="BO16" i="15"/>
  <c r="BP16" i="15" s="1"/>
  <c r="BO17" i="15"/>
  <c r="BP17" i="15" s="1"/>
  <c r="BO18" i="15"/>
  <c r="BP18" i="15" s="1"/>
  <c r="BO19" i="15"/>
  <c r="BP19" i="15" s="1"/>
  <c r="BO20" i="15"/>
  <c r="BP20" i="15" s="1"/>
  <c r="BO21" i="15"/>
  <c r="BP21" i="15" s="1"/>
  <c r="BO22" i="15"/>
  <c r="BP22" i="15" s="1"/>
  <c r="BO23" i="15"/>
  <c r="BP23" i="15" s="1"/>
  <c r="BO24" i="15"/>
  <c r="BP24" i="15" s="1"/>
  <c r="BO25" i="15"/>
  <c r="BP25" i="15" s="1"/>
  <c r="BO26" i="15"/>
  <c r="BP26" i="15" s="1"/>
  <c r="BO27" i="15"/>
  <c r="BP27" i="15" s="1"/>
  <c r="BO28" i="15"/>
  <c r="BP28" i="15" s="1"/>
  <c r="BO29" i="15"/>
  <c r="BP29" i="15" s="1"/>
  <c r="BO30" i="15"/>
  <c r="BP30" i="15" s="1"/>
  <c r="BO31" i="15"/>
  <c r="BP31" i="15" s="1"/>
  <c r="BO32" i="15"/>
  <c r="BP32" i="15" s="1"/>
  <c r="BO33" i="15"/>
  <c r="BP33" i="15" s="1"/>
  <c r="BO34" i="15"/>
  <c r="BP34" i="15" s="1"/>
  <c r="BO35" i="15"/>
  <c r="BP35" i="15" s="1"/>
  <c r="BO36" i="15"/>
  <c r="BP36" i="15" s="1"/>
  <c r="BO37" i="15"/>
  <c r="BP37" i="15" s="1"/>
  <c r="BO38" i="15"/>
  <c r="BP38" i="15" s="1"/>
  <c r="BO39" i="15"/>
  <c r="BP39" i="15" s="1"/>
  <c r="BO40" i="15"/>
  <c r="BP40" i="15" s="1"/>
  <c r="BO41" i="15"/>
  <c r="BP41" i="15" s="1"/>
  <c r="BO43" i="15"/>
  <c r="BP43" i="15" s="1"/>
  <c r="BO45" i="15"/>
  <c r="BP45" i="15" s="1"/>
  <c r="BO46" i="15"/>
  <c r="BP46" i="15" s="1"/>
  <c r="BO47" i="15"/>
  <c r="BP47" i="15" s="1"/>
  <c r="BO48" i="15"/>
  <c r="BP48" i="15" s="1"/>
  <c r="BO49" i="15"/>
  <c r="BP49" i="15" s="1"/>
  <c r="BO50" i="15"/>
  <c r="BP50" i="15" s="1"/>
  <c r="BO52" i="15"/>
  <c r="BP52" i="15" s="1"/>
  <c r="BO53" i="15"/>
  <c r="BP53" i="15" s="1"/>
  <c r="BO55" i="15"/>
  <c r="BP55" i="15" s="1"/>
  <c r="BO56" i="15"/>
  <c r="BP56" i="15" s="1"/>
  <c r="BO57" i="15"/>
  <c r="BP57" i="15" s="1"/>
  <c r="BO58" i="15"/>
  <c r="BP58" i="15" s="1"/>
  <c r="BO59" i="15"/>
  <c r="BP59" i="15" s="1"/>
  <c r="BO60" i="15"/>
  <c r="BP60" i="15" s="1"/>
  <c r="BO61" i="15"/>
  <c r="BP61" i="15" s="1"/>
  <c r="BO62" i="15"/>
  <c r="BP62" i="15" s="1"/>
  <c r="BO63" i="15"/>
  <c r="BP63" i="15" s="1"/>
  <c r="BO64" i="15"/>
  <c r="BP64" i="15" s="1"/>
  <c r="BO65" i="15"/>
  <c r="BP65" i="15" s="1"/>
  <c r="BO66" i="15"/>
  <c r="BP66" i="15" s="1"/>
  <c r="BO68" i="15"/>
  <c r="BP68" i="15" s="1"/>
  <c r="BO69" i="15"/>
  <c r="BP69" i="15" s="1"/>
  <c r="BO70" i="15"/>
  <c r="BP70" i="15" s="1"/>
  <c r="BO72" i="15"/>
  <c r="BP72" i="15" s="1"/>
  <c r="BO73" i="15"/>
  <c r="BP73" i="15" s="1"/>
  <c r="BO74" i="15"/>
  <c r="BP74" i="15" s="1"/>
  <c r="BO75" i="15"/>
  <c r="BP75" i="15" s="1"/>
  <c r="BO76" i="15"/>
  <c r="BP76" i="15" s="1"/>
  <c r="BO77" i="15"/>
  <c r="BP77" i="15" s="1"/>
  <c r="BO79" i="15"/>
  <c r="BP79" i="15" s="1"/>
  <c r="BO80" i="15"/>
  <c r="BP80" i="15" s="1"/>
  <c r="BO81" i="15"/>
  <c r="BP81" i="15" s="1"/>
  <c r="BO82" i="15"/>
  <c r="BP82" i="15" s="1"/>
  <c r="BP4" i="15"/>
  <c r="BU3" i="15"/>
  <c r="BV3" i="15" s="1"/>
  <c r="BU4" i="15"/>
  <c r="BV4" i="15" s="1"/>
  <c r="BU5" i="15"/>
  <c r="BV5" i="15" s="1"/>
  <c r="BU6" i="15"/>
  <c r="BV6" i="15" s="1"/>
  <c r="BU7" i="15"/>
  <c r="BV7" i="15" s="1"/>
  <c r="BU8" i="15"/>
  <c r="BV8" i="15" s="1"/>
  <c r="BU9" i="15"/>
  <c r="BV9" i="15" s="1"/>
  <c r="BU11" i="15"/>
  <c r="BV11" i="15" s="1"/>
  <c r="BU12" i="15"/>
  <c r="BV12" i="15" s="1"/>
  <c r="BU13" i="15"/>
  <c r="BV13" i="15" s="1"/>
  <c r="BU14" i="15"/>
  <c r="BV14" i="15" s="1"/>
  <c r="BU15" i="15"/>
  <c r="BV15" i="15" s="1"/>
  <c r="BU16" i="15"/>
  <c r="BV16" i="15" s="1"/>
  <c r="BU17" i="15"/>
  <c r="BV17" i="15" s="1"/>
  <c r="BU18" i="15"/>
  <c r="BV18" i="15" s="1"/>
  <c r="BU19" i="15"/>
  <c r="BV19" i="15" s="1"/>
  <c r="BU20" i="15"/>
  <c r="BV20" i="15" s="1"/>
  <c r="BU21" i="15"/>
  <c r="BV21" i="15" s="1"/>
  <c r="BU22" i="15"/>
  <c r="BV22" i="15" s="1"/>
  <c r="BU23" i="15"/>
  <c r="BV23" i="15" s="1"/>
  <c r="BU24" i="15"/>
  <c r="BV24" i="15" s="1"/>
  <c r="BU25" i="15"/>
  <c r="BV25" i="15" s="1"/>
  <c r="BU26" i="15"/>
  <c r="BV26" i="15" s="1"/>
  <c r="BU27" i="15"/>
  <c r="BV27" i="15" s="1"/>
  <c r="BU28" i="15"/>
  <c r="BV28" i="15" s="1"/>
  <c r="BU29" i="15"/>
  <c r="BV29" i="15" s="1"/>
  <c r="BU30" i="15"/>
  <c r="BV30" i="15" s="1"/>
  <c r="BU31" i="15"/>
  <c r="BV31" i="15" s="1"/>
  <c r="BU32" i="15"/>
  <c r="BV32" i="15" s="1"/>
  <c r="BU33" i="15"/>
  <c r="BV33" i="15" s="1"/>
  <c r="BU34" i="15"/>
  <c r="BV34" i="15" s="1"/>
  <c r="BU35" i="15"/>
  <c r="BV35" i="15" s="1"/>
  <c r="BU36" i="15"/>
  <c r="BV36" i="15" s="1"/>
  <c r="BU37" i="15"/>
  <c r="BV37" i="15" s="1"/>
  <c r="BU38" i="15"/>
  <c r="BV38" i="15" s="1"/>
  <c r="BU39" i="15"/>
  <c r="BV39" i="15" s="1"/>
  <c r="BU40" i="15"/>
  <c r="BV40" i="15" s="1"/>
  <c r="BU41" i="15"/>
  <c r="BV41" i="15" s="1"/>
  <c r="BU43" i="15"/>
  <c r="BV43" i="15" s="1"/>
  <c r="BU45" i="15"/>
  <c r="BV45" i="15" s="1"/>
  <c r="BU46" i="15"/>
  <c r="BV46" i="15" s="1"/>
  <c r="BU47" i="15"/>
  <c r="BV47" i="15" s="1"/>
  <c r="BU48" i="15"/>
  <c r="BV48" i="15" s="1"/>
  <c r="BU49" i="15"/>
  <c r="BV49" i="15" s="1"/>
  <c r="BU50" i="15"/>
  <c r="BV50" i="15" s="1"/>
  <c r="BU51" i="15"/>
  <c r="BV51" i="15" s="1"/>
  <c r="BU52" i="15"/>
  <c r="BV52" i="15" s="1"/>
  <c r="BU53" i="15"/>
  <c r="BV53" i="15" s="1"/>
  <c r="BU55" i="15"/>
  <c r="BV55" i="15" s="1"/>
  <c r="BU56" i="15"/>
  <c r="BV56" i="15" s="1"/>
  <c r="BU57" i="15"/>
  <c r="BV57" i="15" s="1"/>
  <c r="BU59" i="15"/>
  <c r="BV59" i="15" s="1"/>
  <c r="BU60" i="15"/>
  <c r="BV60" i="15" s="1"/>
  <c r="BU61" i="15"/>
  <c r="BV61" i="15" s="1"/>
  <c r="BU62" i="15"/>
  <c r="BV62" i="15" s="1"/>
  <c r="BU64" i="15"/>
  <c r="BV64" i="15" s="1"/>
  <c r="BU65" i="15"/>
  <c r="BV65" i="15" s="1"/>
  <c r="BU66" i="15"/>
  <c r="BV66" i="15" s="1"/>
  <c r="BU68" i="15"/>
  <c r="BV68" i="15" s="1"/>
  <c r="BU69" i="15"/>
  <c r="BV69" i="15" s="1"/>
  <c r="BU70" i="15"/>
  <c r="BV70" i="15" s="1"/>
  <c r="BU72" i="15"/>
  <c r="BV72" i="15" s="1"/>
  <c r="BU73" i="15"/>
  <c r="BV73" i="15" s="1"/>
  <c r="BU74" i="15"/>
  <c r="BV74" i="15" s="1"/>
  <c r="BU75" i="15"/>
  <c r="BV75" i="15" s="1"/>
  <c r="BU76" i="15"/>
  <c r="BV76" i="15" s="1"/>
  <c r="BU77" i="15"/>
  <c r="BV77" i="15" s="1"/>
  <c r="BU79" i="15"/>
  <c r="BV79" i="15" s="1"/>
  <c r="BU80" i="15"/>
  <c r="BV80" i="15" s="1"/>
  <c r="BU81" i="15"/>
  <c r="BV81" i="15" s="1"/>
  <c r="AN3" i="15"/>
  <c r="AO3" i="15" s="1"/>
  <c r="AN4" i="15"/>
  <c r="AO4" i="15" s="1"/>
  <c r="AN5" i="15"/>
  <c r="AO5" i="15" s="1"/>
  <c r="AN7" i="15"/>
  <c r="AO7" i="15" s="1"/>
  <c r="AN8" i="15"/>
  <c r="AO8" i="15" s="1"/>
  <c r="AN9" i="15"/>
  <c r="AO9" i="15" s="1"/>
  <c r="AN10" i="15"/>
  <c r="AO10" i="15" s="1"/>
  <c r="AN11" i="15"/>
  <c r="AO11" i="15" s="1"/>
  <c r="AN12" i="15"/>
  <c r="AO12" i="15" s="1"/>
  <c r="AN13" i="15"/>
  <c r="AO13" i="15" s="1"/>
  <c r="AN14" i="15"/>
  <c r="AO14" i="15" s="1"/>
  <c r="AN15" i="15"/>
  <c r="AO15" i="15" s="1"/>
  <c r="AN16" i="15"/>
  <c r="AO16" i="15" s="1"/>
  <c r="AN17" i="15"/>
  <c r="AO17" i="15" s="1"/>
  <c r="AN18" i="15"/>
  <c r="AO18" i="15" s="1"/>
  <c r="AN19" i="15"/>
  <c r="AO19" i="15" s="1"/>
  <c r="AN20" i="15"/>
  <c r="AO20" i="15" s="1"/>
  <c r="AN21" i="15"/>
  <c r="AO21" i="15" s="1"/>
  <c r="AN22" i="15"/>
  <c r="AO22" i="15" s="1"/>
  <c r="AN23" i="15"/>
  <c r="AO23" i="15" s="1"/>
  <c r="AN24" i="15"/>
  <c r="AO24" i="15" s="1"/>
  <c r="AN25" i="15"/>
  <c r="AO25" i="15" s="1"/>
  <c r="AN26" i="15"/>
  <c r="AO26" i="15" s="1"/>
  <c r="AN27" i="15"/>
  <c r="AO27" i="15" s="1"/>
  <c r="AN28" i="15"/>
  <c r="AO28" i="15" s="1"/>
  <c r="AN29" i="15"/>
  <c r="AO29" i="15" s="1"/>
  <c r="AN30" i="15"/>
  <c r="AO30" i="15" s="1"/>
  <c r="AN31" i="15"/>
  <c r="AO31" i="15" s="1"/>
  <c r="AN32" i="15"/>
  <c r="AO32" i="15" s="1"/>
  <c r="AN33" i="15"/>
  <c r="AO33" i="15" s="1"/>
  <c r="AN34" i="15"/>
  <c r="AO34" i="15" s="1"/>
  <c r="AN35" i="15"/>
  <c r="AO35" i="15" s="1"/>
  <c r="AN36" i="15"/>
  <c r="AO36" i="15" s="1"/>
  <c r="AN37" i="15"/>
  <c r="AO37" i="15" s="1"/>
  <c r="AN38" i="15"/>
  <c r="AO38" i="15" s="1"/>
  <c r="AN39" i="15"/>
  <c r="AO39" i="15" s="1"/>
  <c r="AN40" i="15"/>
  <c r="AO40" i="15" s="1"/>
  <c r="AN41" i="15"/>
  <c r="AO41" i="15" s="1"/>
  <c r="AN43" i="15"/>
  <c r="AO43" i="15" s="1"/>
  <c r="AN45" i="15"/>
  <c r="AO45" i="15" s="1"/>
  <c r="AN46" i="15"/>
  <c r="AO46" i="15" s="1"/>
  <c r="AN47" i="15"/>
  <c r="AO47" i="15" s="1"/>
  <c r="AN48" i="15"/>
  <c r="AO48" i="15" s="1"/>
  <c r="AN49" i="15"/>
  <c r="AO49" i="15" s="1"/>
  <c r="AN50" i="15"/>
  <c r="AO50" i="15" s="1"/>
  <c r="AN51" i="15"/>
  <c r="AO51" i="15" s="1"/>
  <c r="AN52" i="15"/>
  <c r="AO52" i="15" s="1"/>
  <c r="AN53" i="15"/>
  <c r="AO53" i="15" s="1"/>
  <c r="AN55" i="15"/>
  <c r="AO55" i="15" s="1"/>
  <c r="AN56" i="15"/>
  <c r="AO56" i="15" s="1"/>
  <c r="AN57" i="15"/>
  <c r="AO57" i="15" s="1"/>
  <c r="AN58" i="15"/>
  <c r="AO58" i="15" s="1"/>
  <c r="AN59" i="15"/>
  <c r="AO59" i="15" s="1"/>
  <c r="AN60" i="15"/>
  <c r="AO60" i="15" s="1"/>
  <c r="AN61" i="15"/>
  <c r="AO61" i="15" s="1"/>
  <c r="AN62" i="15"/>
  <c r="AO62" i="15" s="1"/>
  <c r="AN63" i="15"/>
  <c r="AO63" i="15" s="1"/>
  <c r="AN64" i="15"/>
  <c r="AO64" i="15" s="1"/>
  <c r="AN65" i="15"/>
  <c r="AO65" i="15" s="1"/>
  <c r="AN66" i="15"/>
  <c r="AO66" i="15" s="1"/>
  <c r="AN68" i="15"/>
  <c r="AO68" i="15" s="1"/>
  <c r="AN69" i="15"/>
  <c r="AO69" i="15" s="1"/>
  <c r="AN70" i="15"/>
  <c r="AO70" i="15" s="1"/>
  <c r="AN72" i="15"/>
  <c r="AO72" i="15" s="1"/>
  <c r="AN73" i="15"/>
  <c r="AO73" i="15" s="1"/>
  <c r="AN74" i="15"/>
  <c r="AO74" i="15" s="1"/>
  <c r="AN75" i="15"/>
  <c r="AO75" i="15" s="1"/>
  <c r="AN76" i="15"/>
  <c r="AO76" i="15" s="1"/>
  <c r="AN77" i="15"/>
  <c r="AO77" i="15" s="1"/>
  <c r="AN79" i="15"/>
  <c r="AO79" i="15" s="1"/>
  <c r="AN80" i="15"/>
  <c r="AO80" i="15" s="1"/>
  <c r="AN81" i="15"/>
  <c r="AO81" i="15" s="1"/>
  <c r="AK3" i="15"/>
  <c r="AL3" i="15" s="1"/>
  <c r="AK5" i="15"/>
  <c r="AL5" i="15" s="1"/>
  <c r="AK6" i="15"/>
  <c r="AL6" i="15" s="1"/>
  <c r="AK11" i="15"/>
  <c r="AL11" i="15" s="1"/>
  <c r="AK12" i="15"/>
  <c r="AL12" i="15" s="1"/>
  <c r="AK15" i="15"/>
  <c r="AL15" i="15" s="1"/>
  <c r="AK17" i="15"/>
  <c r="AL17" i="15" s="1"/>
  <c r="AK18" i="15"/>
  <c r="AL18" i="15" s="1"/>
  <c r="AK21" i="15"/>
  <c r="AL21" i="15" s="1"/>
  <c r="AK23" i="15"/>
  <c r="AL23" i="15" s="1"/>
  <c r="AK24" i="15"/>
  <c r="AL24" i="15" s="1"/>
  <c r="AK25" i="15"/>
  <c r="AL25" i="15" s="1"/>
  <c r="AK26" i="15"/>
  <c r="AL26" i="15" s="1"/>
  <c r="AK28" i="15"/>
  <c r="AL28" i="15" s="1"/>
  <c r="AK29" i="15"/>
  <c r="AL29" i="15" s="1"/>
  <c r="AK31" i="15"/>
  <c r="AL31" i="15" s="1"/>
  <c r="AK32" i="15"/>
  <c r="AL32" i="15" s="1"/>
  <c r="AK34" i="15"/>
  <c r="AL34" i="15" s="1"/>
  <c r="AK36" i="15"/>
  <c r="AL36" i="15" s="1"/>
  <c r="AK37" i="15"/>
  <c r="AL37" i="15" s="1"/>
  <c r="AK38" i="15"/>
  <c r="AL38" i="15" s="1"/>
  <c r="AK39" i="15"/>
  <c r="AL39" i="15" s="1"/>
  <c r="AK40" i="15"/>
  <c r="AL40" i="15" s="1"/>
  <c r="AK46" i="15"/>
  <c r="AL46" i="15" s="1"/>
  <c r="AK48" i="15"/>
  <c r="AL48" i="15" s="1"/>
  <c r="AK49" i="15"/>
  <c r="AL49" i="15" s="1"/>
  <c r="AK50" i="15"/>
  <c r="AL50" i="15" s="1"/>
  <c r="AK51" i="15"/>
  <c r="AL51" i="15" s="1"/>
  <c r="AK53" i="15"/>
  <c r="AL53" i="15" s="1"/>
  <c r="AK55" i="15"/>
  <c r="AL55" i="15" s="1"/>
  <c r="AK56" i="15"/>
  <c r="AL56" i="15" s="1"/>
  <c r="AK62" i="15"/>
  <c r="AL62" i="15" s="1"/>
  <c r="AK66" i="15"/>
  <c r="AL66" i="15" s="1"/>
  <c r="AK69" i="15"/>
  <c r="AL69" i="15" s="1"/>
  <c r="AK75" i="15"/>
  <c r="AL75" i="15" s="1"/>
  <c r="AK76" i="15"/>
  <c r="AL76" i="15" s="1"/>
  <c r="AK77" i="15"/>
  <c r="AL77" i="15" s="1"/>
  <c r="AK80" i="15"/>
  <c r="AL80" i="15" s="1"/>
  <c r="AE3" i="15"/>
  <c r="AF3" i="15" s="1"/>
  <c r="AE4" i="15"/>
  <c r="AF4" i="15" s="1"/>
  <c r="AE5" i="15"/>
  <c r="AF5" i="15" s="1"/>
  <c r="AE6" i="15"/>
  <c r="AF6" i="15" s="1"/>
  <c r="AE7" i="15"/>
  <c r="AF7" i="15" s="1"/>
  <c r="AE8" i="15"/>
  <c r="AF8" i="15" s="1"/>
  <c r="AE9" i="15"/>
  <c r="AF9" i="15" s="1"/>
  <c r="AE10" i="15"/>
  <c r="AF10" i="15" s="1"/>
  <c r="AE11" i="15"/>
  <c r="AF11" i="15" s="1"/>
  <c r="AE12" i="15"/>
  <c r="AF12" i="15" s="1"/>
  <c r="AE13" i="15"/>
  <c r="AF13" i="15" s="1"/>
  <c r="AE14" i="15"/>
  <c r="AF14" i="15" s="1"/>
  <c r="AE15" i="15"/>
  <c r="AF15" i="15" s="1"/>
  <c r="AE16" i="15"/>
  <c r="AF16" i="15" s="1"/>
  <c r="AE17" i="15"/>
  <c r="AF17" i="15" s="1"/>
  <c r="AE18" i="15"/>
  <c r="AF18" i="15" s="1"/>
  <c r="AE19" i="15"/>
  <c r="AF19" i="15" s="1"/>
  <c r="AE20" i="15"/>
  <c r="AF20" i="15" s="1"/>
  <c r="AE21" i="15"/>
  <c r="AF21" i="15" s="1"/>
  <c r="AE22" i="15"/>
  <c r="AF22" i="15" s="1"/>
  <c r="AE23" i="15"/>
  <c r="AF23" i="15" s="1"/>
  <c r="AE24" i="15"/>
  <c r="AF24" i="15" s="1"/>
  <c r="AE25" i="15"/>
  <c r="AF25" i="15" s="1"/>
  <c r="AE26" i="15"/>
  <c r="AF26" i="15" s="1"/>
  <c r="AE27" i="15"/>
  <c r="AF27" i="15" s="1"/>
  <c r="AE28" i="15"/>
  <c r="AF28" i="15" s="1"/>
  <c r="AE29" i="15"/>
  <c r="AF29" i="15" s="1"/>
  <c r="AE30" i="15"/>
  <c r="AF30" i="15" s="1"/>
  <c r="AE31" i="15"/>
  <c r="AF31" i="15" s="1"/>
  <c r="AE32" i="15"/>
  <c r="AF32" i="15" s="1"/>
  <c r="AE33" i="15"/>
  <c r="AF33" i="15" s="1"/>
  <c r="AE34" i="15"/>
  <c r="AF34" i="15" s="1"/>
  <c r="AE35" i="15"/>
  <c r="AF35" i="15" s="1"/>
  <c r="AE36" i="15"/>
  <c r="AF36" i="15" s="1"/>
  <c r="AE37" i="15"/>
  <c r="AF37" i="15" s="1"/>
  <c r="AE38" i="15"/>
  <c r="AF38" i="15" s="1"/>
  <c r="AE39" i="15"/>
  <c r="AF39" i="15" s="1"/>
  <c r="AE40" i="15"/>
  <c r="AF40" i="15" s="1"/>
  <c r="AE43" i="15"/>
  <c r="AF43" i="15" s="1"/>
  <c r="AE45" i="15"/>
  <c r="AF45" i="15" s="1"/>
  <c r="AE46" i="15"/>
  <c r="AF46" i="15" s="1"/>
  <c r="AE47" i="15"/>
  <c r="AF47" i="15" s="1"/>
  <c r="AE48" i="15"/>
  <c r="AF48" i="15" s="1"/>
  <c r="AE50" i="15"/>
  <c r="AF50" i="15" s="1"/>
  <c r="AE51" i="15"/>
  <c r="AF51" i="15" s="1"/>
  <c r="AE52" i="15"/>
  <c r="AF52" i="15" s="1"/>
  <c r="AE53" i="15"/>
  <c r="AF53" i="15" s="1"/>
  <c r="AE56" i="15"/>
  <c r="AF56" i="15" s="1"/>
  <c r="AE57" i="15"/>
  <c r="AF57" i="15" s="1"/>
  <c r="AE59" i="15"/>
  <c r="AF59" i="15" s="1"/>
  <c r="AE61" i="15"/>
  <c r="AF61" i="15" s="1"/>
  <c r="AE62" i="15"/>
  <c r="AF62" i="15" s="1"/>
  <c r="AE63" i="15"/>
  <c r="AF63" i="15" s="1"/>
  <c r="AE65" i="15"/>
  <c r="AF65" i="15" s="1"/>
  <c r="AE66" i="15"/>
  <c r="AF66" i="15" s="1"/>
  <c r="AE68" i="15"/>
  <c r="AF68" i="15" s="1"/>
  <c r="AE69" i="15"/>
  <c r="AF69" i="15" s="1"/>
  <c r="AE72" i="15"/>
  <c r="AF72" i="15" s="1"/>
  <c r="AE73" i="15"/>
  <c r="AF73" i="15" s="1"/>
  <c r="AE74" i="15"/>
  <c r="AF74" i="15" s="1"/>
  <c r="AE75" i="15"/>
  <c r="AF75" i="15" s="1"/>
  <c r="AE77" i="15"/>
  <c r="AF77" i="15" s="1"/>
  <c r="AE79" i="15"/>
  <c r="AF79" i="15" s="1"/>
  <c r="AE80" i="15"/>
  <c r="AF80" i="15" s="1"/>
  <c r="AE81" i="15"/>
  <c r="AF81" i="15" s="1"/>
  <c r="AE82" i="15"/>
  <c r="AF82" i="15" s="1"/>
  <c r="Y3" i="15"/>
  <c r="Z3" i="15" s="1"/>
  <c r="Y4" i="15"/>
  <c r="Z4" i="15" s="1"/>
  <c r="Y5" i="15"/>
  <c r="Z5" i="15" s="1"/>
  <c r="Y6" i="15"/>
  <c r="Z6" i="15" s="1"/>
  <c r="Y7" i="15"/>
  <c r="Z7" i="15" s="1"/>
  <c r="Y8" i="15"/>
  <c r="Z8" i="15" s="1"/>
  <c r="Y9" i="15"/>
  <c r="Z9" i="15" s="1"/>
  <c r="Y10" i="15"/>
  <c r="Z10" i="15" s="1"/>
  <c r="Y11" i="15"/>
  <c r="Z11" i="15" s="1"/>
  <c r="Y12" i="15"/>
  <c r="Z12" i="15" s="1"/>
  <c r="Y13" i="15"/>
  <c r="Z13" i="15" s="1"/>
  <c r="Y14" i="15"/>
  <c r="Z14" i="15" s="1"/>
  <c r="Y15" i="15"/>
  <c r="Z15" i="15" s="1"/>
  <c r="Y16" i="15"/>
  <c r="Z16" i="15" s="1"/>
  <c r="Y17" i="15"/>
  <c r="Z17" i="15" s="1"/>
  <c r="Y18" i="15"/>
  <c r="Z18" i="15" s="1"/>
  <c r="Y19" i="15"/>
  <c r="Z19" i="15" s="1"/>
  <c r="Y20" i="15"/>
  <c r="Z20" i="15" s="1"/>
  <c r="Y21" i="15"/>
  <c r="Z21" i="15" s="1"/>
  <c r="Y22" i="15"/>
  <c r="Z22" i="15" s="1"/>
  <c r="Y23" i="15"/>
  <c r="Z23" i="15" s="1"/>
  <c r="Y24" i="15"/>
  <c r="Z24" i="15" s="1"/>
  <c r="Y25" i="15"/>
  <c r="Z25" i="15" s="1"/>
  <c r="Y26" i="15"/>
  <c r="Z26" i="15" s="1"/>
  <c r="Y27" i="15"/>
  <c r="Z27" i="15" s="1"/>
  <c r="Y28" i="15"/>
  <c r="Z28" i="15" s="1"/>
  <c r="Y29" i="15"/>
  <c r="Z29" i="15" s="1"/>
  <c r="Y30" i="15"/>
  <c r="Z30" i="15" s="1"/>
  <c r="Y31" i="15"/>
  <c r="Z31" i="15" s="1"/>
  <c r="Y32" i="15"/>
  <c r="Z32" i="15" s="1"/>
  <c r="Y33" i="15"/>
  <c r="Z33" i="15" s="1"/>
  <c r="Y34" i="15"/>
  <c r="Z34" i="15" s="1"/>
  <c r="Y35" i="15"/>
  <c r="Z35" i="15" s="1"/>
  <c r="Y36" i="15"/>
  <c r="Z36" i="15" s="1"/>
  <c r="Y37" i="15"/>
  <c r="Z37" i="15" s="1"/>
  <c r="Y38" i="15"/>
  <c r="Z38" i="15" s="1"/>
  <c r="Y39" i="15"/>
  <c r="Z39" i="15" s="1"/>
  <c r="Y40" i="15"/>
  <c r="Z40" i="15" s="1"/>
  <c r="Y41" i="15"/>
  <c r="Z41" i="15" s="1"/>
  <c r="Y43" i="15"/>
  <c r="Z43" i="15" s="1"/>
  <c r="Y45" i="15"/>
  <c r="Z45" i="15" s="1"/>
  <c r="Y46" i="15"/>
  <c r="Z46" i="15" s="1"/>
  <c r="Y47" i="15"/>
  <c r="Z47" i="15" s="1"/>
  <c r="Y48" i="15"/>
  <c r="Z48" i="15" s="1"/>
  <c r="Y49" i="15"/>
  <c r="Z49" i="15" s="1"/>
  <c r="Y50" i="15"/>
  <c r="Z50" i="15" s="1"/>
  <c r="Y51" i="15"/>
  <c r="Z51" i="15" s="1"/>
  <c r="Y52" i="15"/>
  <c r="Z52" i="15" s="1"/>
  <c r="Y53" i="15"/>
  <c r="Z53" i="15" s="1"/>
  <c r="Y55" i="15"/>
  <c r="Z55" i="15" s="1"/>
  <c r="Y56" i="15"/>
  <c r="Z56" i="15" s="1"/>
  <c r="Y57" i="15"/>
  <c r="Z57" i="15" s="1"/>
  <c r="Y59" i="15"/>
  <c r="Z59" i="15" s="1"/>
  <c r="Y60" i="15"/>
  <c r="Z60" i="15" s="1"/>
  <c r="Y61" i="15"/>
  <c r="Z61" i="15" s="1"/>
  <c r="Y62" i="15"/>
  <c r="Z62" i="15" s="1"/>
  <c r="Y63" i="15"/>
  <c r="Z63" i="15" s="1"/>
  <c r="Y64" i="15"/>
  <c r="Z64" i="15" s="1"/>
  <c r="Y65" i="15"/>
  <c r="Z65" i="15" s="1"/>
  <c r="Y66" i="15"/>
  <c r="Z66" i="15" s="1"/>
  <c r="Y68" i="15"/>
  <c r="Z68" i="15" s="1"/>
  <c r="Y69" i="15"/>
  <c r="Z69" i="15" s="1"/>
  <c r="Y70" i="15"/>
  <c r="Z70" i="15" s="1"/>
  <c r="Y72" i="15"/>
  <c r="Z72" i="15" s="1"/>
  <c r="Y73" i="15"/>
  <c r="Z73" i="15" s="1"/>
  <c r="Y74" i="15"/>
  <c r="Z74" i="15" s="1"/>
  <c r="Y75" i="15"/>
  <c r="Z75" i="15" s="1"/>
  <c r="Y76" i="15"/>
  <c r="Z76" i="15" s="1"/>
  <c r="Y77" i="15"/>
  <c r="Z77" i="15" s="1"/>
  <c r="Y79" i="15"/>
  <c r="Z79" i="15" s="1"/>
  <c r="Y80" i="15"/>
  <c r="Z80" i="15" s="1"/>
  <c r="Y81" i="15"/>
  <c r="Z81" i="15" s="1"/>
  <c r="Y82" i="15"/>
  <c r="Z82" i="15" s="1"/>
  <c r="V3" i="15"/>
  <c r="W3" i="15" s="1"/>
  <c r="V5" i="15"/>
  <c r="W5" i="15" s="1"/>
  <c r="V6" i="15"/>
  <c r="W6" i="15" s="1"/>
  <c r="V11" i="15"/>
  <c r="W11" i="15" s="1"/>
  <c r="V12" i="15"/>
  <c r="W12" i="15" s="1"/>
  <c r="V15" i="15"/>
  <c r="W15" i="15" s="1"/>
  <c r="V17" i="15"/>
  <c r="W17" i="15" s="1"/>
  <c r="V18" i="15"/>
  <c r="W18" i="15" s="1"/>
  <c r="V21" i="15"/>
  <c r="W21" i="15" s="1"/>
  <c r="V23" i="15"/>
  <c r="W23" i="15" s="1"/>
  <c r="V24" i="15"/>
  <c r="W24" i="15" s="1"/>
  <c r="V25" i="15"/>
  <c r="W25" i="15" s="1"/>
  <c r="V26" i="15"/>
  <c r="W26" i="15" s="1"/>
  <c r="V28" i="15"/>
  <c r="W28" i="15" s="1"/>
  <c r="V29" i="15"/>
  <c r="W29" i="15" s="1"/>
  <c r="V31" i="15"/>
  <c r="W31" i="15" s="1"/>
  <c r="V32" i="15"/>
  <c r="W32" i="15" s="1"/>
  <c r="V34" i="15"/>
  <c r="W34" i="15" s="1"/>
  <c r="V36" i="15"/>
  <c r="W36" i="15" s="1"/>
  <c r="V37" i="15"/>
  <c r="W37" i="15" s="1"/>
  <c r="V38" i="15"/>
  <c r="W38" i="15" s="1"/>
  <c r="V39" i="15"/>
  <c r="W39" i="15" s="1"/>
  <c r="V40" i="15"/>
  <c r="W40" i="15" s="1"/>
  <c r="V46" i="15"/>
  <c r="W46" i="15" s="1"/>
  <c r="V48" i="15"/>
  <c r="W48" i="15" s="1"/>
  <c r="V49" i="15"/>
  <c r="W49" i="15" s="1"/>
  <c r="V50" i="15"/>
  <c r="W50" i="15" s="1"/>
  <c r="V51" i="15"/>
  <c r="W51" i="15" s="1"/>
  <c r="V52" i="15"/>
  <c r="W52" i="15" s="1"/>
  <c r="V53" i="15"/>
  <c r="W53" i="15" s="1"/>
  <c r="V55" i="15"/>
  <c r="W55" i="15" s="1"/>
  <c r="V56" i="15"/>
  <c r="W56" i="15" s="1"/>
  <c r="V60" i="15"/>
  <c r="W60" i="15" s="1"/>
  <c r="V62" i="15"/>
  <c r="W62" i="15" s="1"/>
  <c r="V66" i="15"/>
  <c r="W66" i="15" s="1"/>
  <c r="V69" i="15"/>
  <c r="W69" i="15" s="1"/>
  <c r="V72" i="15"/>
  <c r="W72" i="15" s="1"/>
  <c r="V75" i="15"/>
  <c r="W75" i="15" s="1"/>
  <c r="V76" i="15"/>
  <c r="W76" i="15" s="1"/>
  <c r="V77" i="15"/>
  <c r="W77" i="15" s="1"/>
  <c r="V80" i="15"/>
  <c r="W80" i="15" s="1"/>
  <c r="V81" i="15"/>
  <c r="W81" i="15" s="1"/>
  <c r="V82" i="15"/>
  <c r="W82" i="15" s="1"/>
  <c r="S5" i="15"/>
  <c r="T5" i="15" s="1"/>
  <c r="S6" i="15"/>
  <c r="T6" i="15" s="1"/>
  <c r="S11" i="15"/>
  <c r="T11" i="15" s="1"/>
  <c r="S12" i="15"/>
  <c r="T12" i="15" s="1"/>
  <c r="S15" i="15"/>
  <c r="T15" i="15" s="1"/>
  <c r="S17" i="15"/>
  <c r="T17" i="15" s="1"/>
  <c r="S18" i="15"/>
  <c r="T18" i="15" s="1"/>
  <c r="S23" i="15"/>
  <c r="T23" i="15" s="1"/>
  <c r="S25" i="15"/>
  <c r="T25" i="15" s="1"/>
  <c r="S26" i="15"/>
  <c r="T26" i="15" s="1"/>
  <c r="S28" i="15"/>
  <c r="T28" i="15" s="1"/>
  <c r="S29" i="15"/>
  <c r="T29" i="15" s="1"/>
  <c r="S31" i="15"/>
  <c r="T31" i="15" s="1"/>
  <c r="S32" i="15"/>
  <c r="T32" i="15" s="1"/>
  <c r="S34" i="15"/>
  <c r="T34" i="15" s="1"/>
  <c r="S36" i="15"/>
  <c r="T36" i="15" s="1"/>
  <c r="S37" i="15"/>
  <c r="T37" i="15" s="1"/>
  <c r="S38" i="15"/>
  <c r="T38" i="15" s="1"/>
  <c r="S39" i="15"/>
  <c r="T39" i="15" s="1"/>
  <c r="S40" i="15"/>
  <c r="T40" i="15" s="1"/>
  <c r="S48" i="15"/>
  <c r="T48" i="15" s="1"/>
  <c r="S49" i="15"/>
  <c r="T49" i="15" s="1"/>
  <c r="S50" i="15"/>
  <c r="T50" i="15" s="1"/>
  <c r="S51" i="15"/>
  <c r="T51" i="15" s="1"/>
  <c r="S52" i="15"/>
  <c r="T52" i="15" s="1"/>
  <c r="S53" i="15"/>
  <c r="T53" i="15" s="1"/>
  <c r="S55" i="15"/>
  <c r="T55" i="15" s="1"/>
  <c r="S62" i="15"/>
  <c r="T62" i="15" s="1"/>
  <c r="S69" i="15"/>
  <c r="T69" i="15" s="1"/>
  <c r="S75" i="15"/>
  <c r="T75" i="15" s="1"/>
  <c r="S80" i="15"/>
  <c r="T80" i="15" s="1"/>
  <c r="S81" i="15"/>
  <c r="T81" i="15" s="1"/>
  <c r="P3" i="15"/>
  <c r="Q3" i="15" s="1"/>
  <c r="P4" i="15"/>
  <c r="Q4" i="15" s="1"/>
  <c r="P5" i="15"/>
  <c r="Q5" i="15" s="1"/>
  <c r="P6" i="15"/>
  <c r="Q6" i="15" s="1"/>
  <c r="P7" i="15"/>
  <c r="Q7" i="15" s="1"/>
  <c r="P8" i="15"/>
  <c r="Q8" i="15" s="1"/>
  <c r="P9" i="15"/>
  <c r="Q9" i="15" s="1"/>
  <c r="P10" i="15"/>
  <c r="Q10" i="15" s="1"/>
  <c r="P11" i="15"/>
  <c r="Q11" i="15" s="1"/>
  <c r="P12" i="15"/>
  <c r="Q12" i="15" s="1"/>
  <c r="P13" i="15"/>
  <c r="Q13" i="15" s="1"/>
  <c r="P14" i="15"/>
  <c r="Q14" i="15" s="1"/>
  <c r="P15" i="15"/>
  <c r="Q15" i="15" s="1"/>
  <c r="P16" i="15"/>
  <c r="Q16" i="15" s="1"/>
  <c r="P17" i="15"/>
  <c r="Q17" i="15" s="1"/>
  <c r="P18" i="15"/>
  <c r="Q18" i="15" s="1"/>
  <c r="P19" i="15"/>
  <c r="Q19" i="15" s="1"/>
  <c r="P20" i="15"/>
  <c r="Q20" i="15" s="1"/>
  <c r="P21" i="15"/>
  <c r="Q21" i="15" s="1"/>
  <c r="P22" i="15"/>
  <c r="Q22" i="15" s="1"/>
  <c r="P23" i="15"/>
  <c r="Q23" i="15" s="1"/>
  <c r="P24" i="15"/>
  <c r="Q24" i="15" s="1"/>
  <c r="P25" i="15"/>
  <c r="Q25" i="15" s="1"/>
  <c r="P26" i="15"/>
  <c r="Q26" i="15" s="1"/>
  <c r="P27" i="15"/>
  <c r="Q27" i="15" s="1"/>
  <c r="P28" i="15"/>
  <c r="Q28" i="15" s="1"/>
  <c r="P29" i="15"/>
  <c r="Q29" i="15" s="1"/>
  <c r="P30" i="15"/>
  <c r="Q30" i="15" s="1"/>
  <c r="P31" i="15"/>
  <c r="Q31" i="15" s="1"/>
  <c r="P32" i="15"/>
  <c r="Q32" i="15" s="1"/>
  <c r="P33" i="15"/>
  <c r="Q33" i="15" s="1"/>
  <c r="P34" i="15"/>
  <c r="Q34" i="15" s="1"/>
  <c r="P35" i="15"/>
  <c r="Q35" i="15" s="1"/>
  <c r="P36" i="15"/>
  <c r="Q36" i="15" s="1"/>
  <c r="P37" i="15"/>
  <c r="Q37" i="15" s="1"/>
  <c r="P38" i="15"/>
  <c r="Q38" i="15" s="1"/>
  <c r="P39" i="15"/>
  <c r="Q39" i="15" s="1"/>
  <c r="P40" i="15"/>
  <c r="Q40" i="15" s="1"/>
  <c r="P41" i="15"/>
  <c r="Q41" i="15" s="1"/>
  <c r="P43" i="15"/>
  <c r="Q43" i="15" s="1"/>
  <c r="P45" i="15"/>
  <c r="Q45" i="15" s="1"/>
  <c r="P46" i="15"/>
  <c r="Q46" i="15" s="1"/>
  <c r="P47" i="15"/>
  <c r="Q47" i="15" s="1"/>
  <c r="P48" i="15"/>
  <c r="Q48" i="15" s="1"/>
  <c r="P49" i="15"/>
  <c r="Q49" i="15" s="1"/>
  <c r="P50" i="15"/>
  <c r="Q50" i="15" s="1"/>
  <c r="P51" i="15"/>
  <c r="Q51" i="15" s="1"/>
  <c r="P52" i="15"/>
  <c r="Q52" i="15" s="1"/>
  <c r="P53" i="15"/>
  <c r="Q53" i="15" s="1"/>
  <c r="P55" i="15"/>
  <c r="Q55" i="15" s="1"/>
  <c r="P56" i="15"/>
  <c r="Q56" i="15" s="1"/>
  <c r="P57" i="15"/>
  <c r="Q57" i="15" s="1"/>
  <c r="P58" i="15"/>
  <c r="Q58" i="15" s="1"/>
  <c r="P59" i="15"/>
  <c r="Q59" i="15" s="1"/>
  <c r="P60" i="15"/>
  <c r="Q60" i="15" s="1"/>
  <c r="P61" i="15"/>
  <c r="Q61" i="15" s="1"/>
  <c r="P62" i="15"/>
  <c r="Q62" i="15" s="1"/>
  <c r="P63" i="15"/>
  <c r="Q63" i="15" s="1"/>
  <c r="P64" i="15"/>
  <c r="Q64" i="15" s="1"/>
  <c r="P65" i="15"/>
  <c r="Q65" i="15" s="1"/>
  <c r="P66" i="15"/>
  <c r="Q66" i="15" s="1"/>
  <c r="P68" i="15"/>
  <c r="Q68" i="15" s="1"/>
  <c r="P69" i="15"/>
  <c r="Q69" i="15" s="1"/>
  <c r="P70" i="15"/>
  <c r="Q70" i="15" s="1"/>
  <c r="P72" i="15"/>
  <c r="Q72" i="15" s="1"/>
  <c r="P73" i="15"/>
  <c r="Q73" i="15" s="1"/>
  <c r="P74" i="15"/>
  <c r="Q74" i="15" s="1"/>
  <c r="P75" i="15"/>
  <c r="Q75" i="15" s="1"/>
  <c r="P76" i="15"/>
  <c r="Q76" i="15" s="1"/>
  <c r="P77" i="15"/>
  <c r="Q77" i="15" s="1"/>
  <c r="P79" i="15"/>
  <c r="Q79" i="15" s="1"/>
  <c r="P80" i="15"/>
  <c r="Q80" i="15" s="1"/>
  <c r="P81" i="15"/>
  <c r="Q81" i="15" s="1"/>
  <c r="P82" i="15"/>
  <c r="Q82" i="15" s="1"/>
  <c r="M3" i="15"/>
  <c r="N3" i="15" s="1"/>
  <c r="M5" i="15"/>
  <c r="N5" i="15" s="1"/>
  <c r="M6" i="15"/>
  <c r="N6" i="15" s="1"/>
  <c r="M9" i="15"/>
  <c r="N9" i="15" s="1"/>
  <c r="M11" i="15"/>
  <c r="N11" i="15" s="1"/>
  <c r="M12" i="15"/>
  <c r="N12" i="15" s="1"/>
  <c r="M15" i="15"/>
  <c r="N15" i="15" s="1"/>
  <c r="M17" i="15"/>
  <c r="N17" i="15" s="1"/>
  <c r="M18" i="15"/>
  <c r="N18" i="15" s="1"/>
  <c r="M21" i="15"/>
  <c r="N21" i="15" s="1"/>
  <c r="M23" i="15"/>
  <c r="N23" i="15" s="1"/>
  <c r="M24" i="15"/>
  <c r="N24" i="15" s="1"/>
  <c r="M25" i="15"/>
  <c r="N25" i="15" s="1"/>
  <c r="M26" i="15"/>
  <c r="N26" i="15" s="1"/>
  <c r="M28" i="15"/>
  <c r="N28" i="15" s="1"/>
  <c r="M29" i="15"/>
  <c r="N29" i="15" s="1"/>
  <c r="M31" i="15"/>
  <c r="N31" i="15" s="1"/>
  <c r="M32" i="15"/>
  <c r="N32" i="15" s="1"/>
  <c r="M34" i="15"/>
  <c r="N34" i="15" s="1"/>
  <c r="M36" i="15"/>
  <c r="N36" i="15" s="1"/>
  <c r="M37" i="15"/>
  <c r="N37" i="15" s="1"/>
  <c r="M38" i="15"/>
  <c r="N38" i="15" s="1"/>
  <c r="M39" i="15"/>
  <c r="N39" i="15" s="1"/>
  <c r="M40" i="15"/>
  <c r="N40" i="15" s="1"/>
  <c r="M46" i="15"/>
  <c r="N46" i="15" s="1"/>
  <c r="M48" i="15"/>
  <c r="N48" i="15" s="1"/>
  <c r="M49" i="15"/>
  <c r="N49" i="15" s="1"/>
  <c r="M50" i="15"/>
  <c r="N50" i="15" s="1"/>
  <c r="M51" i="15"/>
  <c r="N51" i="15" s="1"/>
  <c r="M52" i="15"/>
  <c r="N52" i="15" s="1"/>
  <c r="M53" i="15"/>
  <c r="N53" i="15" s="1"/>
  <c r="M55" i="15"/>
  <c r="N55" i="15" s="1"/>
  <c r="M56" i="15"/>
  <c r="N56" i="15" s="1"/>
  <c r="M60" i="15"/>
  <c r="N60" i="15" s="1"/>
  <c r="M62" i="15"/>
  <c r="N62" i="15" s="1"/>
  <c r="M66" i="15"/>
  <c r="N66" i="15" s="1"/>
  <c r="M69" i="15"/>
  <c r="N69" i="15" s="1"/>
  <c r="M72" i="15"/>
  <c r="N72" i="15" s="1"/>
  <c r="M75" i="15"/>
  <c r="N75" i="15" s="1"/>
  <c r="M76" i="15"/>
  <c r="N76" i="15" s="1"/>
  <c r="M77" i="15"/>
  <c r="N77" i="15" s="1"/>
  <c r="M80" i="15"/>
  <c r="N80" i="15" s="1"/>
  <c r="M81" i="15"/>
  <c r="N81" i="15" s="1"/>
  <c r="J3" i="15" l="1"/>
  <c r="K3" i="15" s="1"/>
  <c r="J4" i="15"/>
  <c r="K4" i="15" s="1"/>
  <c r="J5" i="15"/>
  <c r="K5" i="15" s="1"/>
  <c r="J6" i="15"/>
  <c r="K6" i="15" s="1"/>
  <c r="J7" i="15"/>
  <c r="K7" i="15" s="1"/>
  <c r="J8" i="15"/>
  <c r="K8" i="15" s="1"/>
  <c r="J9" i="15"/>
  <c r="K9" i="15" s="1"/>
  <c r="J10" i="15"/>
  <c r="K10" i="15" s="1"/>
  <c r="J11" i="15"/>
  <c r="K11" i="15" s="1"/>
  <c r="J13" i="15"/>
  <c r="K13" i="15" s="1"/>
  <c r="J14" i="15"/>
  <c r="K14" i="15" s="1"/>
  <c r="J15" i="15"/>
  <c r="K15" i="15" s="1"/>
  <c r="J16" i="15"/>
  <c r="K16" i="15" s="1"/>
  <c r="J17" i="15"/>
  <c r="K17" i="15" s="1"/>
  <c r="J18" i="15"/>
  <c r="K18" i="15" s="1"/>
  <c r="J19" i="15"/>
  <c r="K19" i="15" s="1"/>
  <c r="J20" i="15"/>
  <c r="K20" i="15" s="1"/>
  <c r="J21" i="15"/>
  <c r="K21" i="15" s="1"/>
  <c r="J22" i="15"/>
  <c r="K22" i="15" s="1"/>
  <c r="J23" i="15"/>
  <c r="K23" i="15" s="1"/>
  <c r="J24" i="15"/>
  <c r="K24" i="15" s="1"/>
  <c r="J25" i="15"/>
  <c r="K25" i="15" s="1"/>
  <c r="J26" i="15"/>
  <c r="K26" i="15" s="1"/>
  <c r="J27" i="15"/>
  <c r="K27" i="15" s="1"/>
  <c r="J28" i="15"/>
  <c r="K28" i="15" s="1"/>
  <c r="J29" i="15"/>
  <c r="K29" i="15" s="1"/>
  <c r="J30" i="15"/>
  <c r="K30" i="15" s="1"/>
  <c r="J31" i="15"/>
  <c r="K31" i="15" s="1"/>
  <c r="J32" i="15"/>
  <c r="K32" i="15" s="1"/>
  <c r="J33" i="15"/>
  <c r="K33" i="15" s="1"/>
  <c r="J34" i="15"/>
  <c r="K34" i="15" s="1"/>
  <c r="J35" i="15"/>
  <c r="K35" i="15" s="1"/>
  <c r="J36" i="15"/>
  <c r="K36" i="15" s="1"/>
  <c r="J37" i="15"/>
  <c r="K37" i="15" s="1"/>
  <c r="J38" i="15"/>
  <c r="K38" i="15" s="1"/>
  <c r="J39" i="15"/>
  <c r="K39" i="15" s="1"/>
  <c r="J40" i="15"/>
  <c r="K40" i="15" s="1"/>
  <c r="J41" i="15"/>
  <c r="K41" i="15" s="1"/>
  <c r="J43" i="15"/>
  <c r="K43" i="15" s="1"/>
  <c r="J45" i="15"/>
  <c r="K45" i="15" s="1"/>
  <c r="J46" i="15"/>
  <c r="K46" i="15" s="1"/>
  <c r="J47" i="15"/>
  <c r="K47" i="15" s="1"/>
  <c r="J48" i="15"/>
  <c r="K48" i="15" s="1"/>
  <c r="J49" i="15"/>
  <c r="K49" i="15" s="1"/>
  <c r="J50" i="15"/>
  <c r="K50" i="15" s="1"/>
  <c r="J51" i="15"/>
  <c r="K51" i="15" s="1"/>
  <c r="J52" i="15"/>
  <c r="K52" i="15" s="1"/>
  <c r="J53" i="15"/>
  <c r="K53" i="15" s="1"/>
  <c r="J55" i="15"/>
  <c r="K55" i="15" s="1"/>
  <c r="J56" i="15"/>
  <c r="K56" i="15" s="1"/>
  <c r="J59" i="15"/>
  <c r="K59" i="15" s="1"/>
  <c r="J60" i="15"/>
  <c r="K60" i="15" s="1"/>
  <c r="J61" i="15"/>
  <c r="K61" i="15" s="1"/>
  <c r="J62" i="15"/>
  <c r="K62" i="15" s="1"/>
  <c r="J63" i="15"/>
  <c r="K63" i="15" s="1"/>
  <c r="J64" i="15"/>
  <c r="K64" i="15" s="1"/>
  <c r="J65" i="15"/>
  <c r="K65" i="15" s="1"/>
  <c r="J66" i="15"/>
  <c r="K66" i="15" s="1"/>
  <c r="J68" i="15"/>
  <c r="K68" i="15" s="1"/>
  <c r="J69" i="15"/>
  <c r="K69" i="15" s="1"/>
  <c r="J70" i="15"/>
  <c r="K70" i="15" s="1"/>
  <c r="J72" i="15"/>
  <c r="K72" i="15" s="1"/>
  <c r="J73" i="15"/>
  <c r="K73" i="15" s="1"/>
  <c r="J74" i="15"/>
  <c r="K74" i="15" s="1"/>
  <c r="J75" i="15"/>
  <c r="K75" i="15" s="1"/>
  <c r="J76" i="15"/>
  <c r="K76" i="15" s="1"/>
  <c r="J77" i="15"/>
  <c r="K77" i="15" s="1"/>
  <c r="J79" i="15"/>
  <c r="K79" i="15" s="1"/>
  <c r="J80" i="15"/>
  <c r="K80" i="15" s="1"/>
  <c r="J81" i="15"/>
  <c r="K81" i="15" s="1"/>
  <c r="J82" i="15"/>
  <c r="K82" i="15" s="1"/>
  <c r="AH3" i="15" l="1"/>
  <c r="AI3" i="15" s="1"/>
  <c r="AH5" i="15"/>
  <c r="AI5" i="15" s="1"/>
  <c r="AH6" i="15"/>
  <c r="AI6" i="15" s="1"/>
  <c r="AH11" i="15"/>
  <c r="AI11" i="15" s="1"/>
  <c r="AH12" i="15"/>
  <c r="AI12" i="15" s="1"/>
  <c r="AH15" i="15"/>
  <c r="AI15" i="15" s="1"/>
  <c r="AH17" i="15"/>
  <c r="AI17" i="15" s="1"/>
  <c r="AH18" i="15"/>
  <c r="AI18" i="15" s="1"/>
  <c r="AH21" i="15"/>
  <c r="AI21" i="15" s="1"/>
  <c r="AH23" i="15"/>
  <c r="AI23" i="15" s="1"/>
  <c r="AH24" i="15"/>
  <c r="AI24" i="15" s="1"/>
  <c r="AH25" i="15"/>
  <c r="AI25" i="15" s="1"/>
  <c r="AH26" i="15"/>
  <c r="AI26" i="15" s="1"/>
  <c r="AH28" i="15"/>
  <c r="AI28" i="15" s="1"/>
  <c r="AH29" i="15"/>
  <c r="AI29" i="15" s="1"/>
  <c r="AH31" i="15"/>
  <c r="AI31" i="15" s="1"/>
  <c r="AH32" i="15"/>
  <c r="AI32" i="15" s="1"/>
  <c r="AH34" i="15"/>
  <c r="AI34" i="15" s="1"/>
  <c r="AH36" i="15"/>
  <c r="AI36" i="15" s="1"/>
  <c r="AH37" i="15"/>
  <c r="AI37" i="15" s="1"/>
  <c r="AH38" i="15"/>
  <c r="AI38" i="15" s="1"/>
  <c r="AH39" i="15"/>
  <c r="AI39" i="15" s="1"/>
  <c r="AH40" i="15"/>
  <c r="AI40" i="15" s="1"/>
  <c r="AH46" i="15"/>
  <c r="AI46" i="15" s="1"/>
  <c r="AH48" i="15"/>
  <c r="AI48" i="15" s="1"/>
  <c r="AH49" i="15"/>
  <c r="AI49" i="15" s="1"/>
  <c r="AH50" i="15"/>
  <c r="AI50" i="15" s="1"/>
  <c r="AH51" i="15"/>
  <c r="AI51" i="15" s="1"/>
  <c r="AH52" i="15"/>
  <c r="AI52" i="15" s="1"/>
  <c r="AH53" i="15"/>
  <c r="AI53" i="15" s="1"/>
  <c r="AH55" i="15"/>
  <c r="AI55" i="15" s="1"/>
  <c r="AH56" i="15"/>
  <c r="AI56" i="15" s="1"/>
  <c r="AH62" i="15"/>
  <c r="AI62" i="15" s="1"/>
  <c r="AH66" i="15"/>
  <c r="AI66" i="15" s="1"/>
  <c r="AH69" i="15"/>
  <c r="AI69" i="15" s="1"/>
  <c r="AH75" i="15"/>
  <c r="AI75" i="15" s="1"/>
  <c r="AH76" i="15"/>
  <c r="AI76" i="15" s="1"/>
  <c r="AH77" i="15"/>
  <c r="AI77" i="15" s="1"/>
  <c r="AH80" i="15"/>
  <c r="AI80" i="15" s="1"/>
  <c r="AH81" i="15"/>
  <c r="AI81" i="15" s="1"/>
  <c r="G3" i="15"/>
  <c r="H3" i="15" s="1"/>
  <c r="G5" i="15"/>
  <c r="H5" i="15" s="1"/>
  <c r="G6" i="15"/>
  <c r="H6" i="15" s="1"/>
  <c r="G9" i="15"/>
  <c r="H9" i="15" s="1"/>
  <c r="G11" i="15"/>
  <c r="H11" i="15" s="1"/>
  <c r="G12" i="15"/>
  <c r="H12" i="15" s="1"/>
  <c r="G15" i="15"/>
  <c r="H15" i="15" s="1"/>
  <c r="G17" i="15"/>
  <c r="H17" i="15" s="1"/>
  <c r="G18" i="15"/>
  <c r="H18" i="15" s="1"/>
  <c r="G21" i="15"/>
  <c r="H21" i="15" s="1"/>
  <c r="G23" i="15"/>
  <c r="H23" i="15" s="1"/>
  <c r="G24" i="15"/>
  <c r="H24" i="15" s="1"/>
  <c r="G25" i="15"/>
  <c r="H25" i="15" s="1"/>
  <c r="G26" i="15"/>
  <c r="H26" i="15" s="1"/>
  <c r="G28" i="15"/>
  <c r="H28" i="15" s="1"/>
  <c r="G29" i="15"/>
  <c r="H29" i="15" s="1"/>
  <c r="G31" i="15"/>
  <c r="H31" i="15" s="1"/>
  <c r="G32" i="15"/>
  <c r="H32" i="15" s="1"/>
  <c r="G34" i="15"/>
  <c r="H34" i="15" s="1"/>
  <c r="G36" i="15"/>
  <c r="H36" i="15" s="1"/>
  <c r="G37" i="15"/>
  <c r="H37" i="15" s="1"/>
  <c r="G38" i="15"/>
  <c r="H38" i="15" s="1"/>
  <c r="G39" i="15"/>
  <c r="H39" i="15" s="1"/>
  <c r="G40" i="15"/>
  <c r="H40" i="15" s="1"/>
  <c r="G48" i="15"/>
  <c r="H48" i="15" s="1"/>
  <c r="G49" i="15"/>
  <c r="H49" i="15" s="1"/>
  <c r="G50" i="15"/>
  <c r="H50" i="15" s="1"/>
  <c r="G51" i="15"/>
  <c r="H51" i="15" s="1"/>
  <c r="G55" i="15"/>
  <c r="H55" i="15" s="1"/>
  <c r="G56" i="15"/>
  <c r="H56" i="15" s="1"/>
  <c r="G62" i="15"/>
  <c r="H62" i="15" s="1"/>
  <c r="G66" i="15"/>
  <c r="H66" i="15" s="1"/>
  <c r="G69" i="15"/>
  <c r="H69" i="15" s="1"/>
  <c r="G72" i="15"/>
  <c r="H72" i="15" s="1"/>
  <c r="G75" i="15"/>
  <c r="H75" i="15" s="1"/>
  <c r="G76" i="15"/>
  <c r="H76" i="15" s="1"/>
  <c r="G77" i="15"/>
  <c r="H77" i="15" s="1"/>
  <c r="G80" i="15"/>
  <c r="H80" i="15" s="1"/>
  <c r="G81" i="15"/>
  <c r="H81" i="15" s="1"/>
  <c r="C4" i="12"/>
  <c r="D4" i="12"/>
  <c r="F4" i="12"/>
  <c r="G4" i="12"/>
  <c r="H4" i="12"/>
  <c r="K4" i="12"/>
  <c r="D5" i="15"/>
  <c r="E5" i="15" s="1"/>
  <c r="D10" i="15"/>
  <c r="E10" i="15" s="1"/>
  <c r="D11" i="15"/>
  <c r="E11" i="15" s="1"/>
  <c r="D12" i="15"/>
  <c r="E12" i="15" s="1"/>
  <c r="D15" i="15"/>
  <c r="E15" i="15" s="1"/>
  <c r="D17" i="15"/>
  <c r="E17" i="15" s="1"/>
  <c r="D18" i="15"/>
  <c r="E18" i="15" s="1"/>
  <c r="D21" i="15"/>
  <c r="E21" i="15" s="1"/>
  <c r="D24" i="15"/>
  <c r="E24" i="15" s="1"/>
  <c r="D25" i="15"/>
  <c r="E25" i="15" s="1"/>
  <c r="D26" i="15"/>
  <c r="E26" i="15" s="1"/>
  <c r="D28" i="15"/>
  <c r="E28" i="15" s="1"/>
  <c r="D29" i="15"/>
  <c r="E29" i="15" s="1"/>
  <c r="D31" i="15"/>
  <c r="E31" i="15" s="1"/>
  <c r="D32" i="15"/>
  <c r="E32" i="15" s="1"/>
  <c r="D34" i="15"/>
  <c r="E34" i="15" s="1"/>
  <c r="D36" i="15"/>
  <c r="E36" i="15" s="1"/>
  <c r="D37" i="15"/>
  <c r="E37" i="15" s="1"/>
  <c r="D38" i="15"/>
  <c r="E38" i="15" s="1"/>
  <c r="D39" i="15"/>
  <c r="E39" i="15" s="1"/>
  <c r="D40" i="15"/>
  <c r="E40" i="15" s="1"/>
  <c r="D46" i="15"/>
  <c r="E46" i="15" s="1"/>
  <c r="D48" i="15"/>
  <c r="E48" i="15" s="1"/>
  <c r="D49" i="15"/>
  <c r="E49" i="15" s="1"/>
  <c r="D52" i="15"/>
  <c r="E52" i="15" s="1"/>
  <c r="D53" i="15"/>
  <c r="E53" i="15" s="1"/>
  <c r="D55" i="15"/>
  <c r="E55" i="15" s="1"/>
  <c r="D56" i="15"/>
  <c r="E56" i="15" s="1"/>
  <c r="D60" i="15"/>
  <c r="E60" i="15" s="1"/>
  <c r="D62" i="15"/>
  <c r="E62" i="15" s="1"/>
  <c r="D66" i="15"/>
  <c r="E66" i="15" s="1"/>
  <c r="D69" i="15"/>
  <c r="E69" i="15" s="1"/>
  <c r="D75" i="15"/>
  <c r="E75" i="15" s="1"/>
  <c r="D76" i="15"/>
  <c r="E76" i="15" s="1"/>
  <c r="D77" i="15"/>
  <c r="E77" i="15" s="1"/>
  <c r="D80" i="15"/>
  <c r="E80" i="15" s="1"/>
  <c r="D81" i="15"/>
  <c r="E81" i="15" s="1"/>
  <c r="D82" i="15"/>
  <c r="E82" i="15" s="1"/>
  <c r="K40" i="12" l="1"/>
  <c r="G41" i="15" s="1"/>
  <c r="H41" i="15" s="1"/>
  <c r="K41" i="12"/>
  <c r="G13" i="15" s="1"/>
  <c r="H13" i="15" s="1"/>
  <c r="K42" i="12"/>
  <c r="G68" i="15" s="1"/>
  <c r="H68" i="15" s="1"/>
  <c r="K43" i="12"/>
  <c r="G59" i="15" s="1"/>
  <c r="H59" i="15" s="1"/>
  <c r="K44" i="12"/>
  <c r="G73" i="15" s="1"/>
  <c r="H73" i="15" s="1"/>
  <c r="K45" i="12"/>
  <c r="G45" i="15" s="1"/>
  <c r="H45" i="15" s="1"/>
  <c r="K46" i="12"/>
  <c r="G79" i="15" s="1"/>
  <c r="H79" i="15" s="1"/>
  <c r="K47" i="12"/>
  <c r="G63" i="15" s="1"/>
  <c r="H63" i="15" s="1"/>
  <c r="K48" i="12"/>
  <c r="G7" i="15" s="1"/>
  <c r="H7" i="15" s="1"/>
  <c r="K49" i="12"/>
  <c r="G8" i="15" s="1"/>
  <c r="H8" i="15" s="1"/>
  <c r="K50" i="12"/>
  <c r="G61" i="15" s="1"/>
  <c r="H61" i="15" s="1"/>
  <c r="K51" i="12"/>
  <c r="G64" i="15" s="1"/>
  <c r="H64" i="15" s="1"/>
  <c r="K52" i="12"/>
  <c r="G57" i="15" s="1"/>
  <c r="H57" i="15" s="1"/>
  <c r="K53" i="12"/>
  <c r="G74" i="15" s="1"/>
  <c r="H74" i="15" s="1"/>
  <c r="K54" i="12"/>
  <c r="G43" i="15" s="1"/>
  <c r="H43" i="15" s="1"/>
  <c r="K55" i="12"/>
  <c r="G14" i="15" s="1"/>
  <c r="H14" i="15" s="1"/>
  <c r="K56" i="12"/>
  <c r="G16" i="15" s="1"/>
  <c r="H16" i="15" s="1"/>
  <c r="K57" i="12"/>
  <c r="G19" i="15" s="1"/>
  <c r="H19" i="15" s="1"/>
  <c r="K58" i="12"/>
  <c r="G20" i="15" s="1"/>
  <c r="H20" i="15" s="1"/>
  <c r="K59" i="12"/>
  <c r="G27" i="15" s="1"/>
  <c r="H27" i="15" s="1"/>
  <c r="K60" i="12"/>
  <c r="G30" i="15" s="1"/>
  <c r="H30" i="15" s="1"/>
  <c r="K61" i="12"/>
  <c r="G33" i="15" s="1"/>
  <c r="H33" i="15" s="1"/>
  <c r="K62" i="12"/>
  <c r="G35" i="15" s="1"/>
  <c r="H35" i="15" s="1"/>
  <c r="K63" i="12"/>
  <c r="G53" i="15" s="1"/>
  <c r="H53" i="15" s="1"/>
  <c r="K64" i="12"/>
  <c r="G47" i="15" s="1"/>
  <c r="H47" i="15" s="1"/>
  <c r="K65" i="12"/>
  <c r="G22" i="15" s="1"/>
  <c r="H22" i="15" s="1"/>
  <c r="K66" i="12"/>
  <c r="G65" i="15" s="1"/>
  <c r="H65" i="15" s="1"/>
  <c r="K67" i="12"/>
  <c r="G70" i="15" s="1"/>
  <c r="H70" i="15" s="1"/>
  <c r="K68" i="12"/>
  <c r="G82" i="15" s="1"/>
  <c r="H82" i="15" s="1"/>
  <c r="K69" i="12"/>
  <c r="G4" i="15" s="1"/>
  <c r="H4" i="15" s="1"/>
  <c r="K70" i="12"/>
  <c r="G60" i="15" s="1"/>
  <c r="H60" i="15" s="1"/>
  <c r="K71" i="12"/>
  <c r="G10" i="15" s="1"/>
  <c r="H10" i="15" s="1"/>
  <c r="K72" i="12"/>
  <c r="G58" i="15" s="1"/>
  <c r="H58" i="15" s="1"/>
  <c r="K73" i="12"/>
  <c r="G46" i="15" s="1"/>
  <c r="H46" i="15" s="1"/>
  <c r="K74" i="12"/>
  <c r="G52" i="15" s="1"/>
  <c r="H52" i="15" s="1"/>
  <c r="K80" i="12"/>
  <c r="M41" i="15" s="1"/>
  <c r="N41" i="15" s="1"/>
  <c r="K81" i="12"/>
  <c r="M13" i="15" s="1"/>
  <c r="N13" i="15" s="1"/>
  <c r="K82" i="12"/>
  <c r="M68" i="15" s="1"/>
  <c r="N68" i="15" s="1"/>
  <c r="K83" i="12"/>
  <c r="M59" i="15" s="1"/>
  <c r="N59" i="15" s="1"/>
  <c r="K84" i="12"/>
  <c r="M73" i="15" s="1"/>
  <c r="N73" i="15" s="1"/>
  <c r="K85" i="12"/>
  <c r="M45" i="15" s="1"/>
  <c r="N45" i="15" s="1"/>
  <c r="K86" i="12"/>
  <c r="M79" i="15" s="1"/>
  <c r="N79" i="15" s="1"/>
  <c r="K87" i="12"/>
  <c r="M63" i="15" s="1"/>
  <c r="N63" i="15" s="1"/>
  <c r="K88" i="12"/>
  <c r="M7" i="15" s="1"/>
  <c r="N7" i="15" s="1"/>
  <c r="K89" i="12"/>
  <c r="M8" i="15" s="1"/>
  <c r="N8" i="15" s="1"/>
  <c r="K90" i="12"/>
  <c r="M61" i="15" s="1"/>
  <c r="N61" i="15" s="1"/>
  <c r="K91" i="12"/>
  <c r="M64" i="15" s="1"/>
  <c r="N64" i="15" s="1"/>
  <c r="K92" i="12"/>
  <c r="M57" i="15" s="1"/>
  <c r="N57" i="15" s="1"/>
  <c r="K93" i="12"/>
  <c r="M74" i="15" s="1"/>
  <c r="N74" i="15" s="1"/>
  <c r="K94" i="12"/>
  <c r="M43" i="15" s="1"/>
  <c r="N43" i="15" s="1"/>
  <c r="K95" i="12"/>
  <c r="M14" i="15" s="1"/>
  <c r="N14" i="15" s="1"/>
  <c r="K96" i="12"/>
  <c r="M16" i="15" s="1"/>
  <c r="N16" i="15" s="1"/>
  <c r="K97" i="12"/>
  <c r="M19" i="15" s="1"/>
  <c r="N19" i="15" s="1"/>
  <c r="K98" i="12"/>
  <c r="M20" i="15" s="1"/>
  <c r="N20" i="15" s="1"/>
  <c r="K99" i="12"/>
  <c r="M27" i="15" s="1"/>
  <c r="N27" i="15" s="1"/>
  <c r="K100" i="12"/>
  <c r="M30" i="15" s="1"/>
  <c r="N30" i="15" s="1"/>
  <c r="K101" i="12"/>
  <c r="M33" i="15" s="1"/>
  <c r="N33" i="15" s="1"/>
  <c r="K102" i="12"/>
  <c r="M35" i="15" s="1"/>
  <c r="N35" i="15" s="1"/>
  <c r="K103" i="12"/>
  <c r="M47" i="15" s="1"/>
  <c r="N47" i="15" s="1"/>
  <c r="K104" i="12"/>
  <c r="M22" i="15" s="1"/>
  <c r="N22" i="15" s="1"/>
  <c r="K105" i="12"/>
  <c r="M65" i="15" s="1"/>
  <c r="N65" i="15" s="1"/>
  <c r="K106" i="12"/>
  <c r="M70" i="15" s="1"/>
  <c r="N70" i="15" s="1"/>
  <c r="K107" i="12"/>
  <c r="M82" i="15" s="1"/>
  <c r="N82" i="15" s="1"/>
  <c r="K108" i="12"/>
  <c r="M4" i="15" s="1"/>
  <c r="N4" i="15" s="1"/>
  <c r="K109" i="12"/>
  <c r="M10" i="15" s="1"/>
  <c r="N10" i="15" s="1"/>
  <c r="K110" i="12"/>
  <c r="M58" i="15" s="1"/>
  <c r="N58" i="15" s="1"/>
  <c r="K244" i="12"/>
  <c r="AK9" i="15" s="1"/>
  <c r="AL9" i="15" s="1"/>
  <c r="K245" i="12"/>
  <c r="AK41" i="15" s="1"/>
  <c r="AL41" i="15" s="1"/>
  <c r="K246" i="12"/>
  <c r="AK13" i="15" s="1"/>
  <c r="AL13" i="15" s="1"/>
  <c r="K247" i="12"/>
  <c r="AK68" i="15" s="1"/>
  <c r="AL68" i="15" s="1"/>
  <c r="K250" i="12"/>
  <c r="AK59" i="15" s="1"/>
  <c r="AL59" i="15" s="1"/>
  <c r="K251" i="12"/>
  <c r="AK73" i="15" s="1"/>
  <c r="AL73" i="15" s="1"/>
  <c r="K252" i="12"/>
  <c r="AK45" i="15" s="1"/>
  <c r="AL45" i="15" s="1"/>
  <c r="K253" i="12"/>
  <c r="AK79" i="15" s="1"/>
  <c r="AL79" i="15" s="1"/>
  <c r="K254" i="12"/>
  <c r="AK63" i="15" s="1"/>
  <c r="AL63" i="15" s="1"/>
  <c r="K255" i="12"/>
  <c r="AK7" i="15" s="1"/>
  <c r="AL7" i="15" s="1"/>
  <c r="K256" i="12"/>
  <c r="AK8" i="15" s="1"/>
  <c r="AL8" i="15" s="1"/>
  <c r="K257" i="12"/>
  <c r="AK61" i="15" s="1"/>
  <c r="AL61" i="15" s="1"/>
  <c r="K258" i="12"/>
  <c r="AK64" i="15" s="1"/>
  <c r="AL64" i="15" s="1"/>
  <c r="K259" i="12"/>
  <c r="AK57" i="15" s="1"/>
  <c r="AL57" i="15" s="1"/>
  <c r="K260" i="12"/>
  <c r="AK74" i="15" s="1"/>
  <c r="AL74" i="15" s="1"/>
  <c r="K261" i="12"/>
  <c r="AK43" i="15" s="1"/>
  <c r="AL43" i="15" s="1"/>
  <c r="K262" i="12"/>
  <c r="AK14" i="15" s="1"/>
  <c r="AL14" i="15" s="1"/>
  <c r="K263" i="12"/>
  <c r="AK16" i="15" s="1"/>
  <c r="AL16" i="15" s="1"/>
  <c r="K264" i="12"/>
  <c r="AK19" i="15" s="1"/>
  <c r="AL19" i="15" s="1"/>
  <c r="K265" i="12"/>
  <c r="AK20" i="15" s="1"/>
  <c r="AL20" i="15" s="1"/>
  <c r="K266" i="12"/>
  <c r="AK27" i="15" s="1"/>
  <c r="AL27" i="15" s="1"/>
  <c r="K267" i="12"/>
  <c r="AK30" i="15" s="1"/>
  <c r="AL30" i="15" s="1"/>
  <c r="K268" i="12"/>
  <c r="AK33" i="15" s="1"/>
  <c r="AL33" i="15" s="1"/>
  <c r="K269" i="12"/>
  <c r="AK35" i="15" s="1"/>
  <c r="AL35" i="15" s="1"/>
  <c r="K270" i="12"/>
  <c r="AK47" i="15" s="1"/>
  <c r="AL47" i="15" s="1"/>
  <c r="K271" i="12"/>
  <c r="AK22" i="15" s="1"/>
  <c r="AL22" i="15" s="1"/>
  <c r="K272" i="12"/>
  <c r="AK65" i="15" s="1"/>
  <c r="AL65" i="15" s="1"/>
  <c r="K273" i="12"/>
  <c r="AK70" i="15" s="1"/>
  <c r="AL70" i="15" s="1"/>
  <c r="K274" i="12"/>
  <c r="AK82" i="15" s="1"/>
  <c r="AL82" i="15" s="1"/>
  <c r="K275" i="12"/>
  <c r="AK4" i="15" s="1"/>
  <c r="AL4" i="15" s="1"/>
  <c r="K276" i="12"/>
  <c r="AK72" i="15" s="1"/>
  <c r="AL72" i="15" s="1"/>
  <c r="K277" i="12"/>
  <c r="AK60" i="15" s="1"/>
  <c r="AL60" i="15" s="1"/>
  <c r="K278" i="12"/>
  <c r="AK10" i="15" s="1"/>
  <c r="AL10" i="15" s="1"/>
  <c r="K279" i="12"/>
  <c r="AK58" i="15" s="1"/>
  <c r="AL58" i="15" s="1"/>
  <c r="K280" i="12"/>
  <c r="AK81" i="15" s="1"/>
  <c r="AL81" i="15" s="1"/>
  <c r="K281" i="12"/>
  <c r="AK52" i="15" s="1"/>
  <c r="AL52" i="15" s="1"/>
  <c r="K550" i="12"/>
  <c r="BO51" i="15" s="1"/>
  <c r="BP51" i="15" s="1"/>
  <c r="K282" i="12"/>
  <c r="AN82" i="15" s="1"/>
  <c r="AO82" i="15" s="1"/>
  <c r="K283" i="12"/>
  <c r="AN6" i="15" s="1"/>
  <c r="AO6" i="15" s="1"/>
  <c r="K551" i="12"/>
  <c r="BU63" i="15" s="1"/>
  <c r="BV63" i="15" s="1"/>
  <c r="K552" i="12"/>
  <c r="BU82" i="15" s="1"/>
  <c r="BV82" i="15" s="1"/>
  <c r="K553" i="12"/>
  <c r="BU10" i="15" s="1"/>
  <c r="BV10" i="15" s="1"/>
  <c r="K554" i="12"/>
  <c r="BU58" i="15" s="1"/>
  <c r="BV58" i="15" s="1"/>
  <c r="K202" i="12"/>
  <c r="AE41" i="15" s="1"/>
  <c r="AF41" i="15" s="1"/>
  <c r="K203" i="12"/>
  <c r="AE64" i="15" s="1"/>
  <c r="AF64" i="15" s="1"/>
  <c r="K204" i="12"/>
  <c r="AE55" i="15" s="1"/>
  <c r="AF55" i="15" s="1"/>
  <c r="K205" i="12"/>
  <c r="AE70" i="15" s="1"/>
  <c r="AF70" i="15" s="1"/>
  <c r="K206" i="12"/>
  <c r="AE60" i="15" s="1"/>
  <c r="AF60" i="15" s="1"/>
  <c r="K207" i="12"/>
  <c r="AE58" i="15" s="1"/>
  <c r="AF58" i="15" s="1"/>
  <c r="K208" i="12"/>
  <c r="AE76" i="15" s="1"/>
  <c r="AF76" i="15" s="1"/>
  <c r="K209" i="12"/>
  <c r="AE49" i="15" s="1"/>
  <c r="AF49" i="15" s="1"/>
  <c r="K75" i="12"/>
  <c r="K76" i="12"/>
  <c r="K115" i="12"/>
  <c r="S9" i="15" s="1"/>
  <c r="T9" i="15" s="1"/>
  <c r="K133" i="12"/>
  <c r="K117" i="12"/>
  <c r="S13" i="15" s="1"/>
  <c r="T13" i="15" s="1"/>
  <c r="K155" i="12"/>
  <c r="S68" i="15" s="1"/>
  <c r="T68" i="15" s="1"/>
  <c r="K147" i="12"/>
  <c r="K555" i="12"/>
  <c r="S73" i="15" s="1"/>
  <c r="T73" i="15" s="1"/>
  <c r="K135" i="12"/>
  <c r="K136" i="12"/>
  <c r="K707" i="12"/>
  <c r="S79" i="15" s="1"/>
  <c r="T79" i="15" s="1"/>
  <c r="K151" i="12"/>
  <c r="S63" i="15" s="1"/>
  <c r="T63" i="15" s="1"/>
  <c r="K113" i="12"/>
  <c r="S7" i="15" s="1"/>
  <c r="T7" i="15" s="1"/>
  <c r="K114" i="12"/>
  <c r="S8" i="15" s="1"/>
  <c r="T8" i="15" s="1"/>
  <c r="K150" i="12"/>
  <c r="S61" i="15" s="1"/>
  <c r="T61" i="15" s="1"/>
  <c r="K152" i="12"/>
  <c r="S64" i="15" s="1"/>
  <c r="T64" i="15" s="1"/>
  <c r="K144" i="12"/>
  <c r="S57" i="15" s="1"/>
  <c r="T57" i="15" s="1"/>
  <c r="K559" i="12"/>
  <c r="S74" i="15" s="1"/>
  <c r="T74" i="15" s="1"/>
  <c r="K134" i="12"/>
  <c r="S43" i="15" s="1"/>
  <c r="T43" i="15" s="1"/>
  <c r="K125" i="12"/>
  <c r="S24" i="15" s="1"/>
  <c r="T24" i="15" s="1"/>
  <c r="K123" i="12"/>
  <c r="S21" i="15" s="1"/>
  <c r="T21" i="15" s="1"/>
  <c r="K118" i="12"/>
  <c r="S14" i="15" s="1"/>
  <c r="T14" i="15" s="1"/>
  <c r="K119" i="12"/>
  <c r="S16" i="15" s="1"/>
  <c r="T16" i="15" s="1"/>
  <c r="K121" i="12"/>
  <c r="S19" i="15" s="1"/>
  <c r="T19" i="15" s="1"/>
  <c r="K122" i="12"/>
  <c r="S20" i="15" s="1"/>
  <c r="T20" i="15" s="1"/>
  <c r="K126" i="12"/>
  <c r="S27" i="15" s="1"/>
  <c r="T27" i="15" s="1"/>
  <c r="K127" i="12"/>
  <c r="S30" i="15" s="1"/>
  <c r="T30" i="15" s="1"/>
  <c r="K128" i="12"/>
  <c r="S33" i="15" s="1"/>
  <c r="T33" i="15" s="1"/>
  <c r="K129" i="12"/>
  <c r="S35" i="15" s="1"/>
  <c r="T35" i="15" s="1"/>
  <c r="K140" i="12"/>
  <c r="S47" i="15" s="1"/>
  <c r="T47" i="15" s="1"/>
  <c r="K124" i="12"/>
  <c r="S22" i="15" s="1"/>
  <c r="T22" i="15" s="1"/>
  <c r="K153" i="12"/>
  <c r="S65" i="15" s="1"/>
  <c r="T65" i="15" s="1"/>
  <c r="K157" i="12"/>
  <c r="K798" i="12"/>
  <c r="S82" i="15" s="1"/>
  <c r="T82" i="15" s="1"/>
  <c r="K112" i="12"/>
  <c r="S4" i="15" s="1"/>
  <c r="T4" i="15" s="1"/>
  <c r="K158" i="12"/>
  <c r="S72" i="15" s="1"/>
  <c r="T72" i="15" s="1"/>
  <c r="K149" i="12"/>
  <c r="S60" i="15" s="1"/>
  <c r="T60" i="15" s="1"/>
  <c r="K116" i="12"/>
  <c r="S10" i="15" s="1"/>
  <c r="T10" i="15" s="1"/>
  <c r="K145" i="12"/>
  <c r="S58" i="15" s="1"/>
  <c r="T58" i="15" s="1"/>
  <c r="K143" i="12"/>
  <c r="S56" i="15" s="1"/>
  <c r="T56" i="15" s="1"/>
  <c r="K560" i="12"/>
  <c r="S76" i="15" s="1"/>
  <c r="T76" i="15" s="1"/>
  <c r="K139" i="12"/>
  <c r="K561" i="12"/>
  <c r="S77" i="15" s="1"/>
  <c r="T77" i="15" s="1"/>
  <c r="K154" i="12"/>
  <c r="S66" i="15" s="1"/>
  <c r="T66" i="15" s="1"/>
  <c r="K148" i="12"/>
  <c r="K132" i="12"/>
  <c r="K138" i="12"/>
  <c r="K322" i="12"/>
  <c r="AW41" i="15" s="1"/>
  <c r="AX41" i="15" s="1"/>
  <c r="K323" i="12"/>
  <c r="AW13" i="15" s="1"/>
  <c r="AX13" i="15" s="1"/>
  <c r="K324" i="12"/>
  <c r="AW68" i="15" s="1"/>
  <c r="AX68" i="15" s="1"/>
  <c r="K325" i="12"/>
  <c r="AW59" i="15" s="1"/>
  <c r="AX59" i="15" s="1"/>
  <c r="K326" i="12"/>
  <c r="AW73" i="15" s="1"/>
  <c r="AX73" i="15" s="1"/>
  <c r="K327" i="12"/>
  <c r="AW45" i="15" s="1"/>
  <c r="AX45" i="15" s="1"/>
  <c r="K328" i="12"/>
  <c r="AW79" i="15" s="1"/>
  <c r="AX79" i="15" s="1"/>
  <c r="K329" i="12"/>
  <c r="AW63" i="15" s="1"/>
  <c r="AX63" i="15" s="1"/>
  <c r="K330" i="12"/>
  <c r="AW7" i="15" s="1"/>
  <c r="AX7" i="15" s="1"/>
  <c r="K331" i="12"/>
  <c r="AW8" i="15" s="1"/>
  <c r="AX8" i="15" s="1"/>
  <c r="K332" i="12"/>
  <c r="AW61" i="15" s="1"/>
  <c r="AX61" i="15" s="1"/>
  <c r="K333" i="12"/>
  <c r="AW64" i="15" s="1"/>
  <c r="AX64" i="15" s="1"/>
  <c r="K334" i="12"/>
  <c r="AW57" i="15" s="1"/>
  <c r="AX57" i="15" s="1"/>
  <c r="K335" i="12"/>
  <c r="AW74" i="15" s="1"/>
  <c r="AX74" i="15" s="1"/>
  <c r="K336" i="12"/>
  <c r="AW43" i="15" s="1"/>
  <c r="AX43" i="15" s="1"/>
  <c r="K337" i="12"/>
  <c r="AW14" i="15" s="1"/>
  <c r="AX14" i="15" s="1"/>
  <c r="K338" i="12"/>
  <c r="AW16" i="15" s="1"/>
  <c r="AX16" i="15" s="1"/>
  <c r="K339" i="12"/>
  <c r="AW19" i="15" s="1"/>
  <c r="AX19" i="15" s="1"/>
  <c r="K340" i="12"/>
  <c r="AW20" i="15" s="1"/>
  <c r="AX20" i="15" s="1"/>
  <c r="K341" i="12"/>
  <c r="AW25" i="15" s="1"/>
  <c r="AX25" i="15" s="1"/>
  <c r="K342" i="12"/>
  <c r="AW26" i="15" s="1"/>
  <c r="AX26" i="15" s="1"/>
  <c r="K343" i="12"/>
  <c r="K344" i="12"/>
  <c r="AW28" i="15" s="1"/>
  <c r="AX28" i="15" s="1"/>
  <c r="K345" i="12"/>
  <c r="AW29" i="15" s="1"/>
  <c r="AX29" i="15" s="1"/>
  <c r="K346" i="12"/>
  <c r="K347" i="12"/>
  <c r="AW31" i="15" s="1"/>
  <c r="AX31" i="15" s="1"/>
  <c r="K348" i="12"/>
  <c r="AW32" i="15" s="1"/>
  <c r="AX32" i="15" s="1"/>
  <c r="K349" i="12"/>
  <c r="K350" i="12"/>
  <c r="AW34" i="15" s="1"/>
  <c r="AX34" i="15" s="1"/>
  <c r="K351" i="12"/>
  <c r="K352" i="12"/>
  <c r="AW37" i="15" s="1"/>
  <c r="AX37" i="15" s="1"/>
  <c r="K353" i="12"/>
  <c r="AW47" i="15" s="1"/>
  <c r="AX47" i="15" s="1"/>
  <c r="K354" i="12"/>
  <c r="AW22" i="15" s="1"/>
  <c r="AX22" i="15" s="1"/>
  <c r="K355" i="12"/>
  <c r="AW65" i="15" s="1"/>
  <c r="AX65" i="15" s="1"/>
  <c r="K356" i="12"/>
  <c r="AW70" i="15" s="1"/>
  <c r="AX70" i="15" s="1"/>
  <c r="K357" i="12"/>
  <c r="AW82" i="15" s="1"/>
  <c r="AX82" i="15" s="1"/>
  <c r="K358" i="12"/>
  <c r="AW4" i="15" s="1"/>
  <c r="AX4" i="15" s="1"/>
  <c r="K359" i="12"/>
  <c r="AW5" i="15" s="1"/>
  <c r="AX5" i="15" s="1"/>
  <c r="K284" i="12"/>
  <c r="AQ59" i="15" s="1"/>
  <c r="AR59" i="15" s="1"/>
  <c r="K285" i="12"/>
  <c r="AQ45" i="15" s="1"/>
  <c r="AR45" i="15" s="1"/>
  <c r="K286" i="12"/>
  <c r="AQ70" i="15" s="1"/>
  <c r="AR70" i="15" s="1"/>
  <c r="K287" i="12"/>
  <c r="AQ82" i="15" s="1"/>
  <c r="AR82" i="15" s="1"/>
  <c r="K288" i="12"/>
  <c r="AQ10" i="15" s="1"/>
  <c r="AR10" i="15" s="1"/>
  <c r="K289" i="12"/>
  <c r="AQ58" i="15" s="1"/>
  <c r="AR58" i="15" s="1"/>
  <c r="K460" i="12"/>
  <c r="BI9" i="15" s="1"/>
  <c r="BJ9" i="15" s="1"/>
  <c r="K462" i="12"/>
  <c r="BI41" i="15" s="1"/>
  <c r="BJ41" i="15" s="1"/>
  <c r="K487" i="12"/>
  <c r="BI13" i="15" s="1"/>
  <c r="BJ13" i="15" s="1"/>
  <c r="K488" i="12"/>
  <c r="BI68" i="15" s="1"/>
  <c r="BJ68" i="15" s="1"/>
  <c r="K489" i="12"/>
  <c r="BI59" i="15" s="1"/>
  <c r="BJ59" i="15" s="1"/>
  <c r="K464" i="12"/>
  <c r="BI73" i="15" s="1"/>
  <c r="BJ73" i="15" s="1"/>
  <c r="K466" i="12"/>
  <c r="BI45" i="15" s="1"/>
  <c r="BJ45" i="15" s="1"/>
  <c r="K490" i="12"/>
  <c r="BI79" i="15" s="1"/>
  <c r="BJ79" i="15" s="1"/>
  <c r="K491" i="12"/>
  <c r="BI63" i="15" s="1"/>
  <c r="BJ63" i="15" s="1"/>
  <c r="K492" i="12"/>
  <c r="BI7" i="15" s="1"/>
  <c r="BJ7" i="15" s="1"/>
  <c r="K493" i="12"/>
  <c r="BI8" i="15" s="1"/>
  <c r="BJ8" i="15" s="1"/>
  <c r="K494" i="12"/>
  <c r="BI61" i="15" s="1"/>
  <c r="BJ61" i="15" s="1"/>
  <c r="K495" i="12"/>
  <c r="BI64" i="15" s="1"/>
  <c r="BJ64" i="15" s="1"/>
  <c r="K468" i="12"/>
  <c r="BI57" i="15" s="1"/>
  <c r="BJ57" i="15" s="1"/>
  <c r="K496" i="12"/>
  <c r="BI74" i="15" s="1"/>
  <c r="BJ74" i="15" s="1"/>
  <c r="K497" i="12"/>
  <c r="BI43" i="15" s="1"/>
  <c r="BJ43" i="15" s="1"/>
  <c r="K470" i="12"/>
  <c r="BI14" i="15" s="1"/>
  <c r="BJ14" i="15" s="1"/>
  <c r="K472" i="12"/>
  <c r="BI16" i="15" s="1"/>
  <c r="BJ16" i="15" s="1"/>
  <c r="K498" i="12"/>
  <c r="BI19" i="15" s="1"/>
  <c r="BJ19" i="15" s="1"/>
  <c r="K499" i="12"/>
  <c r="BI20" i="15" s="1"/>
  <c r="BJ20" i="15" s="1"/>
  <c r="K474" i="12"/>
  <c r="BI27" i="15" s="1"/>
  <c r="BJ27" i="15" s="1"/>
  <c r="K476" i="12"/>
  <c r="BI30" i="15" s="1"/>
  <c r="BJ30" i="15" s="1"/>
  <c r="K500" i="12"/>
  <c r="BI33" i="15" s="1"/>
  <c r="BJ33" i="15" s="1"/>
  <c r="K501" i="12"/>
  <c r="BI35" i="15" s="1"/>
  <c r="BJ35" i="15" s="1"/>
  <c r="K478" i="12"/>
  <c r="BI47" i="15" s="1"/>
  <c r="BJ47" i="15" s="1"/>
  <c r="BI22" i="15"/>
  <c r="BJ22" i="15" s="1"/>
  <c r="K482" i="12"/>
  <c r="BI65" i="15" s="1"/>
  <c r="BJ65" i="15" s="1"/>
  <c r="K502" i="12"/>
  <c r="BI70" i="15" s="1"/>
  <c r="BJ70" i="15" s="1"/>
  <c r="K503" i="12"/>
  <c r="BI82" i="15" s="1"/>
  <c r="BJ82" i="15" s="1"/>
  <c r="K484" i="12"/>
  <c r="BI4" i="15" s="1"/>
  <c r="BJ4" i="15" s="1"/>
  <c r="K504" i="12"/>
  <c r="BI72" i="15" s="1"/>
  <c r="BJ72" i="15" s="1"/>
  <c r="K505" i="12"/>
  <c r="BI60" i="15" s="1"/>
  <c r="BJ60" i="15" s="1"/>
  <c r="K506" i="12"/>
  <c r="BI10" i="15" s="1"/>
  <c r="BJ10" i="15" s="1"/>
  <c r="K507" i="12"/>
  <c r="K486" i="12"/>
  <c r="K201" i="12"/>
  <c r="Y58" i="15" s="1"/>
  <c r="Z58" i="15" s="1"/>
  <c r="K360" i="12"/>
  <c r="AZ45" i="15" s="1"/>
  <c r="BA45" i="15" s="1"/>
  <c r="K361" i="12"/>
  <c r="AZ79" i="15" s="1"/>
  <c r="BA79" i="15" s="1"/>
  <c r="K362" i="12"/>
  <c r="AZ61" i="15" s="1"/>
  <c r="BA61" i="15" s="1"/>
  <c r="K363" i="12"/>
  <c r="AZ64" i="15" s="1"/>
  <c r="BA64" i="15" s="1"/>
  <c r="K364" i="12"/>
  <c r="AZ57" i="15" s="1"/>
  <c r="BA57" i="15" s="1"/>
  <c r="K365" i="12"/>
  <c r="AZ14" i="15" s="1"/>
  <c r="BA14" i="15" s="1"/>
  <c r="K366" i="12"/>
  <c r="AZ15" i="15" s="1"/>
  <c r="BA15" i="15" s="1"/>
  <c r="K367" i="12"/>
  <c r="AZ27" i="15" s="1"/>
  <c r="BA27" i="15" s="1"/>
  <c r="K368" i="12"/>
  <c r="AZ29" i="15" s="1"/>
  <c r="BA29" i="15" s="1"/>
  <c r="K369" i="12"/>
  <c r="AZ82" i="15" s="1"/>
  <c r="BA82" i="15" s="1"/>
  <c r="K370" i="12"/>
  <c r="AZ10" i="15" s="1"/>
  <c r="BA10" i="15" s="1"/>
  <c r="K371" i="12"/>
  <c r="AZ58" i="15" s="1"/>
  <c r="BA58" i="15" s="1"/>
  <c r="K372" i="12"/>
  <c r="AZ48" i="15" s="1"/>
  <c r="BA48" i="15" s="1"/>
  <c r="K425" i="12"/>
  <c r="BF41" i="15" s="1"/>
  <c r="BG41" i="15" s="1"/>
  <c r="K426" i="12"/>
  <c r="BF13" i="15" s="1"/>
  <c r="BG13" i="15" s="1"/>
  <c r="K427" i="12"/>
  <c r="BF68" i="15" s="1"/>
  <c r="BG68" i="15" s="1"/>
  <c r="K428" i="12"/>
  <c r="BF59" i="15" s="1"/>
  <c r="BG59" i="15" s="1"/>
  <c r="K421" i="12"/>
  <c r="BF73" i="15" s="1"/>
  <c r="BG73" i="15" s="1"/>
  <c r="K429" i="12"/>
  <c r="BF45" i="15" s="1"/>
  <c r="BG45" i="15" s="1"/>
  <c r="K430" i="12"/>
  <c r="BF79" i="15" s="1"/>
  <c r="BG79" i="15" s="1"/>
  <c r="K431" i="12"/>
  <c r="BF63" i="15" s="1"/>
  <c r="BG63" i="15" s="1"/>
  <c r="K432" i="12"/>
  <c r="BF7" i="15" s="1"/>
  <c r="BG7" i="15" s="1"/>
  <c r="K433" i="12"/>
  <c r="BF8" i="15" s="1"/>
  <c r="BG8" i="15" s="1"/>
  <c r="K434" i="12"/>
  <c r="BF61" i="15" s="1"/>
  <c r="BG61" i="15" s="1"/>
  <c r="K435" i="12"/>
  <c r="BF64" i="15" s="1"/>
  <c r="BG64" i="15" s="1"/>
  <c r="K436" i="12"/>
  <c r="BF57" i="15" s="1"/>
  <c r="BG57" i="15" s="1"/>
  <c r="K439" i="12"/>
  <c r="BF74" i="15" s="1"/>
  <c r="BG74" i="15" s="1"/>
  <c r="K440" i="12"/>
  <c r="BF14" i="15" s="1"/>
  <c r="BG14" i="15" s="1"/>
  <c r="K441" i="12"/>
  <c r="BF16" i="15" s="1"/>
  <c r="BG16" i="15" s="1"/>
  <c r="K442" i="12"/>
  <c r="BF19" i="15" s="1"/>
  <c r="BG19" i="15" s="1"/>
  <c r="K443" i="12"/>
  <c r="BF20" i="15" s="1"/>
  <c r="BG20" i="15" s="1"/>
  <c r="K444" i="12"/>
  <c r="BF27" i="15" s="1"/>
  <c r="BG27" i="15" s="1"/>
  <c r="K447" i="12"/>
  <c r="BF30" i="15" s="1"/>
  <c r="BG30" i="15" s="1"/>
  <c r="K448" i="12"/>
  <c r="BF33" i="15" s="1"/>
  <c r="BG33" i="15" s="1"/>
  <c r="K449" i="12"/>
  <c r="BF35" i="15" s="1"/>
  <c r="BG35" i="15" s="1"/>
  <c r="K450" i="12"/>
  <c r="BF47" i="15" s="1"/>
  <c r="BG47" i="15" s="1"/>
  <c r="K424" i="12"/>
  <c r="BF65" i="15" s="1"/>
  <c r="BG65" i="15" s="1"/>
  <c r="K451" i="12"/>
  <c r="BF70" i="15" s="1"/>
  <c r="BG70" i="15" s="1"/>
  <c r="K453" i="12"/>
  <c r="BF82" i="15" s="1"/>
  <c r="BG82" i="15" s="1"/>
  <c r="K454" i="12"/>
  <c r="BF4" i="15" s="1"/>
  <c r="BG4" i="15" s="1"/>
  <c r="K455" i="12"/>
  <c r="BF72" i="15" s="1"/>
  <c r="BG72" i="15" s="1"/>
  <c r="K456" i="12"/>
  <c r="BF60" i="15" s="1"/>
  <c r="BG60" i="15" s="1"/>
  <c r="K457" i="12"/>
  <c r="BF10" i="15" s="1"/>
  <c r="BG10" i="15" s="1"/>
  <c r="K458" i="12"/>
  <c r="BF58" i="15" s="1"/>
  <c r="BG58" i="15" s="1"/>
  <c r="K8" i="12"/>
  <c r="D9" i="15" s="1"/>
  <c r="E9" i="15" s="1"/>
  <c r="K20" i="12"/>
  <c r="D41" i="15" s="1"/>
  <c r="E41" i="15" s="1"/>
  <c r="K9" i="12"/>
  <c r="D13" i="15" s="1"/>
  <c r="E13" i="15" s="1"/>
  <c r="K33" i="12"/>
  <c r="D68" i="15" s="1"/>
  <c r="E68" i="15" s="1"/>
  <c r="K28" i="12"/>
  <c r="D59" i="15" s="1"/>
  <c r="E59" i="15" s="1"/>
  <c r="K36" i="12"/>
  <c r="D73" i="15" s="1"/>
  <c r="E73" i="15" s="1"/>
  <c r="K22" i="12"/>
  <c r="D45" i="15" s="1"/>
  <c r="E45" i="15" s="1"/>
  <c r="K39" i="12"/>
  <c r="D79" i="15" s="1"/>
  <c r="E79" i="15" s="1"/>
  <c r="K30" i="12"/>
  <c r="D63" i="15" s="1"/>
  <c r="E63" i="15" s="1"/>
  <c r="K6" i="12"/>
  <c r="D7" i="15" s="1"/>
  <c r="E7" i="15" s="1"/>
  <c r="K7" i="12"/>
  <c r="D8" i="15" s="1"/>
  <c r="E8" i="15" s="1"/>
  <c r="K29" i="12"/>
  <c r="D61" i="15" s="1"/>
  <c r="E61" i="15" s="1"/>
  <c r="K31" i="12"/>
  <c r="D64" i="15" s="1"/>
  <c r="E64" i="15" s="1"/>
  <c r="K26" i="12"/>
  <c r="D57" i="15" s="1"/>
  <c r="E57" i="15" s="1"/>
  <c r="K38" i="12"/>
  <c r="D74" i="15" s="1"/>
  <c r="E74" i="15" s="1"/>
  <c r="K21" i="12"/>
  <c r="D43" i="15" s="1"/>
  <c r="E43" i="15" s="1"/>
  <c r="K10" i="12"/>
  <c r="D14" i="15" s="1"/>
  <c r="E14" i="15" s="1"/>
  <c r="K11" i="12"/>
  <c r="D16" i="15" s="1"/>
  <c r="E16" i="15" s="1"/>
  <c r="K12" i="12"/>
  <c r="D19" i="15" s="1"/>
  <c r="E19" i="15" s="1"/>
  <c r="K13" i="12"/>
  <c r="D20" i="15" s="1"/>
  <c r="E20" i="15" s="1"/>
  <c r="K16" i="12"/>
  <c r="D27" i="15" s="1"/>
  <c r="E27" i="15" s="1"/>
  <c r="K17" i="12"/>
  <c r="D30" i="15" s="1"/>
  <c r="E30" i="15" s="1"/>
  <c r="K18" i="12"/>
  <c r="D33" i="15" s="1"/>
  <c r="E33" i="15" s="1"/>
  <c r="K19" i="12"/>
  <c r="D35" i="15" s="1"/>
  <c r="E35" i="15" s="1"/>
  <c r="K23" i="12"/>
  <c r="D47" i="15" s="1"/>
  <c r="E47" i="15" s="1"/>
  <c r="K14" i="12"/>
  <c r="D22" i="15" s="1"/>
  <c r="E22" i="15" s="1"/>
  <c r="K32" i="12"/>
  <c r="D65" i="15" s="1"/>
  <c r="E65" i="15" s="1"/>
  <c r="K34" i="12"/>
  <c r="D70" i="15" s="1"/>
  <c r="E70" i="15" s="1"/>
  <c r="D4" i="15"/>
  <c r="E4" i="15" s="1"/>
  <c r="K35" i="12"/>
  <c r="D72" i="15" s="1"/>
  <c r="E72" i="15" s="1"/>
  <c r="K27" i="12"/>
  <c r="D58" i="15" s="1"/>
  <c r="E58" i="15" s="1"/>
  <c r="K15" i="12"/>
  <c r="D23" i="15" s="1"/>
  <c r="E23" i="15" s="1"/>
  <c r="K24" i="12"/>
  <c r="D50" i="15" s="1"/>
  <c r="E50" i="15" s="1"/>
  <c r="K3" i="12"/>
  <c r="D3" i="15" s="1"/>
  <c r="E3" i="15" s="1"/>
  <c r="K25" i="12"/>
  <c r="D51" i="15" s="1"/>
  <c r="E51" i="15" s="1"/>
  <c r="K5" i="12"/>
  <c r="D6" i="15" s="1"/>
  <c r="E6" i="15" s="1"/>
  <c r="K182" i="12"/>
  <c r="V9" i="15" s="1"/>
  <c r="W9" i="15" s="1"/>
  <c r="K183" i="12"/>
  <c r="V41" i="15" s="1"/>
  <c r="W41" i="15" s="1"/>
  <c r="K160" i="12"/>
  <c r="V13" i="15" s="1"/>
  <c r="W13" i="15" s="1"/>
  <c r="K162" i="12"/>
  <c r="V68" i="15" s="1"/>
  <c r="W68" i="15" s="1"/>
  <c r="K164" i="12"/>
  <c r="V59" i="15" s="1"/>
  <c r="W59" i="15" s="1"/>
  <c r="K166" i="12"/>
  <c r="V73" i="15" s="1"/>
  <c r="W73" i="15" s="1"/>
  <c r="K168" i="12"/>
  <c r="V45" i="15" s="1"/>
  <c r="W45" i="15" s="1"/>
  <c r="K184" i="12"/>
  <c r="V79" i="15" s="1"/>
  <c r="W79" i="15" s="1"/>
  <c r="K170" i="12"/>
  <c r="V63" i="15" s="1"/>
  <c r="W63" i="15" s="1"/>
  <c r="K185" i="12"/>
  <c r="V7" i="15" s="1"/>
  <c r="W7" i="15" s="1"/>
  <c r="K186" i="12"/>
  <c r="V8" i="15" s="1"/>
  <c r="W8" i="15" s="1"/>
  <c r="K172" i="12"/>
  <c r="V61" i="15" s="1"/>
  <c r="W61" i="15" s="1"/>
  <c r="K174" i="12"/>
  <c r="V64" i="15" s="1"/>
  <c r="W64" i="15" s="1"/>
  <c r="K175" i="12"/>
  <c r="V57" i="15" s="1"/>
  <c r="W57" i="15" s="1"/>
  <c r="K187" i="12"/>
  <c r="V74" i="15" s="1"/>
  <c r="W74" i="15" s="1"/>
  <c r="K188" i="12"/>
  <c r="V43" i="15" s="1"/>
  <c r="W43" i="15" s="1"/>
  <c r="K189" i="12"/>
  <c r="V14" i="15" s="1"/>
  <c r="W14" i="15" s="1"/>
  <c r="K190" i="12"/>
  <c r="V16" i="15" s="1"/>
  <c r="W16" i="15" s="1"/>
  <c r="K191" i="12"/>
  <c r="V19" i="15" s="1"/>
  <c r="W19" i="15" s="1"/>
  <c r="K192" i="12"/>
  <c r="V20" i="15" s="1"/>
  <c r="W20" i="15" s="1"/>
  <c r="K193" i="12"/>
  <c r="V27" i="15" s="1"/>
  <c r="W27" i="15" s="1"/>
  <c r="K194" i="12"/>
  <c r="V30" i="15" s="1"/>
  <c r="W30" i="15" s="1"/>
  <c r="K195" i="12"/>
  <c r="V33" i="15" s="1"/>
  <c r="W33" i="15" s="1"/>
  <c r="K196" i="12"/>
  <c r="V35" i="15" s="1"/>
  <c r="W35" i="15" s="1"/>
  <c r="K197" i="12"/>
  <c r="V47" i="15" s="1"/>
  <c r="W47" i="15" s="1"/>
  <c r="K177" i="12"/>
  <c r="V22" i="15" s="1"/>
  <c r="W22" i="15" s="1"/>
  <c r="K198" i="12"/>
  <c r="V65" i="15" s="1"/>
  <c r="W65" i="15" s="1"/>
  <c r="K179" i="12"/>
  <c r="V70" i="15" s="1"/>
  <c r="W70" i="15" s="1"/>
  <c r="K181" i="12"/>
  <c r="V4" i="15" s="1"/>
  <c r="W4" i="15" s="1"/>
  <c r="K199" i="12"/>
  <c r="V10" i="15" s="1"/>
  <c r="W10" i="15" s="1"/>
  <c r="K200" i="12"/>
  <c r="V58" i="15" s="1"/>
  <c r="W58" i="15" s="1"/>
  <c r="K229" i="12"/>
  <c r="AH9" i="15" s="1"/>
  <c r="AI9" i="15" s="1"/>
  <c r="K210" i="12"/>
  <c r="AH41" i="15" s="1"/>
  <c r="AI41" i="15" s="1"/>
  <c r="K211" i="12"/>
  <c r="AH13" i="15" s="1"/>
  <c r="AI13" i="15" s="1"/>
  <c r="K212" i="12"/>
  <c r="AH68" i="15" s="1"/>
  <c r="AI68" i="15" s="1"/>
  <c r="K243" i="12"/>
  <c r="AH59" i="15" s="1"/>
  <c r="AI59" i="15" s="1"/>
  <c r="K213" i="12"/>
  <c r="AH73" i="15" s="1"/>
  <c r="AI73" i="15" s="1"/>
  <c r="K230" i="12"/>
  <c r="AH45" i="15" s="1"/>
  <c r="AI45" i="15" s="1"/>
  <c r="K214" i="12"/>
  <c r="AH79" i="15" s="1"/>
  <c r="AI79" i="15" s="1"/>
  <c r="K215" i="12"/>
  <c r="AH63" i="15" s="1"/>
  <c r="AI63" i="15" s="1"/>
  <c r="K231" i="12"/>
  <c r="AH7" i="15" s="1"/>
  <c r="AI7" i="15" s="1"/>
  <c r="K232" i="12"/>
  <c r="AH8" i="15" s="1"/>
  <c r="AI8" i="15" s="1"/>
  <c r="K233" i="12"/>
  <c r="AH61" i="15" s="1"/>
  <c r="AI61" i="15" s="1"/>
  <c r="K234" i="12"/>
  <c r="AH64" i="15" s="1"/>
  <c r="AI64" i="15" s="1"/>
  <c r="K228" i="12"/>
  <c r="AH57" i="15" s="1"/>
  <c r="AI57" i="15" s="1"/>
  <c r="K235" i="12"/>
  <c r="AH74" i="15" s="1"/>
  <c r="AI74" i="15" s="1"/>
  <c r="K216" i="12"/>
  <c r="AH43" i="15" s="1"/>
  <c r="AI43" i="15" s="1"/>
  <c r="K236" i="12"/>
  <c r="AH14" i="15" s="1"/>
  <c r="AI14" i="15" s="1"/>
  <c r="K237" i="12"/>
  <c r="AH16" i="15" s="1"/>
  <c r="AI16" i="15" s="1"/>
  <c r="K238" i="12"/>
  <c r="AH19" i="15" s="1"/>
  <c r="AI19" i="15" s="1"/>
  <c r="K239" i="12"/>
  <c r="AH20" i="15" s="1"/>
  <c r="AI20" i="15" s="1"/>
  <c r="K217" i="12"/>
  <c r="AH27" i="15" s="1"/>
  <c r="AI27" i="15" s="1"/>
  <c r="K218" i="12"/>
  <c r="AH30" i="15" s="1"/>
  <c r="AI30" i="15" s="1"/>
  <c r="K219" i="12"/>
  <c r="AH33" i="15" s="1"/>
  <c r="AI33" i="15" s="1"/>
  <c r="K220" i="12"/>
  <c r="AH35" i="15" s="1"/>
  <c r="AI35" i="15" s="1"/>
  <c r="K240" i="12"/>
  <c r="AH47" i="15" s="1"/>
  <c r="AI47" i="15" s="1"/>
  <c r="K221" i="12"/>
  <c r="AH22" i="15" s="1"/>
  <c r="AI22" i="15" s="1"/>
  <c r="K241" i="12"/>
  <c r="AH65" i="15" s="1"/>
  <c r="AI65" i="15" s="1"/>
  <c r="K222" i="12"/>
  <c r="AH70" i="15" s="1"/>
  <c r="AI70" i="15" s="1"/>
  <c r="K223" i="12"/>
  <c r="AH82" i="15" s="1"/>
  <c r="AI82" i="15" s="1"/>
  <c r="K224" i="12"/>
  <c r="AH4" i="15" s="1"/>
  <c r="AI4" i="15" s="1"/>
  <c r="K225" i="12"/>
  <c r="AH72" i="15" s="1"/>
  <c r="AI72" i="15" s="1"/>
  <c r="K226" i="12"/>
  <c r="AH60" i="15" s="1"/>
  <c r="AI60" i="15" s="1"/>
  <c r="K227" i="12"/>
  <c r="AH10" i="15" s="1"/>
  <c r="AI10" i="15" s="1"/>
  <c r="K242" i="12"/>
  <c r="AH58" i="15" s="1"/>
  <c r="AI58" i="15" s="1"/>
  <c r="K77" i="12"/>
  <c r="J57" i="15" s="1"/>
  <c r="K57" i="15" s="1"/>
  <c r="K78" i="12"/>
  <c r="J12" i="15" s="1"/>
  <c r="K12" i="15" s="1"/>
  <c r="K79" i="12"/>
  <c r="J58" i="15" s="1"/>
  <c r="K58" i="15" s="1"/>
  <c r="K373" i="12"/>
  <c r="BC9" i="15" s="1"/>
  <c r="BD9" i="15" s="1"/>
  <c r="K374" i="12"/>
  <c r="BC41" i="15" s="1"/>
  <c r="BD41" i="15" s="1"/>
  <c r="K375" i="12"/>
  <c r="BC13" i="15" s="1"/>
  <c r="BD13" i="15" s="1"/>
  <c r="K376" i="12"/>
  <c r="BC68" i="15" s="1"/>
  <c r="BD68" i="15" s="1"/>
  <c r="K377" i="12"/>
  <c r="BC59" i="15" s="1"/>
  <c r="BD59" i="15" s="1"/>
  <c r="K378" i="12"/>
  <c r="BC73" i="15" s="1"/>
  <c r="BD73" i="15" s="1"/>
  <c r="K379" i="12"/>
  <c r="BC45" i="15" s="1"/>
  <c r="BD45" i="15" s="1"/>
  <c r="K380" i="12"/>
  <c r="BC79" i="15" s="1"/>
  <c r="BD79" i="15" s="1"/>
  <c r="K381" i="12"/>
  <c r="BC63" i="15" s="1"/>
  <c r="BD63" i="15" s="1"/>
  <c r="K382" i="12"/>
  <c r="BC7" i="15" s="1"/>
  <c r="BD7" i="15" s="1"/>
  <c r="K383" i="12"/>
  <c r="BC8" i="15" s="1"/>
  <c r="BD8" i="15" s="1"/>
  <c r="K384" i="12"/>
  <c r="K385" i="12"/>
  <c r="K386" i="12"/>
  <c r="BC64" i="15" s="1"/>
  <c r="BD64" i="15" s="1"/>
  <c r="K387" i="12"/>
  <c r="BC57" i="15" s="1"/>
  <c r="BD57" i="15" s="1"/>
  <c r="K388" i="12"/>
  <c r="BC74" i="15" s="1"/>
  <c r="BD74" i="15" s="1"/>
  <c r="K389" i="12"/>
  <c r="BC43" i="15" s="1"/>
  <c r="BD43" i="15" s="1"/>
  <c r="K390" i="12"/>
  <c r="BC12" i="15" s="1"/>
  <c r="BD12" i="15" s="1"/>
  <c r="K391" i="12"/>
  <c r="BC24" i="15" s="1"/>
  <c r="BD24" i="15" s="1"/>
  <c r="K392" i="12"/>
  <c r="BC21" i="15" s="1"/>
  <c r="BD21" i="15" s="1"/>
  <c r="K393" i="12"/>
  <c r="BC14" i="15" s="1"/>
  <c r="BD14" i="15" s="1"/>
  <c r="K394" i="12"/>
  <c r="BC16" i="15" s="1"/>
  <c r="BD16" i="15" s="1"/>
  <c r="K395" i="12"/>
  <c r="BC18" i="15" s="1"/>
  <c r="BD18" i="15" s="1"/>
  <c r="K396" i="12"/>
  <c r="BC19" i="15" s="1"/>
  <c r="BD19" i="15" s="1"/>
  <c r="K397" i="12"/>
  <c r="BC20" i="15" s="1"/>
  <c r="BD20" i="15" s="1"/>
  <c r="K398" i="12"/>
  <c r="BC27" i="15" s="1"/>
  <c r="BD27" i="15" s="1"/>
  <c r="K399" i="12"/>
  <c r="BC30" i="15" s="1"/>
  <c r="BD30" i="15" s="1"/>
  <c r="K400" i="12"/>
  <c r="BC33" i="15" s="1"/>
  <c r="BD33" i="15" s="1"/>
  <c r="K401" i="12"/>
  <c r="BC35" i="15" s="1"/>
  <c r="BD35" i="15" s="1"/>
  <c r="K402" i="12"/>
  <c r="BC47" i="15" s="1"/>
  <c r="BD47" i="15" s="1"/>
  <c r="K403" i="12"/>
  <c r="BC22" i="15" s="1"/>
  <c r="BD22" i="15" s="1"/>
  <c r="K404" i="12"/>
  <c r="BC65" i="15" s="1"/>
  <c r="BD65" i="15" s="1"/>
  <c r="K405" i="12"/>
  <c r="K406" i="12"/>
  <c r="BC82" i="15" s="1"/>
  <c r="BD82" i="15" s="1"/>
  <c r="K407" i="12"/>
  <c r="BC4" i="15" s="1"/>
  <c r="BD4" i="15" s="1"/>
  <c r="K408" i="12"/>
  <c r="BC72" i="15" s="1"/>
  <c r="BD72" i="15" s="1"/>
  <c r="K409" i="12"/>
  <c r="BC60" i="15" s="1"/>
  <c r="BD60" i="15" s="1"/>
  <c r="K410" i="12"/>
  <c r="BC10" i="15" s="1"/>
  <c r="BD10" i="15" s="1"/>
  <c r="K411" i="12"/>
  <c r="BC58" i="15" s="1"/>
  <c r="BD58" i="15" s="1"/>
  <c r="K412" i="12"/>
  <c r="BC56" i="15" s="1"/>
  <c r="BD56" i="15" s="1"/>
  <c r="K413" i="12"/>
  <c r="K414" i="12"/>
  <c r="BC50" i="15" s="1"/>
  <c r="BD50" i="15" s="1"/>
  <c r="K415" i="12"/>
  <c r="BC3" i="15" s="1"/>
  <c r="BD3" i="15" s="1"/>
  <c r="K416" i="12"/>
  <c r="BC51" i="15" s="1"/>
  <c r="BD51" i="15" s="1"/>
  <c r="K417" i="12"/>
  <c r="BC5" i="15" s="1"/>
  <c r="BD5" i="15" s="1"/>
  <c r="K418" i="12"/>
  <c r="BC6" i="15" s="1"/>
  <c r="BD6" i="15" s="1"/>
  <c r="K419" i="12"/>
  <c r="BC23" i="15" s="1"/>
  <c r="BD23" i="15" s="1"/>
  <c r="BL9" i="15"/>
  <c r="BM9" i="15" s="1"/>
  <c r="K511" i="12"/>
  <c r="BL41" i="15" s="1"/>
  <c r="BM41" i="15" s="1"/>
  <c r="K512" i="12"/>
  <c r="BL13" i="15" s="1"/>
  <c r="BM13" i="15" s="1"/>
  <c r="K513" i="12"/>
  <c r="BL68" i="15" s="1"/>
  <c r="BM68" i="15" s="1"/>
  <c r="K514" i="12"/>
  <c r="BL59" i="15" s="1"/>
  <c r="BM59" i="15" s="1"/>
  <c r="K515" i="12"/>
  <c r="BL73" i="15" s="1"/>
  <c r="BM73" i="15" s="1"/>
  <c r="K516" i="12"/>
  <c r="BL45" i="15" s="1"/>
  <c r="BM45" i="15" s="1"/>
  <c r="K517" i="12"/>
  <c r="BL79" i="15" s="1"/>
  <c r="BM79" i="15" s="1"/>
  <c r="K518" i="12"/>
  <c r="BL7" i="15" s="1"/>
  <c r="BM7" i="15" s="1"/>
  <c r="K519" i="12"/>
  <c r="BL8" i="15" s="1"/>
  <c r="BM8" i="15" s="1"/>
  <c r="K520" i="12"/>
  <c r="BL61" i="15" s="1"/>
  <c r="BM61" i="15" s="1"/>
  <c r="K521" i="12"/>
  <c r="BL64" i="15" s="1"/>
  <c r="BM64" i="15" s="1"/>
  <c r="K522" i="12"/>
  <c r="BL57" i="15" s="1"/>
  <c r="BM57" i="15" s="1"/>
  <c r="K523" i="12"/>
  <c r="BL74" i="15" s="1"/>
  <c r="BM74" i="15" s="1"/>
  <c r="K524" i="12"/>
  <c r="BL43" i="15" s="1"/>
  <c r="BM43" i="15" s="1"/>
  <c r="K525" i="12"/>
  <c r="BL14" i="15" s="1"/>
  <c r="BM14" i="15" s="1"/>
  <c r="K526" i="12"/>
  <c r="BL16" i="15" s="1"/>
  <c r="BM16" i="15" s="1"/>
  <c r="K527" i="12"/>
  <c r="BL19" i="15" s="1"/>
  <c r="BM19" i="15" s="1"/>
  <c r="K528" i="12"/>
  <c r="BL20" i="15" s="1"/>
  <c r="BM20" i="15" s="1"/>
  <c r="K529" i="12"/>
  <c r="K530" i="12"/>
  <c r="BL30" i="15" s="1"/>
  <c r="BM30" i="15" s="1"/>
  <c r="K531" i="12"/>
  <c r="BL33" i="15" s="1"/>
  <c r="BM33" i="15" s="1"/>
  <c r="K532" i="12"/>
  <c r="BL47" i="15" s="1"/>
  <c r="BM47" i="15" s="1"/>
  <c r="K533" i="12"/>
  <c r="BL22" i="15" s="1"/>
  <c r="BM22" i="15" s="1"/>
  <c r="K534" i="12"/>
  <c r="BL65" i="15" s="1"/>
  <c r="BM65" i="15" s="1"/>
  <c r="K535" i="12"/>
  <c r="BL70" i="15" s="1"/>
  <c r="BM70" i="15" s="1"/>
  <c r="K536" i="12"/>
  <c r="BL82" i="15" s="1"/>
  <c r="BM82" i="15" s="1"/>
  <c r="K537" i="12"/>
  <c r="BL4" i="15" s="1"/>
  <c r="BM4" i="15" s="1"/>
  <c r="K538" i="12"/>
  <c r="BL72" i="15" s="1"/>
  <c r="BM72" i="15" s="1"/>
  <c r="K539" i="12"/>
  <c r="BL60" i="15" s="1"/>
  <c r="BM60" i="15" s="1"/>
  <c r="K540" i="12"/>
  <c r="BL10" i="15" s="1"/>
  <c r="BM10" i="15" s="1"/>
  <c r="K541" i="12"/>
  <c r="BL58" i="15" s="1"/>
  <c r="BM58" i="15" s="1"/>
  <c r="K542" i="12"/>
  <c r="BL56" i="15" s="1"/>
  <c r="BM56" i="15" s="1"/>
  <c r="K543" i="12"/>
  <c r="BL62" i="15" s="1"/>
  <c r="BM62" i="15" s="1"/>
  <c r="K544" i="12"/>
  <c r="BL40" i="15" s="1"/>
  <c r="BM40" i="15" s="1"/>
  <c r="K545" i="12"/>
  <c r="K546" i="12"/>
  <c r="BL38" i="15" s="1"/>
  <c r="BM38" i="15" s="1"/>
  <c r="K547" i="12"/>
  <c r="BL50" i="15" s="1"/>
  <c r="BM50" i="15" s="1"/>
  <c r="K548" i="12"/>
  <c r="BL3" i="15" s="1"/>
  <c r="BM3" i="15" s="1"/>
  <c r="K549" i="12"/>
  <c r="BL11" i="15" s="1"/>
  <c r="BM11" i="15" s="1"/>
  <c r="K509" i="12"/>
  <c r="K290" i="12"/>
  <c r="AT9" i="15" s="1"/>
  <c r="AU9" i="15" s="1"/>
  <c r="K291" i="12"/>
  <c r="AT41" i="15" s="1"/>
  <c r="AU41" i="15" s="1"/>
  <c r="K292" i="12"/>
  <c r="AT13" i="15" s="1"/>
  <c r="AU13" i="15" s="1"/>
  <c r="K293" i="12"/>
  <c r="AT59" i="15" s="1"/>
  <c r="AU59" i="15" s="1"/>
  <c r="K294" i="12"/>
  <c r="AT73" i="15" s="1"/>
  <c r="AU73" i="15" s="1"/>
  <c r="K295" i="12"/>
  <c r="AT79" i="15" s="1"/>
  <c r="AU79" i="15" s="1"/>
  <c r="K296" i="12"/>
  <c r="AT63" i="15" s="1"/>
  <c r="AU63" i="15" s="1"/>
  <c r="K297" i="12"/>
  <c r="AT7" i="15" s="1"/>
  <c r="AU7" i="15" s="1"/>
  <c r="K298" i="12"/>
  <c r="AT8" i="15" s="1"/>
  <c r="AU8" i="15" s="1"/>
  <c r="K299" i="12"/>
  <c r="AT61" i="15" s="1"/>
  <c r="AU61" i="15" s="1"/>
  <c r="K300" i="12"/>
  <c r="AT64" i="15" s="1"/>
  <c r="AU64" i="15" s="1"/>
  <c r="K301" i="12"/>
  <c r="AT57" i="15" s="1"/>
  <c r="AU57" i="15" s="1"/>
  <c r="K302" i="12"/>
  <c r="AT74" i="15" s="1"/>
  <c r="AU74" i="15" s="1"/>
  <c r="K303" i="12"/>
  <c r="AT43" i="15" s="1"/>
  <c r="AU43" i="15" s="1"/>
  <c r="K304" i="12"/>
  <c r="AT21" i="15" s="1"/>
  <c r="AU21" i="15" s="1"/>
  <c r="K305" i="12"/>
  <c r="AT14" i="15" s="1"/>
  <c r="AU14" i="15" s="1"/>
  <c r="K306" i="12"/>
  <c r="AT16" i="15" s="1"/>
  <c r="AU16" i="15" s="1"/>
  <c r="K307" i="12"/>
  <c r="AT17" i="15" s="1"/>
  <c r="AU17" i="15" s="1"/>
  <c r="K308" i="12"/>
  <c r="AT19" i="15" s="1"/>
  <c r="AU19" i="15" s="1"/>
  <c r="K309" i="12"/>
  <c r="AT20" i="15" s="1"/>
  <c r="AU20" i="15" s="1"/>
  <c r="K310" i="12"/>
  <c r="AT27" i="15" s="1"/>
  <c r="AU27" i="15" s="1"/>
  <c r="K311" i="12"/>
  <c r="AT30" i="15" s="1"/>
  <c r="AU30" i="15" s="1"/>
  <c r="K312" i="12"/>
  <c r="AT31" i="15" s="1"/>
  <c r="AU31" i="15" s="1"/>
  <c r="K313" i="12"/>
  <c r="AT33" i="15" s="1"/>
  <c r="AU33" i="15" s="1"/>
  <c r="K314" i="12"/>
  <c r="AT35" i="15" s="1"/>
  <c r="AU35" i="15" s="1"/>
  <c r="K315" i="12"/>
  <c r="AT55" i="15" s="1"/>
  <c r="AU55" i="15" s="1"/>
  <c r="K316" i="12"/>
  <c r="AT47" i="15" s="1"/>
  <c r="AU47" i="15" s="1"/>
  <c r="K317" i="12"/>
  <c r="AT22" i="15" s="1"/>
  <c r="AU22" i="15" s="1"/>
  <c r="K318" i="12"/>
  <c r="AT58" i="15" s="1"/>
  <c r="AU58" i="15" s="1"/>
  <c r="K319" i="12"/>
  <c r="AT69" i="15" s="1"/>
  <c r="AU69" i="15" s="1"/>
  <c r="K320" i="12"/>
  <c r="AT75" i="15" s="1"/>
  <c r="AU75" i="15" s="1"/>
  <c r="K321" i="12"/>
  <c r="AT80" i="15" s="1"/>
  <c r="AU80" i="15" s="1"/>
  <c r="S46" i="15" l="1"/>
  <c r="T46" i="15" s="1"/>
  <c r="S41" i="15"/>
  <c r="T41" i="15" s="1"/>
  <c r="BC70" i="15"/>
  <c r="BD70" i="15" s="1"/>
  <c r="BI58" i="15"/>
  <c r="BJ58" i="15" s="1"/>
  <c r="BL27" i="15"/>
  <c r="BM27" i="15" s="1"/>
  <c r="BC61" i="15"/>
  <c r="BD61" i="15" s="1"/>
  <c r="AW33" i="15"/>
  <c r="AX33" i="15" s="1"/>
  <c r="BL46" i="15"/>
  <c r="BM46" i="15" s="1"/>
  <c r="AW30" i="15"/>
  <c r="AX30" i="15" s="1"/>
  <c r="S70" i="15"/>
  <c r="T70" i="15" s="1"/>
  <c r="S45" i="15"/>
  <c r="T45" i="15" s="1"/>
  <c r="AW27" i="15"/>
  <c r="AX27" i="15" s="1"/>
  <c r="S59" i="15"/>
  <c r="T59" i="15" s="1"/>
  <c r="AW35" i="15"/>
  <c r="AX35" i="15" s="1"/>
  <c r="C509" i="12"/>
  <c r="D509" i="12"/>
  <c r="F509" i="12"/>
  <c r="G509" i="12"/>
  <c r="H509" i="12"/>
  <c r="C549" i="12"/>
  <c r="D549" i="12"/>
  <c r="F549" i="12"/>
  <c r="G549" i="12"/>
  <c r="H549" i="12"/>
  <c r="C486" i="12"/>
  <c r="D486" i="12"/>
  <c r="F486" i="12"/>
  <c r="G486" i="12"/>
  <c r="H486" i="12"/>
  <c r="C419" i="12"/>
  <c r="D419" i="12"/>
  <c r="F419" i="12"/>
  <c r="G419" i="12"/>
  <c r="H419" i="12"/>
  <c r="C281" i="12"/>
  <c r="D281" i="12"/>
  <c r="F281" i="12"/>
  <c r="G281" i="12"/>
  <c r="H281" i="12"/>
  <c r="C74" i="12"/>
  <c r="D74" i="12"/>
  <c r="F74" i="12"/>
  <c r="G74" i="12"/>
  <c r="H74" i="12"/>
  <c r="C138" i="12"/>
  <c r="D138" i="12"/>
  <c r="F138" i="12"/>
  <c r="G138" i="12"/>
  <c r="H138" i="12"/>
  <c r="C132" i="12"/>
  <c r="D132" i="12"/>
  <c r="F132" i="12"/>
  <c r="G132" i="12"/>
  <c r="H132" i="12"/>
  <c r="C148" i="12"/>
  <c r="D148" i="12"/>
  <c r="F148" i="12"/>
  <c r="G148" i="12"/>
  <c r="H148" i="12"/>
  <c r="C154" i="12"/>
  <c r="D154" i="12"/>
  <c r="F154" i="12"/>
  <c r="G154" i="12"/>
  <c r="H154" i="12"/>
  <c r="C550" i="12" l="1"/>
  <c r="D550" i="12"/>
  <c r="F550" i="12"/>
  <c r="G550" i="12"/>
  <c r="H550" i="12"/>
  <c r="C283" i="12" l="1"/>
  <c r="D283" i="12"/>
  <c r="F283" i="12"/>
  <c r="G283" i="12"/>
  <c r="H283" i="12"/>
  <c r="C418" i="12"/>
  <c r="D418" i="12"/>
  <c r="F418" i="12"/>
  <c r="G418" i="12"/>
  <c r="H418" i="12"/>
  <c r="C5" i="12"/>
  <c r="D5" i="12"/>
  <c r="F5" i="12"/>
  <c r="G5" i="12"/>
  <c r="H5" i="12"/>
  <c r="C417" i="12"/>
  <c r="D417" i="12"/>
  <c r="F417" i="12"/>
  <c r="G417" i="12"/>
  <c r="H417" i="12"/>
  <c r="F543" i="12"/>
  <c r="C282" i="12"/>
  <c r="C287" i="12"/>
  <c r="C357" i="12"/>
  <c r="C369" i="12"/>
  <c r="C406" i="12"/>
  <c r="C453" i="12"/>
  <c r="C503" i="12"/>
  <c r="C536" i="12"/>
  <c r="C552" i="12"/>
  <c r="C69" i="12"/>
  <c r="C108" i="12"/>
  <c r="C112" i="12"/>
  <c r="C181" i="12"/>
  <c r="C224" i="12"/>
  <c r="C275" i="12"/>
  <c r="C358" i="12"/>
  <c r="C407" i="12"/>
  <c r="C454" i="12"/>
  <c r="C484" i="12"/>
  <c r="C537" i="12"/>
  <c r="C35" i="12"/>
  <c r="C158" i="12"/>
  <c r="C225" i="12"/>
  <c r="C276" i="12"/>
  <c r="C408" i="12"/>
  <c r="C455" i="12"/>
  <c r="C504" i="12"/>
  <c r="C538" i="12"/>
  <c r="C70" i="12"/>
  <c r="C149" i="12"/>
  <c r="C206" i="12"/>
  <c r="C226" i="12"/>
  <c r="C277" i="12"/>
  <c r="C409" i="12"/>
  <c r="C456" i="12"/>
  <c r="C505" i="12"/>
  <c r="C539" i="12"/>
  <c r="C71" i="12"/>
  <c r="C75" i="12"/>
  <c r="C109" i="12"/>
  <c r="C116" i="12"/>
  <c r="C199" i="12"/>
  <c r="C227" i="12"/>
  <c r="C278" i="12"/>
  <c r="C288" i="12"/>
  <c r="C370" i="12"/>
  <c r="C410" i="12"/>
  <c r="C457" i="12"/>
  <c r="C506" i="12"/>
  <c r="C540" i="12"/>
  <c r="C553" i="12"/>
  <c r="C27" i="12"/>
  <c r="C72" i="12"/>
  <c r="C76" i="12"/>
  <c r="C79" i="12"/>
  <c r="C110" i="12"/>
  <c r="C145" i="12"/>
  <c r="C200" i="12"/>
  <c r="C201" i="12"/>
  <c r="C207" i="12"/>
  <c r="C242" i="12"/>
  <c r="C279" i="12"/>
  <c r="C289" i="12"/>
  <c r="C318" i="12"/>
  <c r="C371" i="12"/>
  <c r="C411" i="12"/>
  <c r="C458" i="12"/>
  <c r="C507" i="12"/>
  <c r="C541" i="12"/>
  <c r="C554" i="12"/>
  <c r="C143" i="12"/>
  <c r="C412" i="12"/>
  <c r="C542" i="12"/>
  <c r="C560" i="12"/>
  <c r="C208" i="12"/>
  <c r="C372" i="12"/>
  <c r="C209" i="12"/>
  <c r="C280" i="12"/>
  <c r="C15" i="12"/>
  <c r="C413" i="12"/>
  <c r="C543" i="12"/>
  <c r="C544" i="12"/>
  <c r="C73" i="12"/>
  <c r="C139" i="12"/>
  <c r="C545" i="12"/>
  <c r="C319" i="12"/>
  <c r="C320" i="12"/>
  <c r="C321" i="12"/>
  <c r="C561" i="12"/>
  <c r="C546" i="12"/>
  <c r="C24" i="12"/>
  <c r="C414" i="12"/>
  <c r="C547" i="12"/>
  <c r="C3" i="12"/>
  <c r="C415" i="12"/>
  <c r="C548" i="12"/>
  <c r="C25" i="12"/>
  <c r="C416" i="12"/>
  <c r="C359" i="12"/>
  <c r="D282" i="12"/>
  <c r="D287" i="12"/>
  <c r="D357" i="12"/>
  <c r="D369" i="12"/>
  <c r="D406" i="12"/>
  <c r="D453" i="12"/>
  <c r="D503" i="12"/>
  <c r="D536" i="12"/>
  <c r="D552" i="12"/>
  <c r="D69" i="12"/>
  <c r="D108" i="12"/>
  <c r="D112" i="12"/>
  <c r="D181" i="12"/>
  <c r="D224" i="12"/>
  <c r="D275" i="12"/>
  <c r="D358" i="12"/>
  <c r="D407" i="12"/>
  <c r="D454" i="12"/>
  <c r="D484" i="12"/>
  <c r="D537" i="12"/>
  <c r="D35" i="12"/>
  <c r="D158" i="12"/>
  <c r="D225" i="12"/>
  <c r="D276" i="12"/>
  <c r="D408" i="12"/>
  <c r="D455" i="12"/>
  <c r="D504" i="12"/>
  <c r="D538" i="12"/>
  <c r="D70" i="12"/>
  <c r="D149" i="12"/>
  <c r="D206" i="12"/>
  <c r="D226" i="12"/>
  <c r="D277" i="12"/>
  <c r="D409" i="12"/>
  <c r="D456" i="12"/>
  <c r="D505" i="12"/>
  <c r="D539" i="12"/>
  <c r="D71" i="12"/>
  <c r="D75" i="12"/>
  <c r="D109" i="12"/>
  <c r="D116" i="12"/>
  <c r="D199" i="12"/>
  <c r="D227" i="12"/>
  <c r="D278" i="12"/>
  <c r="D288" i="12"/>
  <c r="D370" i="12"/>
  <c r="D410" i="12"/>
  <c r="D457" i="12"/>
  <c r="D506" i="12"/>
  <c r="D540" i="12"/>
  <c r="D553" i="12"/>
  <c r="D27" i="12"/>
  <c r="D72" i="12"/>
  <c r="D76" i="12"/>
  <c r="D79" i="12"/>
  <c r="D110" i="12"/>
  <c r="D145" i="12"/>
  <c r="D200" i="12"/>
  <c r="D201" i="12"/>
  <c r="D207" i="12"/>
  <c r="D242" i="12"/>
  <c r="D279" i="12"/>
  <c r="D289" i="12"/>
  <c r="D318" i="12"/>
  <c r="D371" i="12"/>
  <c r="D411" i="12"/>
  <c r="D458" i="12"/>
  <c r="D507" i="12"/>
  <c r="D541" i="12"/>
  <c r="D554" i="12"/>
  <c r="D143" i="12"/>
  <c r="D412" i="12"/>
  <c r="D542" i="12"/>
  <c r="D560" i="12"/>
  <c r="D208" i="12"/>
  <c r="D372" i="12"/>
  <c r="D209" i="12"/>
  <c r="D280" i="12"/>
  <c r="D15" i="12"/>
  <c r="D413" i="12"/>
  <c r="D543" i="12"/>
  <c r="D544" i="12"/>
  <c r="D73" i="12"/>
  <c r="D139" i="12"/>
  <c r="D545" i="12"/>
  <c r="D319" i="12"/>
  <c r="D320" i="12"/>
  <c r="D321" i="12"/>
  <c r="D561" i="12"/>
  <c r="D546" i="12"/>
  <c r="D24" i="12"/>
  <c r="D414" i="12"/>
  <c r="D547" i="12"/>
  <c r="D3" i="12"/>
  <c r="D415" i="12"/>
  <c r="D548" i="12"/>
  <c r="D25" i="12"/>
  <c r="D416" i="12"/>
  <c r="D359" i="12"/>
  <c r="F282" i="12"/>
  <c r="F287" i="12"/>
  <c r="F357" i="12"/>
  <c r="F369" i="12"/>
  <c r="F406" i="12"/>
  <c r="F453" i="12"/>
  <c r="F503" i="12"/>
  <c r="F536" i="12"/>
  <c r="F552" i="12"/>
  <c r="F69" i="12"/>
  <c r="F108" i="12"/>
  <c r="F112" i="12"/>
  <c r="F181" i="12"/>
  <c r="F224" i="12"/>
  <c r="F275" i="12"/>
  <c r="F358" i="12"/>
  <c r="F407" i="12"/>
  <c r="F454" i="12"/>
  <c r="F484" i="12"/>
  <c r="F537" i="12"/>
  <c r="F35" i="12"/>
  <c r="F158" i="12"/>
  <c r="F225" i="12"/>
  <c r="F276" i="12"/>
  <c r="F408" i="12"/>
  <c r="F455" i="12"/>
  <c r="F504" i="12"/>
  <c r="F538" i="12"/>
  <c r="F70" i="12"/>
  <c r="F149" i="12"/>
  <c r="F206" i="12"/>
  <c r="F226" i="12"/>
  <c r="F277" i="12"/>
  <c r="F409" i="12"/>
  <c r="F456" i="12"/>
  <c r="F505" i="12"/>
  <c r="F539" i="12"/>
  <c r="F71" i="12"/>
  <c r="F75" i="12"/>
  <c r="F109" i="12"/>
  <c r="F116" i="12"/>
  <c r="F199" i="12"/>
  <c r="F227" i="12"/>
  <c r="F278" i="12"/>
  <c r="F288" i="12"/>
  <c r="F370" i="12"/>
  <c r="F410" i="12"/>
  <c r="F457" i="12"/>
  <c r="F506" i="12"/>
  <c r="F540" i="12"/>
  <c r="F553" i="12"/>
  <c r="F27" i="12"/>
  <c r="F72" i="12"/>
  <c r="F76" i="12"/>
  <c r="F79" i="12"/>
  <c r="F110" i="12"/>
  <c r="F145" i="12"/>
  <c r="F200" i="12"/>
  <c r="F201" i="12"/>
  <c r="F207" i="12"/>
  <c r="F242" i="12"/>
  <c r="F279" i="12"/>
  <c r="F289" i="12"/>
  <c r="F318" i="12"/>
  <c r="F371" i="12"/>
  <c r="F411" i="12"/>
  <c r="F458" i="12"/>
  <c r="F507" i="12"/>
  <c r="F541" i="12"/>
  <c r="F554" i="12"/>
  <c r="F143" i="12"/>
  <c r="F412" i="12"/>
  <c r="F542" i="12"/>
  <c r="F560" i="12"/>
  <c r="F208" i="12"/>
  <c r="F372" i="12"/>
  <c r="F209" i="12"/>
  <c r="F280" i="12"/>
  <c r="F15" i="12"/>
  <c r="F413" i="12"/>
  <c r="F544" i="12"/>
  <c r="F73" i="12"/>
  <c r="F139" i="12"/>
  <c r="F545" i="12"/>
  <c r="F319" i="12"/>
  <c r="F320" i="12"/>
  <c r="F321" i="12"/>
  <c r="F561" i="12"/>
  <c r="F546" i="12"/>
  <c r="F24" i="12"/>
  <c r="F414" i="12"/>
  <c r="F547" i="12"/>
  <c r="F3" i="12"/>
  <c r="F415" i="12"/>
  <c r="F548" i="12"/>
  <c r="F25" i="12"/>
  <c r="F416" i="12"/>
  <c r="F359" i="12"/>
  <c r="G282" i="12"/>
  <c r="G287" i="12"/>
  <c r="G357" i="12"/>
  <c r="G369" i="12"/>
  <c r="G406" i="12"/>
  <c r="G453" i="12"/>
  <c r="G503" i="12"/>
  <c r="G536" i="12"/>
  <c r="G552" i="12"/>
  <c r="G69" i="12"/>
  <c r="G108" i="12"/>
  <c r="G112" i="12"/>
  <c r="G181" i="12"/>
  <c r="G224" i="12"/>
  <c r="G275" i="12"/>
  <c r="G358" i="12"/>
  <c r="G407" i="12"/>
  <c r="G454" i="12"/>
  <c r="G484" i="12"/>
  <c r="G537" i="12"/>
  <c r="G35" i="12"/>
  <c r="G158" i="12"/>
  <c r="G225" i="12"/>
  <c r="G276" i="12"/>
  <c r="G408" i="12"/>
  <c r="G455" i="12"/>
  <c r="G504" i="12"/>
  <c r="G538" i="12"/>
  <c r="G70" i="12"/>
  <c r="G149" i="12"/>
  <c r="G206" i="12"/>
  <c r="G226" i="12"/>
  <c r="G277" i="12"/>
  <c r="G409" i="12"/>
  <c r="G456" i="12"/>
  <c r="G505" i="12"/>
  <c r="G539" i="12"/>
  <c r="G71" i="12"/>
  <c r="G75" i="12"/>
  <c r="G109" i="12"/>
  <c r="G116" i="12"/>
  <c r="G199" i="12"/>
  <c r="G227" i="12"/>
  <c r="G278" i="12"/>
  <c r="G288" i="12"/>
  <c r="G370" i="12"/>
  <c r="G410" i="12"/>
  <c r="G457" i="12"/>
  <c r="G506" i="12"/>
  <c r="G540" i="12"/>
  <c r="G553" i="12"/>
  <c r="G27" i="12"/>
  <c r="G72" i="12"/>
  <c r="G76" i="12"/>
  <c r="G79" i="12"/>
  <c r="G110" i="12"/>
  <c r="G145" i="12"/>
  <c r="G200" i="12"/>
  <c r="G201" i="12"/>
  <c r="G207" i="12"/>
  <c r="G242" i="12"/>
  <c r="G279" i="12"/>
  <c r="G289" i="12"/>
  <c r="G318" i="12"/>
  <c r="G371" i="12"/>
  <c r="G411" i="12"/>
  <c r="G458" i="12"/>
  <c r="G507" i="12"/>
  <c r="G541" i="12"/>
  <c r="G554" i="12"/>
  <c r="G143" i="12"/>
  <c r="G412" i="12"/>
  <c r="G542" i="12"/>
  <c r="G560" i="12"/>
  <c r="G208" i="12"/>
  <c r="G372" i="12"/>
  <c r="G209" i="12"/>
  <c r="G280" i="12"/>
  <c r="G15" i="12"/>
  <c r="G413" i="12"/>
  <c r="G543" i="12"/>
  <c r="G544" i="12"/>
  <c r="G73" i="12"/>
  <c r="G139" i="12"/>
  <c r="G545" i="12"/>
  <c r="G319" i="12"/>
  <c r="G320" i="12"/>
  <c r="G321" i="12"/>
  <c r="G561" i="12"/>
  <c r="G546" i="12"/>
  <c r="G24" i="12"/>
  <c r="G414" i="12"/>
  <c r="G547" i="12"/>
  <c r="G3" i="12"/>
  <c r="G415" i="12"/>
  <c r="G548" i="12"/>
  <c r="G25" i="12"/>
  <c r="G416" i="12"/>
  <c r="G359" i="12"/>
  <c r="H282" i="12"/>
  <c r="H287" i="12"/>
  <c r="H357" i="12"/>
  <c r="H369" i="12"/>
  <c r="H406" i="12"/>
  <c r="H453" i="12"/>
  <c r="H503" i="12"/>
  <c r="H536" i="12"/>
  <c r="H552" i="12"/>
  <c r="H69" i="12"/>
  <c r="H108" i="12"/>
  <c r="H112" i="12"/>
  <c r="H181" i="12"/>
  <c r="H224" i="12"/>
  <c r="H275" i="12"/>
  <c r="H358" i="12"/>
  <c r="H407" i="12"/>
  <c r="H454" i="12"/>
  <c r="H484" i="12"/>
  <c r="H537" i="12"/>
  <c r="H35" i="12"/>
  <c r="H158" i="12"/>
  <c r="H225" i="12"/>
  <c r="H276" i="12"/>
  <c r="H408" i="12"/>
  <c r="H455" i="12"/>
  <c r="H504" i="12"/>
  <c r="H538" i="12"/>
  <c r="H70" i="12"/>
  <c r="H149" i="12"/>
  <c r="H206" i="12"/>
  <c r="H226" i="12"/>
  <c r="H277" i="12"/>
  <c r="H409" i="12"/>
  <c r="H456" i="12"/>
  <c r="H505" i="12"/>
  <c r="H539" i="12"/>
  <c r="H71" i="12"/>
  <c r="H75" i="12"/>
  <c r="H109" i="12"/>
  <c r="H116" i="12"/>
  <c r="H199" i="12"/>
  <c r="H227" i="12"/>
  <c r="H278" i="12"/>
  <c r="H288" i="12"/>
  <c r="H370" i="12"/>
  <c r="H410" i="12"/>
  <c r="H457" i="12"/>
  <c r="H506" i="12"/>
  <c r="H540" i="12"/>
  <c r="H553" i="12"/>
  <c r="H27" i="12"/>
  <c r="H72" i="12"/>
  <c r="H76" i="12"/>
  <c r="H79" i="12"/>
  <c r="H110" i="12"/>
  <c r="H145" i="12"/>
  <c r="H200" i="12"/>
  <c r="H201" i="12"/>
  <c r="H207" i="12"/>
  <c r="H242" i="12"/>
  <c r="H279" i="12"/>
  <c r="H289" i="12"/>
  <c r="H318" i="12"/>
  <c r="H371" i="12"/>
  <c r="H411" i="12"/>
  <c r="H458" i="12"/>
  <c r="H507" i="12"/>
  <c r="H541" i="12"/>
  <c r="H554" i="12"/>
  <c r="H143" i="12"/>
  <c r="H412" i="12"/>
  <c r="H542" i="12"/>
  <c r="H560" i="12"/>
  <c r="H208" i="12"/>
  <c r="H372" i="12"/>
  <c r="H209" i="12"/>
  <c r="H280" i="12"/>
  <c r="H15" i="12"/>
  <c r="H413" i="12"/>
  <c r="H543" i="12"/>
  <c r="H544" i="12"/>
  <c r="H73" i="12"/>
  <c r="H139" i="12"/>
  <c r="H545" i="12"/>
  <c r="H319" i="12"/>
  <c r="H320" i="12"/>
  <c r="H321" i="12"/>
  <c r="H561" i="12"/>
  <c r="H546" i="12"/>
  <c r="H24" i="12"/>
  <c r="H414" i="12"/>
  <c r="H547" i="12"/>
  <c r="H3" i="12"/>
  <c r="H415" i="12"/>
  <c r="H548" i="12"/>
  <c r="H25" i="12"/>
  <c r="H416" i="12"/>
  <c r="H359" i="12"/>
  <c r="C174" i="12"/>
  <c r="C203" i="12"/>
  <c r="C234" i="12"/>
  <c r="C258" i="12"/>
  <c r="C300" i="12"/>
  <c r="C333" i="12"/>
  <c r="C363" i="12"/>
  <c r="C386" i="12"/>
  <c r="C435" i="12"/>
  <c r="C495" i="12"/>
  <c r="C521" i="12"/>
  <c r="C26" i="12"/>
  <c r="C52" i="12"/>
  <c r="C77" i="12"/>
  <c r="C92" i="12"/>
  <c r="C144" i="12"/>
  <c r="C175" i="12"/>
  <c r="C228" i="12"/>
  <c r="C259" i="12"/>
  <c r="C301" i="12"/>
  <c r="C334" i="12"/>
  <c r="C364" i="12"/>
  <c r="C387" i="12"/>
  <c r="C436" i="12"/>
  <c r="C468" i="12"/>
  <c r="C522" i="12"/>
  <c r="C38" i="12"/>
  <c r="C53" i="12"/>
  <c r="C93" i="12"/>
  <c r="C559" i="12"/>
  <c r="C187" i="12"/>
  <c r="C235" i="12"/>
  <c r="C260" i="12"/>
  <c r="C302" i="12"/>
  <c r="C335" i="12"/>
  <c r="C388" i="12"/>
  <c r="C439" i="12"/>
  <c r="C496" i="12"/>
  <c r="C523" i="12"/>
  <c r="C21" i="12"/>
  <c r="C54" i="12"/>
  <c r="C94" i="12"/>
  <c r="C134" i="12"/>
  <c r="C188" i="12"/>
  <c r="C216" i="12"/>
  <c r="C261" i="12"/>
  <c r="C303" i="12"/>
  <c r="C336" i="12"/>
  <c r="C389" i="12"/>
  <c r="C497" i="12"/>
  <c r="C524" i="12"/>
  <c r="C78" i="12"/>
  <c r="C390" i="12"/>
  <c r="C125" i="12"/>
  <c r="C391" i="12"/>
  <c r="C123" i="12"/>
  <c r="C304" i="12"/>
  <c r="C392" i="12"/>
  <c r="C10" i="12"/>
  <c r="C55" i="12"/>
  <c r="C95" i="12"/>
  <c r="C118" i="12"/>
  <c r="C189" i="12"/>
  <c r="C236" i="12"/>
  <c r="C262" i="12"/>
  <c r="C305" i="12"/>
  <c r="C337" i="12"/>
  <c r="C365" i="12"/>
  <c r="C393" i="12"/>
  <c r="C440" i="12"/>
  <c r="C470" i="12"/>
  <c r="C525" i="12"/>
  <c r="C366" i="12"/>
  <c r="C11" i="12"/>
  <c r="C56" i="12"/>
  <c r="C96" i="12"/>
  <c r="C119" i="12"/>
  <c r="C190" i="12"/>
  <c r="C237" i="12"/>
  <c r="C263" i="12"/>
  <c r="C306" i="12"/>
  <c r="C338" i="12"/>
  <c r="C394" i="12"/>
  <c r="C441" i="12"/>
  <c r="C472" i="12"/>
  <c r="C526" i="12"/>
  <c r="C307" i="12"/>
  <c r="C395" i="12"/>
  <c r="C12" i="12"/>
  <c r="C57" i="12"/>
  <c r="C97" i="12"/>
  <c r="C121" i="12"/>
  <c r="C191" i="12"/>
  <c r="C238" i="12"/>
  <c r="C264" i="12"/>
  <c r="C308" i="12"/>
  <c r="C339" i="12"/>
  <c r="C396" i="12"/>
  <c r="C442" i="12"/>
  <c r="C498" i="12"/>
  <c r="C527" i="12"/>
  <c r="C13" i="12"/>
  <c r="C58" i="12"/>
  <c r="C98" i="12"/>
  <c r="C122" i="12"/>
  <c r="C192" i="12"/>
  <c r="C239" i="12"/>
  <c r="C265" i="12"/>
  <c r="C309" i="12"/>
  <c r="C340" i="12"/>
  <c r="C397" i="12"/>
  <c r="C443" i="12"/>
  <c r="C499" i="12"/>
  <c r="C528" i="12"/>
  <c r="C16" i="12"/>
  <c r="C59" i="12"/>
  <c r="C99" i="12"/>
  <c r="C126" i="12"/>
  <c r="C193" i="12"/>
  <c r="C217" i="12"/>
  <c r="C266" i="12"/>
  <c r="C310" i="12"/>
  <c r="C398" i="12"/>
  <c r="C444" i="12"/>
  <c r="C474" i="12"/>
  <c r="C529" i="12"/>
  <c r="C367" i="12"/>
  <c r="C368" i="12"/>
  <c r="C17" i="12"/>
  <c r="C60" i="12"/>
  <c r="C100" i="12"/>
  <c r="C127" i="12"/>
  <c r="C194" i="12"/>
  <c r="C218" i="12"/>
  <c r="C267" i="12"/>
  <c r="C311" i="12"/>
  <c r="C399" i="12"/>
  <c r="C447" i="12"/>
  <c r="C476" i="12"/>
  <c r="C530" i="12"/>
  <c r="C312" i="12"/>
  <c r="C18" i="12"/>
  <c r="C61" i="12"/>
  <c r="C101" i="12"/>
  <c r="C128" i="12"/>
  <c r="C195" i="12"/>
  <c r="C219" i="12"/>
  <c r="C268" i="12"/>
  <c r="C313" i="12"/>
  <c r="C400" i="12"/>
  <c r="C448" i="12"/>
  <c r="C500" i="12"/>
  <c r="C531" i="12"/>
  <c r="C19" i="12"/>
  <c r="C62" i="12"/>
  <c r="C102" i="12"/>
  <c r="C129" i="12"/>
  <c r="C196" i="12"/>
  <c r="C220" i="12"/>
  <c r="C269" i="12"/>
  <c r="C314" i="12"/>
  <c r="C401" i="12"/>
  <c r="C449" i="12"/>
  <c r="C501" i="12"/>
  <c r="C341" i="12"/>
  <c r="C342" i="12"/>
  <c r="C343" i="12"/>
  <c r="C344" i="12"/>
  <c r="C345" i="12"/>
  <c r="C346" i="12"/>
  <c r="C347" i="12"/>
  <c r="C348" i="12"/>
  <c r="C349" i="12"/>
  <c r="C350" i="12"/>
  <c r="C351" i="12"/>
  <c r="C352" i="12"/>
  <c r="C63" i="12"/>
  <c r="C204" i="12"/>
  <c r="C315" i="12"/>
  <c r="C23" i="12"/>
  <c r="C64" i="12"/>
  <c r="C103" i="12"/>
  <c r="C140" i="12"/>
  <c r="C197" i="12"/>
  <c r="C240" i="12"/>
  <c r="C270" i="12"/>
  <c r="C316" i="12"/>
  <c r="C353" i="12"/>
  <c r="C402" i="12"/>
  <c r="C450" i="12"/>
  <c r="C478" i="12"/>
  <c r="C532" i="12"/>
  <c r="C14" i="12"/>
  <c r="C65" i="12"/>
  <c r="C104" i="12"/>
  <c r="C124" i="12"/>
  <c r="C177" i="12"/>
  <c r="C221" i="12"/>
  <c r="C271" i="12"/>
  <c r="C317" i="12"/>
  <c r="C354" i="12"/>
  <c r="C403" i="12"/>
  <c r="C533" i="12"/>
  <c r="C32" i="12"/>
  <c r="C66" i="12"/>
  <c r="C105" i="12"/>
  <c r="C153" i="12"/>
  <c r="C198" i="12"/>
  <c r="C241" i="12"/>
  <c r="C272" i="12"/>
  <c r="C355" i="12"/>
  <c r="C404" i="12"/>
  <c r="C482" i="12"/>
  <c r="C534" i="12"/>
  <c r="C424" i="12"/>
  <c r="C34" i="12"/>
  <c r="C67" i="12"/>
  <c r="C106" i="12"/>
  <c r="C157" i="12"/>
  <c r="C179" i="12"/>
  <c r="C205" i="12"/>
  <c r="C222" i="12"/>
  <c r="C273" i="12"/>
  <c r="C286" i="12"/>
  <c r="C356" i="12"/>
  <c r="C405" i="12"/>
  <c r="C451" i="12"/>
  <c r="C502" i="12"/>
  <c r="C535" i="12"/>
  <c r="C68" i="12"/>
  <c r="C107" i="12"/>
  <c r="C798" i="12"/>
  <c r="C223" i="12"/>
  <c r="C274" i="12"/>
  <c r="D174" i="12"/>
  <c r="D203" i="12"/>
  <c r="D234" i="12"/>
  <c r="D258" i="12"/>
  <c r="D300" i="12"/>
  <c r="D333" i="12"/>
  <c r="D363" i="12"/>
  <c r="D386" i="12"/>
  <c r="D435" i="12"/>
  <c r="D495" i="12"/>
  <c r="D521" i="12"/>
  <c r="D26" i="12"/>
  <c r="D52" i="12"/>
  <c r="D77" i="12"/>
  <c r="D92" i="12"/>
  <c r="D144" i="12"/>
  <c r="D175" i="12"/>
  <c r="D228" i="12"/>
  <c r="D259" i="12"/>
  <c r="D301" i="12"/>
  <c r="D334" i="12"/>
  <c r="D364" i="12"/>
  <c r="D387" i="12"/>
  <c r="D436" i="12"/>
  <c r="D468" i="12"/>
  <c r="D522" i="12"/>
  <c r="D38" i="12"/>
  <c r="D53" i="12"/>
  <c r="D93" i="12"/>
  <c r="D559" i="12"/>
  <c r="D187" i="12"/>
  <c r="D235" i="12"/>
  <c r="D260" i="12"/>
  <c r="D302" i="12"/>
  <c r="D335" i="12"/>
  <c r="D388" i="12"/>
  <c r="D439" i="12"/>
  <c r="D496" i="12"/>
  <c r="D523" i="12"/>
  <c r="D21" i="12"/>
  <c r="D54" i="12"/>
  <c r="D94" i="12"/>
  <c r="D134" i="12"/>
  <c r="D188" i="12"/>
  <c r="D216" i="12"/>
  <c r="D261" i="12"/>
  <c r="D303" i="12"/>
  <c r="D336" i="12"/>
  <c r="D389" i="12"/>
  <c r="D497" i="12"/>
  <c r="D524" i="12"/>
  <c r="D78" i="12"/>
  <c r="D390" i="12"/>
  <c r="D125" i="12"/>
  <c r="D391" i="12"/>
  <c r="D123" i="12"/>
  <c r="D304" i="12"/>
  <c r="D392" i="12"/>
  <c r="D10" i="12"/>
  <c r="D55" i="12"/>
  <c r="D95" i="12"/>
  <c r="D118" i="12"/>
  <c r="D189" i="12"/>
  <c r="D236" i="12"/>
  <c r="D262" i="12"/>
  <c r="D305" i="12"/>
  <c r="D337" i="12"/>
  <c r="D365" i="12"/>
  <c r="D393" i="12"/>
  <c r="D440" i="12"/>
  <c r="D470" i="12"/>
  <c r="D525" i="12"/>
  <c r="D366" i="12"/>
  <c r="D11" i="12"/>
  <c r="D56" i="12"/>
  <c r="D96" i="12"/>
  <c r="D119" i="12"/>
  <c r="D190" i="12"/>
  <c r="D237" i="12"/>
  <c r="D263" i="12"/>
  <c r="D306" i="12"/>
  <c r="D338" i="12"/>
  <c r="D394" i="12"/>
  <c r="D441" i="12"/>
  <c r="D472" i="12"/>
  <c r="D526" i="12"/>
  <c r="D307" i="12"/>
  <c r="D395" i="12"/>
  <c r="D12" i="12"/>
  <c r="D57" i="12"/>
  <c r="D97" i="12"/>
  <c r="D121" i="12"/>
  <c r="D191" i="12"/>
  <c r="D238" i="12"/>
  <c r="D264" i="12"/>
  <c r="D308" i="12"/>
  <c r="D339" i="12"/>
  <c r="D396" i="12"/>
  <c r="D442" i="12"/>
  <c r="D498" i="12"/>
  <c r="D527" i="12"/>
  <c r="D13" i="12"/>
  <c r="D58" i="12"/>
  <c r="D98" i="12"/>
  <c r="D122" i="12"/>
  <c r="D192" i="12"/>
  <c r="D239" i="12"/>
  <c r="D265" i="12"/>
  <c r="D309" i="12"/>
  <c r="D340" i="12"/>
  <c r="D397" i="12"/>
  <c r="D443" i="12"/>
  <c r="D499" i="12"/>
  <c r="D528" i="12"/>
  <c r="D16" i="12"/>
  <c r="D59" i="12"/>
  <c r="D99" i="12"/>
  <c r="D126" i="12"/>
  <c r="D193" i="12"/>
  <c r="D217" i="12"/>
  <c r="D266" i="12"/>
  <c r="D310" i="12"/>
  <c r="D398" i="12"/>
  <c r="D444" i="12"/>
  <c r="D474" i="12"/>
  <c r="D529" i="12"/>
  <c r="D367" i="12"/>
  <c r="D368" i="12"/>
  <c r="D17" i="12"/>
  <c r="D60" i="12"/>
  <c r="D100" i="12"/>
  <c r="D127" i="12"/>
  <c r="D194" i="12"/>
  <c r="D218" i="12"/>
  <c r="D267" i="12"/>
  <c r="D311" i="12"/>
  <c r="D399" i="12"/>
  <c r="D447" i="12"/>
  <c r="D476" i="12"/>
  <c r="D530" i="12"/>
  <c r="D312" i="12"/>
  <c r="D18" i="12"/>
  <c r="D61" i="12"/>
  <c r="D101" i="12"/>
  <c r="D128" i="12"/>
  <c r="D195" i="12"/>
  <c r="D219" i="12"/>
  <c r="D268" i="12"/>
  <c r="D313" i="12"/>
  <c r="D400" i="12"/>
  <c r="D448" i="12"/>
  <c r="D500" i="12"/>
  <c r="D531" i="12"/>
  <c r="D19" i="12"/>
  <c r="D62" i="12"/>
  <c r="D102" i="12"/>
  <c r="D129" i="12"/>
  <c r="D196" i="12"/>
  <c r="D220" i="12"/>
  <c r="D269" i="12"/>
  <c r="D314" i="12"/>
  <c r="D401" i="12"/>
  <c r="D449" i="12"/>
  <c r="D501" i="12"/>
  <c r="D341" i="12"/>
  <c r="D342" i="12"/>
  <c r="D343" i="12"/>
  <c r="D344" i="12"/>
  <c r="D345" i="12"/>
  <c r="D346" i="12"/>
  <c r="D347" i="12"/>
  <c r="D348" i="12"/>
  <c r="D349" i="12"/>
  <c r="D350" i="12"/>
  <c r="D351" i="12"/>
  <c r="D352" i="12"/>
  <c r="D63" i="12"/>
  <c r="D204" i="12"/>
  <c r="D315" i="12"/>
  <c r="D23" i="12"/>
  <c r="D64" i="12"/>
  <c r="D103" i="12"/>
  <c r="D140" i="12"/>
  <c r="D197" i="12"/>
  <c r="D240" i="12"/>
  <c r="D270" i="12"/>
  <c r="D316" i="12"/>
  <c r="D353" i="12"/>
  <c r="D402" i="12"/>
  <c r="D450" i="12"/>
  <c r="D478" i="12"/>
  <c r="D532" i="12"/>
  <c r="D14" i="12"/>
  <c r="D65" i="12"/>
  <c r="D104" i="12"/>
  <c r="D124" i="12"/>
  <c r="D177" i="12"/>
  <c r="D221" i="12"/>
  <c r="D271" i="12"/>
  <c r="D317" i="12"/>
  <c r="D354" i="12"/>
  <c r="D403" i="12"/>
  <c r="D533" i="12"/>
  <c r="D32" i="12"/>
  <c r="D66" i="12"/>
  <c r="D105" i="12"/>
  <c r="D153" i="12"/>
  <c r="D198" i="12"/>
  <c r="D241" i="12"/>
  <c r="D272" i="12"/>
  <c r="D355" i="12"/>
  <c r="D404" i="12"/>
  <c r="D482" i="12"/>
  <c r="D534" i="12"/>
  <c r="D424" i="12"/>
  <c r="D34" i="12"/>
  <c r="D67" i="12"/>
  <c r="D106" i="12"/>
  <c r="D157" i="12"/>
  <c r="D179" i="12"/>
  <c r="D205" i="12"/>
  <c r="D222" i="12"/>
  <c r="D273" i="12"/>
  <c r="D286" i="12"/>
  <c r="D356" i="12"/>
  <c r="D405" i="12"/>
  <c r="D451" i="12"/>
  <c r="D502" i="12"/>
  <c r="D535" i="12"/>
  <c r="D68" i="12"/>
  <c r="D107" i="12"/>
  <c r="D798" i="12"/>
  <c r="D223" i="12"/>
  <c r="D274" i="12"/>
  <c r="F174" i="12"/>
  <c r="F203" i="12"/>
  <c r="F234" i="12"/>
  <c r="F258" i="12"/>
  <c r="F300" i="12"/>
  <c r="F333" i="12"/>
  <c r="F363" i="12"/>
  <c r="F386" i="12"/>
  <c r="F435" i="12"/>
  <c r="F495" i="12"/>
  <c r="F521" i="12"/>
  <c r="F26" i="12"/>
  <c r="F52" i="12"/>
  <c r="F77" i="12"/>
  <c r="F92" i="12"/>
  <c r="F144" i="12"/>
  <c r="F175" i="12"/>
  <c r="F228" i="12"/>
  <c r="F259" i="12"/>
  <c r="F301" i="12"/>
  <c r="F334" i="12"/>
  <c r="F364" i="12"/>
  <c r="F387" i="12"/>
  <c r="F436" i="12"/>
  <c r="F468" i="12"/>
  <c r="F522" i="12"/>
  <c r="F38" i="12"/>
  <c r="F53" i="12"/>
  <c r="F93" i="12"/>
  <c r="F559" i="12"/>
  <c r="F187" i="12"/>
  <c r="F235" i="12"/>
  <c r="F260" i="12"/>
  <c r="F302" i="12"/>
  <c r="F335" i="12"/>
  <c r="F388" i="12"/>
  <c r="F439" i="12"/>
  <c r="F496" i="12"/>
  <c r="F523" i="12"/>
  <c r="F21" i="12"/>
  <c r="F54" i="12"/>
  <c r="F94" i="12"/>
  <c r="F134" i="12"/>
  <c r="F188" i="12"/>
  <c r="F216" i="12"/>
  <c r="F261" i="12"/>
  <c r="F303" i="12"/>
  <c r="F336" i="12"/>
  <c r="F389" i="12"/>
  <c r="F497" i="12"/>
  <c r="F524" i="12"/>
  <c r="F78" i="12"/>
  <c r="F390" i="12"/>
  <c r="F125" i="12"/>
  <c r="F391" i="12"/>
  <c r="F123" i="12"/>
  <c r="F304" i="12"/>
  <c r="F392" i="12"/>
  <c r="F10" i="12"/>
  <c r="F55" i="12"/>
  <c r="F95" i="12"/>
  <c r="F118" i="12"/>
  <c r="F189" i="12"/>
  <c r="F236" i="12"/>
  <c r="F262" i="12"/>
  <c r="F305" i="12"/>
  <c r="F337" i="12"/>
  <c r="F365" i="12"/>
  <c r="F393" i="12"/>
  <c r="F440" i="12"/>
  <c r="F470" i="12"/>
  <c r="F525" i="12"/>
  <c r="F366" i="12"/>
  <c r="F11" i="12"/>
  <c r="F56" i="12"/>
  <c r="F96" i="12"/>
  <c r="F119" i="12"/>
  <c r="F190" i="12"/>
  <c r="F237" i="12"/>
  <c r="F263" i="12"/>
  <c r="F306" i="12"/>
  <c r="F338" i="12"/>
  <c r="F394" i="12"/>
  <c r="F441" i="12"/>
  <c r="F472" i="12"/>
  <c r="F526" i="12"/>
  <c r="F307" i="12"/>
  <c r="F395" i="12"/>
  <c r="F12" i="12"/>
  <c r="F57" i="12"/>
  <c r="F97" i="12"/>
  <c r="F121" i="12"/>
  <c r="F191" i="12"/>
  <c r="F238" i="12"/>
  <c r="F264" i="12"/>
  <c r="F308" i="12"/>
  <c r="F339" i="12"/>
  <c r="F396" i="12"/>
  <c r="F442" i="12"/>
  <c r="F498" i="12"/>
  <c r="F527" i="12"/>
  <c r="F13" i="12"/>
  <c r="F58" i="12"/>
  <c r="F98" i="12"/>
  <c r="F122" i="12"/>
  <c r="F192" i="12"/>
  <c r="F239" i="12"/>
  <c r="F265" i="12"/>
  <c r="F309" i="12"/>
  <c r="F340" i="12"/>
  <c r="F397" i="12"/>
  <c r="F443" i="12"/>
  <c r="F499" i="12"/>
  <c r="F528" i="12"/>
  <c r="F16" i="12"/>
  <c r="F59" i="12"/>
  <c r="F99" i="12"/>
  <c r="F126" i="12"/>
  <c r="F193" i="12"/>
  <c r="F217" i="12"/>
  <c r="F266" i="12"/>
  <c r="F310" i="12"/>
  <c r="F398" i="12"/>
  <c r="F444" i="12"/>
  <c r="F474" i="12"/>
  <c r="F529" i="12"/>
  <c r="F367" i="12"/>
  <c r="F368" i="12"/>
  <c r="F17" i="12"/>
  <c r="F60" i="12"/>
  <c r="F100" i="12"/>
  <c r="F127" i="12"/>
  <c r="F194" i="12"/>
  <c r="F218" i="12"/>
  <c r="F267" i="12"/>
  <c r="F311" i="12"/>
  <c r="F399" i="12"/>
  <c r="F447" i="12"/>
  <c r="F476" i="12"/>
  <c r="F530" i="12"/>
  <c r="F312" i="12"/>
  <c r="F18" i="12"/>
  <c r="F61" i="12"/>
  <c r="F101" i="12"/>
  <c r="F128" i="12"/>
  <c r="F195" i="12"/>
  <c r="F219" i="12"/>
  <c r="F268" i="12"/>
  <c r="F313" i="12"/>
  <c r="F400" i="12"/>
  <c r="F448" i="12"/>
  <c r="F500" i="12"/>
  <c r="F531" i="12"/>
  <c r="F19" i="12"/>
  <c r="F62" i="12"/>
  <c r="F102" i="12"/>
  <c r="F129" i="12"/>
  <c r="F196" i="12"/>
  <c r="F220" i="12"/>
  <c r="F269" i="12"/>
  <c r="F314" i="12"/>
  <c r="F401" i="12"/>
  <c r="F449" i="12"/>
  <c r="F501" i="12"/>
  <c r="F341" i="12"/>
  <c r="F342" i="12"/>
  <c r="F343" i="12"/>
  <c r="F344" i="12"/>
  <c r="F345" i="12"/>
  <c r="F346" i="12"/>
  <c r="F347" i="12"/>
  <c r="F348" i="12"/>
  <c r="F349" i="12"/>
  <c r="F350" i="12"/>
  <c r="F351" i="12"/>
  <c r="F352" i="12"/>
  <c r="F63" i="12"/>
  <c r="F204" i="12"/>
  <c r="F315" i="12"/>
  <c r="F23" i="12"/>
  <c r="F64" i="12"/>
  <c r="F103" i="12"/>
  <c r="F140" i="12"/>
  <c r="F197" i="12"/>
  <c r="F240" i="12"/>
  <c r="F270" i="12"/>
  <c r="F316" i="12"/>
  <c r="F353" i="12"/>
  <c r="F402" i="12"/>
  <c r="F450" i="12"/>
  <c r="F478" i="12"/>
  <c r="F532" i="12"/>
  <c r="F14" i="12"/>
  <c r="F65" i="12"/>
  <c r="F104" i="12"/>
  <c r="F124" i="12"/>
  <c r="F177" i="12"/>
  <c r="F221" i="12"/>
  <c r="F271" i="12"/>
  <c r="F317" i="12"/>
  <c r="F354" i="12"/>
  <c r="F403" i="12"/>
  <c r="F533" i="12"/>
  <c r="F32" i="12"/>
  <c r="F66" i="12"/>
  <c r="F105" i="12"/>
  <c r="F153" i="12"/>
  <c r="F198" i="12"/>
  <c r="F241" i="12"/>
  <c r="F272" i="12"/>
  <c r="F355" i="12"/>
  <c r="F404" i="12"/>
  <c r="F482" i="12"/>
  <c r="F534" i="12"/>
  <c r="F424" i="12"/>
  <c r="F34" i="12"/>
  <c r="F67" i="12"/>
  <c r="F106" i="12"/>
  <c r="F157" i="12"/>
  <c r="F179" i="12"/>
  <c r="F205" i="12"/>
  <c r="F222" i="12"/>
  <c r="F273" i="12"/>
  <c r="F286" i="12"/>
  <c r="F356" i="12"/>
  <c r="F405" i="12"/>
  <c r="F451" i="12"/>
  <c r="F502" i="12"/>
  <c r="F535" i="12"/>
  <c r="F68" i="12"/>
  <c r="F107" i="12"/>
  <c r="F798" i="12"/>
  <c r="F223" i="12"/>
  <c r="F274" i="12"/>
  <c r="G174" i="12"/>
  <c r="G203" i="12"/>
  <c r="G234" i="12"/>
  <c r="G258" i="12"/>
  <c r="G300" i="12"/>
  <c r="G333" i="12"/>
  <c r="G363" i="12"/>
  <c r="G386" i="12"/>
  <c r="G435" i="12"/>
  <c r="G495" i="12"/>
  <c r="G521" i="12"/>
  <c r="G26" i="12"/>
  <c r="G52" i="12"/>
  <c r="G77" i="12"/>
  <c r="G92" i="12"/>
  <c r="G144" i="12"/>
  <c r="G175" i="12"/>
  <c r="G228" i="12"/>
  <c r="G259" i="12"/>
  <c r="G301" i="12"/>
  <c r="G334" i="12"/>
  <c r="G364" i="12"/>
  <c r="G387" i="12"/>
  <c r="G436" i="12"/>
  <c r="G468" i="12"/>
  <c r="G522" i="12"/>
  <c r="G38" i="12"/>
  <c r="G53" i="12"/>
  <c r="G93" i="12"/>
  <c r="G559" i="12"/>
  <c r="G187" i="12"/>
  <c r="G235" i="12"/>
  <c r="G260" i="12"/>
  <c r="G302" i="12"/>
  <c r="G335" i="12"/>
  <c r="G388" i="12"/>
  <c r="G439" i="12"/>
  <c r="G496" i="12"/>
  <c r="G523" i="12"/>
  <c r="G21" i="12"/>
  <c r="G54" i="12"/>
  <c r="G94" i="12"/>
  <c r="G134" i="12"/>
  <c r="G188" i="12"/>
  <c r="G216" i="12"/>
  <c r="G261" i="12"/>
  <c r="G303" i="12"/>
  <c r="G336" i="12"/>
  <c r="G389" i="12"/>
  <c r="G497" i="12"/>
  <c r="G524" i="12"/>
  <c r="G78" i="12"/>
  <c r="G390" i="12"/>
  <c r="G125" i="12"/>
  <c r="G391" i="12"/>
  <c r="G123" i="12"/>
  <c r="G304" i="12"/>
  <c r="G392" i="12"/>
  <c r="G10" i="12"/>
  <c r="G55" i="12"/>
  <c r="G95" i="12"/>
  <c r="G118" i="12"/>
  <c r="G189" i="12"/>
  <c r="G236" i="12"/>
  <c r="G262" i="12"/>
  <c r="G305" i="12"/>
  <c r="G337" i="12"/>
  <c r="G365" i="12"/>
  <c r="G393" i="12"/>
  <c r="G440" i="12"/>
  <c r="G470" i="12"/>
  <c r="G525" i="12"/>
  <c r="G366" i="12"/>
  <c r="G11" i="12"/>
  <c r="G56" i="12"/>
  <c r="G96" i="12"/>
  <c r="G119" i="12"/>
  <c r="G190" i="12"/>
  <c r="G237" i="12"/>
  <c r="G263" i="12"/>
  <c r="G306" i="12"/>
  <c r="G338" i="12"/>
  <c r="G394" i="12"/>
  <c r="G441" i="12"/>
  <c r="G472" i="12"/>
  <c r="G526" i="12"/>
  <c r="G307" i="12"/>
  <c r="G395" i="12"/>
  <c r="G12" i="12"/>
  <c r="G57" i="12"/>
  <c r="G97" i="12"/>
  <c r="G121" i="12"/>
  <c r="G191" i="12"/>
  <c r="G238" i="12"/>
  <c r="G264" i="12"/>
  <c r="G308" i="12"/>
  <c r="G339" i="12"/>
  <c r="G396" i="12"/>
  <c r="G442" i="12"/>
  <c r="G498" i="12"/>
  <c r="G527" i="12"/>
  <c r="G13" i="12"/>
  <c r="G58" i="12"/>
  <c r="G98" i="12"/>
  <c r="G122" i="12"/>
  <c r="G192" i="12"/>
  <c r="G239" i="12"/>
  <c r="G265" i="12"/>
  <c r="G309" i="12"/>
  <c r="G340" i="12"/>
  <c r="G397" i="12"/>
  <c r="G443" i="12"/>
  <c r="G499" i="12"/>
  <c r="G528" i="12"/>
  <c r="G16" i="12"/>
  <c r="G59" i="12"/>
  <c r="G99" i="12"/>
  <c r="G126" i="12"/>
  <c r="G193" i="12"/>
  <c r="G217" i="12"/>
  <c r="G266" i="12"/>
  <c r="G310" i="12"/>
  <c r="G398" i="12"/>
  <c r="G444" i="12"/>
  <c r="G474" i="12"/>
  <c r="G529" i="12"/>
  <c r="G367" i="12"/>
  <c r="G368" i="12"/>
  <c r="G17" i="12"/>
  <c r="G60" i="12"/>
  <c r="G100" i="12"/>
  <c r="G127" i="12"/>
  <c r="G194" i="12"/>
  <c r="G218" i="12"/>
  <c r="G267" i="12"/>
  <c r="G311" i="12"/>
  <c r="G399" i="12"/>
  <c r="G447" i="12"/>
  <c r="G476" i="12"/>
  <c r="G530" i="12"/>
  <c r="G312" i="12"/>
  <c r="G18" i="12"/>
  <c r="G61" i="12"/>
  <c r="G101" i="12"/>
  <c r="G128" i="12"/>
  <c r="G195" i="12"/>
  <c r="G219" i="12"/>
  <c r="G268" i="12"/>
  <c r="G313" i="12"/>
  <c r="G400" i="12"/>
  <c r="G448" i="12"/>
  <c r="G500" i="12"/>
  <c r="G531" i="12"/>
  <c r="G19" i="12"/>
  <c r="G62" i="12"/>
  <c r="G102" i="12"/>
  <c r="G129" i="12"/>
  <c r="G196" i="12"/>
  <c r="G220" i="12"/>
  <c r="G269" i="12"/>
  <c r="G314" i="12"/>
  <c r="G401" i="12"/>
  <c r="G449" i="12"/>
  <c r="G501" i="12"/>
  <c r="G341" i="12"/>
  <c r="G342" i="12"/>
  <c r="G343" i="12"/>
  <c r="G344" i="12"/>
  <c r="G345" i="12"/>
  <c r="G346" i="12"/>
  <c r="G347" i="12"/>
  <c r="G348" i="12"/>
  <c r="G349" i="12"/>
  <c r="G350" i="12"/>
  <c r="G351" i="12"/>
  <c r="G352" i="12"/>
  <c r="G63" i="12"/>
  <c r="G204" i="12"/>
  <c r="G315" i="12"/>
  <c r="G23" i="12"/>
  <c r="G64" i="12"/>
  <c r="G103" i="12"/>
  <c r="G140" i="12"/>
  <c r="G197" i="12"/>
  <c r="G240" i="12"/>
  <c r="G270" i="12"/>
  <c r="G316" i="12"/>
  <c r="G353" i="12"/>
  <c r="G402" i="12"/>
  <c r="G450" i="12"/>
  <c r="G478" i="12"/>
  <c r="G532" i="12"/>
  <c r="G14" i="12"/>
  <c r="G65" i="12"/>
  <c r="G104" i="12"/>
  <c r="G124" i="12"/>
  <c r="G177" i="12"/>
  <c r="G221" i="12"/>
  <c r="G271" i="12"/>
  <c r="G317" i="12"/>
  <c r="G354" i="12"/>
  <c r="G403" i="12"/>
  <c r="G533" i="12"/>
  <c r="G32" i="12"/>
  <c r="G66" i="12"/>
  <c r="G105" i="12"/>
  <c r="G153" i="12"/>
  <c r="G198" i="12"/>
  <c r="G241" i="12"/>
  <c r="G272" i="12"/>
  <c r="G355" i="12"/>
  <c r="G404" i="12"/>
  <c r="G482" i="12"/>
  <c r="G534" i="12"/>
  <c r="G424" i="12"/>
  <c r="G34" i="12"/>
  <c r="G67" i="12"/>
  <c r="G106" i="12"/>
  <c r="G157" i="12"/>
  <c r="G179" i="12"/>
  <c r="G205" i="12"/>
  <c r="G222" i="12"/>
  <c r="G273" i="12"/>
  <c r="G286" i="12"/>
  <c r="G356" i="12"/>
  <c r="G405" i="12"/>
  <c r="G451" i="12"/>
  <c r="G502" i="12"/>
  <c r="G535" i="12"/>
  <c r="G68" i="12"/>
  <c r="G107" i="12"/>
  <c r="G798" i="12"/>
  <c r="G223" i="12"/>
  <c r="G274" i="12"/>
  <c r="H174" i="12"/>
  <c r="H203" i="12"/>
  <c r="H234" i="12"/>
  <c r="H258" i="12"/>
  <c r="H300" i="12"/>
  <c r="H333" i="12"/>
  <c r="H363" i="12"/>
  <c r="H386" i="12"/>
  <c r="H435" i="12"/>
  <c r="H495" i="12"/>
  <c r="H521" i="12"/>
  <c r="H26" i="12"/>
  <c r="H52" i="12"/>
  <c r="H77" i="12"/>
  <c r="H92" i="12"/>
  <c r="H144" i="12"/>
  <c r="H175" i="12"/>
  <c r="H228" i="12"/>
  <c r="H259" i="12"/>
  <c r="H301" i="12"/>
  <c r="H334" i="12"/>
  <c r="H364" i="12"/>
  <c r="H387" i="12"/>
  <c r="H436" i="12"/>
  <c r="H468" i="12"/>
  <c r="H522" i="12"/>
  <c r="H38" i="12"/>
  <c r="H53" i="12"/>
  <c r="H93" i="12"/>
  <c r="H559" i="12"/>
  <c r="H187" i="12"/>
  <c r="H235" i="12"/>
  <c r="H260" i="12"/>
  <c r="H302" i="12"/>
  <c r="H335" i="12"/>
  <c r="H388" i="12"/>
  <c r="H439" i="12"/>
  <c r="H496" i="12"/>
  <c r="H523" i="12"/>
  <c r="H21" i="12"/>
  <c r="H54" i="12"/>
  <c r="H94" i="12"/>
  <c r="H134" i="12"/>
  <c r="H188" i="12"/>
  <c r="H216" i="12"/>
  <c r="H261" i="12"/>
  <c r="H303" i="12"/>
  <c r="H336" i="12"/>
  <c r="H389" i="12"/>
  <c r="H497" i="12"/>
  <c r="H524" i="12"/>
  <c r="H78" i="12"/>
  <c r="H390" i="12"/>
  <c r="H125" i="12"/>
  <c r="H391" i="12"/>
  <c r="H123" i="12"/>
  <c r="H304" i="12"/>
  <c r="H392" i="12"/>
  <c r="H10" i="12"/>
  <c r="H55" i="12"/>
  <c r="H95" i="12"/>
  <c r="H118" i="12"/>
  <c r="H189" i="12"/>
  <c r="H236" i="12"/>
  <c r="H262" i="12"/>
  <c r="H305" i="12"/>
  <c r="H337" i="12"/>
  <c r="H365" i="12"/>
  <c r="H393" i="12"/>
  <c r="H440" i="12"/>
  <c r="H470" i="12"/>
  <c r="H525" i="12"/>
  <c r="H366" i="12"/>
  <c r="H11" i="12"/>
  <c r="H56" i="12"/>
  <c r="H96" i="12"/>
  <c r="H119" i="12"/>
  <c r="H190" i="12"/>
  <c r="H237" i="12"/>
  <c r="H263" i="12"/>
  <c r="H306" i="12"/>
  <c r="H338" i="12"/>
  <c r="H394" i="12"/>
  <c r="H441" i="12"/>
  <c r="H472" i="12"/>
  <c r="H526" i="12"/>
  <c r="H307" i="12"/>
  <c r="H395" i="12"/>
  <c r="H12" i="12"/>
  <c r="H57" i="12"/>
  <c r="H97" i="12"/>
  <c r="H121" i="12"/>
  <c r="H191" i="12"/>
  <c r="H238" i="12"/>
  <c r="H264" i="12"/>
  <c r="H308" i="12"/>
  <c r="H339" i="12"/>
  <c r="H396" i="12"/>
  <c r="H442" i="12"/>
  <c r="H498" i="12"/>
  <c r="H527" i="12"/>
  <c r="H13" i="12"/>
  <c r="H58" i="12"/>
  <c r="H98" i="12"/>
  <c r="H122" i="12"/>
  <c r="H192" i="12"/>
  <c r="H239" i="12"/>
  <c r="H265" i="12"/>
  <c r="H309" i="12"/>
  <c r="H340" i="12"/>
  <c r="H397" i="12"/>
  <c r="H443" i="12"/>
  <c r="H499" i="12"/>
  <c r="H528" i="12"/>
  <c r="H16" i="12"/>
  <c r="H59" i="12"/>
  <c r="H99" i="12"/>
  <c r="H126" i="12"/>
  <c r="H193" i="12"/>
  <c r="H217" i="12"/>
  <c r="H266" i="12"/>
  <c r="H310" i="12"/>
  <c r="H398" i="12"/>
  <c r="H444" i="12"/>
  <c r="H474" i="12"/>
  <c r="H529" i="12"/>
  <c r="H367" i="12"/>
  <c r="H368" i="12"/>
  <c r="H17" i="12"/>
  <c r="H60" i="12"/>
  <c r="H100" i="12"/>
  <c r="H127" i="12"/>
  <c r="H194" i="12"/>
  <c r="H218" i="12"/>
  <c r="H267" i="12"/>
  <c r="H311" i="12"/>
  <c r="H399" i="12"/>
  <c r="H447" i="12"/>
  <c r="H476" i="12"/>
  <c r="H530" i="12"/>
  <c r="H312" i="12"/>
  <c r="H18" i="12"/>
  <c r="H61" i="12"/>
  <c r="H101" i="12"/>
  <c r="H128" i="12"/>
  <c r="H195" i="12"/>
  <c r="H219" i="12"/>
  <c r="H268" i="12"/>
  <c r="H313" i="12"/>
  <c r="H400" i="12"/>
  <c r="H448" i="12"/>
  <c r="H500" i="12"/>
  <c r="H531" i="12"/>
  <c r="H19" i="12"/>
  <c r="H62" i="12"/>
  <c r="H102" i="12"/>
  <c r="H129" i="12"/>
  <c r="H196" i="12"/>
  <c r="H220" i="12"/>
  <c r="H269" i="12"/>
  <c r="H314" i="12"/>
  <c r="H401" i="12"/>
  <c r="H449" i="12"/>
  <c r="H501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63" i="12"/>
  <c r="H204" i="12"/>
  <c r="H315" i="12"/>
  <c r="H23" i="12"/>
  <c r="H64" i="12"/>
  <c r="H103" i="12"/>
  <c r="H140" i="12"/>
  <c r="H197" i="12"/>
  <c r="H240" i="12"/>
  <c r="H270" i="12"/>
  <c r="H316" i="12"/>
  <c r="H353" i="12"/>
  <c r="H402" i="12"/>
  <c r="H450" i="12"/>
  <c r="H478" i="12"/>
  <c r="H532" i="12"/>
  <c r="H14" i="12"/>
  <c r="H65" i="12"/>
  <c r="H104" i="12"/>
  <c r="H124" i="12"/>
  <c r="H177" i="12"/>
  <c r="H221" i="12"/>
  <c r="H271" i="12"/>
  <c r="H317" i="12"/>
  <c r="H354" i="12"/>
  <c r="H403" i="12"/>
  <c r="H533" i="12"/>
  <c r="H32" i="12"/>
  <c r="H66" i="12"/>
  <c r="H105" i="12"/>
  <c r="H153" i="12"/>
  <c r="H198" i="12"/>
  <c r="H241" i="12"/>
  <c r="H272" i="12"/>
  <c r="H355" i="12"/>
  <c r="H404" i="12"/>
  <c r="H482" i="12"/>
  <c r="H534" i="12"/>
  <c r="H424" i="12"/>
  <c r="H34" i="12"/>
  <c r="H67" i="12"/>
  <c r="H106" i="12"/>
  <c r="H157" i="12"/>
  <c r="H179" i="12"/>
  <c r="H205" i="12"/>
  <c r="H222" i="12"/>
  <c r="H273" i="12"/>
  <c r="H286" i="12"/>
  <c r="H356" i="12"/>
  <c r="H405" i="12"/>
  <c r="H451" i="12"/>
  <c r="H502" i="12"/>
  <c r="H535" i="12"/>
  <c r="H68" i="12"/>
  <c r="H107" i="12"/>
  <c r="H798" i="12"/>
  <c r="H223" i="12"/>
  <c r="H274" i="12"/>
  <c r="C50" i="12"/>
  <c r="C90" i="12"/>
  <c r="C150" i="12"/>
  <c r="C172" i="12"/>
  <c r="C233" i="12"/>
  <c r="C257" i="12"/>
  <c r="C299" i="12"/>
  <c r="C332" i="12"/>
  <c r="C362" i="12"/>
  <c r="C384" i="12"/>
  <c r="C385" i="12"/>
  <c r="C434" i="12"/>
  <c r="C494" i="12"/>
  <c r="C520" i="12"/>
  <c r="C31" i="12"/>
  <c r="C51" i="12"/>
  <c r="C91" i="12"/>
  <c r="C152" i="12"/>
  <c r="D50" i="12"/>
  <c r="D90" i="12"/>
  <c r="D150" i="12"/>
  <c r="D172" i="12"/>
  <c r="D233" i="12"/>
  <c r="D257" i="12"/>
  <c r="D299" i="12"/>
  <c r="D332" i="12"/>
  <c r="D362" i="12"/>
  <c r="D384" i="12"/>
  <c r="D385" i="12"/>
  <c r="D434" i="12"/>
  <c r="D494" i="12"/>
  <c r="D520" i="12"/>
  <c r="D31" i="12"/>
  <c r="D51" i="12"/>
  <c r="D91" i="12"/>
  <c r="D152" i="12"/>
  <c r="F50" i="12"/>
  <c r="F90" i="12"/>
  <c r="F150" i="12"/>
  <c r="F172" i="12"/>
  <c r="F233" i="12"/>
  <c r="F257" i="12"/>
  <c r="F299" i="12"/>
  <c r="F332" i="12"/>
  <c r="F362" i="12"/>
  <c r="F384" i="12"/>
  <c r="F385" i="12"/>
  <c r="F434" i="12"/>
  <c r="F494" i="12"/>
  <c r="F520" i="12"/>
  <c r="F31" i="12"/>
  <c r="F51" i="12"/>
  <c r="F91" i="12"/>
  <c r="F152" i="12"/>
  <c r="G50" i="12"/>
  <c r="G90" i="12"/>
  <c r="G150" i="12"/>
  <c r="G172" i="12"/>
  <c r="G233" i="12"/>
  <c r="G257" i="12"/>
  <c r="G299" i="12"/>
  <c r="G332" i="12"/>
  <c r="G362" i="12"/>
  <c r="G384" i="12"/>
  <c r="G385" i="12"/>
  <c r="G434" i="12"/>
  <c r="G494" i="12"/>
  <c r="G520" i="12"/>
  <c r="G31" i="12"/>
  <c r="G51" i="12"/>
  <c r="G91" i="12"/>
  <c r="G152" i="12"/>
  <c r="H50" i="12"/>
  <c r="H90" i="12"/>
  <c r="H150" i="12"/>
  <c r="H172" i="12"/>
  <c r="H233" i="12"/>
  <c r="H257" i="12"/>
  <c r="H299" i="12"/>
  <c r="H332" i="12"/>
  <c r="H362" i="12"/>
  <c r="H384" i="12"/>
  <c r="H385" i="12"/>
  <c r="H434" i="12"/>
  <c r="H494" i="12"/>
  <c r="H520" i="12"/>
  <c r="H31" i="12"/>
  <c r="H51" i="12"/>
  <c r="H91" i="12"/>
  <c r="H152" i="12"/>
  <c r="C29" i="12"/>
  <c r="D29" i="12"/>
  <c r="F29" i="12"/>
  <c r="G29" i="12"/>
  <c r="H29" i="12"/>
  <c r="C49" i="12"/>
  <c r="C89" i="12"/>
  <c r="C114" i="12"/>
  <c r="C186" i="12"/>
  <c r="C232" i="12"/>
  <c r="C256" i="12"/>
  <c r="C298" i="12"/>
  <c r="C331" i="12"/>
  <c r="C383" i="12"/>
  <c r="C433" i="12"/>
  <c r="C493" i="12"/>
  <c r="C519" i="12"/>
  <c r="D49" i="12"/>
  <c r="D89" i="12"/>
  <c r="D114" i="12"/>
  <c r="D186" i="12"/>
  <c r="D232" i="12"/>
  <c r="D256" i="12"/>
  <c r="D298" i="12"/>
  <c r="D331" i="12"/>
  <c r="D383" i="12"/>
  <c r="D433" i="12"/>
  <c r="D493" i="12"/>
  <c r="D519" i="12"/>
  <c r="F49" i="12"/>
  <c r="F89" i="12"/>
  <c r="F114" i="12"/>
  <c r="F186" i="12"/>
  <c r="F232" i="12"/>
  <c r="F256" i="12"/>
  <c r="F298" i="12"/>
  <c r="F331" i="12"/>
  <c r="F383" i="12"/>
  <c r="F433" i="12"/>
  <c r="F493" i="12"/>
  <c r="F519" i="12"/>
  <c r="G49" i="12"/>
  <c r="G89" i="12"/>
  <c r="G114" i="12"/>
  <c r="G186" i="12"/>
  <c r="G232" i="12"/>
  <c r="G256" i="12"/>
  <c r="G298" i="12"/>
  <c r="G331" i="12"/>
  <c r="G383" i="12"/>
  <c r="G433" i="12"/>
  <c r="G493" i="12"/>
  <c r="G519" i="12"/>
  <c r="H49" i="12"/>
  <c r="H89" i="12"/>
  <c r="H114" i="12"/>
  <c r="H186" i="12"/>
  <c r="H232" i="12"/>
  <c r="H256" i="12"/>
  <c r="H298" i="12"/>
  <c r="H331" i="12"/>
  <c r="H383" i="12"/>
  <c r="H433" i="12"/>
  <c r="H493" i="12"/>
  <c r="H519" i="12"/>
  <c r="C7" i="12"/>
  <c r="D7" i="12"/>
  <c r="F7" i="12"/>
  <c r="G7" i="12"/>
  <c r="H7" i="12"/>
  <c r="C297" i="12"/>
  <c r="C330" i="12"/>
  <c r="C382" i="12"/>
  <c r="C432" i="12"/>
  <c r="C492" i="12"/>
  <c r="C518" i="12"/>
  <c r="D297" i="12"/>
  <c r="D330" i="12"/>
  <c r="D382" i="12"/>
  <c r="D432" i="12"/>
  <c r="D492" i="12"/>
  <c r="D518" i="12"/>
  <c r="F297" i="12"/>
  <c r="F330" i="12"/>
  <c r="F382" i="12"/>
  <c r="F432" i="12"/>
  <c r="F492" i="12"/>
  <c r="F518" i="12"/>
  <c r="G297" i="12"/>
  <c r="G330" i="12"/>
  <c r="G382" i="12"/>
  <c r="G432" i="12"/>
  <c r="G492" i="12"/>
  <c r="G518" i="12"/>
  <c r="H297" i="12"/>
  <c r="H330" i="12"/>
  <c r="H382" i="12"/>
  <c r="H432" i="12"/>
  <c r="H492" i="12"/>
  <c r="H518" i="12"/>
  <c r="C47" i="12"/>
  <c r="C87" i="12"/>
  <c r="C151" i="12"/>
  <c r="C170" i="12"/>
  <c r="C215" i="12"/>
  <c r="C254" i="12"/>
  <c r="C296" i="12"/>
  <c r="C329" i="12"/>
  <c r="C381" i="12"/>
  <c r="C431" i="12"/>
  <c r="C491" i="12"/>
  <c r="C551" i="12"/>
  <c r="C6" i="12"/>
  <c r="C48" i="12"/>
  <c r="C88" i="12"/>
  <c r="C113" i="12"/>
  <c r="C185" i="12"/>
  <c r="C231" i="12"/>
  <c r="C255" i="12"/>
  <c r="D47" i="12"/>
  <c r="D87" i="12"/>
  <c r="D151" i="12"/>
  <c r="D170" i="12"/>
  <c r="D215" i="12"/>
  <c r="D254" i="12"/>
  <c r="D296" i="12"/>
  <c r="D329" i="12"/>
  <c r="D381" i="12"/>
  <c r="D431" i="12"/>
  <c r="D491" i="12"/>
  <c r="D551" i="12"/>
  <c r="D6" i="12"/>
  <c r="D48" i="12"/>
  <c r="D88" i="12"/>
  <c r="D113" i="12"/>
  <c r="D185" i="12"/>
  <c r="D231" i="12"/>
  <c r="D255" i="12"/>
  <c r="F47" i="12"/>
  <c r="F87" i="12"/>
  <c r="F151" i="12"/>
  <c r="F170" i="12"/>
  <c r="F215" i="12"/>
  <c r="F254" i="12"/>
  <c r="F296" i="12"/>
  <c r="F329" i="12"/>
  <c r="F381" i="12"/>
  <c r="F431" i="12"/>
  <c r="F491" i="12"/>
  <c r="F551" i="12"/>
  <c r="F6" i="12"/>
  <c r="F48" i="12"/>
  <c r="F88" i="12"/>
  <c r="F113" i="12"/>
  <c r="F185" i="12"/>
  <c r="F231" i="12"/>
  <c r="F255" i="12"/>
  <c r="G47" i="12"/>
  <c r="G87" i="12"/>
  <c r="G151" i="12"/>
  <c r="G170" i="12"/>
  <c r="G215" i="12"/>
  <c r="G254" i="12"/>
  <c r="G296" i="12"/>
  <c r="G329" i="12"/>
  <c r="G381" i="12"/>
  <c r="G431" i="12"/>
  <c r="G491" i="12"/>
  <c r="G551" i="12"/>
  <c r="G6" i="12"/>
  <c r="G48" i="12"/>
  <c r="G88" i="12"/>
  <c r="G113" i="12"/>
  <c r="G185" i="12"/>
  <c r="G231" i="12"/>
  <c r="G255" i="12"/>
  <c r="H47" i="12"/>
  <c r="H87" i="12"/>
  <c r="H151" i="12"/>
  <c r="H170" i="12"/>
  <c r="H215" i="12"/>
  <c r="H254" i="12"/>
  <c r="H296" i="12"/>
  <c r="H329" i="12"/>
  <c r="H381" i="12"/>
  <c r="H431" i="12"/>
  <c r="H491" i="12"/>
  <c r="H551" i="12"/>
  <c r="H6" i="12"/>
  <c r="H48" i="12"/>
  <c r="H88" i="12"/>
  <c r="H113" i="12"/>
  <c r="H185" i="12"/>
  <c r="H231" i="12"/>
  <c r="H255" i="12"/>
  <c r="C46" i="12"/>
  <c r="C86" i="12"/>
  <c r="C707" i="12"/>
  <c r="C184" i="12"/>
  <c r="C214" i="12"/>
  <c r="C253" i="12"/>
  <c r="C295" i="12"/>
  <c r="C328" i="12"/>
  <c r="C361" i="12"/>
  <c r="C380" i="12"/>
  <c r="C430" i="12"/>
  <c r="C490" i="12"/>
  <c r="C517" i="12"/>
  <c r="C30" i="12"/>
  <c r="D46" i="12"/>
  <c r="D86" i="12"/>
  <c r="D707" i="12"/>
  <c r="D184" i="12"/>
  <c r="D214" i="12"/>
  <c r="D253" i="12"/>
  <c r="D295" i="12"/>
  <c r="D328" i="12"/>
  <c r="D361" i="12"/>
  <c r="D380" i="12"/>
  <c r="D430" i="12"/>
  <c r="D490" i="12"/>
  <c r="D517" i="12"/>
  <c r="D30" i="12"/>
  <c r="F46" i="12"/>
  <c r="F86" i="12"/>
  <c r="F707" i="12"/>
  <c r="F184" i="12"/>
  <c r="F214" i="12"/>
  <c r="F253" i="12"/>
  <c r="F295" i="12"/>
  <c r="F328" i="12"/>
  <c r="F361" i="12"/>
  <c r="F380" i="12"/>
  <c r="F430" i="12"/>
  <c r="F490" i="12"/>
  <c r="F517" i="12"/>
  <c r="F30" i="12"/>
  <c r="G46" i="12"/>
  <c r="G86" i="12"/>
  <c r="G707" i="12"/>
  <c r="G184" i="12"/>
  <c r="G214" i="12"/>
  <c r="G253" i="12"/>
  <c r="G295" i="12"/>
  <c r="G328" i="12"/>
  <c r="G361" i="12"/>
  <c r="G380" i="12"/>
  <c r="G430" i="12"/>
  <c r="G490" i="12"/>
  <c r="G517" i="12"/>
  <c r="G30" i="12"/>
  <c r="H46" i="12"/>
  <c r="H86" i="12"/>
  <c r="H707" i="12"/>
  <c r="H184" i="12"/>
  <c r="H214" i="12"/>
  <c r="H253" i="12"/>
  <c r="H295" i="12"/>
  <c r="H328" i="12"/>
  <c r="H361" i="12"/>
  <c r="H380" i="12"/>
  <c r="H430" i="12"/>
  <c r="H490" i="12"/>
  <c r="H517" i="12"/>
  <c r="H30" i="12"/>
  <c r="C39" i="12"/>
  <c r="D39" i="12"/>
  <c r="F39" i="12"/>
  <c r="G39" i="12"/>
  <c r="H39" i="12"/>
  <c r="C516" i="12"/>
  <c r="D516" i="12"/>
  <c r="F516" i="12"/>
  <c r="G516" i="12"/>
  <c r="H516" i="12"/>
  <c r="C466" i="12"/>
  <c r="D466" i="12"/>
  <c r="F466" i="12"/>
  <c r="G466" i="12"/>
  <c r="H466" i="12"/>
  <c r="C360" i="12"/>
  <c r="C379" i="12"/>
  <c r="C429" i="12"/>
  <c r="D360" i="12"/>
  <c r="D379" i="12"/>
  <c r="D429" i="12"/>
  <c r="F360" i="12"/>
  <c r="F379" i="12"/>
  <c r="F429" i="12"/>
  <c r="G360" i="12"/>
  <c r="G379" i="12"/>
  <c r="G429" i="12"/>
  <c r="H360" i="12"/>
  <c r="H379" i="12"/>
  <c r="H429" i="12"/>
  <c r="C45" i="12"/>
  <c r="C85" i="12"/>
  <c r="C135" i="12"/>
  <c r="C136" i="12"/>
  <c r="C168" i="12"/>
  <c r="C230" i="12"/>
  <c r="C252" i="12"/>
  <c r="C285" i="12"/>
  <c r="C327" i="12"/>
  <c r="D45" i="12"/>
  <c r="D85" i="12"/>
  <c r="D135" i="12"/>
  <c r="D136" i="12"/>
  <c r="D168" i="12"/>
  <c r="D230" i="12"/>
  <c r="D252" i="12"/>
  <c r="D285" i="12"/>
  <c r="D327" i="12"/>
  <c r="F45" i="12"/>
  <c r="F85" i="12"/>
  <c r="F135" i="12"/>
  <c r="F136" i="12"/>
  <c r="F168" i="12"/>
  <c r="F230" i="12"/>
  <c r="F252" i="12"/>
  <c r="F285" i="12"/>
  <c r="F327" i="12"/>
  <c r="G45" i="12"/>
  <c r="G85" i="12"/>
  <c r="G135" i="12"/>
  <c r="G136" i="12"/>
  <c r="G168" i="12"/>
  <c r="G230" i="12"/>
  <c r="G252" i="12"/>
  <c r="G285" i="12"/>
  <c r="G327" i="12"/>
  <c r="H45" i="12"/>
  <c r="H85" i="12"/>
  <c r="H135" i="12"/>
  <c r="H136" i="12"/>
  <c r="H168" i="12"/>
  <c r="H230" i="12"/>
  <c r="H252" i="12"/>
  <c r="H285" i="12"/>
  <c r="H327" i="12"/>
  <c r="C22" i="12"/>
  <c r="D22" i="12"/>
  <c r="F22" i="12"/>
  <c r="G22" i="12"/>
  <c r="H22" i="12"/>
  <c r="C515" i="12"/>
  <c r="D515" i="12"/>
  <c r="F515" i="12"/>
  <c r="G515" i="12"/>
  <c r="H515" i="12"/>
  <c r="C44" i="12"/>
  <c r="C84" i="12"/>
  <c r="C555" i="12"/>
  <c r="C166" i="12"/>
  <c r="C213" i="12"/>
  <c r="C251" i="12"/>
  <c r="C294" i="12"/>
  <c r="C326" i="12"/>
  <c r="C378" i="12"/>
  <c r="C421" i="12"/>
  <c r="C464" i="12"/>
  <c r="D44" i="12"/>
  <c r="D84" i="12"/>
  <c r="D555" i="12"/>
  <c r="D166" i="12"/>
  <c r="D213" i="12"/>
  <c r="D251" i="12"/>
  <c r="D294" i="12"/>
  <c r="D326" i="12"/>
  <c r="D378" i="12"/>
  <c r="D421" i="12"/>
  <c r="D464" i="12"/>
  <c r="F44" i="12"/>
  <c r="F84" i="12"/>
  <c r="F555" i="12"/>
  <c r="F166" i="12"/>
  <c r="F213" i="12"/>
  <c r="F251" i="12"/>
  <c r="F294" i="12"/>
  <c r="F326" i="12"/>
  <c r="F378" i="12"/>
  <c r="F421" i="12"/>
  <c r="F464" i="12"/>
  <c r="G44" i="12"/>
  <c r="G84" i="12"/>
  <c r="G555" i="12"/>
  <c r="G166" i="12"/>
  <c r="G213" i="12"/>
  <c r="G251" i="12"/>
  <c r="G294" i="12"/>
  <c r="G326" i="12"/>
  <c r="G378" i="12"/>
  <c r="G421" i="12"/>
  <c r="G464" i="12"/>
  <c r="H44" i="12"/>
  <c r="H84" i="12"/>
  <c r="H555" i="12"/>
  <c r="H166" i="12"/>
  <c r="H213" i="12"/>
  <c r="H251" i="12"/>
  <c r="H294" i="12"/>
  <c r="H326" i="12"/>
  <c r="H378" i="12"/>
  <c r="H421" i="12"/>
  <c r="H464" i="12"/>
  <c r="C36" i="12"/>
  <c r="D36" i="12"/>
  <c r="F36" i="12"/>
  <c r="G36" i="12"/>
  <c r="H36" i="12"/>
  <c r="C162" i="12"/>
  <c r="D162" i="12"/>
  <c r="F162" i="12"/>
  <c r="G162" i="12"/>
  <c r="H162" i="12"/>
  <c r="C160" i="12"/>
  <c r="D160" i="12"/>
  <c r="F160" i="12"/>
  <c r="G160" i="12"/>
  <c r="H160" i="12"/>
  <c r="C514" i="12"/>
  <c r="D514" i="12"/>
  <c r="F514" i="12"/>
  <c r="G514" i="12"/>
  <c r="H514" i="12"/>
  <c r="C489" i="12"/>
  <c r="D489" i="12"/>
  <c r="F489" i="12"/>
  <c r="G489" i="12"/>
  <c r="H489" i="12"/>
  <c r="C428" i="12"/>
  <c r="D428" i="12"/>
  <c r="F428" i="12"/>
  <c r="G428" i="12"/>
  <c r="H428" i="12"/>
  <c r="C377" i="12"/>
  <c r="D377" i="12"/>
  <c r="F377" i="12"/>
  <c r="G377" i="12"/>
  <c r="H377" i="12"/>
  <c r="C325" i="12"/>
  <c r="D325" i="12"/>
  <c r="F325" i="12"/>
  <c r="G325" i="12"/>
  <c r="H325" i="12"/>
  <c r="C293" i="12"/>
  <c r="D293" i="12"/>
  <c r="F293" i="12"/>
  <c r="G293" i="12"/>
  <c r="H293" i="12"/>
  <c r="C250" i="12"/>
  <c r="C284" i="12"/>
  <c r="D250" i="12"/>
  <c r="D284" i="12"/>
  <c r="F250" i="12"/>
  <c r="F284" i="12"/>
  <c r="G250" i="12"/>
  <c r="G284" i="12"/>
  <c r="H250" i="12"/>
  <c r="H284" i="12"/>
  <c r="C164" i="12"/>
  <c r="C243" i="12"/>
  <c r="D164" i="12"/>
  <c r="D243" i="12"/>
  <c r="F164" i="12"/>
  <c r="F243" i="12"/>
  <c r="G164" i="12"/>
  <c r="G243" i="12"/>
  <c r="H164" i="12"/>
  <c r="H243" i="12"/>
  <c r="C513" i="12"/>
  <c r="C28" i="12"/>
  <c r="C43" i="12"/>
  <c r="C83" i="12"/>
  <c r="C147" i="12"/>
  <c r="D513" i="12"/>
  <c r="D28" i="12"/>
  <c r="D43" i="12"/>
  <c r="D83" i="12"/>
  <c r="D147" i="12"/>
  <c r="F513" i="12"/>
  <c r="F28" i="12"/>
  <c r="F43" i="12"/>
  <c r="F83" i="12"/>
  <c r="F147" i="12"/>
  <c r="G513" i="12"/>
  <c r="G28" i="12"/>
  <c r="G43" i="12"/>
  <c r="G83" i="12"/>
  <c r="G147" i="12"/>
  <c r="H513" i="12"/>
  <c r="H28" i="12"/>
  <c r="H43" i="12"/>
  <c r="H83" i="12"/>
  <c r="H147" i="12"/>
  <c r="C42" i="12"/>
  <c r="C82" i="12"/>
  <c r="C155" i="12"/>
  <c r="C212" i="12"/>
  <c r="C247" i="12"/>
  <c r="C324" i="12"/>
  <c r="C376" i="12"/>
  <c r="C427" i="12"/>
  <c r="C488" i="12"/>
  <c r="D42" i="12"/>
  <c r="D82" i="12"/>
  <c r="D155" i="12"/>
  <c r="D212" i="12"/>
  <c r="D247" i="12"/>
  <c r="D324" i="12"/>
  <c r="D376" i="12"/>
  <c r="D427" i="12"/>
  <c r="D488" i="12"/>
  <c r="F42" i="12"/>
  <c r="F82" i="12"/>
  <c r="F155" i="12"/>
  <c r="F212" i="12"/>
  <c r="F247" i="12"/>
  <c r="F324" i="12"/>
  <c r="F376" i="12"/>
  <c r="F427" i="12"/>
  <c r="F488" i="12"/>
  <c r="G42" i="12"/>
  <c r="G82" i="12"/>
  <c r="G155" i="12"/>
  <c r="G212" i="12"/>
  <c r="G247" i="12"/>
  <c r="G324" i="12"/>
  <c r="G376" i="12"/>
  <c r="G427" i="12"/>
  <c r="G488" i="12"/>
  <c r="H42" i="12"/>
  <c r="H82" i="12"/>
  <c r="H155" i="12"/>
  <c r="H212" i="12"/>
  <c r="H247" i="12"/>
  <c r="H324" i="12"/>
  <c r="H376" i="12"/>
  <c r="H427" i="12"/>
  <c r="H488" i="12"/>
  <c r="C33" i="12"/>
  <c r="D33" i="12"/>
  <c r="F33" i="12"/>
  <c r="G33" i="12"/>
  <c r="H33" i="12"/>
  <c r="C512" i="12"/>
  <c r="D512" i="12" l="1"/>
  <c r="F512" i="12"/>
  <c r="G512" i="12"/>
  <c r="H512" i="12"/>
  <c r="X3" i="10"/>
  <c r="X4" i="10"/>
  <c r="X5" i="10"/>
  <c r="X6" i="10"/>
  <c r="X7" i="10"/>
  <c r="X8" i="10"/>
  <c r="X9" i="10"/>
  <c r="X10" i="10"/>
  <c r="X11" i="10"/>
  <c r="X12" i="10"/>
  <c r="X13" i="10"/>
  <c r="X14" i="10"/>
  <c r="X15" i="10"/>
  <c r="X16" i="10"/>
  <c r="X17" i="10"/>
  <c r="X18" i="10"/>
  <c r="X19" i="10"/>
  <c r="X20" i="10"/>
  <c r="X21" i="10"/>
  <c r="X22" i="10"/>
  <c r="X23" i="10"/>
  <c r="X24" i="10"/>
  <c r="X25" i="10"/>
  <c r="X26" i="10"/>
  <c r="X27" i="10"/>
  <c r="X28" i="10"/>
  <c r="X29" i="10"/>
  <c r="X30" i="10"/>
  <c r="X31" i="10"/>
  <c r="X32" i="10"/>
  <c r="X33" i="10"/>
  <c r="X34" i="10"/>
  <c r="X35" i="10"/>
  <c r="X36" i="10"/>
  <c r="X37" i="10"/>
  <c r="X38" i="10"/>
  <c r="X39" i="10"/>
  <c r="X40" i="10"/>
  <c r="X41" i="10"/>
  <c r="X42" i="10"/>
  <c r="X43" i="10"/>
  <c r="X44" i="10"/>
  <c r="X45" i="10"/>
  <c r="X46" i="10"/>
  <c r="X47" i="10"/>
  <c r="X48" i="10"/>
  <c r="X49" i="10"/>
  <c r="X50" i="10"/>
  <c r="X51" i="10"/>
  <c r="X52" i="10"/>
  <c r="X53" i="10"/>
  <c r="X54" i="10"/>
  <c r="X55" i="10"/>
  <c r="X56" i="10"/>
  <c r="X57" i="10"/>
  <c r="X58" i="10"/>
  <c r="X59" i="10"/>
  <c r="X60" i="10"/>
  <c r="X61" i="10"/>
  <c r="X62" i="10"/>
  <c r="X63" i="10"/>
  <c r="X64" i="10"/>
  <c r="X65" i="10"/>
  <c r="X66" i="10"/>
  <c r="X67" i="10"/>
  <c r="X68" i="10"/>
  <c r="X69" i="10"/>
  <c r="X70" i="10"/>
  <c r="X71" i="10"/>
  <c r="X72" i="10"/>
  <c r="X73" i="10"/>
  <c r="X74" i="10"/>
  <c r="X75" i="10"/>
  <c r="X76" i="10"/>
  <c r="X2" i="10"/>
  <c r="AH28" i="4"/>
  <c r="C211" i="12"/>
  <c r="C246" i="12"/>
  <c r="C292" i="12"/>
  <c r="C323" i="12"/>
  <c r="C375" i="12"/>
  <c r="C426" i="12"/>
  <c r="C487" i="12"/>
  <c r="D211" i="12"/>
  <c r="D246" i="12"/>
  <c r="D292" i="12"/>
  <c r="D323" i="12"/>
  <c r="D375" i="12"/>
  <c r="D426" i="12"/>
  <c r="D487" i="12"/>
  <c r="F211" i="12"/>
  <c r="F246" i="12"/>
  <c r="F292" i="12"/>
  <c r="F323" i="12"/>
  <c r="F375" i="12"/>
  <c r="F426" i="12"/>
  <c r="F487" i="12"/>
  <c r="G211" i="12"/>
  <c r="G246" i="12"/>
  <c r="G292" i="12"/>
  <c r="G323" i="12"/>
  <c r="G375" i="12"/>
  <c r="G426" i="12"/>
  <c r="G487" i="12"/>
  <c r="H211" i="12"/>
  <c r="H246" i="12"/>
  <c r="H292" i="12"/>
  <c r="H323" i="12"/>
  <c r="H375" i="12"/>
  <c r="H426" i="12"/>
  <c r="H487" i="12"/>
  <c r="C40" i="12"/>
  <c r="C80" i="12"/>
  <c r="C133" i="12"/>
  <c r="C202" i="12"/>
  <c r="C245" i="12"/>
  <c r="C291" i="12"/>
  <c r="C322" i="12"/>
  <c r="C374" i="12"/>
  <c r="C425" i="12"/>
  <c r="C462" i="12"/>
  <c r="C511" i="12"/>
  <c r="C183" i="12"/>
  <c r="C210" i="12"/>
  <c r="C9" i="12"/>
  <c r="C41" i="12"/>
  <c r="C81" i="12"/>
  <c r="C117" i="12"/>
  <c r="D40" i="12"/>
  <c r="D80" i="12"/>
  <c r="D133" i="12"/>
  <c r="D202" i="12"/>
  <c r="D245" i="12"/>
  <c r="D291" i="12"/>
  <c r="D322" i="12"/>
  <c r="D374" i="12"/>
  <c r="D425" i="12"/>
  <c r="D462" i="12"/>
  <c r="D511" i="12"/>
  <c r="D183" i="12"/>
  <c r="D210" i="12"/>
  <c r="D9" i="12"/>
  <c r="D41" i="12"/>
  <c r="D81" i="12"/>
  <c r="D117" i="12"/>
  <c r="F40" i="12"/>
  <c r="F80" i="12"/>
  <c r="F133" i="12"/>
  <c r="F202" i="12"/>
  <c r="F245" i="12"/>
  <c r="F291" i="12"/>
  <c r="F322" i="12"/>
  <c r="F374" i="12"/>
  <c r="F425" i="12"/>
  <c r="F462" i="12"/>
  <c r="F511" i="12"/>
  <c r="F183" i="12"/>
  <c r="F210" i="12"/>
  <c r="F9" i="12"/>
  <c r="F41" i="12"/>
  <c r="F81" i="12"/>
  <c r="F117" i="12"/>
  <c r="G40" i="12"/>
  <c r="G80" i="12"/>
  <c r="G133" i="12"/>
  <c r="G202" i="12"/>
  <c r="G245" i="12"/>
  <c r="G291" i="12"/>
  <c r="G322" i="12"/>
  <c r="G374" i="12"/>
  <c r="G425" i="12"/>
  <c r="G462" i="12"/>
  <c r="G511" i="12"/>
  <c r="G183" i="12"/>
  <c r="G210" i="12"/>
  <c r="G9" i="12"/>
  <c r="G41" i="12"/>
  <c r="G81" i="12"/>
  <c r="G117" i="12"/>
  <c r="H40" i="12"/>
  <c r="H80" i="12"/>
  <c r="H133" i="12"/>
  <c r="H202" i="12"/>
  <c r="H245" i="12"/>
  <c r="H291" i="12"/>
  <c r="H322" i="12"/>
  <c r="H374" i="12"/>
  <c r="H425" i="12"/>
  <c r="H462" i="12"/>
  <c r="H511" i="12"/>
  <c r="H183" i="12"/>
  <c r="H210" i="12"/>
  <c r="H9" i="12"/>
  <c r="H41" i="12"/>
  <c r="H81" i="12"/>
  <c r="H117" i="12"/>
  <c r="C20" i="12"/>
  <c r="D20" i="12"/>
  <c r="F20" i="12"/>
  <c r="G20" i="12"/>
  <c r="H20" i="12"/>
  <c r="C373" i="12"/>
  <c r="C460" i="12"/>
  <c r="D373" i="12"/>
  <c r="D460" i="12"/>
  <c r="F373" i="12"/>
  <c r="F460" i="12"/>
  <c r="G373" i="12"/>
  <c r="G460" i="12"/>
  <c r="H373" i="12"/>
  <c r="H460" i="12"/>
  <c r="C290" i="12" l="1"/>
  <c r="D290" i="12"/>
  <c r="F290" i="12"/>
  <c r="G290" i="12"/>
  <c r="H290" i="12"/>
  <c r="C244" i="12"/>
  <c r="D244" i="12"/>
  <c r="F244" i="12"/>
  <c r="G244" i="12"/>
  <c r="H244" i="12"/>
  <c r="C229" i="12"/>
  <c r="D229" i="12"/>
  <c r="F229" i="12"/>
  <c r="G229" i="12"/>
  <c r="H229" i="12"/>
  <c r="D8" i="12" l="1"/>
  <c r="D115" i="12"/>
  <c r="D182" i="12"/>
  <c r="C8" i="12"/>
  <c r="C115" i="12"/>
  <c r="C182" i="12"/>
  <c r="F8" i="12"/>
  <c r="H8" i="12"/>
  <c r="H115" i="12"/>
  <c r="H182" i="12"/>
  <c r="G8" i="12"/>
  <c r="G115" i="12"/>
  <c r="G182" i="12"/>
  <c r="F115" i="12"/>
  <c r="F182" i="12"/>
  <c r="G36" i="9" l="1"/>
  <c r="G95" i="9"/>
  <c r="G94" i="9"/>
  <c r="G93" i="9"/>
  <c r="G92" i="9"/>
  <c r="G91" i="9"/>
  <c r="G90" i="9"/>
  <c r="G88" i="9"/>
  <c r="G87" i="9"/>
  <c r="G86" i="9"/>
  <c r="G85" i="9"/>
  <c r="G84" i="9"/>
  <c r="G83" i="9"/>
  <c r="G60" i="9"/>
  <c r="G41" i="9"/>
  <c r="G38" i="9"/>
  <c r="G37" i="9"/>
  <c r="G35" i="9"/>
  <c r="G34" i="9"/>
  <c r="G33" i="9"/>
  <c r="G32" i="9"/>
  <c r="G29" i="9"/>
  <c r="G27" i="9"/>
  <c r="G24" i="9"/>
  <c r="G22" i="9"/>
  <c r="G21" i="9"/>
  <c r="G19" i="9"/>
  <c r="G18" i="9"/>
  <c r="G17" i="9"/>
  <c r="G16" i="9"/>
  <c r="G15" i="9"/>
  <c r="G14" i="9"/>
  <c r="G11" i="9"/>
  <c r="G10" i="9"/>
  <c r="G9" i="9"/>
  <c r="G8" i="9"/>
  <c r="G7" i="9"/>
  <c r="G6" i="9"/>
  <c r="C111" i="8" l="1"/>
  <c r="C110" i="8"/>
  <c r="C109" i="8"/>
  <c r="C108" i="8"/>
  <c r="C107" i="8"/>
  <c r="C106" i="8"/>
  <c r="C105" i="8"/>
  <c r="C104" i="8"/>
  <c r="C103" i="8"/>
  <c r="C102" i="8"/>
  <c r="C101" i="8"/>
  <c r="C100" i="8"/>
  <c r="C99" i="8"/>
  <c r="C98" i="8"/>
  <c r="C97" i="8"/>
  <c r="C96" i="8"/>
  <c r="C95" i="8"/>
  <c r="C94" i="8"/>
  <c r="C93" i="8"/>
  <c r="C92" i="8"/>
  <c r="C91" i="8"/>
  <c r="C90" i="8"/>
  <c r="C89" i="8"/>
  <c r="C88" i="8"/>
  <c r="C87" i="8"/>
  <c r="C86" i="8"/>
  <c r="C85" i="8"/>
  <c r="C84" i="8"/>
  <c r="C83" i="8"/>
  <c r="C82" i="8"/>
  <c r="C81" i="8"/>
  <c r="C80" i="8"/>
  <c r="C79" i="8"/>
  <c r="C78" i="8"/>
  <c r="C77" i="8"/>
  <c r="C76" i="8"/>
  <c r="C75" i="8"/>
  <c r="C74" i="8"/>
  <c r="C73" i="8"/>
  <c r="C72" i="8"/>
  <c r="C71" i="8"/>
  <c r="C70" i="8"/>
  <c r="C69" i="8"/>
  <c r="C68" i="8"/>
  <c r="C67" i="8"/>
  <c r="C66" i="8"/>
  <c r="C65" i="8"/>
  <c r="C64" i="8"/>
  <c r="C63" i="8"/>
  <c r="C62" i="8"/>
  <c r="C61" i="8"/>
  <c r="C60" i="8"/>
  <c r="C59" i="8"/>
  <c r="C58" i="8"/>
  <c r="C57" i="8"/>
  <c r="C56" i="8"/>
  <c r="C55" i="8"/>
  <c r="C54" i="8"/>
  <c r="C53" i="8"/>
  <c r="C52" i="8"/>
  <c r="C51" i="8"/>
  <c r="C50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B29" i="8"/>
  <c r="CA29" i="8"/>
  <c r="BZ29" i="8"/>
  <c r="BY29" i="8"/>
  <c r="BX29" i="8"/>
  <c r="BW29" i="8"/>
  <c r="BV29" i="8"/>
  <c r="BU29" i="8"/>
  <c r="BT29" i="8"/>
  <c r="BS29" i="8"/>
  <c r="BR29" i="8"/>
  <c r="BQ29" i="8"/>
  <c r="BP29" i="8"/>
  <c r="BO29" i="8"/>
  <c r="BN29" i="8"/>
  <c r="BM29" i="8"/>
  <c r="BL29" i="8"/>
  <c r="BK29" i="8"/>
  <c r="BJ29" i="8"/>
  <c r="BI29" i="8"/>
  <c r="BH29" i="8"/>
  <c r="BG29" i="8"/>
  <c r="BF29" i="8"/>
  <c r="BE29" i="8"/>
  <c r="BD29" i="8"/>
  <c r="BC29" i="8"/>
  <c r="BB29" i="8"/>
  <c r="BA29" i="8"/>
  <c r="AZ29" i="8"/>
  <c r="AY29" i="8"/>
  <c r="AX29" i="8"/>
  <c r="AW29" i="8"/>
  <c r="AV29" i="8"/>
  <c r="AU29" i="8"/>
  <c r="AT29" i="8"/>
  <c r="AS29" i="8"/>
  <c r="AR29" i="8"/>
  <c r="AQ29" i="8"/>
  <c r="AP29" i="8"/>
  <c r="AO29" i="8"/>
  <c r="AN29" i="8"/>
  <c r="AM29" i="8"/>
  <c r="AL29" i="8"/>
  <c r="AK29" i="8"/>
  <c r="AJ29" i="8"/>
  <c r="AI29" i="8"/>
  <c r="AH29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AL4" i="8"/>
  <c r="AK4" i="8"/>
  <c r="AJ4" i="8"/>
  <c r="AI4" i="8"/>
  <c r="AH4" i="8"/>
  <c r="AG4" i="8"/>
  <c r="AF4" i="8"/>
  <c r="AE4" i="8"/>
  <c r="AD4" i="8"/>
  <c r="AC4" i="8"/>
  <c r="AB4" i="8"/>
  <c r="AA4" i="8"/>
  <c r="Z4" i="8"/>
  <c r="X4" i="8"/>
  <c r="W4" i="8"/>
  <c r="V4" i="8"/>
  <c r="U4" i="8"/>
  <c r="S4" i="8"/>
  <c r="R4" i="8"/>
  <c r="Q4" i="8"/>
  <c r="P4" i="8"/>
  <c r="O4" i="8"/>
  <c r="N4" i="8"/>
  <c r="M4" i="8"/>
  <c r="L4" i="8"/>
  <c r="K4" i="8"/>
  <c r="J4" i="8"/>
  <c r="H4" i="8"/>
  <c r="G4" i="8"/>
  <c r="F4" i="8"/>
  <c r="E4" i="8"/>
  <c r="D4" i="8"/>
  <c r="C4" i="8"/>
  <c r="AN3" i="7" l="1"/>
  <c r="AM3" i="7"/>
  <c r="AL3" i="7"/>
  <c r="AK3" i="7"/>
  <c r="AJ3" i="7"/>
  <c r="AI3" i="7"/>
  <c r="AH3" i="7"/>
  <c r="AG3" i="7"/>
  <c r="AF3" i="7"/>
  <c r="AE3" i="7"/>
  <c r="AD3" i="7"/>
  <c r="AC3" i="7"/>
  <c r="AB3" i="7"/>
  <c r="Z3" i="7"/>
  <c r="Y3" i="7"/>
  <c r="X3" i="7"/>
  <c r="V3" i="7"/>
  <c r="T3" i="7"/>
  <c r="R3" i="7"/>
  <c r="Q3" i="7"/>
  <c r="P3" i="7"/>
  <c r="O3" i="7"/>
  <c r="N3" i="7"/>
  <c r="M3" i="7"/>
  <c r="L3" i="7"/>
  <c r="K3" i="7"/>
  <c r="J3" i="7"/>
  <c r="I3" i="7"/>
  <c r="H3" i="7"/>
  <c r="G3" i="7"/>
  <c r="F3" i="7"/>
  <c r="E3" i="7"/>
  <c r="D3" i="7"/>
  <c r="C3" i="7"/>
  <c r="C111" i="6" l="1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CB29" i="6"/>
  <c r="CA29" i="6"/>
  <c r="BZ29" i="6"/>
  <c r="BY29" i="6"/>
  <c r="BX29" i="6"/>
  <c r="BW29" i="6"/>
  <c r="BV29" i="6"/>
  <c r="BU29" i="6"/>
  <c r="BT29" i="6"/>
  <c r="BS29" i="6"/>
  <c r="BR29" i="6"/>
  <c r="BQ29" i="6"/>
  <c r="BP29" i="6"/>
  <c r="BO29" i="6"/>
  <c r="BN29" i="6"/>
  <c r="BM29" i="6"/>
  <c r="BK29" i="6"/>
  <c r="BL29" i="6"/>
  <c r="BJ29" i="6"/>
  <c r="BI29" i="6"/>
  <c r="BH29" i="6"/>
  <c r="BG29" i="6"/>
  <c r="BF29" i="6"/>
  <c r="BE29" i="6"/>
  <c r="BD29" i="6"/>
  <c r="BC29" i="6"/>
  <c r="BB29" i="6"/>
  <c r="BA29" i="6"/>
  <c r="AZ29" i="6"/>
  <c r="AY29" i="6"/>
  <c r="AX29" i="6"/>
  <c r="AW29" i="6"/>
  <c r="AV29" i="6"/>
  <c r="AU29" i="6"/>
  <c r="AT29" i="6"/>
  <c r="AS29" i="6"/>
  <c r="AR29" i="6"/>
  <c r="AQ29" i="6"/>
  <c r="AP29" i="6"/>
  <c r="AO29" i="6"/>
  <c r="AN29" i="6"/>
  <c r="AM29" i="6"/>
  <c r="AL29" i="6"/>
  <c r="AK29" i="6"/>
  <c r="AJ29" i="6"/>
  <c r="AI29" i="6"/>
  <c r="AH29" i="6"/>
  <c r="AG29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 l="1"/>
  <c r="N29" i="6"/>
  <c r="M29" i="6"/>
  <c r="L29" i="6"/>
  <c r="K29" i="6"/>
  <c r="J29" i="6"/>
  <c r="I29" i="6"/>
  <c r="H29" i="6"/>
  <c r="G29" i="6"/>
  <c r="F29" i="6"/>
  <c r="E29" i="6"/>
  <c r="D29" i="6"/>
  <c r="C29" i="6"/>
  <c r="P4" i="6" l="1"/>
  <c r="AD4" i="6" l="1"/>
  <c r="AL4" i="6"/>
  <c r="AK4" i="6"/>
  <c r="AJ4" i="6"/>
  <c r="AI4" i="6"/>
  <c r="AH4" i="6"/>
  <c r="AG4" i="6"/>
  <c r="AF4" i="6"/>
  <c r="AE4" i="6"/>
  <c r="AC4" i="6"/>
  <c r="AB4" i="6"/>
  <c r="AA4" i="6"/>
  <c r="Z4" i="6"/>
  <c r="X4" i="6"/>
  <c r="W4" i="6"/>
  <c r="V4" i="6"/>
  <c r="U4" i="6"/>
  <c r="S4" i="6"/>
  <c r="R4" i="6"/>
  <c r="Q4" i="6"/>
  <c r="O4" i="6"/>
  <c r="N4" i="6"/>
  <c r="M4" i="6"/>
  <c r="L4" i="6"/>
  <c r="K4" i="6"/>
  <c r="J4" i="6"/>
  <c r="H4" i="6"/>
  <c r="G4" i="6"/>
  <c r="F4" i="6"/>
  <c r="E4" i="6"/>
  <c r="D4" i="6"/>
  <c r="C4" i="6"/>
  <c r="AL3" i="5"/>
  <c r="AI3" i="5"/>
  <c r="AH3" i="5"/>
  <c r="AG3" i="5"/>
  <c r="AF3" i="5"/>
  <c r="AE3" i="5"/>
  <c r="AD3" i="5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AM28" i="4" l="1"/>
  <c r="AN28" i="4"/>
  <c r="AO28" i="4"/>
  <c r="AP28" i="4"/>
  <c r="AQ28" i="4"/>
  <c r="AR28" i="4"/>
  <c r="AS28" i="4"/>
  <c r="AT28" i="4"/>
  <c r="AU28" i="4"/>
  <c r="AV28" i="4"/>
  <c r="AW28" i="4"/>
  <c r="AL28" i="4"/>
  <c r="AI28" i="4"/>
  <c r="AG28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AL3" i="4"/>
  <c r="AI3" i="4"/>
  <c r="AH3" i="4"/>
  <c r="AG3" i="4"/>
  <c r="AF3" i="4"/>
  <c r="AE3" i="4"/>
  <c r="AD3" i="4"/>
  <c r="AC3" i="4"/>
  <c r="AB3" i="4"/>
  <c r="AA3" i="4"/>
  <c r="Z3" i="4"/>
  <c r="Y3" i="4"/>
  <c r="X3" i="4"/>
  <c r="W3" i="4"/>
  <c r="V3" i="4"/>
  <c r="U3" i="4"/>
  <c r="T3" i="4"/>
  <c r="S3" i="4"/>
  <c r="R3" i="4"/>
  <c r="Q3" i="4"/>
  <c r="P3" i="4"/>
  <c r="O3" i="4"/>
  <c r="N3" i="4"/>
  <c r="M3" i="4"/>
  <c r="L3" i="4"/>
  <c r="K3" i="4"/>
  <c r="J3" i="4"/>
  <c r="I3" i="4"/>
  <c r="H3" i="4"/>
  <c r="G3" i="4"/>
  <c r="F3" i="4"/>
  <c r="E3" i="4"/>
  <c r="D3" i="4"/>
  <c r="C3" i="4"/>
  <c r="C28" i="1"/>
  <c r="AE28" i="1"/>
  <c r="AJ28" i="1"/>
  <c r="C37" i="3" s="1"/>
  <c r="F37" i="3" s="1"/>
  <c r="G37" i="3" s="1"/>
  <c r="C4" i="3"/>
  <c r="F4" i="3" s="1"/>
  <c r="G4" i="3" s="1"/>
  <c r="D28" i="1"/>
  <c r="C5" i="3" s="1"/>
  <c r="F5" i="3" s="1"/>
  <c r="G5" i="3" s="1"/>
  <c r="E28" i="1"/>
  <c r="C6" i="3" s="1"/>
  <c r="F6" i="3" s="1"/>
  <c r="G6" i="3" s="1"/>
  <c r="F28" i="1"/>
  <c r="C7" i="3"/>
  <c r="F7" i="3" s="1"/>
  <c r="G7" i="3" s="1"/>
  <c r="G28" i="1"/>
  <c r="C8" i="3" s="1"/>
  <c r="F8" i="3" s="1"/>
  <c r="G8" i="3" s="1"/>
  <c r="H28" i="1"/>
  <c r="C9" i="3" s="1"/>
  <c r="F9" i="3" s="1"/>
  <c r="G9" i="3" s="1"/>
  <c r="I28" i="1"/>
  <c r="C10" i="3"/>
  <c r="J28" i="1"/>
  <c r="C11" i="3" s="1"/>
  <c r="F11" i="3" s="1"/>
  <c r="G11" i="3" s="1"/>
  <c r="K28" i="1"/>
  <c r="C12" i="3" s="1"/>
  <c r="F12" i="3" s="1"/>
  <c r="G12" i="3" s="1"/>
  <c r="L28" i="1"/>
  <c r="C13" i="3"/>
  <c r="F13" i="3" s="1"/>
  <c r="G13" i="3" s="1"/>
  <c r="M28" i="1"/>
  <c r="C14" i="3" s="1"/>
  <c r="F14" i="3" s="1"/>
  <c r="G14" i="3" s="1"/>
  <c r="N28" i="1"/>
  <c r="C15" i="3" s="1"/>
  <c r="F15" i="3" s="1"/>
  <c r="G15" i="3" s="1"/>
  <c r="O28" i="1"/>
  <c r="C16" i="3"/>
  <c r="P28" i="1"/>
  <c r="C17" i="3" s="1"/>
  <c r="F17" i="3" s="1"/>
  <c r="G17" i="3" s="1"/>
  <c r="Q28" i="1"/>
  <c r="C18" i="3" s="1"/>
  <c r="F18" i="3" s="1"/>
  <c r="G18" i="3" s="1"/>
  <c r="R28" i="1"/>
  <c r="C19" i="3"/>
  <c r="F19" i="3" s="1"/>
  <c r="G19" i="3" s="1"/>
  <c r="S28" i="1"/>
  <c r="C20" i="3" s="1"/>
  <c r="F20" i="3" s="1"/>
  <c r="G20" i="3" s="1"/>
  <c r="T28" i="1"/>
  <c r="C21" i="3" s="1"/>
  <c r="F21" i="3" s="1"/>
  <c r="G21" i="3" s="1"/>
  <c r="U28" i="1"/>
  <c r="C22" i="3"/>
  <c r="V28" i="1"/>
  <c r="C23" i="3" s="1"/>
  <c r="F23" i="3" s="1"/>
  <c r="G23" i="3" s="1"/>
  <c r="X28" i="1"/>
  <c r="C25" i="3" s="1"/>
  <c r="F25" i="3" s="1"/>
  <c r="G25" i="3" s="1"/>
  <c r="Y28" i="1"/>
  <c r="C26" i="3"/>
  <c r="F26" i="3" s="1"/>
  <c r="G26" i="3" s="1"/>
  <c r="Z28" i="1"/>
  <c r="C27" i="3" s="1"/>
  <c r="F27" i="3" s="1"/>
  <c r="G27" i="3" s="1"/>
  <c r="AA28" i="1"/>
  <c r="C28" i="3" s="1"/>
  <c r="F28" i="3" s="1"/>
  <c r="G28" i="3" s="1"/>
  <c r="AB28" i="1"/>
  <c r="C29" i="3"/>
  <c r="F29" i="3" s="1"/>
  <c r="G29" i="3" s="1"/>
  <c r="AC28" i="1"/>
  <c r="C30" i="3" s="1"/>
  <c r="F30" i="3" s="1"/>
  <c r="G30" i="3" s="1"/>
  <c r="AD28" i="1"/>
  <c r="C31" i="3" s="1"/>
  <c r="F31" i="3" s="1"/>
  <c r="G31" i="3" s="1"/>
  <c r="C32" i="3"/>
  <c r="F32" i="3" s="1"/>
  <c r="G32" i="3" s="1"/>
  <c r="AF28" i="1"/>
  <c r="C33" i="3" s="1"/>
  <c r="F33" i="3" s="1"/>
  <c r="G33" i="3" s="1"/>
  <c r="AG28" i="1"/>
  <c r="C34" i="3"/>
  <c r="AH28" i="1"/>
  <c r="C35" i="3"/>
  <c r="AI28" i="1"/>
  <c r="C36" i="3" s="1"/>
  <c r="F36" i="3" s="1"/>
  <c r="G36" i="3" s="1"/>
  <c r="W28" i="1"/>
  <c r="C24" i="3"/>
  <c r="F24" i="3" s="1"/>
  <c r="G24" i="3" s="1"/>
  <c r="F34" i="3"/>
  <c r="G34" i="3" s="1"/>
  <c r="F16" i="3"/>
  <c r="G16" i="3" s="1"/>
  <c r="F22" i="3"/>
  <c r="G22" i="3" s="1"/>
  <c r="F35" i="3"/>
  <c r="G35" i="3" s="1"/>
  <c r="F10" i="3"/>
  <c r="G10" i="3" s="1"/>
  <c r="AG3" i="1"/>
  <c r="C3" i="1"/>
  <c r="AJ3" i="1"/>
  <c r="AI3" i="1"/>
  <c r="AH3" i="1"/>
  <c r="AF3" i="1"/>
  <c r="AE3" i="1"/>
  <c r="AD3" i="1"/>
  <c r="AC3" i="1"/>
  <c r="AB3" i="1"/>
  <c r="AA3" i="1"/>
  <c r="Z3" i="1"/>
  <c r="Y3" i="1"/>
  <c r="X3" i="1"/>
  <c r="W3" i="1"/>
  <c r="V3" i="1"/>
  <c r="U3" i="1"/>
  <c r="T3" i="1"/>
  <c r="S3" i="1"/>
  <c r="R3" i="1"/>
  <c r="Q3" i="1"/>
  <c r="P3" i="1"/>
  <c r="O3" i="1"/>
  <c r="N3" i="1"/>
  <c r="M3" i="1"/>
  <c r="L3" i="1"/>
  <c r="K3" i="1"/>
  <c r="J3" i="1"/>
  <c r="D3" i="1"/>
  <c r="E3" i="1"/>
  <c r="F3" i="1"/>
  <c r="G3" i="1"/>
  <c r="H3" i="1"/>
  <c r="I3" i="1"/>
  <c r="G38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JDC15</author>
  </authors>
  <commentList>
    <comment ref="B1011" authorId="0" shapeId="0" xr:uid="{98D8FFF1-2F4E-443A-9F63-96C53EABB331}">
      <text>
        <r>
          <rPr>
            <b/>
            <sz val="9"/>
            <color indexed="81"/>
            <rFont val="Tahoma"/>
            <family val="2"/>
          </rPr>
          <t>Pour cabane à gabarits mail NCL du 21/10/2020 11H58</t>
        </r>
      </text>
    </comment>
    <comment ref="B1012" authorId="0" shapeId="0" xr:uid="{15F558F6-0942-45C9-A169-A0C274B33115}">
      <text>
        <r>
          <rPr>
            <b/>
            <sz val="9"/>
            <color indexed="81"/>
            <rFont val="Tahoma"/>
            <family val="2"/>
          </rPr>
          <t>Pour cabane à gabarits mail NCL du 21/10/2020 11H58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<sst xmlns="http://schemas.openxmlformats.org/spreadsheetml/2006/main" count="6143" uniqueCount="565">
  <si>
    <t>Nom</t>
  </si>
  <si>
    <t>Prénom</t>
  </si>
  <si>
    <t>BENAMROUCHE</t>
  </si>
  <si>
    <t>Ali</t>
  </si>
  <si>
    <t>BIAUDET</t>
  </si>
  <si>
    <t>Stéphane</t>
  </si>
  <si>
    <t>Hugo</t>
  </si>
  <si>
    <t xml:space="preserve">BIDAULT </t>
  </si>
  <si>
    <t>Arnaud</t>
  </si>
  <si>
    <t xml:space="preserve">CORBEL </t>
  </si>
  <si>
    <t>Jimmy</t>
  </si>
  <si>
    <t>DEFAY</t>
  </si>
  <si>
    <t>Franck</t>
  </si>
  <si>
    <t xml:space="preserve">DIALLO </t>
  </si>
  <si>
    <t>Oumar</t>
  </si>
  <si>
    <t>DIOGO DA SILVA</t>
  </si>
  <si>
    <t>Gabriel</t>
  </si>
  <si>
    <t>DOS SANTOS</t>
  </si>
  <si>
    <t>Tiago</t>
  </si>
  <si>
    <t xml:space="preserve">GALLE </t>
  </si>
  <si>
    <t>Gérard</t>
  </si>
  <si>
    <t>GERMAIN</t>
  </si>
  <si>
    <t>RUDY</t>
  </si>
  <si>
    <t>HITACHE</t>
  </si>
  <si>
    <t>Mostepha</t>
  </si>
  <si>
    <t>KEITA</t>
  </si>
  <si>
    <t>Cheickne</t>
  </si>
  <si>
    <t>LE GALLOU</t>
  </si>
  <si>
    <t>Jess</t>
  </si>
  <si>
    <t>MONNATE</t>
  </si>
  <si>
    <t>Ludowic</t>
  </si>
  <si>
    <t xml:space="preserve">PERNEY </t>
  </si>
  <si>
    <t>Maxime</t>
  </si>
  <si>
    <t>PRUVOT</t>
  </si>
  <si>
    <t xml:space="preserve">Laurent </t>
  </si>
  <si>
    <t xml:space="preserve">REVILLA </t>
  </si>
  <si>
    <t>Marvin</t>
  </si>
  <si>
    <t>ROSA MACHADO</t>
  </si>
  <si>
    <t>Marcelo</t>
  </si>
  <si>
    <t>SALHI</t>
  </si>
  <si>
    <t>Lahcene</t>
  </si>
  <si>
    <t xml:space="preserve">STOPPA </t>
  </si>
  <si>
    <t>Samy</t>
  </si>
  <si>
    <t>Prix</t>
  </si>
  <si>
    <t>Cadenas</t>
  </si>
  <si>
    <t>Coffre 026-001</t>
  </si>
  <si>
    <t>Pince à dénuder 257-160</t>
  </si>
  <si>
    <t>Lime demi ronde 805-209</t>
  </si>
  <si>
    <t>Pince coupante 1000v 256-160</t>
  </si>
  <si>
    <t>Coupe câble</t>
  </si>
  <si>
    <t>Scie à métaux 840-001</t>
  </si>
  <si>
    <t>Mètre pliant</t>
  </si>
  <si>
    <t>Burin plat 753-22-16-300</t>
  </si>
  <si>
    <t>Burin pointe 754-04-16-300</t>
  </si>
  <si>
    <t>Massette 704-1250</t>
  </si>
  <si>
    <t>Niveau</t>
  </si>
  <si>
    <t>Jeu tournevis</t>
  </si>
  <si>
    <t>Pince étau 275-175</t>
  </si>
  <si>
    <t>Coffret douilles 531-002</t>
  </si>
  <si>
    <t>Clef à pipe 10/462-10</t>
  </si>
  <si>
    <t>Clef à pipe 13/462-13</t>
  </si>
  <si>
    <t>Clef à pipe 17/462-17</t>
  </si>
  <si>
    <t>Clef à pipe 19/462-19</t>
  </si>
  <si>
    <t>Clef plate 10/451-10</t>
  </si>
  <si>
    <t>Clef plate 13/451-13</t>
  </si>
  <si>
    <t>Clef plate 17/451-17</t>
  </si>
  <si>
    <t>Clef plate 19/451-19</t>
  </si>
  <si>
    <t>Cutter</t>
  </si>
  <si>
    <t>Clef allen 602-009</t>
  </si>
  <si>
    <t>Outil à dégainer 296-032</t>
  </si>
  <si>
    <t>Testeur Fluke</t>
  </si>
  <si>
    <t xml:space="preserve">Boite embouts </t>
  </si>
  <si>
    <t>Pince colson</t>
  </si>
  <si>
    <t>Lunette de protection</t>
  </si>
  <si>
    <t>Casque chantier</t>
  </si>
  <si>
    <t>Lampe frontale</t>
  </si>
  <si>
    <t>NOK</t>
  </si>
  <si>
    <t>OK</t>
  </si>
  <si>
    <t>?</t>
  </si>
  <si>
    <t xml:space="preserve">EN ATTENTE </t>
  </si>
  <si>
    <t>AIT RAISS</t>
  </si>
  <si>
    <t>Omar</t>
  </si>
  <si>
    <t>à commander :</t>
  </si>
  <si>
    <t>tenaille</t>
  </si>
  <si>
    <t xml:space="preserve">MONNATE </t>
  </si>
  <si>
    <t>lime plate</t>
  </si>
  <si>
    <t>une boite de foret métal</t>
  </si>
  <si>
    <t>un mètre ruban</t>
  </si>
  <si>
    <t xml:space="preserve">crayon de maçon </t>
  </si>
  <si>
    <t>clé à molette 15</t>
  </si>
  <si>
    <t>GALLE</t>
  </si>
  <si>
    <t>pince multiprise</t>
  </si>
  <si>
    <t>douille de 17</t>
  </si>
  <si>
    <t>gros burin</t>
  </si>
  <si>
    <t>grosse clé à molette 15 pouces</t>
  </si>
  <si>
    <t>Clé à griffe 20 pouces</t>
  </si>
  <si>
    <t>rondelles de carotteuse à bague</t>
  </si>
  <si>
    <t>bagues carotteuse</t>
  </si>
  <si>
    <t>A COMMANDER</t>
  </si>
  <si>
    <t>total</t>
  </si>
  <si>
    <t>Qté en stock</t>
  </si>
  <si>
    <t>qté à commander</t>
  </si>
  <si>
    <t>Pince à Sertir</t>
  </si>
  <si>
    <t>Clef à molette 493-250</t>
  </si>
  <si>
    <t xml:space="preserve">LISTE PERSONNEL OUTILLAGE </t>
  </si>
  <si>
    <t>DEPOORTER</t>
  </si>
  <si>
    <t>Jonathan</t>
  </si>
  <si>
    <t xml:space="preserve">DEPOORTER </t>
  </si>
  <si>
    <t>couteau électricien</t>
  </si>
  <si>
    <t>pince coupe cable 95²</t>
  </si>
  <si>
    <t>en stock : (à fournir)</t>
  </si>
  <si>
    <t>Qté Besoin</t>
  </si>
  <si>
    <t xml:space="preserve">Qté Besoin pour le stock </t>
  </si>
  <si>
    <t>Besoin individuel à commander :</t>
  </si>
  <si>
    <t>crayon de maçon</t>
  </si>
  <si>
    <t>forêt conique (Non attitré voir avec Nico)</t>
  </si>
  <si>
    <t>fixe</t>
  </si>
  <si>
    <t>cle à griffe 18p</t>
  </si>
  <si>
    <t>clé universelle ref 470-001</t>
  </si>
  <si>
    <t>Douille de 17</t>
  </si>
  <si>
    <t>NOK mais pas besoin</t>
  </si>
  <si>
    <t>Tenaille</t>
  </si>
  <si>
    <t>18-02-19 lime plate</t>
  </si>
  <si>
    <t>Boite fôrets métal</t>
  </si>
  <si>
    <t>Jeu de tournevis pro avec embouts de vissage 1/4 ref 438-008</t>
  </si>
  <si>
    <t>OK incomplète</t>
  </si>
  <si>
    <t xml:space="preserve">clé dynamométrique </t>
  </si>
  <si>
    <t>Fôrets étagés forch 55295522</t>
  </si>
  <si>
    <t>Mètre 5m</t>
  </si>
  <si>
    <t>Chaufrette</t>
  </si>
  <si>
    <t>ZERHOUNI</t>
  </si>
  <si>
    <t>Fawzi</t>
  </si>
  <si>
    <t>pince à bec ronde</t>
  </si>
  <si>
    <t>pointaux</t>
  </si>
  <si>
    <t>clé plate 8/9/11/14/16/18</t>
  </si>
  <si>
    <t>cliquet</t>
  </si>
  <si>
    <t>OK + 11 douilles</t>
  </si>
  <si>
    <t xml:space="preserve">couteau électricien </t>
  </si>
  <si>
    <t>clé a pipe 8 + clé mixte 8</t>
  </si>
  <si>
    <t>clé plate à cliquet 22</t>
  </si>
  <si>
    <t xml:space="preserve">ENROULEUR </t>
  </si>
  <si>
    <t>16/04/2019 (perdu)+ remplacement le 28/06/2019</t>
  </si>
  <si>
    <t>Tony</t>
  </si>
  <si>
    <t xml:space="preserve">OK x 2 </t>
  </si>
  <si>
    <t>Pistolet silicone</t>
  </si>
  <si>
    <t>Pince à long bec</t>
  </si>
  <si>
    <t>Pince multi cran</t>
  </si>
  <si>
    <t>clé plate 10 + 14</t>
  </si>
  <si>
    <t>clé à pipe 8 + 14</t>
  </si>
  <si>
    <t>Stan</t>
  </si>
  <si>
    <t>ns° O0001328</t>
  </si>
  <si>
    <t>ns°44010087WS</t>
  </si>
  <si>
    <t>ns°43600867WS</t>
  </si>
  <si>
    <t>ns°44010088WS</t>
  </si>
  <si>
    <t>ns°43601230WS</t>
  </si>
  <si>
    <t>ns°43600870WS</t>
  </si>
  <si>
    <t>ns°43601231WS</t>
  </si>
  <si>
    <t>Protection anti bruit</t>
  </si>
  <si>
    <t xml:space="preserve">reglette pour véhicule </t>
  </si>
  <si>
    <t>02/09/2019 UJU</t>
  </si>
  <si>
    <t>Genouillère</t>
  </si>
  <si>
    <t>ns°46520350WS</t>
  </si>
  <si>
    <t>MARTINS</t>
  </si>
  <si>
    <t>Dominique</t>
  </si>
  <si>
    <t>ns°43600871WS</t>
  </si>
  <si>
    <t xml:space="preserve">PASTOR </t>
  </si>
  <si>
    <t>Pepito</t>
  </si>
  <si>
    <t>ns°900956MEF</t>
  </si>
  <si>
    <t>ns°39040987WS</t>
  </si>
  <si>
    <t>ns°41711278WS</t>
  </si>
  <si>
    <t>Pioche d'égouttier</t>
  </si>
  <si>
    <t>08/11/2019 x2</t>
  </si>
  <si>
    <t xml:space="preserve"> 8/11/2019</t>
  </si>
  <si>
    <t>19/09/2019 KJC + 1 x 14/11/209 + 1 rallonge de réglette</t>
  </si>
  <si>
    <t xml:space="preserve">boite de rangement stanley </t>
  </si>
  <si>
    <t>2 x 14/11/2019</t>
  </si>
  <si>
    <t>18/06/2019 x 1 + 14/11/2019</t>
  </si>
  <si>
    <t>cliquet rapide 1/4 19/11/2019</t>
  </si>
  <si>
    <t>NOK HS a remplacer</t>
  </si>
  <si>
    <t>ns°17101031
rendu le 11/12 car préfère travailler avec la sienne perso</t>
  </si>
  <si>
    <t>petite disqueuse sur batterie</t>
  </si>
  <si>
    <t>pince à sertir virax 252900</t>
  </si>
  <si>
    <t>clé allen 5</t>
  </si>
  <si>
    <t>clé titan</t>
  </si>
  <si>
    <t>embout adaptateur pour les douilles pour les boulonneuses</t>
  </si>
  <si>
    <t>embouts de clé allen à mettre sur les cliquets (avec une grande longueur d'embout ou l'on rentre l'embout pour visser) 1,5 à 10</t>
  </si>
  <si>
    <t>nok pas besoin</t>
  </si>
  <si>
    <t>ns°38350038WS</t>
  </si>
  <si>
    <t>14/11/2019 (celui du 18/06 a été perdu)</t>
  </si>
  <si>
    <t>Coupe câble à cliquet 'ref KLAUKE K106/2 ou model du dessous (P17030/384)</t>
  </si>
  <si>
    <t>A ACHETER :</t>
  </si>
  <si>
    <t>Clé plate 28/32/36</t>
  </si>
  <si>
    <t>ns°Q0005091</t>
  </si>
  <si>
    <t>ns°43600866WS</t>
  </si>
  <si>
    <t>ns°38350034WS</t>
  </si>
  <si>
    <t xml:space="preserve">Jeu de clé plate à cliquet </t>
  </si>
  <si>
    <t>jeu de clé torx</t>
  </si>
  <si>
    <t>Clef plate 12</t>
  </si>
  <si>
    <t>Clef à pipe 12</t>
  </si>
  <si>
    <t>Douille de 16</t>
  </si>
  <si>
    <t>rallonge de  cliquet</t>
  </si>
  <si>
    <t>clé à pipe 16</t>
  </si>
  <si>
    <t>Clé mixte à cliquet 17</t>
  </si>
  <si>
    <t>clé allen</t>
  </si>
  <si>
    <t>C.A 5220G</t>
  </si>
  <si>
    <t>electro portatif</t>
  </si>
  <si>
    <t>pour complément de ME33 + ME36 + ME30</t>
  </si>
  <si>
    <t>Pruvot s</t>
  </si>
  <si>
    <t>hikoki WR 18DSHL boulonneuse</t>
  </si>
  <si>
    <t>hikoki G13 SR4 petite meuleuse</t>
  </si>
  <si>
    <t xml:space="preserve">outillage </t>
  </si>
  <si>
    <t>Petite disqueuse sur batterie</t>
  </si>
  <si>
    <t xml:space="preserve">à commander </t>
  </si>
  <si>
    <t>dérouleuse de touret de cables</t>
  </si>
  <si>
    <t>dérouleuse sabot poids mini 500 kg</t>
  </si>
  <si>
    <t>karcher</t>
  </si>
  <si>
    <t>remorque inférieure ou égale à 750Kg</t>
  </si>
  <si>
    <t>meuleuse sur Accu</t>
  </si>
  <si>
    <t>ensemble meuleuse filaire (petite et grande)</t>
  </si>
  <si>
    <t>Scie sauteuse</t>
  </si>
  <si>
    <t xml:space="preserve">Orly : </t>
  </si>
  <si>
    <t>ok</t>
  </si>
  <si>
    <t>Clef à pipe 16</t>
  </si>
  <si>
    <t>OK x 1
1 x 28/02/2020</t>
  </si>
  <si>
    <t>Douille impact 3/4 longueur 36mm + augmentateur 1/2 à 3/4</t>
  </si>
  <si>
    <t>28/02/2020 grande Malette à douilles</t>
  </si>
  <si>
    <t>Jeu de clé plate à cliquet</t>
  </si>
  <si>
    <t>pied a bec rond</t>
  </si>
  <si>
    <t>rallonge de cliquet</t>
  </si>
  <si>
    <t>pioches d'egouttier</t>
  </si>
  <si>
    <t>embouts clé allen à mettre sur les cliquets (avec une grande longueur d'embouts ou l'on rentre pour visser 1,5 à 10)</t>
  </si>
  <si>
    <t>CA 5220 G</t>
  </si>
  <si>
    <t>Clé plate 41</t>
  </si>
  <si>
    <t xml:space="preserve">à commander : </t>
  </si>
  <si>
    <t>maj 29/04/2020</t>
  </si>
  <si>
    <t xml:space="preserve">? ( je vois pas ce que c'est ) </t>
  </si>
  <si>
    <t>stock NCL</t>
  </si>
  <si>
    <t xml:space="preserve">Désignation </t>
  </si>
  <si>
    <t>besoin</t>
  </si>
  <si>
    <t>Désignation</t>
  </si>
  <si>
    <t>Luc</t>
  </si>
  <si>
    <t>Carine</t>
  </si>
  <si>
    <t>x</t>
  </si>
  <si>
    <t>coupe cable à cliquet réf KLAUKE K106/2 Idem P17030/384</t>
  </si>
  <si>
    <t>clef à pipe 12</t>
  </si>
  <si>
    <t>clef plate 12</t>
  </si>
  <si>
    <t>Matériel</t>
  </si>
  <si>
    <t>réf</t>
  </si>
  <si>
    <t>nok</t>
  </si>
  <si>
    <t>28/02/2020 grande malette à douilles</t>
  </si>
  <si>
    <t xml:space="preserve">Douille impact 3/4 longueur 36mm </t>
  </si>
  <si>
    <t>augmentateur 1/2 à 3/4</t>
  </si>
  <si>
    <t>NS 17101031 rendu le 11/12/19 préfère travailler avec la sienne perso</t>
  </si>
  <si>
    <t>clé mixte 8</t>
  </si>
  <si>
    <t>NS O0001328</t>
  </si>
  <si>
    <t>BIAUDET.S</t>
  </si>
  <si>
    <t>BIAUDET.H</t>
  </si>
  <si>
    <t>MONNATE.L</t>
  </si>
  <si>
    <t>MONNATE.T</t>
  </si>
  <si>
    <t>NS 44010087WS</t>
  </si>
  <si>
    <t>NS 43600867WS</t>
  </si>
  <si>
    <t>8/11/2019 x2</t>
  </si>
  <si>
    <t>NS Q0005091</t>
  </si>
  <si>
    <t>NS 44010088WS</t>
  </si>
  <si>
    <t>NS 43600871WS</t>
  </si>
  <si>
    <t>18/02/2019 lime plate</t>
  </si>
  <si>
    <t>NS 43601230WS</t>
  </si>
  <si>
    <t>NS 43600870WS</t>
  </si>
  <si>
    <t>NS 900956MEF</t>
  </si>
  <si>
    <t>1 + 1x 28/02/2020</t>
  </si>
  <si>
    <t>NS 43600866WS</t>
  </si>
  <si>
    <t>ok incomplète</t>
  </si>
  <si>
    <t>NS 26081498 perdu ?</t>
  </si>
  <si>
    <t>à vérifier</t>
  </si>
  <si>
    <t>NS 38350038WS</t>
  </si>
  <si>
    <t>Cliquet rapide 1/4</t>
  </si>
  <si>
    <t>NS 46520350WS</t>
  </si>
  <si>
    <t xml:space="preserve">Coffre </t>
  </si>
  <si>
    <t>Pince à dénuder</t>
  </si>
  <si>
    <t>Lime demi ronde</t>
  </si>
  <si>
    <t>Pince coupante 1000v</t>
  </si>
  <si>
    <t>Scie à métaux</t>
  </si>
  <si>
    <t xml:space="preserve">Burin plat </t>
  </si>
  <si>
    <t>Burin pointe</t>
  </si>
  <si>
    <t xml:space="preserve">Massette </t>
  </si>
  <si>
    <t xml:space="preserve">Pince étau </t>
  </si>
  <si>
    <t xml:space="preserve">Coffret douilles </t>
  </si>
  <si>
    <t>Outil à dégainer</t>
  </si>
  <si>
    <t xml:space="preserve">clé universelle </t>
  </si>
  <si>
    <t>Dymo</t>
  </si>
  <si>
    <t>08/09/2019 DYM02</t>
  </si>
  <si>
    <t>FOURAR</t>
  </si>
  <si>
    <t>8,9,10,11,12,13,14,16,17,18,19,24</t>
  </si>
  <si>
    <t xml:space="preserve">boite de rangement </t>
  </si>
  <si>
    <t xml:space="preserve">STOCK 03 </t>
  </si>
  <si>
    <t>STOCK 04
ORLY 08</t>
  </si>
  <si>
    <t>STOCK 07</t>
  </si>
  <si>
    <t>BRADY BMP21</t>
  </si>
  <si>
    <t>BRADY BMP71</t>
  </si>
  <si>
    <t>BMP21-1</t>
  </si>
  <si>
    <t>BMP71-1</t>
  </si>
  <si>
    <t>DYM03</t>
  </si>
  <si>
    <t>BMP21-2</t>
  </si>
  <si>
    <t>BMP71-2</t>
  </si>
  <si>
    <t>BMP71-3</t>
  </si>
  <si>
    <t>Matricule</t>
  </si>
  <si>
    <t>Service</t>
  </si>
  <si>
    <t>OAI</t>
  </si>
  <si>
    <t>ELEC</t>
  </si>
  <si>
    <t>JPB</t>
  </si>
  <si>
    <t>BAR</t>
  </si>
  <si>
    <t>Jean-Paul</t>
  </si>
  <si>
    <t>RC</t>
  </si>
  <si>
    <t>ABE</t>
  </si>
  <si>
    <t>SBI</t>
  </si>
  <si>
    <t>GC</t>
  </si>
  <si>
    <t>HBI</t>
  </si>
  <si>
    <t>ABI</t>
  </si>
  <si>
    <t>SBO</t>
  </si>
  <si>
    <t>BOUCKHACHEKH</t>
  </si>
  <si>
    <t>Smain</t>
  </si>
  <si>
    <t>BE</t>
  </si>
  <si>
    <t>DCE</t>
  </si>
  <si>
    <t>CEGIELSKI</t>
  </si>
  <si>
    <t>Damien</t>
  </si>
  <si>
    <t>RA</t>
  </si>
  <si>
    <t>NCL</t>
  </si>
  <si>
    <t>CLAUX</t>
  </si>
  <si>
    <t>Nicolas</t>
  </si>
  <si>
    <t>AD</t>
  </si>
  <si>
    <t>JDE</t>
  </si>
  <si>
    <t>ODI</t>
  </si>
  <si>
    <t>DIALLO</t>
  </si>
  <si>
    <t>MFO</t>
  </si>
  <si>
    <t>Mohamed</t>
  </si>
  <si>
    <t>GGA</t>
  </si>
  <si>
    <t>RGE</t>
  </si>
  <si>
    <t>Rudy</t>
  </si>
  <si>
    <t>CKE</t>
  </si>
  <si>
    <t>JLE</t>
  </si>
  <si>
    <t>LEFEBVRE</t>
  </si>
  <si>
    <t>Joël</t>
  </si>
  <si>
    <t>JMA</t>
  </si>
  <si>
    <t xml:space="preserve">MACIAS </t>
  </si>
  <si>
    <t>Julien</t>
  </si>
  <si>
    <t>CC</t>
  </si>
  <si>
    <t>DMA</t>
  </si>
  <si>
    <t>SMA</t>
  </si>
  <si>
    <t>Sébastien</t>
  </si>
  <si>
    <t>BME</t>
  </si>
  <si>
    <t>MEILHAC</t>
  </si>
  <si>
    <t>Benjamin</t>
  </si>
  <si>
    <t>MMI</t>
  </si>
  <si>
    <t>MICHONNEAU</t>
  </si>
  <si>
    <t>Mathieu</t>
  </si>
  <si>
    <t>LMO</t>
  </si>
  <si>
    <t>RE</t>
  </si>
  <si>
    <t>TMO</t>
  </si>
  <si>
    <t>JPA</t>
  </si>
  <si>
    <t>PASTOR</t>
  </si>
  <si>
    <t>Javier</t>
  </si>
  <si>
    <t>MPE</t>
  </si>
  <si>
    <t>SPR</t>
  </si>
  <si>
    <t>LPR</t>
  </si>
  <si>
    <t>Laurent</t>
  </si>
  <si>
    <t>MRO</t>
  </si>
  <si>
    <t xml:space="preserve">Marcelo </t>
  </si>
  <si>
    <t>LSA</t>
  </si>
  <si>
    <t>SST</t>
  </si>
  <si>
    <t>STOPPA</t>
  </si>
  <si>
    <t>CTH</t>
  </si>
  <si>
    <t xml:space="preserve">THENARD </t>
  </si>
  <si>
    <t>IVI</t>
  </si>
  <si>
    <t>VIGREUX</t>
  </si>
  <si>
    <t>Isoline</t>
  </si>
  <si>
    <t>EWO</t>
  </si>
  <si>
    <t>WONEGOU</t>
  </si>
  <si>
    <t>Eli</t>
  </si>
  <si>
    <t>FZE</t>
  </si>
  <si>
    <t>État</t>
  </si>
  <si>
    <t>Remis</t>
  </si>
  <si>
    <t>Perdu</t>
  </si>
  <si>
    <t>Liste matériel</t>
  </si>
  <si>
    <t xml:space="preserve">Date </t>
  </si>
  <si>
    <t>Prix matériel</t>
  </si>
  <si>
    <t>Réf matériel</t>
  </si>
  <si>
    <t>TABLEAU DE BORD - SUIVI REMISE et PERTE OUTILLAGES</t>
  </si>
  <si>
    <t>Total général</t>
  </si>
  <si>
    <t>INDICATEURS OUTILLAGE</t>
  </si>
  <si>
    <t>NB Réf. matériel</t>
  </si>
  <si>
    <t>Montant</t>
  </si>
  <si>
    <t>Cadena</t>
  </si>
  <si>
    <t>Coffre</t>
  </si>
  <si>
    <t>Clé à molette</t>
  </si>
  <si>
    <t>lime demi ronde</t>
  </si>
  <si>
    <t>Burin plat</t>
  </si>
  <si>
    <t>Massette</t>
  </si>
  <si>
    <t>Pince étau</t>
  </si>
  <si>
    <t>Coffret douilles</t>
  </si>
  <si>
    <t>Boite embouts</t>
  </si>
  <si>
    <t>Douille impact 3/4 longueur 36mm</t>
  </si>
  <si>
    <t>Burin pointu</t>
  </si>
  <si>
    <t>Clé à pipe 8</t>
  </si>
  <si>
    <t>Clé à pipe 10</t>
  </si>
  <si>
    <t>Clé à pipe 12</t>
  </si>
  <si>
    <t>Clé à pipe 13</t>
  </si>
  <si>
    <t>Clé à pipe 14</t>
  </si>
  <si>
    <t>Clé à pipe 16</t>
  </si>
  <si>
    <t>Clé à pipe 17</t>
  </si>
  <si>
    <t>Clé à pipe 19</t>
  </si>
  <si>
    <t>Clé plate 10</t>
  </si>
  <si>
    <t>Clé plate 12</t>
  </si>
  <si>
    <t>Clé plate 13</t>
  </si>
  <si>
    <t>Clé plate 14</t>
  </si>
  <si>
    <t>Clé plate 17</t>
  </si>
  <si>
    <t>Clé plate 19</t>
  </si>
  <si>
    <t>Clé plate 8/9/11/14/16/18</t>
  </si>
  <si>
    <t>Clé plate à cliquet 22</t>
  </si>
  <si>
    <t>Jeu de Clés plate à cliquet</t>
  </si>
  <si>
    <t>Jeu de Clés torx</t>
  </si>
  <si>
    <t>Clé allen</t>
  </si>
  <si>
    <t>Clé mixte 8</t>
  </si>
  <si>
    <t>Clé à griffe 18p</t>
  </si>
  <si>
    <t>Clé plate 8</t>
  </si>
  <si>
    <t>Clé plate 9</t>
  </si>
  <si>
    <t>Clé plate 11</t>
  </si>
  <si>
    <t>Clé plate 16</t>
  </si>
  <si>
    <t>Clé plate 18</t>
  </si>
  <si>
    <t>Pince multiprise</t>
  </si>
  <si>
    <t>Clé dynamométrique</t>
  </si>
  <si>
    <t>Couteau électricien</t>
  </si>
  <si>
    <t>Clé titan</t>
  </si>
  <si>
    <t>Augmentateur 1/2 à 3/4</t>
  </si>
  <si>
    <t>Brady BMP21</t>
  </si>
  <si>
    <t>Brady BMP71</t>
  </si>
  <si>
    <t xml:space="preserve">Clé à molette </t>
  </si>
  <si>
    <t xml:space="preserve">Clé allen </t>
  </si>
  <si>
    <t>Clé plate 24</t>
  </si>
  <si>
    <t>outil à dégainer</t>
  </si>
  <si>
    <t>pince à sertir</t>
  </si>
  <si>
    <t>Testeur fluke</t>
  </si>
  <si>
    <t>lunette de protection</t>
  </si>
  <si>
    <t>dymo</t>
  </si>
  <si>
    <t>brady BMP21</t>
  </si>
  <si>
    <t>brady BMP71</t>
  </si>
  <si>
    <t>Pince à bec plat</t>
  </si>
  <si>
    <t>pince à bec plat</t>
  </si>
  <si>
    <t>Cassé</t>
  </si>
  <si>
    <t>genouillère</t>
  </si>
  <si>
    <t xml:space="preserve">Clé à douille cliquet 1/4 </t>
  </si>
  <si>
    <t xml:space="preserve">Etat </t>
  </si>
  <si>
    <t xml:space="preserve">Personnel </t>
  </si>
  <si>
    <t>Clé universelle</t>
  </si>
  <si>
    <t>Clé plate cliquet 22</t>
  </si>
  <si>
    <t>En stock</t>
  </si>
  <si>
    <t>NB Remis</t>
  </si>
  <si>
    <t>LISTING OUTILS MANQUANTS</t>
  </si>
  <si>
    <t>Besoin OAI</t>
  </si>
  <si>
    <t>Besoin ABE</t>
  </si>
  <si>
    <t>Besoin SBI</t>
  </si>
  <si>
    <t>Besoin ABI</t>
  </si>
  <si>
    <t>Besoin DCE</t>
  </si>
  <si>
    <t>Besoin JDE</t>
  </si>
  <si>
    <t>Besoin ODI</t>
  </si>
  <si>
    <t>Besoin MFO</t>
  </si>
  <si>
    <t>Besoin RGE</t>
  </si>
  <si>
    <t>Besoin CKE</t>
  </si>
  <si>
    <t>Besoin DMA</t>
  </si>
  <si>
    <t>Besoin LMO</t>
  </si>
  <si>
    <t>Besoin TMO</t>
  </si>
  <si>
    <t>Besoin JPA</t>
  </si>
  <si>
    <t>Besoin MPE</t>
  </si>
  <si>
    <t>Besoin SPR</t>
  </si>
  <si>
    <t>Besoin MRO</t>
  </si>
  <si>
    <t>Besoin LSA</t>
  </si>
  <si>
    <t>Besoin SST</t>
  </si>
  <si>
    <t>Besoin CTH</t>
  </si>
  <si>
    <t>Besoin FZE</t>
  </si>
  <si>
    <t>Remis OAI</t>
  </si>
  <si>
    <t>Remis ABE</t>
  </si>
  <si>
    <t>Remis RGE</t>
  </si>
  <si>
    <t>Remis SBI</t>
  </si>
  <si>
    <t>Remis ABI</t>
  </si>
  <si>
    <t>Remis DCE</t>
  </si>
  <si>
    <t>Remis ODI</t>
  </si>
  <si>
    <t>Remis MFO</t>
  </si>
  <si>
    <t>Remis CKE</t>
  </si>
  <si>
    <t>Remis DMA</t>
  </si>
  <si>
    <t>Remis LMO</t>
  </si>
  <si>
    <t>Remis TMO</t>
  </si>
  <si>
    <t>Remis JPA</t>
  </si>
  <si>
    <t>Remis MPE</t>
  </si>
  <si>
    <t>Remis SPR</t>
  </si>
  <si>
    <t>Remis MRO</t>
  </si>
  <si>
    <t>Remis LSA</t>
  </si>
  <si>
    <t>Remis SST</t>
  </si>
  <si>
    <t>Remis CTH</t>
  </si>
  <si>
    <t>Remis FZE</t>
  </si>
  <si>
    <t>Remis JDE</t>
  </si>
  <si>
    <t>CV1</t>
  </si>
  <si>
    <t>CV2</t>
  </si>
  <si>
    <t>CV3</t>
  </si>
  <si>
    <t>Caisse volante1</t>
  </si>
  <si>
    <t>Caisse volante2</t>
  </si>
  <si>
    <t>Caisse volante3</t>
  </si>
  <si>
    <t>Pince à bec rond</t>
  </si>
  <si>
    <t>Pointaux</t>
  </si>
  <si>
    <t>Besoin CV1</t>
  </si>
  <si>
    <t>Remis CV1</t>
  </si>
  <si>
    <t>Remis CV3</t>
  </si>
  <si>
    <t>Besoin CV3</t>
  </si>
  <si>
    <t>Remis CV2</t>
  </si>
  <si>
    <t>Besoin CV2</t>
  </si>
  <si>
    <t>Jeu de Clés mixte à cliquet</t>
  </si>
  <si>
    <t>Années</t>
  </si>
  <si>
    <t>remis</t>
  </si>
  <si>
    <t>Inventorié</t>
  </si>
  <si>
    <t>Cassé/remis</t>
  </si>
  <si>
    <t>Perdu/remis</t>
  </si>
  <si>
    <t>Dymo LABEL MANAGER 160 P</t>
  </si>
  <si>
    <t>2019</t>
  </si>
  <si>
    <t>clé à pipe 13</t>
  </si>
  <si>
    <t>mètre 5m ruban</t>
  </si>
  <si>
    <t>odomètre</t>
  </si>
  <si>
    <t>Odomètre</t>
  </si>
  <si>
    <t>cadena</t>
  </si>
  <si>
    <t>coffre</t>
  </si>
  <si>
    <t>clé à pipe 10</t>
  </si>
  <si>
    <t>clé à pipe 17</t>
  </si>
  <si>
    <t>clé à pipe 19</t>
  </si>
  <si>
    <t>clé plate 10</t>
  </si>
  <si>
    <t>clé plate 13</t>
  </si>
  <si>
    <t>clé plate 19</t>
  </si>
  <si>
    <t>cutter</t>
  </si>
  <si>
    <t>pince à bec rond</t>
  </si>
  <si>
    <t>2020</t>
  </si>
  <si>
    <t>CV4</t>
  </si>
  <si>
    <t>Caisse volante4</t>
  </si>
  <si>
    <t>Besoin CV4</t>
  </si>
  <si>
    <t>Remis CV4</t>
  </si>
  <si>
    <t>&lt;10-06-16</t>
  </si>
  <si>
    <t>DUBOIS</t>
  </si>
  <si>
    <t>Stevens</t>
  </si>
  <si>
    <t>SDU</t>
  </si>
  <si>
    <t>VUKSANOVIC</t>
  </si>
  <si>
    <t>Amine</t>
  </si>
  <si>
    <t>AVU</t>
  </si>
  <si>
    <t>Restitué</t>
  </si>
  <si>
    <t>burin plat</t>
  </si>
  <si>
    <t>clé plate 17</t>
  </si>
  <si>
    <t>Besoin AVU</t>
  </si>
  <si>
    <t>Remis AVU</t>
  </si>
  <si>
    <t>PINCE COLSON</t>
  </si>
  <si>
    <t>Besoin GGA2</t>
  </si>
  <si>
    <t>Remis GGA3</t>
  </si>
  <si>
    <t>GGA4</t>
  </si>
  <si>
    <t>Besoin SDU</t>
  </si>
  <si>
    <t>Remis SDU</t>
  </si>
  <si>
    <t>clé à pipe 8</t>
  </si>
  <si>
    <t>Coffret dogher gris + 2 boites rangement pour CDGU</t>
  </si>
  <si>
    <t>Pince cerclips + boites clips</t>
  </si>
  <si>
    <t>Clé mixte 17</t>
  </si>
  <si>
    <t>Clé mixte 27</t>
  </si>
  <si>
    <t xml:space="preserve">Coffret de rangement </t>
  </si>
  <si>
    <t>Coffret de rangement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</si>
</sst>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4" tint="-0.249977111117893"/>
      <name val="Calibri"/>
      <family val="2"/>
      <scheme val="minor"/>
    </font>
    <font>
      <b/>
      <sz val="48"/>
      <color theme="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7.600000000000001"/>
      <color rgb="FF1E1E1E"/>
      <name val="Segoe UI"/>
      <family val="2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1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/>
    <xf numFmtId="0" fontId="0" fillId="0" borderId="3" xfId="0" applyBorder="1"/>
    <xf numFmtId="0" fontId="0" fillId="0" borderId="3" xfId="0" applyBorder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0" fontId="0" fillId="3" borderId="0" xfId="0" applyFill="1"/>
    <xf numFmtId="0" fontId="0" fillId="0" borderId="2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0" xfId="0" applyAlignment="1">
      <alignment horizontal="center" wrapText="1"/>
    </xf>
    <xf numFmtId="0" fontId="1" fillId="0" borderId="1" xfId="0" applyFont="1" applyFill="1" applyBorder="1" applyAlignment="1">
      <alignment vertical="center"/>
    </xf>
    <xf numFmtId="0" fontId="0" fillId="4" borderId="2" xfId="0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/>
    <xf numFmtId="0" fontId="1" fillId="0" borderId="3" xfId="0" applyFont="1" applyBorder="1"/>
    <xf numFmtId="0" fontId="0" fillId="0" borderId="0" xfId="0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0" xfId="0" applyFont="1"/>
    <xf numFmtId="0" fontId="1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wrapText="1"/>
    </xf>
    <xf numFmtId="0" fontId="4" fillId="0" borderId="0" xfId="0" applyFont="1"/>
    <xf numFmtId="0" fontId="5" fillId="0" borderId="0" xfId="0" applyFont="1"/>
    <xf numFmtId="14" fontId="0" fillId="0" borderId="2" xfId="0" applyNumberFormat="1" applyBorder="1" applyAlignment="1">
      <alignment horizontal="center" vertical="center" wrapText="1"/>
    </xf>
    <xf numFmtId="14" fontId="0" fillId="4" borderId="2" xfId="0" applyNumberFormat="1" applyFill="1" applyBorder="1" applyAlignment="1">
      <alignment horizontal="center" vertical="center" wrapText="1"/>
    </xf>
    <xf numFmtId="14" fontId="0" fillId="0" borderId="5" xfId="0" applyNumberForma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 wrapText="1"/>
    </xf>
    <xf numFmtId="14" fontId="0" fillId="4" borderId="7" xfId="0" applyNumberFormat="1" applyFill="1" applyBorder="1" applyAlignment="1">
      <alignment horizontal="center" vertical="center" wrapText="1"/>
    </xf>
    <xf numFmtId="14" fontId="0" fillId="0" borderId="8" xfId="0" applyNumberFormat="1" applyBorder="1" applyAlignment="1">
      <alignment horizontal="center" vertical="center" wrapText="1"/>
    </xf>
    <xf numFmtId="14" fontId="0" fillId="2" borderId="2" xfId="0" applyNumberFormat="1" applyFill="1" applyBorder="1" applyAlignment="1">
      <alignment horizontal="center" vertical="center" wrapText="1"/>
    </xf>
    <xf numFmtId="0" fontId="0" fillId="0" borderId="8" xfId="0" applyNumberForma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" fontId="0" fillId="2" borderId="2" xfId="0" applyNumberFormat="1" applyFill="1" applyBorder="1" applyAlignment="1">
      <alignment horizontal="center" vertical="center" wrapText="1"/>
    </xf>
    <xf numFmtId="1" fontId="0" fillId="2" borderId="7" xfId="0" applyNumberFormat="1" applyFill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4" borderId="2" xfId="0" applyNumberFormat="1" applyFill="1" applyBorder="1" applyAlignment="1">
      <alignment horizontal="center" vertical="center" wrapText="1"/>
    </xf>
    <xf numFmtId="1" fontId="0" fillId="4" borderId="7" xfId="0" applyNumberFormat="1" applyFill="1" applyBorder="1" applyAlignment="1">
      <alignment horizontal="center" vertical="center" wrapText="1"/>
    </xf>
    <xf numFmtId="1" fontId="0" fillId="0" borderId="2" xfId="0" applyNumberFormat="1" applyFill="1" applyBorder="1" applyAlignment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1" fontId="0" fillId="0" borderId="5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0" xfId="0" applyNumberFormat="1" applyAlignment="1">
      <alignment horizontal="center" wrapText="1"/>
    </xf>
    <xf numFmtId="0" fontId="0" fillId="3" borderId="5" xfId="0" applyFill="1" applyBorder="1" applyAlignment="1">
      <alignment vertical="center"/>
    </xf>
    <xf numFmtId="14" fontId="0" fillId="0" borderId="9" xfId="0" applyNumberFormat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0" fillId="5" borderId="2" xfId="0" applyFill="1" applyBorder="1" applyAlignment="1">
      <alignment vertical="center"/>
    </xf>
    <xf numFmtId="17" fontId="0" fillId="0" borderId="0" xfId="0" applyNumberFormat="1" applyAlignment="1">
      <alignment horizontal="left"/>
    </xf>
    <xf numFmtId="0" fontId="0" fillId="0" borderId="3" xfId="0" applyFill="1" applyBorder="1"/>
    <xf numFmtId="0" fontId="0" fillId="0" borderId="3" xfId="0" applyBorder="1" applyAlignment="1">
      <alignment horizontal="center"/>
    </xf>
    <xf numFmtId="16" fontId="0" fillId="2" borderId="0" xfId="0" applyNumberFormat="1" applyFill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6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0" fontId="10" fillId="0" borderId="11" xfId="0" applyFont="1" applyBorder="1"/>
    <xf numFmtId="0" fontId="10" fillId="0" borderId="0" xfId="0" applyFont="1" applyFill="1" applyBorder="1"/>
    <xf numFmtId="14" fontId="0" fillId="0" borderId="0" xfId="0" applyNumberFormat="1"/>
    <xf numFmtId="0" fontId="11" fillId="0" borderId="0" xfId="1" applyFont="1" applyAlignment="1">
      <alignment horizontal="left" vertical="center"/>
    </xf>
    <xf numFmtId="0" fontId="0" fillId="0" borderId="0" xfId="0" applyNumberFormat="1"/>
    <xf numFmtId="16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0" xfId="0" pivotButton="1" applyAlignment="1">
      <alignment horizontal="center" vertical="center"/>
    </xf>
    <xf numFmtId="0" fontId="0" fillId="0" borderId="0" xfId="0" pivotButton="1" applyAlignment="1">
      <alignment horizontal="center" vertical="center" wrapText="1"/>
    </xf>
    <xf numFmtId="0" fontId="12" fillId="0" borderId="0" xfId="0" applyFont="1" applyFill="1"/>
    <xf numFmtId="0" fontId="0" fillId="0" borderId="0" xfId="0" applyFill="1"/>
    <xf numFmtId="14" fontId="0" fillId="0" borderId="0" xfId="0" applyNumberFormat="1" applyFill="1"/>
    <xf numFmtId="0" fontId="0" fillId="0" borderId="0" xfId="0" applyNumberFormat="1" applyFill="1"/>
    <xf numFmtId="0" fontId="13" fillId="0" borderId="0" xfId="0" applyFont="1"/>
    <xf numFmtId="0" fontId="1" fillId="7" borderId="3" xfId="0" applyFont="1" applyFill="1" applyBorder="1" applyAlignment="1">
      <alignment horizontal="center"/>
    </xf>
    <xf numFmtId="0" fontId="10" fillId="0" borderId="0" xfId="0" applyFont="1"/>
    <xf numFmtId="0" fontId="0" fillId="8" borderId="0" xfId="0" applyFill="1" applyAlignment="1">
      <alignment horizontal="center" vertical="center" wrapText="1"/>
    </xf>
    <xf numFmtId="0" fontId="0" fillId="8" borderId="0" xfId="0" applyFill="1" applyAlignment="1">
      <alignment horizontal="center" vertical="center"/>
    </xf>
    <xf numFmtId="0" fontId="0" fillId="8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 wrapText="1"/>
    </xf>
    <xf numFmtId="0" fontId="0" fillId="0" borderId="0" xfId="0" pivotButton="1"/>
    <xf numFmtId="0" fontId="12" fillId="0" borderId="0" xfId="0" applyFont="1"/>
    <xf numFmtId="0" fontId="12" fillId="0" borderId="0" xfId="0" applyNumberFormat="1" applyFont="1"/>
    <xf numFmtId="14" fontId="12" fillId="0" borderId="0" xfId="0" applyNumberFormat="1" applyFont="1"/>
    <xf numFmtId="0" fontId="2" fillId="0" borderId="3" xfId="0" applyFont="1" applyBorder="1" applyAlignment="1">
      <alignment horizontal="center" vertical="center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</cellXfs>
  <cellStyles count="2">
    <cellStyle name="Normal" xfId="0" builtinId="0"/>
    <cellStyle name="Titre" xfId="1" builtinId="15"/>
  </cellStyles>
  <dxfs count="1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Calibri"/>
        <family val="2"/>
        <scheme val="minor"/>
      </font>
    </dxf>
    <dxf>
      <alignment wrapText="1"/>
    </dxf>
    <dxf>
      <alignment wrapText="1"/>
    </dxf>
    <dxf>
      <alignment horizontal="center"/>
    </dxf>
    <dxf>
      <font>
        <b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wrapText="1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vertic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font>
        <b/>
      </font>
    </dxf>
    <dxf>
      <alignment horizontal="center"/>
    </dxf>
    <dxf>
      <alignment wrapText="1"/>
    </dxf>
    <dxf>
      <alignment wrapText="1"/>
    </dxf>
    <dxf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numFmt numFmtId="0" formatCode="General"/>
    </dxf>
    <dxf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2" tint="-9.9978637043366805E-2"/>
        </patternFill>
      </fill>
    </dxf>
    <dxf>
      <numFmt numFmtId="0" formatCode="General"/>
    </dxf>
    <dxf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2" tint="-9.9978637043366805E-2"/>
        </patternFill>
      </fill>
    </dxf>
    <dxf>
      <numFmt numFmtId="0" formatCode="General"/>
    </dxf>
    <dxf>
      <numFmt numFmtId="0" formatCode="General"/>
      <fill>
        <patternFill patternType="solid">
          <fgColor indexed="64"/>
          <bgColor theme="2" tint="-9.9978637043366805E-2"/>
        </patternFill>
      </fill>
    </dxf>
    <dxf>
      <numFmt numFmtId="0" formatCode="General"/>
    </dxf>
    <dxf>
      <numFmt numFmtId="0" formatCode="General"/>
      <fill>
        <patternFill patternType="solid">
          <fgColor indexed="64"/>
          <bgColor theme="2" tint="-9.9978637043366805E-2"/>
        </patternFill>
      </fill>
    </dxf>
    <dxf>
      <numFmt numFmtId="0" formatCode="General"/>
    </dxf>
    <dxf>
      <numFmt numFmtId="0" formatCode="General"/>
      <fill>
        <patternFill patternType="solid">
          <fgColor indexed="64"/>
          <bgColor theme="2" tint="-9.9978637043366805E-2"/>
        </patternFill>
      </fill>
    </dxf>
    <dxf>
      <numFmt numFmtId="0" formatCode="General"/>
    </dxf>
    <dxf>
      <numFmt numFmtId="0" formatCode="General"/>
      <fill>
        <patternFill patternType="solid">
          <fgColor indexed="64"/>
          <bgColor theme="2" tint="-9.9978637043366805E-2"/>
        </patternFill>
      </fill>
    </dxf>
    <dxf>
      <numFmt numFmtId="0" formatCode="General"/>
    </dxf>
    <dxf>
      <numFmt numFmtId="0" formatCode="General"/>
      <fill>
        <patternFill patternType="solid">
          <fgColor indexed="64"/>
          <bgColor theme="2" tint="-9.9978637043366805E-2"/>
        </patternFill>
      </fill>
    </dxf>
    <dxf>
      <numFmt numFmtId="0" formatCode="General"/>
    </dxf>
    <dxf>
      <numFmt numFmtId="0" formatCode="General"/>
      <fill>
        <patternFill patternType="solid">
          <fgColor indexed="64"/>
          <bgColor theme="2" tint="-9.9978637043366805E-2"/>
        </patternFill>
      </fill>
    </dxf>
    <dxf>
      <numFmt numFmtId="0" formatCode="General"/>
    </dxf>
    <dxf>
      <numFmt numFmtId="0" formatCode="General"/>
      <fill>
        <patternFill patternType="solid">
          <fgColor indexed="64"/>
          <bgColor theme="2" tint="-9.9978637043366805E-2"/>
        </patternFill>
      </fill>
    </dxf>
    <dxf>
      <numFmt numFmtId="0" formatCode="General"/>
    </dxf>
    <dxf>
      <numFmt numFmtId="0" formatCode="General"/>
      <fill>
        <patternFill patternType="solid">
          <fgColor indexed="64"/>
          <bgColor theme="2" tint="-9.9978637043366805E-2"/>
        </patternFill>
      </fill>
    </dxf>
    <dxf>
      <numFmt numFmtId="0" formatCode="General"/>
    </dxf>
    <dxf>
      <numFmt numFmtId="0" formatCode="General"/>
      <fill>
        <patternFill patternType="solid">
          <fgColor indexed="64"/>
          <bgColor theme="2" tint="-9.9978637043366805E-2"/>
        </patternFill>
      </fill>
    </dxf>
    <dxf>
      <numFmt numFmtId="0" formatCode="General"/>
    </dxf>
    <dxf>
      <numFmt numFmtId="0" formatCode="General"/>
      <fill>
        <patternFill patternType="solid">
          <fgColor indexed="64"/>
          <bgColor theme="2" tint="-9.9978637043366805E-2"/>
        </patternFill>
      </fill>
    </dxf>
    <dxf>
      <numFmt numFmtId="0" formatCode="General"/>
    </dxf>
    <dxf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numFmt numFmtId="0" formatCode="General"/>
    </dxf>
    <dxf>
      <numFmt numFmtId="0" formatCode="General"/>
      <fill>
        <patternFill patternType="solid">
          <fgColor indexed="64"/>
          <bgColor theme="2" tint="-9.9978637043366805E-2"/>
        </patternFill>
      </fill>
    </dxf>
    <dxf>
      <numFmt numFmtId="0" formatCode="General"/>
    </dxf>
    <dxf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2" tint="-9.9978637043366805E-2"/>
        </patternFill>
      </fill>
    </dxf>
    <dxf>
      <numFmt numFmtId="0" formatCode="General"/>
    </dxf>
    <dxf>
      <numFmt numFmtId="0" formatCode="General"/>
      <fill>
        <patternFill patternType="solid">
          <fgColor indexed="64"/>
          <bgColor theme="2" tint="-9.9978637043366805E-2"/>
        </patternFill>
      </fill>
    </dxf>
    <dxf>
      <numFmt numFmtId="0" formatCode="General"/>
    </dxf>
    <dxf>
      <numFmt numFmtId="0" formatCode="General"/>
      <fill>
        <patternFill patternType="solid">
          <fgColor indexed="64"/>
          <bgColor theme="2" tint="-9.9978637043366805E-2"/>
        </patternFill>
      </fill>
    </dxf>
    <dxf>
      <numFmt numFmtId="0" formatCode="General"/>
    </dxf>
    <dxf>
      <numFmt numFmtId="0" formatCode="General"/>
      <fill>
        <patternFill patternType="solid">
          <fgColor indexed="64"/>
          <bgColor theme="2" tint="-9.9978637043366805E-2"/>
        </patternFill>
      </fill>
    </dxf>
    <dxf>
      <numFmt numFmtId="0" formatCode="General"/>
    </dxf>
    <dxf>
      <numFmt numFmtId="0" formatCode="General"/>
      <fill>
        <patternFill patternType="solid">
          <fgColor indexed="64"/>
          <bgColor theme="2" tint="-9.9978637043366805E-2"/>
        </patternFill>
      </fill>
    </dxf>
    <dxf>
      <numFmt numFmtId="0" formatCode="General"/>
    </dxf>
    <dxf>
      <numFmt numFmtId="0" formatCode="General"/>
      <fill>
        <patternFill patternType="solid">
          <fgColor indexed="64"/>
          <bgColor theme="2" tint="-9.9978637043366805E-2"/>
        </patternFill>
      </fill>
    </dxf>
    <dxf>
      <numFmt numFmtId="0" formatCode="General"/>
    </dxf>
    <dxf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wrapText="0" indent="0" justifyLastLine="0" shrinkToFit="0" readingOrder="0"/>
    </dxf>
    <dxf>
      <numFmt numFmtId="0" formatCode="General"/>
    </dxf>
    <dxf>
      <numFmt numFmtId="0" formatCode="General"/>
      <fill>
        <patternFill patternType="solid">
          <fgColor indexed="64"/>
          <bgColor theme="2" tint="-9.9978637043366805E-2"/>
        </patternFill>
      </fill>
      <alignment horizontal="center" vertical="center" textRotation="0" indent="0" justifyLastLine="0" shrinkToFit="0" readingOrder="0"/>
    </dxf>
    <dxf>
      <numFmt numFmtId="0" formatCode="General"/>
    </dxf>
    <dxf>
      <alignment horizontal="center" vertical="center" textRotation="0" wrapText="1" indent="0" justifyLastLine="0" shrinkToFit="0" readingOrder="0"/>
    </dxf>
    <dxf>
      <numFmt numFmtId="164" formatCode="#,##0.00\ &quot;€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2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7/relationships/slicerCache" Target="slicerCaches/slicerCache2.xml"/><Relationship Id="rId2" Type="http://schemas.openxmlformats.org/officeDocument/2006/relationships/worksheet" Target="worksheets/sheet2.xml"/><Relationship Id="rId16" Type="http://schemas.microsoft.com/office/2007/relationships/slicerCache" Target="slicerCaches/slicerCache1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1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microsoft.com/office/2011/relationships/timelineCache" Target="timelineCaches/timelineCach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1</xdr:row>
      <xdr:rowOff>1802130</xdr:rowOff>
    </xdr:from>
    <xdr:to>
      <xdr:col>0</xdr:col>
      <xdr:colOff>1390650</xdr:colOff>
      <xdr:row>11</xdr:row>
      <xdr:rowOff>97155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État">
              <a:extLst>
                <a:ext uri="{FF2B5EF4-FFF2-40B4-BE49-F238E27FC236}">
                  <a16:creationId xmlns:a16="http://schemas.microsoft.com/office/drawing/2014/main" id="{D136C5C2-9741-4A78-8E72-66E1F192EDA8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Éta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281940" y="2586990"/>
              <a:ext cx="1104900" cy="220218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581025</xdr:colOff>
      <xdr:row>1</xdr:row>
      <xdr:rowOff>266700</xdr:rowOff>
    </xdr:from>
    <xdr:to>
      <xdr:col>2</xdr:col>
      <xdr:colOff>3444240</xdr:colOff>
      <xdr:row>1</xdr:row>
      <xdr:rowOff>1638300</xdr:rowOff>
    </xdr:to>
    <mc:AlternateContent xmlns:mc="http://schemas.openxmlformats.org/markup-compatibility/2006" xmlns:tsle="http://schemas.microsoft.com/office/drawing/2012/timeslicer">
      <mc:Choice Requires="tsle">
        <xdr:graphicFrame macro="">
          <xdr:nvGraphicFramePr>
            <xdr:cNvPr id="4" name="Date ">
              <a:extLst>
                <a:ext uri="{FF2B5EF4-FFF2-40B4-BE49-F238E27FC236}">
                  <a16:creationId xmlns:a16="http://schemas.microsoft.com/office/drawing/2014/main" id="{588B3CE8-9223-4619-890D-B45921F4176D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2/timeslicer">
              <tsle:timeslicer name="Date 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81025" y="1047750"/>
              <a:ext cx="6000750" cy="13716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Chronologie : fonctionne dans Excel 2013 ou version ultérieure. Ne pas déplacer ou redimensionner.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1969770</xdr:colOff>
      <xdr:row>1</xdr:row>
      <xdr:rowOff>1792605</xdr:rowOff>
    </xdr:from>
    <xdr:to>
      <xdr:col>2</xdr:col>
      <xdr:colOff>817245</xdr:colOff>
      <xdr:row>23</xdr:row>
      <xdr:rowOff>17145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Matricule">
              <a:extLst>
                <a:ext uri="{FF2B5EF4-FFF2-40B4-BE49-F238E27FC236}">
                  <a16:creationId xmlns:a16="http://schemas.microsoft.com/office/drawing/2014/main" id="{252A9217-C097-468C-86AF-E92D4521C911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atricul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967865" y="2573655"/>
              <a:ext cx="2082165" cy="43148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fr-FR" sz="1100"/>
                <a:t>Cette forme représente un segment. Les segments sont pris en charge dans Excel 2010 ou version ultérieure.
En revanche, si la forme a été modifiée dans une version précédente d’Excel, ou si le classeur a été enregistré dans Excel 2003 ou une version précédente, vous ne pouvez pas utiliser le segment.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.thenard\AppData\Local\Microsoft\Windows\INetCache\Content.Outlook\D3O0PH25\Liste%20personnel%20remise%20outillage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JDC15" refreshedDate="44152.705260995368" createdVersion="6" refreshedVersion="6" minRefreshableVersion="3" recordCount="1012" xr:uid="{94E4B753-BA2A-4345-833E-091BFB5CCCEB}">
  <cacheSource type="worksheet">
    <worksheetSource name="Tableau4"/>
  </cacheSource>
  <cacheFields count="12">
    <cacheField name="Réf matériel" numFmtId="0">
      <sharedItems containsBlank="1" count="87">
        <s v="Augmentateur 1/2 à 3/4"/>
        <s v="Boite embouts"/>
        <s v="brady BMP71"/>
        <s v="Burin plat"/>
        <s v="Burin pointu"/>
        <s v="Cadena"/>
        <s v="Clé à molette"/>
        <s v="Clé à pipe 10"/>
        <s v="Clé à pipe 13"/>
        <s v="Clé à pipe 17"/>
        <s v="Clé à pipe 19"/>
        <s v="Clé allen"/>
        <s v="Clé dynamométrique"/>
        <s v="Clé plate 10"/>
        <s v="Clé plate 13"/>
        <s v="Clé plate 17"/>
        <s v="Clé plate 19"/>
        <s v="Coffre"/>
        <s v="Coffret douilles"/>
        <s v="Coupe câble"/>
        <s v="Cutter"/>
        <s v="Douille impact 3/4 longueur 36mm"/>
        <s v="dymo"/>
        <s v="Jeu tournevis"/>
        <s v="Lampe frontale"/>
        <s v="Lime demi ronde"/>
        <s v="Massette"/>
        <s v="Mètre pliant"/>
        <s v="Niveau"/>
        <s v="outil à dégainer"/>
        <s v="Pince à dénuder"/>
        <s v="pince à sertir"/>
        <s v="Pince colson"/>
        <s v="Pince coupante 1000v"/>
        <s v="Pince étau"/>
        <s v="Scie à métaux"/>
        <s v="Jeu de Clés plate à cliquet"/>
        <s v="Testeur fluke"/>
        <s v="lunette de protection"/>
        <s v="Casque chantier"/>
        <s v="Couteau électricien"/>
        <s v="genouillère"/>
        <s v="Clé à griffe 18p"/>
        <s v="Clé à pipe 16"/>
        <s v="Clé à pipe 8"/>
        <s v="Clé mixte 8"/>
        <s v="Clé plate cliquet 22"/>
        <s v="Jeu de Clés mixte à cliquet"/>
        <s v="Jeu de tournevis pro avec embouts de vissage 1/4 ref 438-008"/>
        <s v="pince à bec plat"/>
        <s v="Pince à long bec"/>
        <s v="Jeu de Clés torx"/>
        <s v="Pince multiprise"/>
        <s v="Douille de 17"/>
        <s v="Tenaille"/>
        <s v="Clé à pipe 14"/>
        <s v="Clé plate 14"/>
        <s v="Pince multi cran"/>
        <s v="Stan"/>
        <s v="Clé plate 8"/>
        <s v="Clé plate 9"/>
        <s v="Clé plate 11"/>
        <s v="Clé plate 12"/>
        <s v="Clé plate 16"/>
        <s v="Clé plate 18"/>
        <s v="Clé plate 24"/>
        <s v="brady BMP21"/>
        <s v="Clé à pipe 12"/>
        <s v="Douille de 16"/>
        <s v="Mètre 5m"/>
        <s v="Cliquet rapide 1/4"/>
        <s v="Clé titan"/>
        <s v="Clé à douille cliquet 1/4 "/>
        <s v="Clé universelle"/>
        <s v="Pioche d'égouttier"/>
        <s v="Pince à bec rond"/>
        <s v="Pointaux"/>
        <s v="Coffret dogher gris + 2 boites rangement pour CDGU"/>
        <s v="Pince cerclips + boites clips"/>
        <s v="Clé mixte 17"/>
        <s v="Clé mixte 27"/>
        <m u="1"/>
        <s v="pince à colson" u="1"/>
        <s v="COF" u="1"/>
        <s v="CAD" u="1"/>
        <s v="Pince à bec ronde" u="1"/>
        <s v="CLE" u="1"/>
      </sharedItems>
    </cacheField>
    <cacheField name="Liste matériel" numFmtId="0">
      <sharedItems/>
    </cacheField>
    <cacheField name="Prix matériel" numFmtId="0">
      <sharedItems containsSemiMixedTypes="0" containsString="0" containsNumber="1" minValue="0" maxValue="790"/>
    </cacheField>
    <cacheField name="Matricule" numFmtId="0">
      <sharedItems containsBlank="1" count="37">
        <s v="OAI"/>
        <s v="ABE"/>
        <s v="HBI"/>
        <s v="SBI"/>
        <s v="ABI"/>
        <s v="JDE"/>
        <s v="ODI"/>
        <s v="MFO"/>
        <s v="GGA"/>
        <s v="RGE"/>
        <s v="CKE"/>
        <s v="DMA"/>
        <s v="LMO"/>
        <s v="TMO"/>
        <s v="JPA"/>
        <s v="MPE"/>
        <s v="SPR"/>
        <s v="MRO"/>
        <s v="LSA"/>
        <s v="SST"/>
        <s v="CTH"/>
        <s v="FZE"/>
        <s v="DCE"/>
        <s v="CV1"/>
        <s v="CV2"/>
        <s v="CV3"/>
        <s v="NCL"/>
        <s v="BME"/>
        <s v="CV4"/>
        <s v="SDU"/>
        <s v="JLE"/>
        <s v="EWO"/>
        <s v="AVU"/>
        <m u="1"/>
        <s v="FGGA" u="1"/>
        <s v="JMA" u="1"/>
        <s v="IVI" u="1"/>
      </sharedItems>
    </cacheField>
    <cacheField name="Nom" numFmtId="0">
      <sharedItems containsBlank="1" count="35">
        <s v="AIT RAISS"/>
        <s v="BENAMROUCHE"/>
        <s v="BIAUDET"/>
        <s v="BIDAULT "/>
        <s v="DEPOORTER"/>
        <s v="DIALLO"/>
        <s v="FOURAR"/>
        <s v="GALLE"/>
        <s v="GERMAIN"/>
        <s v="KEITA"/>
        <s v="MARTINS"/>
        <s v="MONNATE"/>
        <s v="PASTOR"/>
        <s v="PERNEY "/>
        <s v="PRUVOT"/>
        <s v="ROSA MACHADO"/>
        <s v="SALHI"/>
        <s v="STOPPA"/>
        <s v="THENARD "/>
        <s v="ZERHOUNI"/>
        <s v="CEGIELSKI"/>
        <s v="Caisse volante1"/>
        <s v="Caisse volante2"/>
        <s v="Caisse volante3"/>
        <s v="CLAUX"/>
        <s v="MEILHAC"/>
        <s v="Caisse volante4"/>
        <s v="DUBOIS"/>
        <s v="LEFEBVRE"/>
        <s v="WONEGOU"/>
        <s v="VUKSANOVIC"/>
        <m u="1"/>
        <s v="VIGREUX" u="1"/>
        <s v="MACIAS " u="1"/>
        <e v="#N/A" u="1"/>
      </sharedItems>
    </cacheField>
    <cacheField name="Prénom" numFmtId="0">
      <sharedItems containsMixedTypes="1" containsNumber="1" containsInteger="1" minValue="0" maxValue="0"/>
    </cacheField>
    <cacheField name="Service" numFmtId="0">
      <sharedItems containsMixedTypes="1" containsNumber="1" containsInteger="1" minValue="0" maxValue="0"/>
    </cacheField>
    <cacheField name="Date " numFmtId="0">
      <sharedItems containsNonDate="0" containsDate="1" containsString="0" containsBlank="1" minDate="2016-06-10T00:00:00" maxDate="2020-10-22T00:00:00" count="98">
        <d v="2020-02-28T00:00:00"/>
        <d v="2019-02-14T00:00:00"/>
        <d v="2018-12-11T00:00:00"/>
        <d v="2019-10-31T00:00:00"/>
        <d v="2019-09-08T00:00:00"/>
        <d v="2019-01-14T00:00:00"/>
        <d v="2020-02-14T00:00:00"/>
        <d v="2018-06-22T00:00:00"/>
        <d v="2019-06-22T00:00:00"/>
        <d v="2020-02-24T00:00:00"/>
        <d v="2019-06-11T00:00:00"/>
        <d v="2020-07-08T00:00:00"/>
        <d v="2019-12-18T00:00:00"/>
        <d v="2019-10-08T00:00:00"/>
        <d v="2020-07-07T00:00:00"/>
        <d v="2019-07-28T00:00:00"/>
        <d v="2019-01-11T00:00:00"/>
        <d v="2020-03-02T00:00:00"/>
        <d v="2019-02-15T00:00:00"/>
        <d v="2018-12-01T00:00:00"/>
        <d v="2018-12-14T00:00:00"/>
        <d v="2019-01-04T00:00:00"/>
        <d v="2019-02-28T00:00:00"/>
        <d v="2019-01-07T00:00:00"/>
        <d v="2019-06-18T00:00:00"/>
        <d v="2020-07-28T00:00:00"/>
        <d v="2020-01-10T00:00:00"/>
        <d v="2019-08-09T00:00:00"/>
        <d v="2019-11-08T00:00:00"/>
        <d v="2020-07-29T00:00:00"/>
        <d v="2019-02-25T00:00:00"/>
        <d v="2019-09-19T00:00:00"/>
        <d v="2020-06-24T00:00:00"/>
        <d v="2017-11-22T00:00:00"/>
        <d v="2020-02-05T00:00:00"/>
        <d v="2019-03-22T00:00:00"/>
        <d v="2019-04-18T00:00:00"/>
        <d v="2017-12-01T00:00:00"/>
        <d v="2017-11-21T00:00:00"/>
        <d v="2019-02-05T00:00:00"/>
        <d v="2019-06-03T00:00:00"/>
        <d v="2019-06-28T00:00:00"/>
        <d v="2016-06-10T00:00:00"/>
        <d v="2020-08-25T00:00:00"/>
        <d v="2020-08-26T00:00:00"/>
        <d v="2019-03-20T00:00:00"/>
        <d v="2019-07-29T00:00:00"/>
        <d v="2019-09-18T00:00:00"/>
        <d v="2019-10-03T00:00:00"/>
        <d v="2017-01-03T00:00:00"/>
        <d v="2019-02-18T00:00:00"/>
        <d v="2019-04-17T00:00:00"/>
        <d v="2019-09-24T00:00:00"/>
        <d v="2019-07-23T00:00:00"/>
        <d v="2020-06-09T00:00:00"/>
        <d v="2018-06-07T00:00:00"/>
        <d v="2019-02-20T00:00:00"/>
        <d v="2019-03-07T00:00:00"/>
        <d v="2019-01-15T00:00:00"/>
        <d v="2018-12-13T00:00:00"/>
        <d v="2019-02-26T00:00:00"/>
        <d v="2018-11-28T00:00:00"/>
        <d v="2018-08-06T00:00:00"/>
        <d v="2020-08-31T00:00:00"/>
        <d v="2020-08-30T00:00:00"/>
        <d v="2019-06-10T00:00:00"/>
        <d v="2019-06-20T00:00:00"/>
        <d v="2019-04-09T00:00:00"/>
        <d v="2020-08-27T00:00:00"/>
        <d v="2020-08-28T00:00:00"/>
        <d v="2019-05-11T00:00:00"/>
        <d v="2017-05-11T00:00:00"/>
        <d v="2019-11-19T00:00:00"/>
        <d v="2019-11-14T00:00:00"/>
        <d v="2019-12-11T00:00:00"/>
        <d v="2019-11-18T00:00:00"/>
        <d v="2019-12-01T00:00:00"/>
        <d v="2019-06-19T00:00:00"/>
        <d v="2019-04-04T00:00:00"/>
        <m/>
        <d v="2020-02-01T00:00:00"/>
        <d v="2020-01-31T00:00:00"/>
        <d v="2020-09-24T00:00:00"/>
        <d v="2020-09-25T00:00:00"/>
        <d v="2020-08-11T00:00:00"/>
        <d v="2019-02-01T00:00:00"/>
        <d v="2018-02-01T00:00:00"/>
        <d v="2019-08-01T00:00:00"/>
        <d v="2020-01-17T00:00:00"/>
        <d v="2020-10-05T00:00:00"/>
        <d v="2020-09-29T00:00:00"/>
        <d v="2020-09-18T00:00:00"/>
        <d v="2020-10-09T00:00:00"/>
        <d v="2020-10-19T00:00:00"/>
        <d v="2020-10-20T00:00:00"/>
        <d v="2020-10-21T00:00:00"/>
        <d v="2020-10-06T00:00:00"/>
        <d v="2020-10-08T00:00:00"/>
      </sharedItems>
      <fieldGroup par="11" base="7">
        <rangePr groupBy="months" startDate="2016-06-10T00:00:00" endDate="2020-10-22T00:00:00"/>
        <groupItems count="14">
          <s v="(vide)"/>
          <s v="janv"/>
          <s v="févr"/>
          <s v="mars"/>
          <s v="avr"/>
          <s v="mai"/>
          <s v="juin"/>
          <s v="juil"/>
          <s v="août"/>
          <s v="sept"/>
          <s v="oct"/>
          <s v="nov"/>
          <s v="déc"/>
          <s v="&gt;22-10-20"/>
        </groupItems>
      </fieldGroup>
    </cacheField>
    <cacheField name="État" numFmtId="0">
      <sharedItems containsBlank="1" count="6">
        <s v="Remis"/>
        <s v="Perdu"/>
        <s v="Cassé"/>
        <s v="En stock"/>
        <s v="Restitué"/>
        <m u="1"/>
      </sharedItems>
    </cacheField>
    <cacheField name="NB Remis" numFmtId="0">
      <sharedItems containsSemiMixedTypes="0" containsString="0" containsNumber="1" containsInteger="1" minValue="0" maxValue="1"/>
    </cacheField>
    <cacheField name="Trimestres" numFmtId="0" databaseField="0">
      <fieldGroup base="7">
        <rangePr groupBy="quarters" startDate="2016-06-10T00:00:00" endDate="2020-10-22T00:00:00"/>
        <groupItems count="6">
          <s v="&lt;10-06-16"/>
          <s v="Trimestre1"/>
          <s v="Trimestre2"/>
          <s v="Trimestre3"/>
          <s v="Trimestre4"/>
          <s v="&gt;22-10-20"/>
        </groupItems>
      </fieldGroup>
    </cacheField>
    <cacheField name="Années" numFmtId="0" databaseField="0">
      <fieldGroup base="7">
        <rangePr groupBy="years" startDate="2016-06-10T00:00:00" endDate="2020-10-22T00:00:00"/>
        <groupItems count="7">
          <s v="&lt;10-06-16"/>
          <s v="2016"/>
          <s v="2017"/>
          <s v="2018"/>
          <s v="2019"/>
          <s v="2020"/>
          <s v="&gt;22-10-20"/>
        </groupItems>
      </fieldGroup>
    </cacheField>
  </cacheFields>
  <extLst>
    <ext xmlns:x14="http://schemas.microsoft.com/office/spreadsheetml/2009/9/main" uri="{725AE2AE-9491-48be-B2B4-4EB974FC3084}">
      <x14:pivotCacheDefinition pivotCacheId="1722236824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Isoline Vigreux" refreshedDate="44029.504456365743" createdVersion="6" refreshedVersion="6" minRefreshableVersion="3" recordCount="6" xr:uid="{257DA22B-8005-41E0-8CE2-0DDAA8F658A4}">
  <cacheSource type="worksheet">
    <worksheetSource name="Tableau4" r:id="rId2"/>
  </cacheSource>
  <cacheFields count="9">
    <cacheField name="Réf matériel" numFmtId="0">
      <sharedItems containsBlank="1" count="4">
        <s v="CAD"/>
        <s v="COF"/>
        <s v="CLE"/>
        <m/>
      </sharedItems>
    </cacheField>
    <cacheField name="Liste matériel" numFmtId="0">
      <sharedItems/>
    </cacheField>
    <cacheField name="Prix matériel" numFmtId="0">
      <sharedItems containsMixedTypes="1" containsNumber="1" minValue="5.5" maxValue="99.9"/>
    </cacheField>
    <cacheField name="Matricule" numFmtId="0">
      <sharedItems containsBlank="1" count="5">
        <s v="CTH"/>
        <s v="IVI"/>
        <s v="JMA"/>
        <s v="JLE"/>
        <m/>
      </sharedItems>
    </cacheField>
    <cacheField name="Nom" numFmtId="0">
      <sharedItems count="5">
        <s v="THENARD "/>
        <s v="VIGREUX"/>
        <s v="MACIAS "/>
        <s v="LEFEBVRE"/>
        <e v="#N/A"/>
      </sharedItems>
    </cacheField>
    <cacheField name="Prénom" numFmtId="0">
      <sharedItems/>
    </cacheField>
    <cacheField name="Service" numFmtId="0">
      <sharedItems/>
    </cacheField>
    <cacheField name="Date " numFmtId="0">
      <sharedItems containsNonDate="0" containsDate="1" containsString="0" containsBlank="1" minDate="2020-01-01T00:00:00" maxDate="2020-07-18T00:00:00" count="5">
        <d v="2020-07-17T00:00:00"/>
        <d v="2020-01-01T00:00:00"/>
        <d v="2020-04-01T00:00:00"/>
        <d v="2020-05-25T00:00:00"/>
        <m/>
      </sharedItems>
    </cacheField>
    <cacheField name="État" numFmtId="0">
      <sharedItems containsBlank="1" count="4">
        <s v="Remis"/>
        <s v="Perdu"/>
        <m/>
        <s v="En stock" u="1"/>
      </sharedItems>
    </cacheField>
  </cacheFields>
  <extLst>
    <ext xmlns:x14="http://schemas.microsoft.com/office/spreadsheetml/2009/9/main" uri="{725AE2AE-9491-48be-B2B4-4EB974FC3084}">
      <x14:pivotCacheDefinition pivotCacheId="2120444133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12">
  <r>
    <x v="0"/>
    <s v="Augmentateur 1/2 à 3/4"/>
    <n v="20.29"/>
    <x v="0"/>
    <x v="0"/>
    <s v="Omar"/>
    <s v="ELEC"/>
    <x v="0"/>
    <x v="0"/>
    <n v="1"/>
  </r>
  <r>
    <x v="1"/>
    <s v="Boite embouts"/>
    <n v="27.61"/>
    <x v="0"/>
    <x v="0"/>
    <s v="Omar"/>
    <s v="ELEC"/>
    <x v="1"/>
    <x v="0"/>
    <n v="1"/>
  </r>
  <r>
    <x v="2"/>
    <s v="Brady BMP71"/>
    <n v="790"/>
    <x v="0"/>
    <x v="0"/>
    <s v="Omar"/>
    <s v="ELEC"/>
    <x v="2"/>
    <x v="0"/>
    <n v="1"/>
  </r>
  <r>
    <x v="3"/>
    <s v="Burin plat"/>
    <n v="11.89"/>
    <x v="0"/>
    <x v="0"/>
    <s v="Omar"/>
    <s v="ELEC"/>
    <x v="0"/>
    <x v="0"/>
    <n v="1"/>
  </r>
  <r>
    <x v="4"/>
    <s v="Burin pointu"/>
    <n v="8.7200000000000006"/>
    <x v="0"/>
    <x v="0"/>
    <s v="Omar"/>
    <s v="ELEC"/>
    <x v="0"/>
    <x v="0"/>
    <n v="1"/>
  </r>
  <r>
    <x v="5"/>
    <s v="Cadena"/>
    <n v="13"/>
    <x v="0"/>
    <x v="0"/>
    <s v="Omar"/>
    <s v="ELEC"/>
    <x v="2"/>
    <x v="0"/>
    <n v="1"/>
  </r>
  <r>
    <x v="6"/>
    <s v="Clé à molette"/>
    <n v="16.12"/>
    <x v="0"/>
    <x v="0"/>
    <s v="Omar"/>
    <s v="ELEC"/>
    <x v="1"/>
    <x v="0"/>
    <n v="1"/>
  </r>
  <r>
    <x v="7"/>
    <s v="Clé à pipe 10"/>
    <n v="5.41"/>
    <x v="0"/>
    <x v="0"/>
    <s v="Omar"/>
    <s v="ELEC"/>
    <x v="2"/>
    <x v="0"/>
    <n v="1"/>
  </r>
  <r>
    <x v="8"/>
    <s v="Clé à pipe 13"/>
    <n v="6.23"/>
    <x v="0"/>
    <x v="0"/>
    <s v="Omar"/>
    <s v="ELEC"/>
    <x v="2"/>
    <x v="0"/>
    <n v="1"/>
  </r>
  <r>
    <x v="9"/>
    <s v="Clé à pipe 17"/>
    <n v="9.36"/>
    <x v="0"/>
    <x v="0"/>
    <s v="Omar"/>
    <s v="ELEC"/>
    <x v="2"/>
    <x v="0"/>
    <n v="1"/>
  </r>
  <r>
    <x v="10"/>
    <s v="Clé à pipe 19"/>
    <n v="10.4"/>
    <x v="0"/>
    <x v="0"/>
    <s v="Omar"/>
    <s v="ELEC"/>
    <x v="1"/>
    <x v="0"/>
    <n v="1"/>
  </r>
  <r>
    <x v="11"/>
    <s v="Clé allen"/>
    <n v="27.5"/>
    <x v="0"/>
    <x v="0"/>
    <s v="Omar"/>
    <s v="ELEC"/>
    <x v="1"/>
    <x v="0"/>
    <n v="1"/>
  </r>
  <r>
    <x v="12"/>
    <s v="Clé dynamométrique"/>
    <n v="214"/>
    <x v="0"/>
    <x v="0"/>
    <s v="Omar"/>
    <s v="ELEC"/>
    <x v="2"/>
    <x v="0"/>
    <n v="1"/>
  </r>
  <r>
    <x v="13"/>
    <s v="Clé plate 10"/>
    <n v="3.32"/>
    <x v="0"/>
    <x v="0"/>
    <s v="Omar"/>
    <s v="ELEC"/>
    <x v="2"/>
    <x v="0"/>
    <n v="1"/>
  </r>
  <r>
    <x v="14"/>
    <s v="Clé plate 13"/>
    <n v="3.91"/>
    <x v="0"/>
    <x v="0"/>
    <s v="Omar"/>
    <s v="ELEC"/>
    <x v="1"/>
    <x v="0"/>
    <n v="1"/>
  </r>
  <r>
    <x v="15"/>
    <s v="Clé plate 17"/>
    <n v="5.5"/>
    <x v="0"/>
    <x v="0"/>
    <s v="Omar"/>
    <s v="ELEC"/>
    <x v="2"/>
    <x v="0"/>
    <n v="1"/>
  </r>
  <r>
    <x v="16"/>
    <s v="Clé plate 19"/>
    <n v="6.07"/>
    <x v="0"/>
    <x v="0"/>
    <s v="Omar"/>
    <s v="ELEC"/>
    <x v="2"/>
    <x v="0"/>
    <n v="1"/>
  </r>
  <r>
    <x v="17"/>
    <s v="Coffre"/>
    <n v="54.54"/>
    <x v="0"/>
    <x v="0"/>
    <s v="Omar"/>
    <s v="ELEC"/>
    <x v="3"/>
    <x v="0"/>
    <n v="1"/>
  </r>
  <r>
    <x v="18"/>
    <s v="Coffret douilles"/>
    <n v="103.22"/>
    <x v="0"/>
    <x v="0"/>
    <s v="Omar"/>
    <s v="ELEC"/>
    <x v="0"/>
    <x v="0"/>
    <n v="1"/>
  </r>
  <r>
    <x v="19"/>
    <s v="Coupe câble"/>
    <n v="41.88"/>
    <x v="0"/>
    <x v="0"/>
    <s v="Omar"/>
    <s v="ELEC"/>
    <x v="2"/>
    <x v="0"/>
    <n v="1"/>
  </r>
  <r>
    <x v="20"/>
    <s v="Cutter"/>
    <n v="4.8499999999999996"/>
    <x v="0"/>
    <x v="0"/>
    <s v="Omar"/>
    <s v="ELEC"/>
    <x v="0"/>
    <x v="0"/>
    <n v="1"/>
  </r>
  <r>
    <x v="21"/>
    <s v="Douille impact 3/4 longueur 36mm"/>
    <n v="0"/>
    <x v="0"/>
    <x v="0"/>
    <s v="Omar"/>
    <s v="ELEC"/>
    <x v="0"/>
    <x v="0"/>
    <n v="1"/>
  </r>
  <r>
    <x v="22"/>
    <s v="Dymo LABEL MANAGER 160 P"/>
    <n v="38"/>
    <x v="0"/>
    <x v="0"/>
    <s v="Omar"/>
    <s v="ELEC"/>
    <x v="4"/>
    <x v="0"/>
    <n v="1"/>
  </r>
  <r>
    <x v="23"/>
    <s v="Jeu tournevis"/>
    <n v="37.57"/>
    <x v="0"/>
    <x v="0"/>
    <s v="Omar"/>
    <s v="ELEC"/>
    <x v="5"/>
    <x v="0"/>
    <n v="1"/>
  </r>
  <r>
    <x v="24"/>
    <s v="Lampe frontale"/>
    <n v="42.5"/>
    <x v="0"/>
    <x v="0"/>
    <s v="Omar"/>
    <s v="ELEC"/>
    <x v="2"/>
    <x v="0"/>
    <n v="1"/>
  </r>
  <r>
    <x v="25"/>
    <s v="lime demi ronde"/>
    <n v="7.59"/>
    <x v="0"/>
    <x v="0"/>
    <s v="Omar"/>
    <s v="ELEC"/>
    <x v="1"/>
    <x v="0"/>
    <n v="1"/>
  </r>
  <r>
    <x v="26"/>
    <s v="Massette"/>
    <n v="15.14"/>
    <x v="0"/>
    <x v="0"/>
    <s v="Omar"/>
    <s v="ELEC"/>
    <x v="2"/>
    <x v="0"/>
    <n v="1"/>
  </r>
  <r>
    <x v="27"/>
    <s v="Mètre pliant"/>
    <n v="3.2"/>
    <x v="0"/>
    <x v="0"/>
    <s v="Omar"/>
    <s v="ELEC"/>
    <x v="2"/>
    <x v="0"/>
    <n v="1"/>
  </r>
  <r>
    <x v="28"/>
    <s v="Niveau"/>
    <n v="15"/>
    <x v="0"/>
    <x v="0"/>
    <s v="Omar"/>
    <s v="ELEC"/>
    <x v="6"/>
    <x v="0"/>
    <n v="1"/>
  </r>
  <r>
    <x v="29"/>
    <s v="Outil à dégainer"/>
    <n v="20.5"/>
    <x v="0"/>
    <x v="0"/>
    <s v="Omar"/>
    <s v="ELEC"/>
    <x v="0"/>
    <x v="0"/>
    <n v="1"/>
  </r>
  <r>
    <x v="30"/>
    <s v="Pince à dénuder"/>
    <n v="24.55"/>
    <x v="0"/>
    <x v="0"/>
    <s v="Omar"/>
    <s v="ELEC"/>
    <x v="0"/>
    <x v="0"/>
    <n v="1"/>
  </r>
  <r>
    <x v="31"/>
    <s v="Pince à Sertir"/>
    <n v="78.400000000000006"/>
    <x v="0"/>
    <x v="0"/>
    <s v="Omar"/>
    <s v="ELEC"/>
    <x v="2"/>
    <x v="0"/>
    <n v="1"/>
  </r>
  <r>
    <x v="32"/>
    <s v="Pince colson"/>
    <n v="46.91"/>
    <x v="0"/>
    <x v="0"/>
    <s v="Omar"/>
    <s v="ELEC"/>
    <x v="2"/>
    <x v="0"/>
    <n v="1"/>
  </r>
  <r>
    <x v="33"/>
    <s v="Pince coupante 1000v"/>
    <n v="20.87"/>
    <x v="0"/>
    <x v="0"/>
    <s v="Omar"/>
    <s v="ELEC"/>
    <x v="2"/>
    <x v="0"/>
    <n v="1"/>
  </r>
  <r>
    <x v="34"/>
    <s v="Pince étau"/>
    <n v="16.02"/>
    <x v="0"/>
    <x v="0"/>
    <s v="Omar"/>
    <s v="ELEC"/>
    <x v="1"/>
    <x v="0"/>
    <n v="1"/>
  </r>
  <r>
    <x v="34"/>
    <s v="Pince étau"/>
    <n v="16.02"/>
    <x v="0"/>
    <x v="0"/>
    <s v="Omar"/>
    <s v="ELEC"/>
    <x v="1"/>
    <x v="1"/>
    <n v="0"/>
  </r>
  <r>
    <x v="35"/>
    <s v="Scie à métaux"/>
    <n v="11.26"/>
    <x v="0"/>
    <x v="0"/>
    <s v="Omar"/>
    <s v="ELEC"/>
    <x v="0"/>
    <x v="0"/>
    <n v="1"/>
  </r>
  <r>
    <x v="17"/>
    <s v="Coffre"/>
    <n v="54.54"/>
    <x v="1"/>
    <x v="1"/>
    <s v="Ali"/>
    <s v="ELEC"/>
    <x v="7"/>
    <x v="0"/>
    <n v="1"/>
  </r>
  <r>
    <x v="6"/>
    <s v="Clé à molette"/>
    <n v="16.12"/>
    <x v="1"/>
    <x v="1"/>
    <s v="Ali"/>
    <s v="ELEC"/>
    <x v="8"/>
    <x v="0"/>
    <n v="1"/>
  </r>
  <r>
    <x v="30"/>
    <s v="Pince à dénuder"/>
    <n v="24.55"/>
    <x v="1"/>
    <x v="1"/>
    <s v="Ali"/>
    <s v="ELEC"/>
    <x v="8"/>
    <x v="0"/>
    <n v="1"/>
  </r>
  <r>
    <x v="25"/>
    <s v="lime demi ronde"/>
    <n v="7.59"/>
    <x v="1"/>
    <x v="1"/>
    <s v="Ali"/>
    <s v="ELEC"/>
    <x v="8"/>
    <x v="0"/>
    <n v="1"/>
  </r>
  <r>
    <x v="33"/>
    <s v="Pince coupante 1000v"/>
    <n v="20.87"/>
    <x v="1"/>
    <x v="1"/>
    <s v="Ali"/>
    <s v="ELEC"/>
    <x v="1"/>
    <x v="0"/>
    <n v="1"/>
  </r>
  <r>
    <x v="19"/>
    <s v="Coupe câble"/>
    <n v="41.88"/>
    <x v="1"/>
    <x v="1"/>
    <s v="Ali"/>
    <s v="ELEC"/>
    <x v="8"/>
    <x v="0"/>
    <n v="1"/>
  </r>
  <r>
    <x v="35"/>
    <s v="Scie à métaux"/>
    <n v="11.26"/>
    <x v="1"/>
    <x v="1"/>
    <s v="Ali"/>
    <s v="ELEC"/>
    <x v="1"/>
    <x v="0"/>
    <n v="1"/>
  </r>
  <r>
    <x v="27"/>
    <s v="Mètre pliant"/>
    <n v="3.2"/>
    <x v="1"/>
    <x v="1"/>
    <s v="Ali"/>
    <s v="ELEC"/>
    <x v="1"/>
    <x v="0"/>
    <n v="1"/>
  </r>
  <r>
    <x v="3"/>
    <s v="Burin plat"/>
    <n v="11.89"/>
    <x v="1"/>
    <x v="1"/>
    <s v="Ali"/>
    <s v="ELEC"/>
    <x v="1"/>
    <x v="0"/>
    <n v="1"/>
  </r>
  <r>
    <x v="4"/>
    <s v="Burin pointu"/>
    <n v="8.7200000000000006"/>
    <x v="1"/>
    <x v="1"/>
    <s v="Ali"/>
    <s v="ELEC"/>
    <x v="1"/>
    <x v="0"/>
    <n v="1"/>
  </r>
  <r>
    <x v="26"/>
    <s v="Massette"/>
    <n v="15.14"/>
    <x v="1"/>
    <x v="1"/>
    <s v="Ali"/>
    <s v="ELEC"/>
    <x v="1"/>
    <x v="0"/>
    <n v="1"/>
  </r>
  <r>
    <x v="28"/>
    <s v="Niveau"/>
    <n v="15"/>
    <x v="1"/>
    <x v="1"/>
    <s v="Ali"/>
    <s v="ELEC"/>
    <x v="8"/>
    <x v="0"/>
    <n v="1"/>
  </r>
  <r>
    <x v="23"/>
    <s v="Jeu tournevis"/>
    <n v="37.57"/>
    <x v="1"/>
    <x v="1"/>
    <s v="Ali"/>
    <s v="ELEC"/>
    <x v="9"/>
    <x v="0"/>
    <n v="1"/>
  </r>
  <r>
    <x v="34"/>
    <s v="Pince étau"/>
    <n v="16.02"/>
    <x v="1"/>
    <x v="1"/>
    <s v="Ali"/>
    <s v="ELEC"/>
    <x v="1"/>
    <x v="0"/>
    <n v="1"/>
  </r>
  <r>
    <x v="18"/>
    <s v="Coffret douilles"/>
    <n v="103.22"/>
    <x v="1"/>
    <x v="1"/>
    <s v="Ali"/>
    <s v="ELEC"/>
    <x v="8"/>
    <x v="0"/>
    <n v="1"/>
  </r>
  <r>
    <x v="7"/>
    <s v="Clé à pipe 10"/>
    <n v="5.41"/>
    <x v="1"/>
    <x v="1"/>
    <s v="Ali"/>
    <s v="ELEC"/>
    <x v="1"/>
    <x v="0"/>
    <n v="1"/>
  </r>
  <r>
    <x v="8"/>
    <s v="Clé à pipe 13"/>
    <n v="6.23"/>
    <x v="1"/>
    <x v="1"/>
    <s v="Ali"/>
    <s v="ELEC"/>
    <x v="1"/>
    <x v="0"/>
    <n v="1"/>
  </r>
  <r>
    <x v="9"/>
    <s v="Clé à pipe 17"/>
    <n v="9.36"/>
    <x v="1"/>
    <x v="1"/>
    <s v="Ali"/>
    <s v="ELEC"/>
    <x v="1"/>
    <x v="0"/>
    <n v="1"/>
  </r>
  <r>
    <x v="10"/>
    <s v="Clé à pipe 19"/>
    <n v="10.4"/>
    <x v="1"/>
    <x v="1"/>
    <s v="Ali"/>
    <s v="ELEC"/>
    <x v="1"/>
    <x v="0"/>
    <n v="1"/>
  </r>
  <r>
    <x v="13"/>
    <s v="Clé plate 10"/>
    <n v="3.32"/>
    <x v="1"/>
    <x v="1"/>
    <s v="Ali"/>
    <s v="ELEC"/>
    <x v="8"/>
    <x v="0"/>
    <n v="1"/>
  </r>
  <r>
    <x v="14"/>
    <s v="Clé plate 13"/>
    <n v="3.91"/>
    <x v="1"/>
    <x v="1"/>
    <s v="Ali"/>
    <s v="ELEC"/>
    <x v="8"/>
    <x v="0"/>
    <n v="1"/>
  </r>
  <r>
    <x v="15"/>
    <s v="Clé plate 17"/>
    <n v="5.5"/>
    <x v="1"/>
    <x v="1"/>
    <s v="Ali"/>
    <s v="ELEC"/>
    <x v="8"/>
    <x v="0"/>
    <n v="1"/>
  </r>
  <r>
    <x v="16"/>
    <s v="Clé plate 19"/>
    <n v="6.07"/>
    <x v="1"/>
    <x v="1"/>
    <s v="Ali"/>
    <s v="ELEC"/>
    <x v="8"/>
    <x v="0"/>
    <n v="1"/>
  </r>
  <r>
    <x v="36"/>
    <s v="Jeu de Clés plate à cliquet"/>
    <n v="182.4"/>
    <x v="1"/>
    <x v="1"/>
    <s v="Ali"/>
    <s v="ELEC"/>
    <x v="0"/>
    <x v="0"/>
    <n v="1"/>
  </r>
  <r>
    <x v="20"/>
    <s v="Cutter"/>
    <n v="4.8499999999999996"/>
    <x v="1"/>
    <x v="1"/>
    <s v="Ali"/>
    <s v="ELEC"/>
    <x v="1"/>
    <x v="0"/>
    <n v="1"/>
  </r>
  <r>
    <x v="11"/>
    <s v="Clé allen"/>
    <n v="27.5"/>
    <x v="1"/>
    <x v="1"/>
    <s v="Ali"/>
    <s v="ELEC"/>
    <x v="1"/>
    <x v="0"/>
    <n v="1"/>
  </r>
  <r>
    <x v="29"/>
    <s v="Outil à dégainer"/>
    <n v="20.5"/>
    <x v="1"/>
    <x v="1"/>
    <s v="Ali"/>
    <s v="ELEC"/>
    <x v="1"/>
    <x v="0"/>
    <n v="1"/>
  </r>
  <r>
    <x v="31"/>
    <s v="Pince à Sertir"/>
    <n v="78.400000000000006"/>
    <x v="1"/>
    <x v="1"/>
    <s v="Ali"/>
    <s v="ELEC"/>
    <x v="8"/>
    <x v="0"/>
    <n v="1"/>
  </r>
  <r>
    <x v="37"/>
    <s v="Testeur Fluke"/>
    <n v="0"/>
    <x v="1"/>
    <x v="1"/>
    <s v="Ali"/>
    <s v="ELEC"/>
    <x v="10"/>
    <x v="0"/>
    <n v="1"/>
  </r>
  <r>
    <x v="1"/>
    <s v="Boite embouts"/>
    <n v="27.61"/>
    <x v="1"/>
    <x v="1"/>
    <s v="Ali"/>
    <s v="ELEC"/>
    <x v="1"/>
    <x v="0"/>
    <n v="1"/>
  </r>
  <r>
    <x v="38"/>
    <s v="Lunette de protection"/>
    <n v="2.38"/>
    <x v="1"/>
    <x v="1"/>
    <s v="Ali"/>
    <s v="ELEC"/>
    <x v="11"/>
    <x v="0"/>
    <n v="1"/>
  </r>
  <r>
    <x v="39"/>
    <s v="Casque chantier"/>
    <n v="29.05"/>
    <x v="1"/>
    <x v="1"/>
    <s v="Ali"/>
    <s v="ELEC"/>
    <x v="2"/>
    <x v="0"/>
    <n v="1"/>
  </r>
  <r>
    <x v="24"/>
    <s v="Lampe frontale"/>
    <n v="42.5"/>
    <x v="1"/>
    <x v="1"/>
    <s v="Ali"/>
    <s v="ELEC"/>
    <x v="12"/>
    <x v="0"/>
    <n v="1"/>
  </r>
  <r>
    <x v="40"/>
    <s v="Couteau électricien"/>
    <n v="17.149999999999999"/>
    <x v="1"/>
    <x v="1"/>
    <s v="Ali"/>
    <s v="ELEC"/>
    <x v="13"/>
    <x v="0"/>
    <n v="1"/>
  </r>
  <r>
    <x v="41"/>
    <s v="Genouillère"/>
    <n v="0"/>
    <x v="1"/>
    <x v="1"/>
    <s v="Ali"/>
    <s v="ELEC"/>
    <x v="14"/>
    <x v="0"/>
    <n v="1"/>
  </r>
  <r>
    <x v="39"/>
    <s v="Casque chantier"/>
    <n v="29.05"/>
    <x v="2"/>
    <x v="2"/>
    <s v="Hugo"/>
    <s v="GC"/>
    <x v="15"/>
    <x v="0"/>
    <n v="1"/>
  </r>
  <r>
    <x v="24"/>
    <s v="Lampe frontale"/>
    <n v="42.5"/>
    <x v="2"/>
    <x v="2"/>
    <s v="Hugo"/>
    <s v="GC"/>
    <x v="16"/>
    <x v="0"/>
    <n v="1"/>
  </r>
  <r>
    <x v="23"/>
    <s v="Jeu tournevis"/>
    <n v="37.57"/>
    <x v="3"/>
    <x v="2"/>
    <s v="Stéphane"/>
    <s v="GC"/>
    <x v="17"/>
    <x v="0"/>
    <n v="1"/>
  </r>
  <r>
    <x v="42"/>
    <s v="Clé à griffe 18p"/>
    <n v="54"/>
    <x v="3"/>
    <x v="2"/>
    <s v="Stéphane"/>
    <s v="GC"/>
    <x v="18"/>
    <x v="0"/>
    <n v="1"/>
  </r>
  <r>
    <x v="24"/>
    <s v="Lampe frontale"/>
    <n v="42.5"/>
    <x v="3"/>
    <x v="2"/>
    <s v="Stéphane"/>
    <s v="GC"/>
    <x v="19"/>
    <x v="0"/>
    <n v="1"/>
  </r>
  <r>
    <x v="17"/>
    <s v="Coffre"/>
    <n v="54.54"/>
    <x v="4"/>
    <x v="3"/>
    <s v="Arnaud"/>
    <s v="ELEC"/>
    <x v="20"/>
    <x v="0"/>
    <n v="1"/>
  </r>
  <r>
    <x v="6"/>
    <s v="Clé à molette"/>
    <n v="16.12"/>
    <x v="4"/>
    <x v="3"/>
    <s v="Arnaud"/>
    <s v="ELEC"/>
    <x v="18"/>
    <x v="0"/>
    <n v="1"/>
  </r>
  <r>
    <x v="30"/>
    <s v="Pince à dénuder"/>
    <n v="24.55"/>
    <x v="4"/>
    <x v="3"/>
    <s v="Arnaud"/>
    <s v="ELEC"/>
    <x v="18"/>
    <x v="0"/>
    <n v="1"/>
  </r>
  <r>
    <x v="25"/>
    <s v="lime demi ronde"/>
    <n v="7.59"/>
    <x v="4"/>
    <x v="3"/>
    <s v="Arnaud"/>
    <s v="ELEC"/>
    <x v="18"/>
    <x v="0"/>
    <n v="1"/>
  </r>
  <r>
    <x v="33"/>
    <s v="Pince coupante 1000v"/>
    <n v="20.87"/>
    <x v="4"/>
    <x v="3"/>
    <s v="Arnaud"/>
    <s v="ELEC"/>
    <x v="18"/>
    <x v="0"/>
    <n v="1"/>
  </r>
  <r>
    <x v="19"/>
    <s v="Coupe câble"/>
    <n v="41.88"/>
    <x v="4"/>
    <x v="3"/>
    <s v="Arnaud"/>
    <s v="ELEC"/>
    <x v="20"/>
    <x v="0"/>
    <n v="1"/>
  </r>
  <r>
    <x v="35"/>
    <s v="Scie à métaux"/>
    <n v="11.26"/>
    <x v="4"/>
    <x v="3"/>
    <s v="Arnaud"/>
    <s v="ELEC"/>
    <x v="18"/>
    <x v="0"/>
    <n v="1"/>
  </r>
  <r>
    <x v="27"/>
    <s v="Mètre pliant"/>
    <n v="3.2"/>
    <x v="4"/>
    <x v="3"/>
    <s v="Arnaud"/>
    <s v="ELEC"/>
    <x v="18"/>
    <x v="0"/>
    <n v="1"/>
  </r>
  <r>
    <x v="3"/>
    <s v="Burin plat"/>
    <n v="11.89"/>
    <x v="4"/>
    <x v="3"/>
    <s v="Arnaud"/>
    <s v="ELEC"/>
    <x v="18"/>
    <x v="0"/>
    <n v="1"/>
  </r>
  <r>
    <x v="4"/>
    <s v="Burin pointu"/>
    <n v="8.7200000000000006"/>
    <x v="4"/>
    <x v="3"/>
    <s v="Arnaud"/>
    <s v="ELEC"/>
    <x v="18"/>
    <x v="0"/>
    <n v="1"/>
  </r>
  <r>
    <x v="26"/>
    <s v="Massette"/>
    <n v="15.14"/>
    <x v="4"/>
    <x v="3"/>
    <s v="Arnaud"/>
    <s v="ELEC"/>
    <x v="18"/>
    <x v="0"/>
    <n v="1"/>
  </r>
  <r>
    <x v="28"/>
    <s v="Niveau"/>
    <n v="15"/>
    <x v="4"/>
    <x v="3"/>
    <s v="Arnaud"/>
    <s v="ELEC"/>
    <x v="18"/>
    <x v="0"/>
    <n v="1"/>
  </r>
  <r>
    <x v="23"/>
    <s v="Jeu tournevis"/>
    <n v="37.57"/>
    <x v="4"/>
    <x v="3"/>
    <s v="Arnaud"/>
    <s v="ELEC"/>
    <x v="18"/>
    <x v="0"/>
    <n v="1"/>
  </r>
  <r>
    <x v="34"/>
    <s v="Pince étau"/>
    <n v="16.02"/>
    <x v="4"/>
    <x v="3"/>
    <s v="Arnaud"/>
    <s v="ELEC"/>
    <x v="18"/>
    <x v="0"/>
    <n v="1"/>
  </r>
  <r>
    <x v="18"/>
    <s v="Coffret douilles"/>
    <n v="103.22"/>
    <x v="4"/>
    <x v="3"/>
    <s v="Arnaud"/>
    <s v="ELEC"/>
    <x v="18"/>
    <x v="0"/>
    <n v="1"/>
  </r>
  <r>
    <x v="7"/>
    <s v="Clé à pipe 10"/>
    <n v="5.41"/>
    <x v="4"/>
    <x v="3"/>
    <s v="Arnaud"/>
    <s v="ELEC"/>
    <x v="18"/>
    <x v="0"/>
    <n v="1"/>
  </r>
  <r>
    <x v="8"/>
    <s v="Clé à pipe 13"/>
    <n v="6.23"/>
    <x v="4"/>
    <x v="3"/>
    <s v="Arnaud"/>
    <s v="ELEC"/>
    <x v="18"/>
    <x v="0"/>
    <n v="1"/>
  </r>
  <r>
    <x v="9"/>
    <s v="Clé à pipe 17"/>
    <n v="9.36"/>
    <x v="4"/>
    <x v="3"/>
    <s v="Arnaud"/>
    <s v="ELEC"/>
    <x v="18"/>
    <x v="0"/>
    <n v="1"/>
  </r>
  <r>
    <x v="10"/>
    <s v="Clé à pipe 19"/>
    <n v="10.4"/>
    <x v="4"/>
    <x v="3"/>
    <s v="Arnaud"/>
    <s v="ELEC"/>
    <x v="18"/>
    <x v="0"/>
    <n v="1"/>
  </r>
  <r>
    <x v="13"/>
    <s v="Clé plate 10"/>
    <n v="3.32"/>
    <x v="4"/>
    <x v="3"/>
    <s v="Arnaud"/>
    <s v="ELEC"/>
    <x v="20"/>
    <x v="0"/>
    <n v="1"/>
  </r>
  <r>
    <x v="14"/>
    <s v="Clé plate 13"/>
    <n v="3.91"/>
    <x v="4"/>
    <x v="3"/>
    <s v="Arnaud"/>
    <s v="ELEC"/>
    <x v="18"/>
    <x v="0"/>
    <n v="1"/>
  </r>
  <r>
    <x v="15"/>
    <s v="Clé plate 17"/>
    <n v="5.5"/>
    <x v="4"/>
    <x v="3"/>
    <s v="Arnaud"/>
    <s v="ELEC"/>
    <x v="18"/>
    <x v="0"/>
    <n v="1"/>
  </r>
  <r>
    <x v="16"/>
    <s v="Clé plate 19"/>
    <n v="6.07"/>
    <x v="4"/>
    <x v="3"/>
    <s v="Arnaud"/>
    <s v="ELEC"/>
    <x v="18"/>
    <x v="0"/>
    <n v="1"/>
  </r>
  <r>
    <x v="20"/>
    <s v="Cutter"/>
    <n v="4.8499999999999996"/>
    <x v="4"/>
    <x v="3"/>
    <s v="Arnaud"/>
    <s v="ELEC"/>
    <x v="20"/>
    <x v="0"/>
    <n v="1"/>
  </r>
  <r>
    <x v="11"/>
    <s v="Clé allen"/>
    <n v="27.5"/>
    <x v="4"/>
    <x v="3"/>
    <s v="Arnaud"/>
    <s v="ELEC"/>
    <x v="20"/>
    <x v="0"/>
    <n v="1"/>
  </r>
  <r>
    <x v="29"/>
    <s v="Outil à dégainer"/>
    <n v="20.5"/>
    <x v="4"/>
    <x v="3"/>
    <s v="Arnaud"/>
    <s v="ELEC"/>
    <x v="20"/>
    <x v="0"/>
    <n v="1"/>
  </r>
  <r>
    <x v="31"/>
    <s v="Pince à Sertir"/>
    <n v="78.400000000000006"/>
    <x v="4"/>
    <x v="3"/>
    <s v="Arnaud"/>
    <s v="ELEC"/>
    <x v="20"/>
    <x v="0"/>
    <n v="1"/>
  </r>
  <r>
    <x v="37"/>
    <s v="Testeur Fluke"/>
    <n v="0"/>
    <x v="4"/>
    <x v="3"/>
    <s v="Arnaud"/>
    <s v="ELEC"/>
    <x v="21"/>
    <x v="0"/>
    <n v="1"/>
  </r>
  <r>
    <x v="1"/>
    <s v="Boite embouts"/>
    <n v="27.61"/>
    <x v="4"/>
    <x v="3"/>
    <s v="Arnaud"/>
    <s v="ELEC"/>
    <x v="18"/>
    <x v="0"/>
    <n v="1"/>
  </r>
  <r>
    <x v="39"/>
    <s v="Casque chantier"/>
    <n v="29.05"/>
    <x v="4"/>
    <x v="3"/>
    <s v="Arnaud"/>
    <s v="ELEC"/>
    <x v="15"/>
    <x v="0"/>
    <n v="1"/>
  </r>
  <r>
    <x v="24"/>
    <s v="Lampe frontale"/>
    <n v="42.5"/>
    <x v="4"/>
    <x v="3"/>
    <s v="Arnaud"/>
    <s v="ELEC"/>
    <x v="18"/>
    <x v="0"/>
    <n v="1"/>
  </r>
  <r>
    <x v="0"/>
    <s v="Augmentateur 1/2 à 3/4"/>
    <n v="20.29"/>
    <x v="5"/>
    <x v="4"/>
    <s v="Jonathan"/>
    <s v="ELEC"/>
    <x v="22"/>
    <x v="0"/>
    <n v="1"/>
  </r>
  <r>
    <x v="1"/>
    <s v="Boite embouts"/>
    <n v="27.61"/>
    <x v="5"/>
    <x v="4"/>
    <s v="Jonathan"/>
    <s v="ELEC"/>
    <x v="1"/>
    <x v="0"/>
    <n v="1"/>
  </r>
  <r>
    <x v="3"/>
    <s v="Burin plat"/>
    <n v="11.89"/>
    <x v="5"/>
    <x v="4"/>
    <s v="Jonathan"/>
    <s v="ELEC"/>
    <x v="23"/>
    <x v="0"/>
    <n v="1"/>
  </r>
  <r>
    <x v="4"/>
    <s v="Burin pointu"/>
    <n v="8.7200000000000006"/>
    <x v="5"/>
    <x v="4"/>
    <s v="Jonathan"/>
    <s v="ELEC"/>
    <x v="23"/>
    <x v="0"/>
    <n v="1"/>
  </r>
  <r>
    <x v="5"/>
    <s v="Cadena"/>
    <n v="13"/>
    <x v="5"/>
    <x v="4"/>
    <s v="Jonathan"/>
    <s v="ELEC"/>
    <x v="23"/>
    <x v="0"/>
    <n v="1"/>
  </r>
  <r>
    <x v="39"/>
    <s v="Casque chantier"/>
    <n v="29.05"/>
    <x v="5"/>
    <x v="4"/>
    <s v="Jonathan"/>
    <s v="ELEC"/>
    <x v="24"/>
    <x v="0"/>
    <n v="1"/>
  </r>
  <r>
    <x v="6"/>
    <s v="Clé à molette"/>
    <n v="16.12"/>
    <x v="5"/>
    <x v="4"/>
    <s v="Jonathan"/>
    <s v="ELEC"/>
    <x v="23"/>
    <x v="0"/>
    <n v="1"/>
  </r>
  <r>
    <x v="7"/>
    <s v="Clé à pipe 10"/>
    <n v="5.41"/>
    <x v="5"/>
    <x v="4"/>
    <s v="Jonathan"/>
    <s v="ELEC"/>
    <x v="23"/>
    <x v="0"/>
    <n v="1"/>
  </r>
  <r>
    <x v="8"/>
    <s v="Clé à pipe 13"/>
    <n v="6.23"/>
    <x v="5"/>
    <x v="4"/>
    <s v="Jonathan"/>
    <s v="ELEC"/>
    <x v="23"/>
    <x v="0"/>
    <n v="1"/>
  </r>
  <r>
    <x v="43"/>
    <s v="Clé à pipe 16"/>
    <n v="9.1999999999999993"/>
    <x v="5"/>
    <x v="4"/>
    <s v="Jonathan"/>
    <s v="ELEC"/>
    <x v="25"/>
    <x v="0"/>
    <n v="1"/>
  </r>
  <r>
    <x v="9"/>
    <s v="Clé à pipe 17"/>
    <n v="9.36"/>
    <x v="5"/>
    <x v="4"/>
    <s v="Jonathan"/>
    <s v="ELEC"/>
    <x v="23"/>
    <x v="0"/>
    <n v="1"/>
  </r>
  <r>
    <x v="10"/>
    <s v="Clé à pipe 19"/>
    <n v="10.4"/>
    <x v="5"/>
    <x v="4"/>
    <s v="Jonathan"/>
    <s v="ELEC"/>
    <x v="23"/>
    <x v="0"/>
    <n v="1"/>
  </r>
  <r>
    <x v="44"/>
    <s v="Clé à pipe 8"/>
    <n v="4.8499999999999996"/>
    <x v="5"/>
    <x v="4"/>
    <s v="Jonathan"/>
    <s v="ELEC"/>
    <x v="24"/>
    <x v="0"/>
    <n v="1"/>
  </r>
  <r>
    <x v="11"/>
    <s v="Clé allen"/>
    <n v="27.5"/>
    <x v="5"/>
    <x v="4"/>
    <s v="Jonathan"/>
    <s v="ELEC"/>
    <x v="17"/>
    <x v="0"/>
    <n v="1"/>
  </r>
  <r>
    <x v="45"/>
    <s v="Clé mixte 8"/>
    <n v="3.05"/>
    <x v="5"/>
    <x v="4"/>
    <s v="Jonathan"/>
    <s v="ELEC"/>
    <x v="24"/>
    <x v="0"/>
    <n v="1"/>
  </r>
  <r>
    <x v="13"/>
    <s v="Clé plate 10"/>
    <n v="3.32"/>
    <x v="5"/>
    <x v="4"/>
    <s v="Jonathan"/>
    <s v="ELEC"/>
    <x v="23"/>
    <x v="0"/>
    <n v="1"/>
  </r>
  <r>
    <x v="14"/>
    <s v="Clé plate 13"/>
    <n v="3.91"/>
    <x v="5"/>
    <x v="4"/>
    <s v="Jonathan"/>
    <s v="ELEC"/>
    <x v="23"/>
    <x v="0"/>
    <n v="1"/>
  </r>
  <r>
    <x v="15"/>
    <s v="Clé plate 17"/>
    <n v="5.5"/>
    <x v="5"/>
    <x v="4"/>
    <s v="Jonathan"/>
    <s v="ELEC"/>
    <x v="23"/>
    <x v="0"/>
    <n v="1"/>
  </r>
  <r>
    <x v="16"/>
    <s v="Clé plate 19"/>
    <n v="6.07"/>
    <x v="5"/>
    <x v="4"/>
    <s v="Jonathan"/>
    <s v="ELEC"/>
    <x v="23"/>
    <x v="0"/>
    <n v="1"/>
  </r>
  <r>
    <x v="46"/>
    <s v="Clé plate cliquet 22"/>
    <n v="23.67"/>
    <x v="5"/>
    <x v="4"/>
    <s v="Jonathan"/>
    <s v="ELEC"/>
    <x v="24"/>
    <x v="0"/>
    <n v="1"/>
  </r>
  <r>
    <x v="17"/>
    <s v="Coffre"/>
    <n v="54.54"/>
    <x v="5"/>
    <x v="4"/>
    <s v="Jonathan"/>
    <s v="ELEC"/>
    <x v="23"/>
    <x v="0"/>
    <n v="1"/>
  </r>
  <r>
    <x v="17"/>
    <s v="Coffre"/>
    <n v="54.54"/>
    <x v="5"/>
    <x v="4"/>
    <s v="Jonathan"/>
    <s v="ELEC"/>
    <x v="23"/>
    <x v="2"/>
    <n v="0"/>
  </r>
  <r>
    <x v="17"/>
    <s v="Coffre"/>
    <n v="54.54"/>
    <x v="5"/>
    <x v="4"/>
    <s v="Jonathan"/>
    <s v="ELEC"/>
    <x v="26"/>
    <x v="0"/>
    <n v="1"/>
  </r>
  <r>
    <x v="18"/>
    <s v="Coffret douilles"/>
    <n v="103.22"/>
    <x v="5"/>
    <x v="4"/>
    <s v="Jonathan"/>
    <s v="ELEC"/>
    <x v="1"/>
    <x v="0"/>
    <n v="1"/>
  </r>
  <r>
    <x v="19"/>
    <s v="Coupe câble"/>
    <n v="41.88"/>
    <x v="5"/>
    <x v="4"/>
    <s v="Jonathan"/>
    <s v="ELEC"/>
    <x v="27"/>
    <x v="0"/>
    <n v="1"/>
  </r>
  <r>
    <x v="19"/>
    <s v="Coupe câble"/>
    <n v="41.88"/>
    <x v="5"/>
    <x v="4"/>
    <s v="Jonathan"/>
    <s v="ELEC"/>
    <x v="23"/>
    <x v="1"/>
    <n v="0"/>
  </r>
  <r>
    <x v="40"/>
    <s v="Couteau électricien"/>
    <n v="17.149999999999999"/>
    <x v="5"/>
    <x v="4"/>
    <s v="Jonathan"/>
    <s v="ELEC"/>
    <x v="27"/>
    <x v="0"/>
    <n v="1"/>
  </r>
  <r>
    <x v="40"/>
    <s v="Couteau électricien"/>
    <n v="17.149999999999999"/>
    <x v="5"/>
    <x v="4"/>
    <s v="Jonathan"/>
    <s v="ELEC"/>
    <x v="27"/>
    <x v="2"/>
    <n v="0"/>
  </r>
  <r>
    <x v="40"/>
    <s v="Couteau électricien"/>
    <n v="17.149999999999999"/>
    <x v="5"/>
    <x v="4"/>
    <s v="Jonathan"/>
    <s v="ELEC"/>
    <x v="28"/>
    <x v="0"/>
    <n v="1"/>
  </r>
  <r>
    <x v="20"/>
    <s v="Cutter"/>
    <n v="4.8499999999999996"/>
    <x v="5"/>
    <x v="4"/>
    <s v="Jonathan"/>
    <s v="ELEC"/>
    <x v="23"/>
    <x v="0"/>
    <n v="1"/>
  </r>
  <r>
    <x v="21"/>
    <s v="Douille impact 3/4 longueur 36mm"/>
    <n v="0"/>
    <x v="5"/>
    <x v="4"/>
    <s v="Jonathan"/>
    <s v="ELEC"/>
    <x v="22"/>
    <x v="0"/>
    <n v="1"/>
  </r>
  <r>
    <x v="47"/>
    <s v="Jeu de Clés mixte à cliquet"/>
    <n v="176"/>
    <x v="5"/>
    <x v="4"/>
    <s v="Jonathan"/>
    <s v="ELEC"/>
    <x v="29"/>
    <x v="0"/>
    <n v="1"/>
  </r>
  <r>
    <x v="48"/>
    <s v="Jeu de tournevis pro avec embouts de vissage 1/4 ref 438-008"/>
    <n v="0"/>
    <x v="5"/>
    <x v="4"/>
    <s v="Jonathan"/>
    <s v="ELEC"/>
    <x v="30"/>
    <x v="0"/>
    <n v="1"/>
  </r>
  <r>
    <x v="23"/>
    <s v="Jeu tournevis"/>
    <n v="37.57"/>
    <x v="5"/>
    <x v="4"/>
    <s v="Jonathan"/>
    <s v="ELEC"/>
    <x v="31"/>
    <x v="0"/>
    <n v="1"/>
  </r>
  <r>
    <x v="24"/>
    <s v="Lampe frontale"/>
    <n v="42.5"/>
    <x v="5"/>
    <x v="4"/>
    <s v="Jonathan"/>
    <s v="ELEC"/>
    <x v="1"/>
    <x v="0"/>
    <n v="1"/>
  </r>
  <r>
    <x v="25"/>
    <s v="lime demi ronde"/>
    <n v="7.59"/>
    <x v="5"/>
    <x v="4"/>
    <s v="Jonathan"/>
    <s v="ELEC"/>
    <x v="24"/>
    <x v="0"/>
    <n v="1"/>
  </r>
  <r>
    <x v="25"/>
    <s v="lime demi ronde"/>
    <n v="7.59"/>
    <x v="5"/>
    <x v="4"/>
    <s v="Jonathan"/>
    <s v="ELEC"/>
    <x v="24"/>
    <x v="1"/>
    <n v="0"/>
  </r>
  <r>
    <x v="25"/>
    <s v="lime demi ronde"/>
    <n v="7.59"/>
    <x v="5"/>
    <x v="4"/>
    <s v="Jonathan"/>
    <s v="ELEC"/>
    <x v="17"/>
    <x v="0"/>
    <n v="1"/>
  </r>
  <r>
    <x v="38"/>
    <s v="Lunette de protection"/>
    <n v="2.38"/>
    <x v="5"/>
    <x v="4"/>
    <s v="Jonathan"/>
    <s v="ELEC"/>
    <x v="23"/>
    <x v="0"/>
    <n v="1"/>
  </r>
  <r>
    <x v="26"/>
    <s v="Massette"/>
    <n v="15.14"/>
    <x v="5"/>
    <x v="4"/>
    <s v="Jonathan"/>
    <s v="ELEC"/>
    <x v="23"/>
    <x v="0"/>
    <n v="1"/>
  </r>
  <r>
    <x v="27"/>
    <s v="Mètre pliant"/>
    <n v="3.2"/>
    <x v="5"/>
    <x v="4"/>
    <s v="Jonathan"/>
    <s v="ELEC"/>
    <x v="23"/>
    <x v="0"/>
    <n v="1"/>
  </r>
  <r>
    <x v="28"/>
    <s v="Niveau"/>
    <n v="15"/>
    <x v="5"/>
    <x v="4"/>
    <s v="Jonathan"/>
    <s v="ELEC"/>
    <x v="1"/>
    <x v="0"/>
    <n v="1"/>
  </r>
  <r>
    <x v="29"/>
    <s v="Outil à dégainer"/>
    <n v="20.5"/>
    <x v="5"/>
    <x v="4"/>
    <s v="Jonathan"/>
    <s v="ELEC"/>
    <x v="1"/>
    <x v="0"/>
    <n v="1"/>
  </r>
  <r>
    <x v="49"/>
    <s v="Pince à bec plat"/>
    <n v="20.8"/>
    <x v="5"/>
    <x v="4"/>
    <s v="Jonathan"/>
    <s v="ELEC"/>
    <x v="32"/>
    <x v="0"/>
    <n v="1"/>
  </r>
  <r>
    <x v="30"/>
    <s v="Pince à dénuder"/>
    <n v="24.55"/>
    <x v="5"/>
    <x v="4"/>
    <s v="Jonathan"/>
    <s v="ELEC"/>
    <x v="23"/>
    <x v="0"/>
    <n v="1"/>
  </r>
  <r>
    <x v="50"/>
    <s v="Pince à long bec"/>
    <n v="0"/>
    <x v="5"/>
    <x v="4"/>
    <s v="Jonathan"/>
    <s v="ELEC"/>
    <x v="23"/>
    <x v="0"/>
    <n v="1"/>
  </r>
  <r>
    <x v="31"/>
    <s v="Pince à Sertir"/>
    <n v="78.400000000000006"/>
    <x v="5"/>
    <x v="4"/>
    <s v="Jonathan"/>
    <s v="ELEC"/>
    <x v="23"/>
    <x v="0"/>
    <n v="1"/>
  </r>
  <r>
    <x v="32"/>
    <s v="Pince colson"/>
    <n v="46.91"/>
    <x v="5"/>
    <x v="4"/>
    <s v="Jonathan"/>
    <s v="ELEC"/>
    <x v="1"/>
    <x v="0"/>
    <n v="1"/>
  </r>
  <r>
    <x v="6"/>
    <s v="Clé à molette"/>
    <n v="16.12"/>
    <x v="6"/>
    <x v="5"/>
    <s v="Oumar"/>
    <s v="ELEC"/>
    <x v="33"/>
    <x v="0"/>
    <n v="1"/>
  </r>
  <r>
    <x v="6"/>
    <s v="Clé à molette"/>
    <n v="16.12"/>
    <x v="6"/>
    <x v="5"/>
    <s v="Oumar"/>
    <s v="ELEC"/>
    <x v="33"/>
    <x v="1"/>
    <n v="0"/>
  </r>
  <r>
    <x v="30"/>
    <s v="Pince à dénuder"/>
    <n v="24.55"/>
    <x v="6"/>
    <x v="5"/>
    <s v="Oumar"/>
    <s v="ELEC"/>
    <x v="33"/>
    <x v="0"/>
    <n v="1"/>
  </r>
  <r>
    <x v="30"/>
    <s v="Pince à dénuder"/>
    <n v="24.55"/>
    <x v="6"/>
    <x v="5"/>
    <s v="Oumar"/>
    <s v="ELEC"/>
    <x v="33"/>
    <x v="1"/>
    <n v="0"/>
  </r>
  <r>
    <x v="25"/>
    <s v="lime demi ronde"/>
    <n v="7.59"/>
    <x v="6"/>
    <x v="5"/>
    <s v="Oumar"/>
    <s v="ELEC"/>
    <x v="33"/>
    <x v="0"/>
    <n v="1"/>
  </r>
  <r>
    <x v="25"/>
    <s v="lime demi ronde"/>
    <n v="7.59"/>
    <x v="6"/>
    <x v="5"/>
    <s v="Oumar"/>
    <s v="ELEC"/>
    <x v="33"/>
    <x v="1"/>
    <n v="0"/>
  </r>
  <r>
    <x v="33"/>
    <s v="Pince coupante 1000v"/>
    <n v="20.87"/>
    <x v="6"/>
    <x v="5"/>
    <s v="Oumar"/>
    <s v="ELEC"/>
    <x v="33"/>
    <x v="0"/>
    <n v="1"/>
  </r>
  <r>
    <x v="33"/>
    <s v="Pince coupante 1000v"/>
    <n v="20.87"/>
    <x v="6"/>
    <x v="5"/>
    <s v="Oumar"/>
    <s v="ELEC"/>
    <x v="33"/>
    <x v="1"/>
    <n v="0"/>
  </r>
  <r>
    <x v="19"/>
    <s v="Coupe câble"/>
    <n v="41.88"/>
    <x v="6"/>
    <x v="5"/>
    <s v="Oumar"/>
    <s v="ELEC"/>
    <x v="33"/>
    <x v="0"/>
    <n v="1"/>
  </r>
  <r>
    <x v="19"/>
    <s v="Coupe câble"/>
    <n v="41.88"/>
    <x v="6"/>
    <x v="5"/>
    <s v="Oumar"/>
    <s v="ELEC"/>
    <x v="33"/>
    <x v="1"/>
    <n v="0"/>
  </r>
  <r>
    <x v="27"/>
    <s v="Mètre pliant"/>
    <n v="3.2"/>
    <x v="6"/>
    <x v="5"/>
    <s v="Oumar"/>
    <s v="ELEC"/>
    <x v="33"/>
    <x v="0"/>
    <n v="1"/>
  </r>
  <r>
    <x v="27"/>
    <s v="Mètre pliant"/>
    <n v="3.2"/>
    <x v="6"/>
    <x v="5"/>
    <s v="Oumar"/>
    <s v="ELEC"/>
    <x v="33"/>
    <x v="1"/>
    <n v="0"/>
  </r>
  <r>
    <x v="26"/>
    <s v="Massette"/>
    <n v="15.14"/>
    <x v="6"/>
    <x v="5"/>
    <s v="Oumar"/>
    <s v="ELEC"/>
    <x v="33"/>
    <x v="0"/>
    <n v="1"/>
  </r>
  <r>
    <x v="26"/>
    <s v="Massette"/>
    <n v="15.14"/>
    <x v="6"/>
    <x v="5"/>
    <s v="Oumar"/>
    <s v="ELEC"/>
    <x v="33"/>
    <x v="1"/>
    <n v="0"/>
  </r>
  <r>
    <x v="28"/>
    <s v="Niveau"/>
    <n v="15"/>
    <x v="6"/>
    <x v="5"/>
    <s v="Oumar"/>
    <s v="ELEC"/>
    <x v="33"/>
    <x v="0"/>
    <n v="1"/>
  </r>
  <r>
    <x v="28"/>
    <s v="Niveau"/>
    <n v="15"/>
    <x v="6"/>
    <x v="5"/>
    <s v="Oumar"/>
    <s v="ELEC"/>
    <x v="33"/>
    <x v="1"/>
    <n v="0"/>
  </r>
  <r>
    <x v="23"/>
    <s v="Jeu tournevis"/>
    <n v="37.57"/>
    <x v="6"/>
    <x v="5"/>
    <s v="Oumar"/>
    <s v="ELEC"/>
    <x v="33"/>
    <x v="0"/>
    <n v="1"/>
  </r>
  <r>
    <x v="11"/>
    <s v="Clé allen"/>
    <n v="27.5"/>
    <x v="6"/>
    <x v="5"/>
    <s v="Oumar"/>
    <s v="ELEC"/>
    <x v="33"/>
    <x v="0"/>
    <n v="1"/>
  </r>
  <r>
    <x v="11"/>
    <s v="Clé allen"/>
    <n v="27.5"/>
    <x v="6"/>
    <x v="5"/>
    <s v="Oumar"/>
    <s v="ELEC"/>
    <x v="33"/>
    <x v="1"/>
    <n v="0"/>
  </r>
  <r>
    <x v="31"/>
    <s v="Pince à Sertir"/>
    <n v="78.400000000000006"/>
    <x v="6"/>
    <x v="5"/>
    <s v="Oumar"/>
    <s v="ELEC"/>
    <x v="33"/>
    <x v="0"/>
    <n v="1"/>
  </r>
  <r>
    <x v="31"/>
    <s v="Pince à Sertir"/>
    <n v="78.400000000000006"/>
    <x v="6"/>
    <x v="5"/>
    <s v="Oumar"/>
    <s v="ELEC"/>
    <x v="33"/>
    <x v="1"/>
    <n v="0"/>
  </r>
  <r>
    <x v="1"/>
    <s v="Boite embouts"/>
    <n v="27.61"/>
    <x v="6"/>
    <x v="5"/>
    <s v="Oumar"/>
    <s v="ELEC"/>
    <x v="33"/>
    <x v="0"/>
    <n v="1"/>
  </r>
  <r>
    <x v="1"/>
    <s v="Boite embouts"/>
    <n v="27.61"/>
    <x v="6"/>
    <x v="5"/>
    <s v="Oumar"/>
    <s v="ELEC"/>
    <x v="33"/>
    <x v="1"/>
    <n v="0"/>
  </r>
  <r>
    <x v="5"/>
    <s v="Cadena"/>
    <n v="13"/>
    <x v="6"/>
    <x v="5"/>
    <s v="Oumar"/>
    <s v="ELEC"/>
    <x v="33"/>
    <x v="0"/>
    <n v="1"/>
  </r>
  <r>
    <x v="17"/>
    <s v="Coffre"/>
    <n v="54.54"/>
    <x v="6"/>
    <x v="5"/>
    <s v="Oumar"/>
    <s v="ELEC"/>
    <x v="33"/>
    <x v="0"/>
    <n v="1"/>
  </r>
  <r>
    <x v="35"/>
    <s v="Scie à métaux"/>
    <n v="11.26"/>
    <x v="6"/>
    <x v="5"/>
    <s v="Oumar"/>
    <s v="ELEC"/>
    <x v="33"/>
    <x v="0"/>
    <n v="1"/>
  </r>
  <r>
    <x v="3"/>
    <s v="Burin plat"/>
    <n v="11.89"/>
    <x v="6"/>
    <x v="5"/>
    <s v="Oumar"/>
    <s v="ELEC"/>
    <x v="33"/>
    <x v="0"/>
    <n v="1"/>
  </r>
  <r>
    <x v="4"/>
    <s v="Burin pointu"/>
    <n v="8.7200000000000006"/>
    <x v="6"/>
    <x v="5"/>
    <s v="Oumar"/>
    <s v="ELEC"/>
    <x v="33"/>
    <x v="0"/>
    <n v="1"/>
  </r>
  <r>
    <x v="34"/>
    <s v="Pince étau"/>
    <n v="16.02"/>
    <x v="6"/>
    <x v="5"/>
    <s v="Oumar"/>
    <s v="ELEC"/>
    <x v="33"/>
    <x v="0"/>
    <n v="1"/>
  </r>
  <r>
    <x v="18"/>
    <s v="Coffret douilles"/>
    <n v="103.22"/>
    <x v="6"/>
    <x v="5"/>
    <s v="Oumar"/>
    <s v="ELEC"/>
    <x v="33"/>
    <x v="0"/>
    <n v="1"/>
  </r>
  <r>
    <x v="7"/>
    <s v="Clé à pipe 10"/>
    <n v="5.41"/>
    <x v="6"/>
    <x v="5"/>
    <s v="Oumar"/>
    <s v="ELEC"/>
    <x v="33"/>
    <x v="0"/>
    <n v="1"/>
  </r>
  <r>
    <x v="8"/>
    <s v="Clé à pipe 13"/>
    <n v="6.23"/>
    <x v="6"/>
    <x v="5"/>
    <s v="Oumar"/>
    <s v="ELEC"/>
    <x v="33"/>
    <x v="0"/>
    <n v="1"/>
  </r>
  <r>
    <x v="9"/>
    <s v="Clé à pipe 17"/>
    <n v="9.36"/>
    <x v="6"/>
    <x v="5"/>
    <s v="Oumar"/>
    <s v="ELEC"/>
    <x v="33"/>
    <x v="0"/>
    <n v="1"/>
  </r>
  <r>
    <x v="10"/>
    <s v="Clé à pipe 19"/>
    <n v="10.4"/>
    <x v="6"/>
    <x v="5"/>
    <s v="Oumar"/>
    <s v="ELEC"/>
    <x v="33"/>
    <x v="0"/>
    <n v="1"/>
  </r>
  <r>
    <x v="13"/>
    <s v="Clé plate 10"/>
    <n v="3.32"/>
    <x v="6"/>
    <x v="5"/>
    <s v="Oumar"/>
    <s v="ELEC"/>
    <x v="33"/>
    <x v="0"/>
    <n v="1"/>
  </r>
  <r>
    <x v="14"/>
    <s v="Clé plate 13"/>
    <n v="3.91"/>
    <x v="6"/>
    <x v="5"/>
    <s v="Oumar"/>
    <s v="ELEC"/>
    <x v="33"/>
    <x v="0"/>
    <n v="1"/>
  </r>
  <r>
    <x v="15"/>
    <s v="Clé plate 17"/>
    <n v="5.5"/>
    <x v="6"/>
    <x v="5"/>
    <s v="Oumar"/>
    <s v="ELEC"/>
    <x v="33"/>
    <x v="0"/>
    <n v="1"/>
  </r>
  <r>
    <x v="16"/>
    <s v="Clé plate 19"/>
    <n v="6.07"/>
    <x v="6"/>
    <x v="5"/>
    <s v="Oumar"/>
    <s v="ELEC"/>
    <x v="33"/>
    <x v="0"/>
    <n v="1"/>
  </r>
  <r>
    <x v="20"/>
    <s v="Cutter"/>
    <n v="4.8499999999999996"/>
    <x v="6"/>
    <x v="5"/>
    <s v="Oumar"/>
    <s v="ELEC"/>
    <x v="33"/>
    <x v="0"/>
    <n v="1"/>
  </r>
  <r>
    <x v="29"/>
    <s v="Outil à dégainer"/>
    <n v="20.5"/>
    <x v="6"/>
    <x v="5"/>
    <s v="Oumar"/>
    <s v="ELEC"/>
    <x v="33"/>
    <x v="0"/>
    <n v="1"/>
  </r>
  <r>
    <x v="39"/>
    <s v="Casque chantier"/>
    <n v="29.05"/>
    <x v="6"/>
    <x v="5"/>
    <s v="Oumar"/>
    <s v="ELEC"/>
    <x v="33"/>
    <x v="0"/>
    <n v="1"/>
  </r>
  <r>
    <x v="24"/>
    <s v="Lampe frontale"/>
    <n v="42.5"/>
    <x v="6"/>
    <x v="5"/>
    <s v="Oumar"/>
    <s v="ELEC"/>
    <x v="33"/>
    <x v="0"/>
    <n v="1"/>
  </r>
  <r>
    <x v="24"/>
    <s v="Lampe frontale"/>
    <n v="42.5"/>
    <x v="7"/>
    <x v="6"/>
    <s v="Mohamed"/>
    <s v="RA"/>
    <x v="34"/>
    <x v="0"/>
    <n v="1"/>
  </r>
  <r>
    <x v="17"/>
    <s v="Coffre"/>
    <n v="54.54"/>
    <x v="8"/>
    <x v="7"/>
    <s v="Gérard"/>
    <s v="GC"/>
    <x v="35"/>
    <x v="0"/>
    <n v="1"/>
  </r>
  <r>
    <x v="28"/>
    <s v="Niveau"/>
    <n v="15"/>
    <x v="8"/>
    <x v="7"/>
    <s v="Gérard"/>
    <s v="GC"/>
    <x v="18"/>
    <x v="0"/>
    <n v="1"/>
  </r>
  <r>
    <x v="51"/>
    <s v="Jeu de Clés torx"/>
    <n v="45"/>
    <x v="8"/>
    <x v="7"/>
    <s v="Gérard"/>
    <s v="GC"/>
    <x v="17"/>
    <x v="0"/>
    <n v="1"/>
  </r>
  <r>
    <x v="31"/>
    <s v="Pince à Sertir"/>
    <n v="78.400000000000006"/>
    <x v="8"/>
    <x v="7"/>
    <s v="Gérard"/>
    <s v="GC"/>
    <x v="36"/>
    <x v="0"/>
    <n v="1"/>
  </r>
  <r>
    <x v="38"/>
    <s v="Lunette de protection"/>
    <n v="2.38"/>
    <x v="8"/>
    <x v="7"/>
    <s v="Gérard"/>
    <s v="GC"/>
    <x v="18"/>
    <x v="0"/>
    <n v="1"/>
  </r>
  <r>
    <x v="24"/>
    <s v="Lampe frontale"/>
    <n v="42.5"/>
    <x v="8"/>
    <x v="7"/>
    <s v="Gérard"/>
    <s v="GC"/>
    <x v="37"/>
    <x v="0"/>
    <n v="1"/>
  </r>
  <r>
    <x v="52"/>
    <s v="Pince multiprise"/>
    <n v="27.2"/>
    <x v="8"/>
    <x v="7"/>
    <s v="Gérard"/>
    <s v="GC"/>
    <x v="18"/>
    <x v="0"/>
    <n v="1"/>
  </r>
  <r>
    <x v="53"/>
    <s v="Douille de 17"/>
    <n v="2.91"/>
    <x v="8"/>
    <x v="7"/>
    <s v="Gérard"/>
    <s v="GC"/>
    <x v="18"/>
    <x v="0"/>
    <n v="1"/>
  </r>
  <r>
    <x v="17"/>
    <s v="Coffre"/>
    <n v="54.54"/>
    <x v="9"/>
    <x v="8"/>
    <s v="Rudy"/>
    <s v="ELEC"/>
    <x v="38"/>
    <x v="0"/>
    <n v="1"/>
  </r>
  <r>
    <x v="6"/>
    <s v="Clé à molette"/>
    <n v="16.12"/>
    <x v="9"/>
    <x v="8"/>
    <s v="Rudy"/>
    <s v="ELEC"/>
    <x v="38"/>
    <x v="0"/>
    <n v="1"/>
  </r>
  <r>
    <x v="30"/>
    <s v="Pince à dénuder"/>
    <n v="24.55"/>
    <x v="9"/>
    <x v="8"/>
    <s v="Rudy"/>
    <s v="ELEC"/>
    <x v="38"/>
    <x v="0"/>
    <n v="1"/>
  </r>
  <r>
    <x v="33"/>
    <s v="Pince coupante 1000v"/>
    <n v="20.87"/>
    <x v="9"/>
    <x v="8"/>
    <s v="Rudy"/>
    <s v="ELEC"/>
    <x v="38"/>
    <x v="0"/>
    <n v="1"/>
  </r>
  <r>
    <x v="35"/>
    <s v="Scie à métaux"/>
    <n v="11.26"/>
    <x v="9"/>
    <x v="8"/>
    <s v="Rudy"/>
    <s v="ELEC"/>
    <x v="38"/>
    <x v="0"/>
    <n v="1"/>
  </r>
  <r>
    <x v="27"/>
    <s v="Mètre pliant"/>
    <n v="3.2"/>
    <x v="9"/>
    <x v="8"/>
    <s v="Rudy"/>
    <s v="ELEC"/>
    <x v="38"/>
    <x v="0"/>
    <n v="1"/>
  </r>
  <r>
    <x v="18"/>
    <s v="Coffret douilles"/>
    <n v="103.22"/>
    <x v="9"/>
    <x v="8"/>
    <s v="Rudy"/>
    <s v="ELEC"/>
    <x v="38"/>
    <x v="0"/>
    <n v="1"/>
  </r>
  <r>
    <x v="13"/>
    <s v="Clé plate 10"/>
    <n v="3.32"/>
    <x v="9"/>
    <x v="8"/>
    <s v="Rudy"/>
    <s v="ELEC"/>
    <x v="38"/>
    <x v="0"/>
    <n v="1"/>
  </r>
  <r>
    <x v="14"/>
    <s v="Clé plate 13"/>
    <n v="3.91"/>
    <x v="9"/>
    <x v="8"/>
    <s v="Rudy"/>
    <s v="ELEC"/>
    <x v="38"/>
    <x v="0"/>
    <n v="1"/>
  </r>
  <r>
    <x v="15"/>
    <s v="Clé plate 17"/>
    <n v="5.5"/>
    <x v="9"/>
    <x v="8"/>
    <s v="Rudy"/>
    <s v="ELEC"/>
    <x v="38"/>
    <x v="0"/>
    <n v="1"/>
  </r>
  <r>
    <x v="16"/>
    <s v="Clé plate 19"/>
    <n v="6.07"/>
    <x v="9"/>
    <x v="8"/>
    <s v="Rudy"/>
    <s v="ELEC"/>
    <x v="38"/>
    <x v="0"/>
    <n v="1"/>
  </r>
  <r>
    <x v="11"/>
    <s v="Clé allen"/>
    <n v="27.5"/>
    <x v="9"/>
    <x v="8"/>
    <s v="Rudy"/>
    <s v="ELEC"/>
    <x v="38"/>
    <x v="0"/>
    <n v="1"/>
  </r>
  <r>
    <x v="31"/>
    <s v="Pince à Sertir"/>
    <n v="78.400000000000006"/>
    <x v="9"/>
    <x v="8"/>
    <s v="Rudy"/>
    <s v="ELEC"/>
    <x v="38"/>
    <x v="0"/>
    <n v="1"/>
  </r>
  <r>
    <x v="37"/>
    <s v="Testeur Fluke"/>
    <n v="0"/>
    <x v="9"/>
    <x v="8"/>
    <s v="Rudy"/>
    <s v="ELEC"/>
    <x v="38"/>
    <x v="0"/>
    <n v="1"/>
  </r>
  <r>
    <x v="1"/>
    <s v="Boite embouts"/>
    <n v="27.61"/>
    <x v="9"/>
    <x v="8"/>
    <s v="Rudy"/>
    <s v="ELEC"/>
    <x v="38"/>
    <x v="0"/>
    <n v="1"/>
  </r>
  <r>
    <x v="32"/>
    <s v="Pince colson"/>
    <n v="46.91"/>
    <x v="9"/>
    <x v="8"/>
    <s v="Rudy"/>
    <s v="ELEC"/>
    <x v="38"/>
    <x v="0"/>
    <n v="1"/>
  </r>
  <r>
    <x v="38"/>
    <s v="Lunette de protection"/>
    <n v="2.38"/>
    <x v="9"/>
    <x v="8"/>
    <s v="Rudy"/>
    <s v="ELEC"/>
    <x v="38"/>
    <x v="0"/>
    <n v="1"/>
  </r>
  <r>
    <x v="39"/>
    <s v="Casque chantier"/>
    <n v="29.05"/>
    <x v="9"/>
    <x v="8"/>
    <s v="Rudy"/>
    <s v="ELEC"/>
    <x v="38"/>
    <x v="0"/>
    <n v="1"/>
  </r>
  <r>
    <x v="23"/>
    <s v="Jeu tournevis"/>
    <n v="37.57"/>
    <x v="9"/>
    <x v="8"/>
    <s v="Rudy"/>
    <s v="ELEC"/>
    <x v="39"/>
    <x v="0"/>
    <n v="1"/>
  </r>
  <r>
    <x v="5"/>
    <s v="Cadena"/>
    <n v="13"/>
    <x v="9"/>
    <x v="8"/>
    <s v="Rudy"/>
    <s v="ELEC"/>
    <x v="1"/>
    <x v="0"/>
    <n v="1"/>
  </r>
  <r>
    <x v="19"/>
    <s v="Coupe câble"/>
    <n v="41.88"/>
    <x v="9"/>
    <x v="8"/>
    <s v="Rudy"/>
    <s v="ELEC"/>
    <x v="1"/>
    <x v="0"/>
    <n v="1"/>
  </r>
  <r>
    <x v="3"/>
    <s v="Burin plat"/>
    <n v="11.89"/>
    <x v="9"/>
    <x v="8"/>
    <s v="Rudy"/>
    <s v="ELEC"/>
    <x v="1"/>
    <x v="0"/>
    <n v="1"/>
  </r>
  <r>
    <x v="4"/>
    <s v="Burin pointu"/>
    <n v="8.7200000000000006"/>
    <x v="9"/>
    <x v="8"/>
    <s v="Rudy"/>
    <s v="ELEC"/>
    <x v="1"/>
    <x v="0"/>
    <n v="1"/>
  </r>
  <r>
    <x v="26"/>
    <s v="Massette"/>
    <n v="15.14"/>
    <x v="9"/>
    <x v="8"/>
    <s v="Rudy"/>
    <s v="ELEC"/>
    <x v="1"/>
    <x v="0"/>
    <n v="1"/>
  </r>
  <r>
    <x v="28"/>
    <s v="Niveau"/>
    <n v="15"/>
    <x v="9"/>
    <x v="8"/>
    <s v="Rudy"/>
    <s v="ELEC"/>
    <x v="1"/>
    <x v="0"/>
    <n v="1"/>
  </r>
  <r>
    <x v="34"/>
    <s v="Pince étau"/>
    <n v="16.02"/>
    <x v="9"/>
    <x v="8"/>
    <s v="Rudy"/>
    <s v="ELEC"/>
    <x v="1"/>
    <x v="0"/>
    <n v="1"/>
  </r>
  <r>
    <x v="7"/>
    <s v="Clé à pipe 10"/>
    <n v="5.41"/>
    <x v="9"/>
    <x v="8"/>
    <s v="Rudy"/>
    <s v="ELEC"/>
    <x v="1"/>
    <x v="0"/>
    <n v="1"/>
  </r>
  <r>
    <x v="8"/>
    <s v="Clé à pipe 13"/>
    <n v="6.23"/>
    <x v="9"/>
    <x v="8"/>
    <s v="Rudy"/>
    <s v="ELEC"/>
    <x v="1"/>
    <x v="0"/>
    <n v="1"/>
  </r>
  <r>
    <x v="9"/>
    <s v="Clé à pipe 17"/>
    <n v="9.36"/>
    <x v="9"/>
    <x v="8"/>
    <s v="Rudy"/>
    <s v="ELEC"/>
    <x v="1"/>
    <x v="0"/>
    <n v="1"/>
  </r>
  <r>
    <x v="10"/>
    <s v="Clé à pipe 19"/>
    <n v="10.4"/>
    <x v="9"/>
    <x v="8"/>
    <s v="Rudy"/>
    <s v="ELEC"/>
    <x v="1"/>
    <x v="0"/>
    <n v="1"/>
  </r>
  <r>
    <x v="20"/>
    <s v="Cutter"/>
    <n v="4.8499999999999996"/>
    <x v="9"/>
    <x v="8"/>
    <s v="Rudy"/>
    <s v="ELEC"/>
    <x v="1"/>
    <x v="0"/>
    <n v="1"/>
  </r>
  <r>
    <x v="29"/>
    <s v="Outil à dégainer"/>
    <n v="20.5"/>
    <x v="9"/>
    <x v="8"/>
    <s v="Rudy"/>
    <s v="ELEC"/>
    <x v="1"/>
    <x v="0"/>
    <n v="1"/>
  </r>
  <r>
    <x v="24"/>
    <s v="Lampe frontale"/>
    <n v="42.5"/>
    <x v="9"/>
    <x v="8"/>
    <s v="Rudy"/>
    <s v="ELEC"/>
    <x v="40"/>
    <x v="0"/>
    <n v="1"/>
  </r>
  <r>
    <x v="25"/>
    <s v="lime demi ronde"/>
    <n v="7.59"/>
    <x v="9"/>
    <x v="8"/>
    <s v="Rudy"/>
    <s v="ELEC"/>
    <x v="41"/>
    <x v="0"/>
    <n v="1"/>
  </r>
  <r>
    <x v="5"/>
    <s v="Cadena"/>
    <n v="13"/>
    <x v="10"/>
    <x v="9"/>
    <s v="Cheickne"/>
    <s v="ELEC"/>
    <x v="42"/>
    <x v="0"/>
    <n v="1"/>
  </r>
  <r>
    <x v="17"/>
    <s v="Coffre"/>
    <n v="54.54"/>
    <x v="10"/>
    <x v="9"/>
    <s v="Cheickne"/>
    <s v="ELEC"/>
    <x v="42"/>
    <x v="0"/>
    <n v="1"/>
  </r>
  <r>
    <x v="6"/>
    <s v="Clé à molette"/>
    <n v="16.12"/>
    <x v="10"/>
    <x v="9"/>
    <s v="Cheickne"/>
    <s v="ELEC"/>
    <x v="1"/>
    <x v="0"/>
    <n v="1"/>
  </r>
  <r>
    <x v="30"/>
    <s v="Pince à dénuder"/>
    <n v="24.55"/>
    <x v="10"/>
    <x v="9"/>
    <s v="Cheickne"/>
    <s v="ELEC"/>
    <x v="42"/>
    <x v="0"/>
    <n v="1"/>
  </r>
  <r>
    <x v="30"/>
    <s v="Pince à dénuder"/>
    <n v="24.55"/>
    <x v="10"/>
    <x v="9"/>
    <s v="Cheickne"/>
    <s v="ELEC"/>
    <x v="43"/>
    <x v="2"/>
    <n v="0"/>
  </r>
  <r>
    <x v="30"/>
    <s v="Pince à dénuder"/>
    <n v="24.55"/>
    <x v="10"/>
    <x v="9"/>
    <s v="Cheickne"/>
    <s v="ELEC"/>
    <x v="44"/>
    <x v="0"/>
    <n v="1"/>
  </r>
  <r>
    <x v="25"/>
    <s v="lime demi ronde"/>
    <n v="7.59"/>
    <x v="10"/>
    <x v="9"/>
    <s v="Cheickne"/>
    <s v="ELEC"/>
    <x v="42"/>
    <x v="0"/>
    <n v="1"/>
  </r>
  <r>
    <x v="33"/>
    <s v="Pince coupante 1000v"/>
    <n v="20.87"/>
    <x v="10"/>
    <x v="9"/>
    <s v="Cheickne"/>
    <s v="ELEC"/>
    <x v="42"/>
    <x v="0"/>
    <n v="1"/>
  </r>
  <r>
    <x v="19"/>
    <s v="Coupe câble"/>
    <n v="41.88"/>
    <x v="10"/>
    <x v="9"/>
    <s v="Cheickne"/>
    <s v="ELEC"/>
    <x v="42"/>
    <x v="0"/>
    <n v="1"/>
  </r>
  <r>
    <x v="35"/>
    <s v="Scie à métaux"/>
    <n v="11.26"/>
    <x v="10"/>
    <x v="9"/>
    <s v="Cheickne"/>
    <s v="ELEC"/>
    <x v="42"/>
    <x v="0"/>
    <n v="1"/>
  </r>
  <r>
    <x v="27"/>
    <s v="Mètre pliant"/>
    <n v="3.2"/>
    <x v="10"/>
    <x v="9"/>
    <s v="Cheickne"/>
    <s v="ELEC"/>
    <x v="1"/>
    <x v="0"/>
    <n v="1"/>
  </r>
  <r>
    <x v="3"/>
    <s v="Burin plat"/>
    <n v="11.89"/>
    <x v="10"/>
    <x v="9"/>
    <s v="Cheickne"/>
    <s v="ELEC"/>
    <x v="42"/>
    <x v="0"/>
    <n v="1"/>
  </r>
  <r>
    <x v="4"/>
    <s v="Burin pointu"/>
    <n v="8.7200000000000006"/>
    <x v="10"/>
    <x v="9"/>
    <s v="Cheickne"/>
    <s v="ELEC"/>
    <x v="42"/>
    <x v="0"/>
    <n v="1"/>
  </r>
  <r>
    <x v="26"/>
    <s v="Massette"/>
    <n v="15.14"/>
    <x v="10"/>
    <x v="9"/>
    <s v="Cheickne"/>
    <s v="ELEC"/>
    <x v="42"/>
    <x v="0"/>
    <n v="1"/>
  </r>
  <r>
    <x v="28"/>
    <s v="Niveau"/>
    <n v="15"/>
    <x v="10"/>
    <x v="9"/>
    <s v="Cheickne"/>
    <s v="ELEC"/>
    <x v="1"/>
    <x v="0"/>
    <n v="1"/>
  </r>
  <r>
    <x v="23"/>
    <s v="Jeu tournevis"/>
    <n v="37.57"/>
    <x v="10"/>
    <x v="9"/>
    <s v="Cheickne"/>
    <s v="ELEC"/>
    <x v="1"/>
    <x v="0"/>
    <n v="1"/>
  </r>
  <r>
    <x v="34"/>
    <s v="Pince étau"/>
    <n v="16.02"/>
    <x v="10"/>
    <x v="9"/>
    <s v="Cheickne"/>
    <s v="ELEC"/>
    <x v="42"/>
    <x v="0"/>
    <n v="1"/>
  </r>
  <r>
    <x v="18"/>
    <s v="Coffret douilles"/>
    <n v="103.22"/>
    <x v="10"/>
    <x v="9"/>
    <s v="Cheickne"/>
    <s v="ELEC"/>
    <x v="42"/>
    <x v="0"/>
    <n v="1"/>
  </r>
  <r>
    <x v="7"/>
    <s v="Clé à pipe 10"/>
    <n v="5.41"/>
    <x v="10"/>
    <x v="9"/>
    <s v="Cheickne"/>
    <s v="ELEC"/>
    <x v="1"/>
    <x v="0"/>
    <n v="1"/>
  </r>
  <r>
    <x v="8"/>
    <s v="Clé à pipe 13"/>
    <n v="6.23"/>
    <x v="10"/>
    <x v="9"/>
    <s v="Cheickne"/>
    <s v="ELEC"/>
    <x v="42"/>
    <x v="0"/>
    <n v="1"/>
  </r>
  <r>
    <x v="9"/>
    <s v="Clé à pipe 17"/>
    <n v="9.36"/>
    <x v="10"/>
    <x v="9"/>
    <s v="Cheickne"/>
    <s v="ELEC"/>
    <x v="42"/>
    <x v="0"/>
    <n v="1"/>
  </r>
  <r>
    <x v="10"/>
    <s v="Clé à pipe 19"/>
    <n v="10.4"/>
    <x v="10"/>
    <x v="9"/>
    <s v="Cheickne"/>
    <s v="ELEC"/>
    <x v="42"/>
    <x v="0"/>
    <n v="1"/>
  </r>
  <r>
    <x v="13"/>
    <s v="Clé plate 10"/>
    <n v="3.32"/>
    <x v="10"/>
    <x v="9"/>
    <s v="Cheickne"/>
    <s v="ELEC"/>
    <x v="42"/>
    <x v="0"/>
    <n v="1"/>
  </r>
  <r>
    <x v="14"/>
    <s v="Clé plate 13"/>
    <n v="3.91"/>
    <x v="10"/>
    <x v="9"/>
    <s v="Cheickne"/>
    <s v="ELEC"/>
    <x v="42"/>
    <x v="0"/>
    <n v="1"/>
  </r>
  <r>
    <x v="15"/>
    <s v="Clé plate 17"/>
    <n v="5.5"/>
    <x v="10"/>
    <x v="9"/>
    <s v="Cheickne"/>
    <s v="ELEC"/>
    <x v="42"/>
    <x v="0"/>
    <n v="1"/>
  </r>
  <r>
    <x v="16"/>
    <s v="Clé plate 19"/>
    <n v="6.07"/>
    <x v="10"/>
    <x v="9"/>
    <s v="Cheickne"/>
    <s v="ELEC"/>
    <x v="42"/>
    <x v="0"/>
    <n v="1"/>
  </r>
  <r>
    <x v="20"/>
    <s v="Cutter"/>
    <n v="4.8499999999999996"/>
    <x v="10"/>
    <x v="9"/>
    <s v="Cheickne"/>
    <s v="ELEC"/>
    <x v="45"/>
    <x v="0"/>
    <n v="1"/>
  </r>
  <r>
    <x v="11"/>
    <s v="Clé allen"/>
    <n v="27.5"/>
    <x v="10"/>
    <x v="9"/>
    <s v="Cheickne"/>
    <s v="ELEC"/>
    <x v="42"/>
    <x v="0"/>
    <n v="1"/>
  </r>
  <r>
    <x v="29"/>
    <s v="Outil à dégainer"/>
    <n v="20.5"/>
    <x v="10"/>
    <x v="9"/>
    <s v="Cheickne"/>
    <s v="ELEC"/>
    <x v="42"/>
    <x v="0"/>
    <n v="1"/>
  </r>
  <r>
    <x v="31"/>
    <s v="Pince à Sertir"/>
    <n v="78.400000000000006"/>
    <x v="10"/>
    <x v="9"/>
    <s v="Cheickne"/>
    <s v="ELEC"/>
    <x v="42"/>
    <x v="0"/>
    <n v="1"/>
  </r>
  <r>
    <x v="37"/>
    <s v="Testeur Fluke"/>
    <n v="0"/>
    <x v="10"/>
    <x v="9"/>
    <s v="Cheickne"/>
    <s v="ELEC"/>
    <x v="1"/>
    <x v="0"/>
    <n v="1"/>
  </r>
  <r>
    <x v="1"/>
    <s v="Boite embouts"/>
    <n v="27.61"/>
    <x v="10"/>
    <x v="9"/>
    <s v="Cheickne"/>
    <s v="ELEC"/>
    <x v="42"/>
    <x v="0"/>
    <n v="1"/>
  </r>
  <r>
    <x v="32"/>
    <s v="Pince colson"/>
    <n v="46.91"/>
    <x v="10"/>
    <x v="9"/>
    <s v="Cheickne"/>
    <s v="ELEC"/>
    <x v="42"/>
    <x v="0"/>
    <n v="1"/>
  </r>
  <r>
    <x v="38"/>
    <s v="Lunette de protection"/>
    <n v="2.38"/>
    <x v="10"/>
    <x v="9"/>
    <s v="Cheickne"/>
    <s v="ELEC"/>
    <x v="42"/>
    <x v="0"/>
    <n v="1"/>
  </r>
  <r>
    <x v="39"/>
    <s v="Casque chantier"/>
    <n v="29.05"/>
    <x v="10"/>
    <x v="9"/>
    <s v="Cheickne"/>
    <s v="ELEC"/>
    <x v="46"/>
    <x v="0"/>
    <n v="1"/>
  </r>
  <r>
    <x v="24"/>
    <s v="Lampe frontale"/>
    <n v="42.5"/>
    <x v="10"/>
    <x v="9"/>
    <s v="Cheickne"/>
    <s v="ELEC"/>
    <x v="42"/>
    <x v="0"/>
    <n v="1"/>
  </r>
  <r>
    <x v="54"/>
    <s v="Tenaille"/>
    <n v="12.37"/>
    <x v="10"/>
    <x v="9"/>
    <s v="Cheickne"/>
    <s v="ELEC"/>
    <x v="1"/>
    <x v="0"/>
    <n v="1"/>
  </r>
  <r>
    <x v="41"/>
    <s v="Genouillère"/>
    <n v="0"/>
    <x v="10"/>
    <x v="9"/>
    <s v="Cheickne"/>
    <s v="ELEC"/>
    <x v="47"/>
    <x v="0"/>
    <n v="1"/>
  </r>
  <r>
    <x v="37"/>
    <s v="Testeur Fluke"/>
    <n v="0"/>
    <x v="11"/>
    <x v="10"/>
    <s v="Dominique"/>
    <s v="RC"/>
    <x v="48"/>
    <x v="0"/>
    <n v="1"/>
  </r>
  <r>
    <x v="2"/>
    <s v="Brady BMP71"/>
    <n v="790"/>
    <x v="11"/>
    <x v="10"/>
    <s v="Dominique"/>
    <s v="RC"/>
    <x v="49"/>
    <x v="0"/>
    <n v="1"/>
  </r>
  <r>
    <x v="25"/>
    <s v="lime demi ronde"/>
    <n v="7.59"/>
    <x v="12"/>
    <x v="11"/>
    <s v="Ludowic"/>
    <s v="RE"/>
    <x v="50"/>
    <x v="0"/>
    <n v="1"/>
  </r>
  <r>
    <x v="19"/>
    <s v="Coupe câble"/>
    <n v="41.88"/>
    <x v="12"/>
    <x v="11"/>
    <s v="Ludowic"/>
    <s v="RE"/>
    <x v="51"/>
    <x v="0"/>
    <n v="1"/>
  </r>
  <r>
    <x v="31"/>
    <s v="Pince à Sertir"/>
    <n v="78.400000000000006"/>
    <x v="12"/>
    <x v="11"/>
    <s v="Ludowic"/>
    <s v="RE"/>
    <x v="50"/>
    <x v="0"/>
    <n v="1"/>
  </r>
  <r>
    <x v="37"/>
    <s v="Testeur Fluke"/>
    <n v="0"/>
    <x v="12"/>
    <x v="11"/>
    <s v="Ludowic"/>
    <s v="RE"/>
    <x v="50"/>
    <x v="0"/>
    <n v="1"/>
  </r>
  <r>
    <x v="39"/>
    <s v="Casque chantier"/>
    <n v="29.05"/>
    <x v="12"/>
    <x v="11"/>
    <s v="Ludowic"/>
    <s v="RE"/>
    <x v="15"/>
    <x v="0"/>
    <n v="1"/>
  </r>
  <r>
    <x v="24"/>
    <s v="Lampe frontale"/>
    <n v="42.5"/>
    <x v="12"/>
    <x v="11"/>
    <s v="Ludowic"/>
    <s v="RE"/>
    <x v="52"/>
    <x v="0"/>
    <n v="1"/>
  </r>
  <r>
    <x v="5"/>
    <s v="Cadena"/>
    <n v="13"/>
    <x v="13"/>
    <x v="11"/>
    <s v="Tony"/>
    <s v="GC"/>
    <x v="53"/>
    <x v="0"/>
    <n v="1"/>
  </r>
  <r>
    <x v="17"/>
    <s v="Coffre"/>
    <n v="54.54"/>
    <x v="13"/>
    <x v="11"/>
    <s v="Tony"/>
    <s v="GC"/>
    <x v="53"/>
    <x v="0"/>
    <n v="1"/>
  </r>
  <r>
    <x v="6"/>
    <s v="Clé à molette"/>
    <n v="16.12"/>
    <x v="13"/>
    <x v="11"/>
    <s v="Tony"/>
    <s v="GC"/>
    <x v="53"/>
    <x v="0"/>
    <n v="1"/>
  </r>
  <r>
    <x v="25"/>
    <s v="lime demi ronde"/>
    <n v="7.59"/>
    <x v="13"/>
    <x v="11"/>
    <s v="Tony"/>
    <s v="GC"/>
    <x v="53"/>
    <x v="0"/>
    <n v="1"/>
  </r>
  <r>
    <x v="33"/>
    <s v="Pince coupante 1000v"/>
    <n v="20.87"/>
    <x v="13"/>
    <x v="11"/>
    <s v="Tony"/>
    <s v="GC"/>
    <x v="53"/>
    <x v="0"/>
    <n v="1"/>
  </r>
  <r>
    <x v="35"/>
    <s v="Scie à métaux"/>
    <n v="11.26"/>
    <x v="13"/>
    <x v="11"/>
    <s v="Tony"/>
    <s v="GC"/>
    <x v="53"/>
    <x v="0"/>
    <n v="1"/>
  </r>
  <r>
    <x v="27"/>
    <s v="Mètre pliant"/>
    <n v="3.2"/>
    <x v="13"/>
    <x v="11"/>
    <s v="Tony"/>
    <s v="GC"/>
    <x v="53"/>
    <x v="0"/>
    <n v="1"/>
  </r>
  <r>
    <x v="3"/>
    <s v="Burin plat"/>
    <n v="11.89"/>
    <x v="13"/>
    <x v="11"/>
    <s v="Tony"/>
    <s v="GC"/>
    <x v="54"/>
    <x v="0"/>
    <n v="1"/>
  </r>
  <r>
    <x v="4"/>
    <s v="Burin pointu"/>
    <n v="8.7200000000000006"/>
    <x v="13"/>
    <x v="11"/>
    <s v="Tony"/>
    <s v="GC"/>
    <x v="54"/>
    <x v="0"/>
    <n v="1"/>
  </r>
  <r>
    <x v="26"/>
    <s v="Massette"/>
    <n v="15.14"/>
    <x v="13"/>
    <x v="11"/>
    <s v="Tony"/>
    <s v="GC"/>
    <x v="54"/>
    <x v="0"/>
    <n v="1"/>
  </r>
  <r>
    <x v="28"/>
    <s v="Niveau"/>
    <n v="15"/>
    <x v="13"/>
    <x v="11"/>
    <s v="Tony"/>
    <s v="GC"/>
    <x v="53"/>
    <x v="0"/>
    <n v="1"/>
  </r>
  <r>
    <x v="23"/>
    <s v="Jeu tournevis"/>
    <n v="37.57"/>
    <x v="13"/>
    <x v="11"/>
    <s v="Tony"/>
    <s v="GC"/>
    <x v="54"/>
    <x v="0"/>
    <n v="1"/>
  </r>
  <r>
    <x v="34"/>
    <s v="Pince étau"/>
    <n v="16.02"/>
    <x v="13"/>
    <x v="11"/>
    <s v="Tony"/>
    <s v="GC"/>
    <x v="53"/>
    <x v="0"/>
    <n v="1"/>
  </r>
  <r>
    <x v="18"/>
    <s v="Coffret douilles"/>
    <n v="103.22"/>
    <x v="13"/>
    <x v="11"/>
    <s v="Tony"/>
    <s v="GC"/>
    <x v="53"/>
    <x v="0"/>
    <n v="1"/>
  </r>
  <r>
    <x v="44"/>
    <s v="Clé à pipe 8"/>
    <n v="4.8499999999999996"/>
    <x v="13"/>
    <x v="11"/>
    <s v="Tony"/>
    <s v="GC"/>
    <x v="53"/>
    <x v="0"/>
    <n v="1"/>
  </r>
  <r>
    <x v="7"/>
    <s v="Clé à pipe 10"/>
    <n v="5.41"/>
    <x v="13"/>
    <x v="11"/>
    <s v="Tony"/>
    <s v="GC"/>
    <x v="53"/>
    <x v="0"/>
    <n v="1"/>
  </r>
  <r>
    <x v="8"/>
    <s v="Clé à pipe 13"/>
    <n v="6.23"/>
    <x v="13"/>
    <x v="11"/>
    <s v="Tony"/>
    <s v="GC"/>
    <x v="53"/>
    <x v="0"/>
    <n v="1"/>
  </r>
  <r>
    <x v="55"/>
    <s v="Clé à pipe 14"/>
    <n v="8.16"/>
    <x v="13"/>
    <x v="11"/>
    <s v="Tony"/>
    <s v="GC"/>
    <x v="53"/>
    <x v="0"/>
    <n v="1"/>
  </r>
  <r>
    <x v="9"/>
    <s v="Clé à pipe 17"/>
    <n v="9.36"/>
    <x v="13"/>
    <x v="11"/>
    <s v="Tony"/>
    <s v="GC"/>
    <x v="53"/>
    <x v="0"/>
    <n v="1"/>
  </r>
  <r>
    <x v="10"/>
    <s v="Clé à pipe 19"/>
    <n v="10.4"/>
    <x v="13"/>
    <x v="11"/>
    <s v="Tony"/>
    <s v="GC"/>
    <x v="53"/>
    <x v="0"/>
    <n v="1"/>
  </r>
  <r>
    <x v="13"/>
    <s v="Clé plate 10"/>
    <n v="3.32"/>
    <x v="13"/>
    <x v="11"/>
    <s v="Tony"/>
    <s v="GC"/>
    <x v="53"/>
    <x v="0"/>
    <n v="1"/>
  </r>
  <r>
    <x v="14"/>
    <s v="Clé plate 13"/>
    <n v="3.91"/>
    <x v="13"/>
    <x v="11"/>
    <s v="Tony"/>
    <s v="GC"/>
    <x v="53"/>
    <x v="0"/>
    <n v="1"/>
  </r>
  <r>
    <x v="56"/>
    <s v="Clé plate 14"/>
    <n v="3.85"/>
    <x v="13"/>
    <x v="11"/>
    <s v="Tony"/>
    <s v="GC"/>
    <x v="53"/>
    <x v="0"/>
    <n v="1"/>
  </r>
  <r>
    <x v="15"/>
    <s v="Clé plate 17"/>
    <n v="5.5"/>
    <x v="13"/>
    <x v="11"/>
    <s v="Tony"/>
    <s v="GC"/>
    <x v="53"/>
    <x v="0"/>
    <n v="1"/>
  </r>
  <r>
    <x v="16"/>
    <s v="Clé plate 19"/>
    <n v="6.07"/>
    <x v="13"/>
    <x v="11"/>
    <s v="Tony"/>
    <s v="GC"/>
    <x v="53"/>
    <x v="0"/>
    <n v="1"/>
  </r>
  <r>
    <x v="51"/>
    <s v="Jeu de Clés torx"/>
    <n v="45"/>
    <x v="13"/>
    <x v="11"/>
    <s v="Tony"/>
    <s v="GC"/>
    <x v="54"/>
    <x v="0"/>
    <n v="1"/>
  </r>
  <r>
    <x v="20"/>
    <s v="Cutter"/>
    <n v="4.8499999999999996"/>
    <x v="13"/>
    <x v="11"/>
    <s v="Tony"/>
    <s v="GC"/>
    <x v="54"/>
    <x v="0"/>
    <n v="1"/>
  </r>
  <r>
    <x v="11"/>
    <s v="Clé allen"/>
    <n v="27.5"/>
    <x v="13"/>
    <x v="11"/>
    <s v="Tony"/>
    <s v="GC"/>
    <x v="53"/>
    <x v="0"/>
    <n v="1"/>
  </r>
  <r>
    <x v="24"/>
    <s v="Lampe frontale"/>
    <n v="42.5"/>
    <x v="13"/>
    <x v="11"/>
    <s v="Tony"/>
    <s v="GC"/>
    <x v="52"/>
    <x v="0"/>
    <n v="1"/>
  </r>
  <r>
    <x v="50"/>
    <s v="Pince à long bec"/>
    <n v="0"/>
    <x v="13"/>
    <x v="11"/>
    <s v="Tony"/>
    <s v="GC"/>
    <x v="53"/>
    <x v="0"/>
    <n v="1"/>
  </r>
  <r>
    <x v="57"/>
    <s v="Pince multi cran"/>
    <n v="0"/>
    <x v="13"/>
    <x v="11"/>
    <s v="Tony"/>
    <s v="GC"/>
    <x v="53"/>
    <x v="0"/>
    <n v="1"/>
  </r>
  <r>
    <x v="58"/>
    <s v="Stan"/>
    <n v="4.8499999999999996"/>
    <x v="13"/>
    <x v="11"/>
    <s v="Tony"/>
    <s v="GC"/>
    <x v="53"/>
    <x v="0"/>
    <n v="1"/>
  </r>
  <r>
    <x v="17"/>
    <s v="Coffre"/>
    <n v="54.54"/>
    <x v="14"/>
    <x v="12"/>
    <s v="Javier"/>
    <s v="RC"/>
    <x v="34"/>
    <x v="0"/>
    <n v="1"/>
  </r>
  <r>
    <x v="6"/>
    <s v="Clé à molette"/>
    <n v="16.12"/>
    <x v="14"/>
    <x v="12"/>
    <s v="Javier"/>
    <s v="RC"/>
    <x v="34"/>
    <x v="0"/>
    <n v="1"/>
  </r>
  <r>
    <x v="30"/>
    <s v="Pince à dénuder"/>
    <n v="24.55"/>
    <x v="14"/>
    <x v="12"/>
    <s v="Javier"/>
    <s v="RC"/>
    <x v="34"/>
    <x v="0"/>
    <n v="1"/>
  </r>
  <r>
    <x v="25"/>
    <s v="lime demi ronde"/>
    <n v="7.59"/>
    <x v="14"/>
    <x v="12"/>
    <s v="Javier"/>
    <s v="RC"/>
    <x v="34"/>
    <x v="0"/>
    <n v="1"/>
  </r>
  <r>
    <x v="33"/>
    <s v="Pince coupante 1000v"/>
    <n v="20.87"/>
    <x v="14"/>
    <x v="12"/>
    <s v="Javier"/>
    <s v="RC"/>
    <x v="34"/>
    <x v="0"/>
    <n v="1"/>
  </r>
  <r>
    <x v="19"/>
    <s v="Coupe câble"/>
    <n v="41.88"/>
    <x v="14"/>
    <x v="12"/>
    <s v="Javier"/>
    <s v="RC"/>
    <x v="34"/>
    <x v="0"/>
    <n v="1"/>
  </r>
  <r>
    <x v="35"/>
    <s v="Scie à métaux"/>
    <n v="11.26"/>
    <x v="14"/>
    <x v="12"/>
    <s v="Javier"/>
    <s v="RC"/>
    <x v="34"/>
    <x v="0"/>
    <n v="1"/>
  </r>
  <r>
    <x v="27"/>
    <s v="Mètre pliant"/>
    <n v="3.2"/>
    <x v="14"/>
    <x v="12"/>
    <s v="Javier"/>
    <s v="RC"/>
    <x v="34"/>
    <x v="0"/>
    <n v="1"/>
  </r>
  <r>
    <x v="3"/>
    <s v="Burin plat"/>
    <n v="11.89"/>
    <x v="14"/>
    <x v="12"/>
    <s v="Javier"/>
    <s v="RC"/>
    <x v="34"/>
    <x v="0"/>
    <n v="1"/>
  </r>
  <r>
    <x v="4"/>
    <s v="Burin pointu"/>
    <n v="8.7200000000000006"/>
    <x v="14"/>
    <x v="12"/>
    <s v="Javier"/>
    <s v="RC"/>
    <x v="34"/>
    <x v="0"/>
    <n v="1"/>
  </r>
  <r>
    <x v="26"/>
    <s v="Massette"/>
    <n v="15.14"/>
    <x v="14"/>
    <x v="12"/>
    <s v="Javier"/>
    <s v="RC"/>
    <x v="34"/>
    <x v="0"/>
    <n v="1"/>
  </r>
  <r>
    <x v="28"/>
    <s v="Niveau"/>
    <n v="15"/>
    <x v="14"/>
    <x v="12"/>
    <s v="Javier"/>
    <s v="RC"/>
    <x v="34"/>
    <x v="0"/>
    <n v="1"/>
  </r>
  <r>
    <x v="23"/>
    <s v="Jeu tournevis"/>
    <n v="37.57"/>
    <x v="14"/>
    <x v="12"/>
    <s v="Javier"/>
    <s v="RC"/>
    <x v="34"/>
    <x v="0"/>
    <n v="1"/>
  </r>
  <r>
    <x v="34"/>
    <s v="Pince étau"/>
    <n v="16.02"/>
    <x v="14"/>
    <x v="12"/>
    <s v="Javier"/>
    <s v="RC"/>
    <x v="34"/>
    <x v="0"/>
    <n v="1"/>
  </r>
  <r>
    <x v="18"/>
    <s v="Coffret douilles"/>
    <n v="103.22"/>
    <x v="14"/>
    <x v="12"/>
    <s v="Javier"/>
    <s v="RC"/>
    <x v="34"/>
    <x v="0"/>
    <n v="1"/>
  </r>
  <r>
    <x v="7"/>
    <s v="Clé à pipe 10"/>
    <n v="5.41"/>
    <x v="14"/>
    <x v="12"/>
    <s v="Javier"/>
    <s v="RC"/>
    <x v="34"/>
    <x v="0"/>
    <n v="1"/>
  </r>
  <r>
    <x v="8"/>
    <s v="Clé à pipe 13"/>
    <n v="6.23"/>
    <x v="14"/>
    <x v="12"/>
    <s v="Javier"/>
    <s v="RC"/>
    <x v="34"/>
    <x v="0"/>
    <n v="1"/>
  </r>
  <r>
    <x v="9"/>
    <s v="Clé à pipe 17"/>
    <n v="9.36"/>
    <x v="14"/>
    <x v="12"/>
    <s v="Javier"/>
    <s v="RC"/>
    <x v="34"/>
    <x v="0"/>
    <n v="1"/>
  </r>
  <r>
    <x v="10"/>
    <s v="Clé à pipe 19"/>
    <n v="10.4"/>
    <x v="14"/>
    <x v="12"/>
    <s v="Javier"/>
    <s v="RC"/>
    <x v="34"/>
    <x v="0"/>
    <n v="1"/>
  </r>
  <r>
    <x v="59"/>
    <s v="Clé plate 8"/>
    <n v="3.05"/>
    <x v="14"/>
    <x v="12"/>
    <s v="Javier"/>
    <s v="RC"/>
    <x v="34"/>
    <x v="0"/>
    <n v="1"/>
  </r>
  <r>
    <x v="60"/>
    <s v="Clé plate 9"/>
    <n v="2.5"/>
    <x v="14"/>
    <x v="12"/>
    <s v="Javier"/>
    <s v="RC"/>
    <x v="34"/>
    <x v="0"/>
    <n v="1"/>
  </r>
  <r>
    <x v="13"/>
    <s v="Clé plate 10"/>
    <n v="3.32"/>
    <x v="14"/>
    <x v="12"/>
    <s v="Javier"/>
    <s v="RC"/>
    <x v="34"/>
    <x v="0"/>
    <n v="1"/>
  </r>
  <r>
    <x v="61"/>
    <s v="Clé plate 11"/>
    <n v="2.75"/>
    <x v="14"/>
    <x v="12"/>
    <s v="Javier"/>
    <s v="RC"/>
    <x v="34"/>
    <x v="0"/>
    <n v="1"/>
  </r>
  <r>
    <x v="62"/>
    <s v="Clé plate 12"/>
    <n v="3"/>
    <x v="14"/>
    <x v="12"/>
    <s v="Javier"/>
    <s v="RC"/>
    <x v="34"/>
    <x v="0"/>
    <n v="1"/>
  </r>
  <r>
    <x v="14"/>
    <s v="Clé plate 13"/>
    <n v="3.91"/>
    <x v="14"/>
    <x v="12"/>
    <s v="Javier"/>
    <s v="RC"/>
    <x v="34"/>
    <x v="0"/>
    <n v="1"/>
  </r>
  <r>
    <x v="56"/>
    <s v="Clé plate 14"/>
    <n v="3.85"/>
    <x v="14"/>
    <x v="12"/>
    <s v="Javier"/>
    <s v="RC"/>
    <x v="34"/>
    <x v="0"/>
    <n v="1"/>
  </r>
  <r>
    <x v="63"/>
    <s v="Clé plate 16"/>
    <n v="3.85"/>
    <x v="14"/>
    <x v="12"/>
    <s v="Javier"/>
    <s v="RC"/>
    <x v="34"/>
    <x v="0"/>
    <n v="1"/>
  </r>
  <r>
    <x v="15"/>
    <s v="Clé plate 17"/>
    <n v="5.5"/>
    <x v="14"/>
    <x v="12"/>
    <s v="Javier"/>
    <s v="RC"/>
    <x v="34"/>
    <x v="0"/>
    <n v="1"/>
  </r>
  <r>
    <x v="64"/>
    <s v="Clé plate 18"/>
    <n v="4.12"/>
    <x v="14"/>
    <x v="12"/>
    <s v="Javier"/>
    <s v="RC"/>
    <x v="34"/>
    <x v="0"/>
    <n v="1"/>
  </r>
  <r>
    <x v="16"/>
    <s v="Clé plate 19"/>
    <n v="6.07"/>
    <x v="14"/>
    <x v="12"/>
    <s v="Javier"/>
    <s v="RC"/>
    <x v="34"/>
    <x v="0"/>
    <n v="1"/>
  </r>
  <r>
    <x v="65"/>
    <s v="Clé plate 24"/>
    <n v="6.8"/>
    <x v="14"/>
    <x v="12"/>
    <s v="Javier"/>
    <s v="RC"/>
    <x v="34"/>
    <x v="0"/>
    <n v="1"/>
  </r>
  <r>
    <x v="20"/>
    <s v="Cutter"/>
    <n v="4.8499999999999996"/>
    <x v="14"/>
    <x v="12"/>
    <s v="Javier"/>
    <s v="RC"/>
    <x v="34"/>
    <x v="0"/>
    <n v="1"/>
  </r>
  <r>
    <x v="11"/>
    <s v="Clé allen"/>
    <n v="27.5"/>
    <x v="14"/>
    <x v="12"/>
    <s v="Javier"/>
    <s v="RC"/>
    <x v="34"/>
    <x v="0"/>
    <n v="1"/>
  </r>
  <r>
    <x v="29"/>
    <s v="Outil à dégainer"/>
    <n v="20.5"/>
    <x v="14"/>
    <x v="12"/>
    <s v="Javier"/>
    <s v="RC"/>
    <x v="34"/>
    <x v="0"/>
    <n v="1"/>
  </r>
  <r>
    <x v="31"/>
    <s v="Pince à Sertir"/>
    <n v="78.400000000000006"/>
    <x v="14"/>
    <x v="12"/>
    <s v="Javier"/>
    <s v="RC"/>
    <x v="34"/>
    <x v="0"/>
    <n v="1"/>
  </r>
  <r>
    <x v="37"/>
    <s v="Testeur Fluke"/>
    <n v="0"/>
    <x v="14"/>
    <x v="12"/>
    <s v="Javier"/>
    <s v="RC"/>
    <x v="34"/>
    <x v="0"/>
    <n v="1"/>
  </r>
  <r>
    <x v="1"/>
    <s v="Boite embouts"/>
    <n v="27.61"/>
    <x v="14"/>
    <x v="12"/>
    <s v="Javier"/>
    <s v="RC"/>
    <x v="34"/>
    <x v="0"/>
    <n v="1"/>
  </r>
  <r>
    <x v="66"/>
    <s v="Brady BMP21"/>
    <n v="151.05000000000001"/>
    <x v="14"/>
    <x v="12"/>
    <s v="Javier"/>
    <s v="RC"/>
    <x v="49"/>
    <x v="0"/>
    <n v="1"/>
  </r>
  <r>
    <x v="19"/>
    <s v="Coupe câble"/>
    <n v="41.88"/>
    <x v="15"/>
    <x v="13"/>
    <s v="Maxime"/>
    <s v="GC"/>
    <x v="55"/>
    <x v="0"/>
    <n v="1"/>
  </r>
  <r>
    <x v="35"/>
    <s v="Scie à métaux"/>
    <n v="11.26"/>
    <x v="15"/>
    <x v="13"/>
    <s v="Maxime"/>
    <s v="GC"/>
    <x v="54"/>
    <x v="0"/>
    <n v="1"/>
  </r>
  <r>
    <x v="26"/>
    <s v="Massette"/>
    <n v="15.14"/>
    <x v="15"/>
    <x v="13"/>
    <s v="Maxime"/>
    <s v="GC"/>
    <x v="54"/>
    <x v="0"/>
    <n v="1"/>
  </r>
  <r>
    <x v="28"/>
    <s v="Niveau"/>
    <n v="15"/>
    <x v="15"/>
    <x v="13"/>
    <s v="Maxime"/>
    <s v="GC"/>
    <x v="54"/>
    <x v="0"/>
    <n v="1"/>
  </r>
  <r>
    <x v="23"/>
    <s v="Jeu tournevis"/>
    <n v="37.57"/>
    <x v="15"/>
    <x v="13"/>
    <s v="Maxime"/>
    <s v="GC"/>
    <x v="54"/>
    <x v="0"/>
    <n v="1"/>
  </r>
  <r>
    <x v="7"/>
    <s v="Clé à pipe 10"/>
    <n v="5.41"/>
    <x v="15"/>
    <x v="13"/>
    <s v="Maxime"/>
    <s v="GC"/>
    <x v="54"/>
    <x v="0"/>
    <n v="1"/>
  </r>
  <r>
    <x v="67"/>
    <s v="Clé à pipe 12"/>
    <n v="6.8"/>
    <x v="15"/>
    <x v="13"/>
    <s v="Maxime"/>
    <s v="GC"/>
    <x v="54"/>
    <x v="0"/>
    <n v="1"/>
  </r>
  <r>
    <x v="13"/>
    <s v="Clé plate 10"/>
    <n v="3.32"/>
    <x v="15"/>
    <x v="13"/>
    <s v="Maxime"/>
    <s v="GC"/>
    <x v="54"/>
    <x v="0"/>
    <n v="1"/>
  </r>
  <r>
    <x v="62"/>
    <s v="Clé plate 12"/>
    <n v="3"/>
    <x v="15"/>
    <x v="13"/>
    <s v="Maxime"/>
    <s v="GC"/>
    <x v="54"/>
    <x v="0"/>
    <n v="1"/>
  </r>
  <r>
    <x v="37"/>
    <s v="Testeur Fluke"/>
    <n v="0"/>
    <x v="15"/>
    <x v="13"/>
    <s v="Maxime"/>
    <s v="GC"/>
    <x v="56"/>
    <x v="0"/>
    <n v="1"/>
  </r>
  <r>
    <x v="39"/>
    <s v="Casque chantier"/>
    <n v="29.05"/>
    <x v="15"/>
    <x v="13"/>
    <s v="Maxime"/>
    <s v="GC"/>
    <x v="46"/>
    <x v="0"/>
    <n v="1"/>
  </r>
  <r>
    <x v="24"/>
    <s v="Lampe frontale"/>
    <n v="42.5"/>
    <x v="15"/>
    <x v="13"/>
    <s v="Maxime"/>
    <s v="GC"/>
    <x v="55"/>
    <x v="0"/>
    <n v="1"/>
  </r>
  <r>
    <x v="68"/>
    <s v="Douille de 16"/>
    <n v="2.67"/>
    <x v="15"/>
    <x v="13"/>
    <s v="Maxime"/>
    <s v="GC"/>
    <x v="54"/>
    <x v="0"/>
    <n v="1"/>
  </r>
  <r>
    <x v="5"/>
    <s v="Cadena"/>
    <n v="13"/>
    <x v="16"/>
    <x v="14"/>
    <s v="Stéphane"/>
    <s v="RE"/>
    <x v="42"/>
    <x v="0"/>
    <n v="1"/>
  </r>
  <r>
    <x v="17"/>
    <s v="Coffre"/>
    <n v="54.54"/>
    <x v="16"/>
    <x v="14"/>
    <s v="Stéphane"/>
    <s v="RE"/>
    <x v="42"/>
    <x v="0"/>
    <n v="1"/>
  </r>
  <r>
    <x v="6"/>
    <s v="Clé à molette"/>
    <n v="16.12"/>
    <x v="16"/>
    <x v="14"/>
    <s v="Stéphane"/>
    <s v="RE"/>
    <x v="42"/>
    <x v="0"/>
    <n v="1"/>
  </r>
  <r>
    <x v="30"/>
    <s v="Pince à dénuder"/>
    <n v="24.55"/>
    <x v="16"/>
    <x v="14"/>
    <s v="Stéphane"/>
    <s v="RE"/>
    <x v="42"/>
    <x v="0"/>
    <n v="1"/>
  </r>
  <r>
    <x v="25"/>
    <s v="lime demi ronde"/>
    <n v="7.59"/>
    <x v="16"/>
    <x v="14"/>
    <s v="Stéphane"/>
    <s v="RE"/>
    <x v="42"/>
    <x v="0"/>
    <n v="1"/>
  </r>
  <r>
    <x v="33"/>
    <s v="Pince coupante 1000v"/>
    <n v="20.87"/>
    <x v="16"/>
    <x v="14"/>
    <s v="Stéphane"/>
    <s v="RE"/>
    <x v="57"/>
    <x v="0"/>
    <n v="1"/>
  </r>
  <r>
    <x v="19"/>
    <s v="Coupe câble"/>
    <n v="41.88"/>
    <x v="16"/>
    <x v="14"/>
    <s v="Stéphane"/>
    <s v="RE"/>
    <x v="51"/>
    <x v="0"/>
    <n v="1"/>
  </r>
  <r>
    <x v="35"/>
    <s v="Scie à métaux"/>
    <n v="11.26"/>
    <x v="16"/>
    <x v="14"/>
    <s v="Stéphane"/>
    <s v="RE"/>
    <x v="50"/>
    <x v="0"/>
    <n v="1"/>
  </r>
  <r>
    <x v="27"/>
    <s v="Mètre pliant"/>
    <n v="3.2"/>
    <x v="16"/>
    <x v="14"/>
    <s v="Stéphane"/>
    <s v="RE"/>
    <x v="50"/>
    <x v="0"/>
    <n v="1"/>
  </r>
  <r>
    <x v="3"/>
    <s v="Burin plat"/>
    <n v="11.89"/>
    <x v="16"/>
    <x v="14"/>
    <s v="Stéphane"/>
    <s v="RE"/>
    <x v="50"/>
    <x v="0"/>
    <n v="1"/>
  </r>
  <r>
    <x v="4"/>
    <s v="Burin pointu"/>
    <n v="8.7200000000000006"/>
    <x v="16"/>
    <x v="14"/>
    <s v="Stéphane"/>
    <s v="RE"/>
    <x v="50"/>
    <x v="0"/>
    <n v="1"/>
  </r>
  <r>
    <x v="26"/>
    <s v="Massette"/>
    <n v="15.14"/>
    <x v="16"/>
    <x v="14"/>
    <s v="Stéphane"/>
    <s v="RE"/>
    <x v="0"/>
    <x v="0"/>
    <n v="1"/>
  </r>
  <r>
    <x v="26"/>
    <s v="Massette"/>
    <n v="15.14"/>
    <x v="16"/>
    <x v="14"/>
    <s v="Stéphane"/>
    <s v="RE"/>
    <x v="42"/>
    <x v="0"/>
    <n v="1"/>
  </r>
  <r>
    <x v="28"/>
    <s v="Niveau"/>
    <n v="15"/>
    <x v="16"/>
    <x v="14"/>
    <s v="Stéphane"/>
    <s v="RE"/>
    <x v="42"/>
    <x v="0"/>
    <n v="1"/>
  </r>
  <r>
    <x v="23"/>
    <s v="Jeu tournevis"/>
    <n v="37.57"/>
    <x v="16"/>
    <x v="14"/>
    <s v="Stéphane"/>
    <s v="RE"/>
    <x v="0"/>
    <x v="0"/>
    <n v="1"/>
  </r>
  <r>
    <x v="34"/>
    <s v="Pince étau"/>
    <n v="16.02"/>
    <x v="16"/>
    <x v="14"/>
    <s v="Stéphane"/>
    <s v="RE"/>
    <x v="42"/>
    <x v="0"/>
    <n v="1"/>
  </r>
  <r>
    <x v="18"/>
    <s v="Coffret douilles"/>
    <n v="103.22"/>
    <x v="16"/>
    <x v="14"/>
    <s v="Stéphane"/>
    <s v="RE"/>
    <x v="42"/>
    <x v="0"/>
    <n v="1"/>
  </r>
  <r>
    <x v="42"/>
    <s v="Clé à griffe 18p"/>
    <n v="54"/>
    <x v="16"/>
    <x v="14"/>
    <s v="Stéphane"/>
    <s v="RE"/>
    <x v="0"/>
    <x v="0"/>
    <n v="1"/>
  </r>
  <r>
    <x v="45"/>
    <s v="Clé mixte 8"/>
    <n v="3.05"/>
    <x v="16"/>
    <x v="14"/>
    <s v="Stéphane"/>
    <s v="RE"/>
    <x v="0"/>
    <x v="0"/>
    <n v="1"/>
  </r>
  <r>
    <x v="44"/>
    <s v="Clé à pipe 8"/>
    <n v="4.8499999999999996"/>
    <x v="16"/>
    <x v="14"/>
    <s v="Stéphane"/>
    <s v="RE"/>
    <x v="0"/>
    <x v="0"/>
    <n v="1"/>
  </r>
  <r>
    <x v="7"/>
    <s v="Clé à pipe 10"/>
    <n v="5.41"/>
    <x v="16"/>
    <x v="14"/>
    <s v="Stéphane"/>
    <s v="RE"/>
    <x v="58"/>
    <x v="0"/>
    <n v="1"/>
  </r>
  <r>
    <x v="8"/>
    <s v="Clé à pipe 13"/>
    <n v="6.23"/>
    <x v="16"/>
    <x v="14"/>
    <s v="Stéphane"/>
    <s v="RE"/>
    <x v="58"/>
    <x v="0"/>
    <n v="1"/>
  </r>
  <r>
    <x v="43"/>
    <s v="Clé à pipe 16"/>
    <n v="9.1999999999999993"/>
    <x v="16"/>
    <x v="14"/>
    <s v="Stéphane"/>
    <s v="RE"/>
    <x v="0"/>
    <x v="0"/>
    <n v="1"/>
  </r>
  <r>
    <x v="9"/>
    <s v="Clé à pipe 17"/>
    <n v="9.36"/>
    <x v="16"/>
    <x v="14"/>
    <s v="Stéphane"/>
    <s v="RE"/>
    <x v="0"/>
    <x v="0"/>
    <n v="1"/>
  </r>
  <r>
    <x v="10"/>
    <s v="Clé à pipe 19"/>
    <n v="10.4"/>
    <x v="16"/>
    <x v="14"/>
    <s v="Stéphane"/>
    <s v="RE"/>
    <x v="50"/>
    <x v="0"/>
    <n v="1"/>
  </r>
  <r>
    <x v="13"/>
    <s v="Clé plate 10"/>
    <n v="3.32"/>
    <x v="16"/>
    <x v="14"/>
    <s v="Stéphane"/>
    <s v="RE"/>
    <x v="58"/>
    <x v="0"/>
    <n v="1"/>
  </r>
  <r>
    <x v="14"/>
    <s v="Clé plate 13"/>
    <n v="3.91"/>
    <x v="16"/>
    <x v="14"/>
    <s v="Stéphane"/>
    <s v="RE"/>
    <x v="58"/>
    <x v="0"/>
    <n v="1"/>
  </r>
  <r>
    <x v="15"/>
    <s v="Clé plate 17"/>
    <n v="5.5"/>
    <x v="16"/>
    <x v="14"/>
    <s v="Stéphane"/>
    <s v="RE"/>
    <x v="42"/>
    <x v="0"/>
    <n v="1"/>
  </r>
  <r>
    <x v="16"/>
    <s v="Clé plate 19"/>
    <n v="6.07"/>
    <x v="16"/>
    <x v="14"/>
    <s v="Stéphane"/>
    <s v="RE"/>
    <x v="50"/>
    <x v="0"/>
    <n v="1"/>
  </r>
  <r>
    <x v="20"/>
    <s v="Cutter"/>
    <n v="4.8499999999999996"/>
    <x v="16"/>
    <x v="14"/>
    <s v="Stéphane"/>
    <s v="RE"/>
    <x v="0"/>
    <x v="0"/>
    <n v="1"/>
  </r>
  <r>
    <x v="11"/>
    <s v="Clé allen"/>
    <n v="27.5"/>
    <x v="16"/>
    <x v="14"/>
    <s v="Stéphane"/>
    <s v="RE"/>
    <x v="42"/>
    <x v="0"/>
    <n v="1"/>
  </r>
  <r>
    <x v="29"/>
    <s v="Outil à dégainer"/>
    <n v="20.5"/>
    <x v="16"/>
    <x v="14"/>
    <s v="Stéphane"/>
    <s v="RE"/>
    <x v="50"/>
    <x v="0"/>
    <n v="1"/>
  </r>
  <r>
    <x v="31"/>
    <s v="Pince à Sertir"/>
    <n v="78.400000000000006"/>
    <x v="16"/>
    <x v="14"/>
    <s v="Stéphane"/>
    <s v="RE"/>
    <x v="42"/>
    <x v="0"/>
    <n v="1"/>
  </r>
  <r>
    <x v="37"/>
    <s v="Testeur Fluke"/>
    <n v="0"/>
    <x v="16"/>
    <x v="14"/>
    <s v="Stéphane"/>
    <s v="RE"/>
    <x v="50"/>
    <x v="0"/>
    <n v="1"/>
  </r>
  <r>
    <x v="1"/>
    <s v="Boite embouts"/>
    <n v="27.61"/>
    <x v="16"/>
    <x v="14"/>
    <s v="Stéphane"/>
    <s v="RE"/>
    <x v="42"/>
    <x v="0"/>
    <n v="1"/>
  </r>
  <r>
    <x v="32"/>
    <s v="Pince colson"/>
    <n v="46.91"/>
    <x v="16"/>
    <x v="14"/>
    <s v="Stéphane"/>
    <s v="RE"/>
    <x v="42"/>
    <x v="0"/>
    <n v="1"/>
  </r>
  <r>
    <x v="38"/>
    <s v="Lunette de protection"/>
    <n v="2.38"/>
    <x v="16"/>
    <x v="14"/>
    <s v="Stéphane"/>
    <s v="RE"/>
    <x v="50"/>
    <x v="0"/>
    <n v="1"/>
  </r>
  <r>
    <x v="39"/>
    <s v="Casque chantier"/>
    <n v="29.05"/>
    <x v="16"/>
    <x v="14"/>
    <s v="Stéphane"/>
    <s v="RE"/>
    <x v="42"/>
    <x v="0"/>
    <n v="1"/>
  </r>
  <r>
    <x v="24"/>
    <s v="Lampe frontale"/>
    <n v="42.5"/>
    <x v="16"/>
    <x v="14"/>
    <s v="Stéphane"/>
    <s v="RE"/>
    <x v="59"/>
    <x v="0"/>
    <n v="1"/>
  </r>
  <r>
    <x v="48"/>
    <s v="Jeu de tournevis pro avec embouts de vissage 1/4 ref 438-008"/>
    <n v="0"/>
    <x v="16"/>
    <x v="14"/>
    <s v="Stéphane"/>
    <s v="RE"/>
    <x v="60"/>
    <x v="0"/>
    <n v="1"/>
  </r>
  <r>
    <x v="31"/>
    <s v="Pince à Sertir"/>
    <n v="78.400000000000006"/>
    <x v="16"/>
    <x v="14"/>
    <s v="Stéphane"/>
    <s v="RE"/>
    <x v="42"/>
    <x v="0"/>
    <n v="1"/>
  </r>
  <r>
    <x v="21"/>
    <s v="Douille impact 3/4 longueur 36mm"/>
    <n v="0"/>
    <x v="16"/>
    <x v="14"/>
    <s v="Stéphane"/>
    <s v="RE"/>
    <x v="0"/>
    <x v="0"/>
    <n v="1"/>
  </r>
  <r>
    <x v="0"/>
    <s v="Augmentateur 1/2 à 3/4"/>
    <n v="20.29"/>
    <x v="16"/>
    <x v="14"/>
    <s v="Stéphane"/>
    <s v="RE"/>
    <x v="0"/>
    <x v="0"/>
    <n v="1"/>
  </r>
  <r>
    <x v="22"/>
    <s v="Dymo LABEL MANAGER 160 P"/>
    <n v="38"/>
    <x v="16"/>
    <x v="14"/>
    <s v="Stéphane"/>
    <s v="RE"/>
    <x v="42"/>
    <x v="0"/>
    <n v="1"/>
  </r>
  <r>
    <x v="66"/>
    <s v="Brady BMP21"/>
    <n v="151.05000000000001"/>
    <x v="16"/>
    <x v="14"/>
    <s v="Stéphane"/>
    <s v="RE"/>
    <x v="42"/>
    <x v="0"/>
    <n v="1"/>
  </r>
  <r>
    <x v="2"/>
    <s v="Brady BMP71"/>
    <n v="790"/>
    <x v="16"/>
    <x v="14"/>
    <s v="Stéphane"/>
    <s v="RE"/>
    <x v="42"/>
    <x v="0"/>
    <n v="1"/>
  </r>
  <r>
    <x v="12"/>
    <s v="Clé dynamométrique"/>
    <n v="214"/>
    <x v="16"/>
    <x v="14"/>
    <s v="Stéphane"/>
    <s v="RE"/>
    <x v="61"/>
    <x v="0"/>
    <n v="1"/>
  </r>
  <r>
    <x v="33"/>
    <s v="Pince coupante 1000v"/>
    <n v="20.87"/>
    <x v="17"/>
    <x v="15"/>
    <s v="Marcelo "/>
    <s v="RE"/>
    <x v="62"/>
    <x v="0"/>
    <n v="1"/>
  </r>
  <r>
    <x v="33"/>
    <s v="Pince coupante 1000v"/>
    <n v="20.87"/>
    <x v="17"/>
    <x v="15"/>
    <s v="Marcelo "/>
    <s v="RE"/>
    <x v="62"/>
    <x v="2"/>
    <n v="0"/>
  </r>
  <r>
    <x v="33"/>
    <s v="Pince coupante 1000v"/>
    <n v="20.87"/>
    <x v="17"/>
    <x v="15"/>
    <s v="Marcelo "/>
    <s v="RE"/>
    <x v="63"/>
    <x v="0"/>
    <n v="1"/>
  </r>
  <r>
    <x v="29"/>
    <s v="Outil à dégainer"/>
    <n v="20.5"/>
    <x v="17"/>
    <x v="15"/>
    <s v="Marcelo "/>
    <s v="RE"/>
    <x v="62"/>
    <x v="0"/>
    <n v="1"/>
  </r>
  <r>
    <x v="29"/>
    <s v="Outil à dégainer"/>
    <n v="20.5"/>
    <x v="17"/>
    <x v="15"/>
    <s v="Marcelo "/>
    <s v="RE"/>
    <x v="62"/>
    <x v="2"/>
    <n v="0"/>
  </r>
  <r>
    <x v="17"/>
    <s v="Coffre"/>
    <n v="54.54"/>
    <x v="17"/>
    <x v="15"/>
    <s v="Marcelo "/>
    <s v="RE"/>
    <x v="62"/>
    <x v="0"/>
    <n v="1"/>
  </r>
  <r>
    <x v="6"/>
    <s v="Clé à molette"/>
    <n v="16.12"/>
    <x v="17"/>
    <x v="15"/>
    <s v="Marcelo "/>
    <s v="RE"/>
    <x v="62"/>
    <x v="0"/>
    <n v="1"/>
  </r>
  <r>
    <x v="30"/>
    <s v="Pince à dénuder"/>
    <n v="24.55"/>
    <x v="17"/>
    <x v="15"/>
    <s v="Marcelo "/>
    <s v="RE"/>
    <x v="62"/>
    <x v="0"/>
    <n v="1"/>
  </r>
  <r>
    <x v="25"/>
    <s v="lime demi ronde"/>
    <n v="7.59"/>
    <x v="17"/>
    <x v="15"/>
    <s v="Marcelo "/>
    <s v="RE"/>
    <x v="62"/>
    <x v="0"/>
    <n v="1"/>
  </r>
  <r>
    <x v="19"/>
    <s v="Coupe câble"/>
    <n v="41.88"/>
    <x v="17"/>
    <x v="15"/>
    <s v="Marcelo "/>
    <s v="RE"/>
    <x v="62"/>
    <x v="0"/>
    <n v="1"/>
  </r>
  <r>
    <x v="35"/>
    <s v="Scie à métaux"/>
    <n v="11.26"/>
    <x v="17"/>
    <x v="15"/>
    <s v="Marcelo "/>
    <s v="RE"/>
    <x v="62"/>
    <x v="0"/>
    <n v="1"/>
  </r>
  <r>
    <x v="27"/>
    <s v="Mètre pliant"/>
    <n v="3.2"/>
    <x v="17"/>
    <x v="15"/>
    <s v="Marcelo "/>
    <s v="RE"/>
    <x v="62"/>
    <x v="0"/>
    <n v="1"/>
  </r>
  <r>
    <x v="3"/>
    <s v="Burin plat"/>
    <n v="11.89"/>
    <x v="17"/>
    <x v="15"/>
    <s v="Marcelo "/>
    <s v="RE"/>
    <x v="62"/>
    <x v="0"/>
    <n v="1"/>
  </r>
  <r>
    <x v="4"/>
    <s v="Burin pointu"/>
    <n v="8.7200000000000006"/>
    <x v="17"/>
    <x v="15"/>
    <s v="Marcelo "/>
    <s v="RE"/>
    <x v="62"/>
    <x v="0"/>
    <n v="1"/>
  </r>
  <r>
    <x v="26"/>
    <s v="Massette"/>
    <n v="15.14"/>
    <x v="17"/>
    <x v="15"/>
    <s v="Marcelo "/>
    <s v="RE"/>
    <x v="62"/>
    <x v="0"/>
    <n v="1"/>
  </r>
  <r>
    <x v="28"/>
    <s v="Niveau"/>
    <n v="15"/>
    <x v="17"/>
    <x v="15"/>
    <s v="Marcelo "/>
    <s v="RE"/>
    <x v="62"/>
    <x v="0"/>
    <n v="1"/>
  </r>
  <r>
    <x v="23"/>
    <s v="Jeu tournevis"/>
    <n v="37.57"/>
    <x v="17"/>
    <x v="15"/>
    <s v="Marcelo "/>
    <s v="RE"/>
    <x v="62"/>
    <x v="0"/>
    <n v="1"/>
  </r>
  <r>
    <x v="23"/>
    <s v="Jeu tournevis"/>
    <n v="37.57"/>
    <x v="17"/>
    <x v="15"/>
    <s v="Marcelo "/>
    <s v="RE"/>
    <x v="64"/>
    <x v="2"/>
    <n v="0"/>
  </r>
  <r>
    <x v="23"/>
    <s v="Jeu tournevis"/>
    <n v="37.57"/>
    <x v="17"/>
    <x v="15"/>
    <s v="Marcelo "/>
    <s v="RE"/>
    <x v="63"/>
    <x v="0"/>
    <n v="1"/>
  </r>
  <r>
    <x v="34"/>
    <s v="Pince étau"/>
    <n v="16.02"/>
    <x v="17"/>
    <x v="15"/>
    <s v="Marcelo "/>
    <s v="RE"/>
    <x v="62"/>
    <x v="0"/>
    <n v="1"/>
  </r>
  <r>
    <x v="7"/>
    <s v="Clé à pipe 10"/>
    <n v="5.41"/>
    <x v="17"/>
    <x v="15"/>
    <s v="Marcelo "/>
    <s v="RE"/>
    <x v="62"/>
    <x v="0"/>
    <n v="1"/>
  </r>
  <r>
    <x v="8"/>
    <s v="Clé à pipe 13"/>
    <n v="6.23"/>
    <x v="17"/>
    <x v="15"/>
    <s v="Marcelo "/>
    <s v="RE"/>
    <x v="62"/>
    <x v="1"/>
    <n v="0"/>
  </r>
  <r>
    <x v="9"/>
    <s v="Clé à pipe 17"/>
    <n v="9.36"/>
    <x v="17"/>
    <x v="15"/>
    <s v="Marcelo "/>
    <s v="RE"/>
    <x v="62"/>
    <x v="0"/>
    <n v="1"/>
  </r>
  <r>
    <x v="10"/>
    <s v="Clé à pipe 19"/>
    <n v="10.4"/>
    <x v="17"/>
    <x v="15"/>
    <s v="Marcelo "/>
    <s v="RE"/>
    <x v="18"/>
    <x v="0"/>
    <n v="1"/>
  </r>
  <r>
    <x v="13"/>
    <s v="Clé plate 10"/>
    <n v="3.32"/>
    <x v="17"/>
    <x v="15"/>
    <s v="Marcelo "/>
    <s v="RE"/>
    <x v="18"/>
    <x v="0"/>
    <n v="1"/>
  </r>
  <r>
    <x v="13"/>
    <s v="Clé plate 10"/>
    <n v="3.32"/>
    <x v="17"/>
    <x v="15"/>
    <s v="Marcelo "/>
    <s v="RE"/>
    <x v="64"/>
    <x v="1"/>
    <n v="0"/>
  </r>
  <r>
    <x v="13"/>
    <s v="Clé plate 10"/>
    <n v="3.32"/>
    <x v="17"/>
    <x v="15"/>
    <s v="Marcelo "/>
    <s v="RE"/>
    <x v="63"/>
    <x v="0"/>
    <n v="1"/>
  </r>
  <r>
    <x v="14"/>
    <s v="Clé plate 13"/>
    <n v="3.91"/>
    <x v="17"/>
    <x v="15"/>
    <s v="Marcelo "/>
    <s v="RE"/>
    <x v="62"/>
    <x v="0"/>
    <n v="1"/>
  </r>
  <r>
    <x v="15"/>
    <s v="Clé plate 17"/>
    <n v="5.5"/>
    <x v="17"/>
    <x v="15"/>
    <s v="Marcelo "/>
    <s v="RE"/>
    <x v="62"/>
    <x v="0"/>
    <n v="1"/>
  </r>
  <r>
    <x v="16"/>
    <s v="Clé plate 19"/>
    <n v="6.07"/>
    <x v="17"/>
    <x v="15"/>
    <s v="Marcelo "/>
    <s v="RE"/>
    <x v="62"/>
    <x v="0"/>
    <n v="1"/>
  </r>
  <r>
    <x v="20"/>
    <s v="Cutter"/>
    <n v="4.8499999999999996"/>
    <x v="17"/>
    <x v="15"/>
    <s v="Marcelo "/>
    <s v="RE"/>
    <x v="62"/>
    <x v="0"/>
    <n v="1"/>
  </r>
  <r>
    <x v="31"/>
    <s v="Pince à Sertir"/>
    <n v="78.400000000000006"/>
    <x v="17"/>
    <x v="15"/>
    <s v="Marcelo "/>
    <s v="RE"/>
    <x v="62"/>
    <x v="0"/>
    <n v="1"/>
  </r>
  <r>
    <x v="37"/>
    <s v="Testeur Fluke"/>
    <n v="0"/>
    <x v="17"/>
    <x v="15"/>
    <s v="Marcelo "/>
    <s v="RE"/>
    <x v="62"/>
    <x v="0"/>
    <n v="1"/>
  </r>
  <r>
    <x v="37"/>
    <s v="Testeur Fluke"/>
    <n v="0"/>
    <x v="17"/>
    <x v="15"/>
    <s v="Marcelo "/>
    <s v="RE"/>
    <x v="62"/>
    <x v="1"/>
    <n v="0"/>
  </r>
  <r>
    <x v="1"/>
    <s v="Boite embouts"/>
    <n v="27.61"/>
    <x v="17"/>
    <x v="15"/>
    <s v="Marcelo "/>
    <s v="RE"/>
    <x v="62"/>
    <x v="0"/>
    <n v="1"/>
  </r>
  <r>
    <x v="32"/>
    <s v="Pince colson"/>
    <n v="46.91"/>
    <x v="17"/>
    <x v="15"/>
    <s v="Marcelo "/>
    <s v="RE"/>
    <x v="18"/>
    <x v="0"/>
    <n v="1"/>
  </r>
  <r>
    <x v="38"/>
    <s v="Lunette de protection"/>
    <n v="2.38"/>
    <x v="17"/>
    <x v="15"/>
    <s v="Marcelo "/>
    <s v="RE"/>
    <x v="18"/>
    <x v="0"/>
    <n v="1"/>
  </r>
  <r>
    <x v="39"/>
    <s v="Casque chantier"/>
    <n v="29.05"/>
    <x v="17"/>
    <x v="15"/>
    <s v="Marcelo "/>
    <s v="RE"/>
    <x v="62"/>
    <x v="0"/>
    <n v="1"/>
  </r>
  <r>
    <x v="24"/>
    <s v="Lampe frontale"/>
    <n v="42.5"/>
    <x v="17"/>
    <x v="15"/>
    <s v="Marcelo "/>
    <s v="RE"/>
    <x v="59"/>
    <x v="0"/>
    <n v="1"/>
  </r>
  <r>
    <x v="5"/>
    <s v="Cadena"/>
    <n v="13"/>
    <x v="18"/>
    <x v="16"/>
    <s v="Lahcene"/>
    <s v="ELEC"/>
    <x v="18"/>
    <x v="0"/>
    <n v="1"/>
  </r>
  <r>
    <x v="5"/>
    <s v="Cadena"/>
    <n v="13"/>
    <x v="18"/>
    <x v="16"/>
    <s v="Lahcene"/>
    <s v="ELEC"/>
    <x v="18"/>
    <x v="1"/>
    <n v="0"/>
  </r>
  <r>
    <x v="17"/>
    <s v="Coffre"/>
    <n v="54.54"/>
    <x v="18"/>
    <x v="16"/>
    <s v="Lahcene"/>
    <s v="ELEC"/>
    <x v="18"/>
    <x v="0"/>
    <n v="1"/>
  </r>
  <r>
    <x v="17"/>
    <s v="Coffre"/>
    <n v="54.54"/>
    <x v="18"/>
    <x v="16"/>
    <s v="Lahcene"/>
    <s v="ELEC"/>
    <x v="18"/>
    <x v="1"/>
    <n v="0"/>
  </r>
  <r>
    <x v="33"/>
    <s v="Pince coupante 1000v"/>
    <n v="20.87"/>
    <x v="18"/>
    <x v="16"/>
    <s v="Lahcene"/>
    <s v="ELEC"/>
    <x v="65"/>
    <x v="0"/>
    <n v="1"/>
  </r>
  <r>
    <x v="33"/>
    <s v="Pince coupante 1000v"/>
    <n v="20.87"/>
    <x v="18"/>
    <x v="16"/>
    <s v="Lahcene"/>
    <s v="ELEC"/>
    <x v="65"/>
    <x v="1"/>
    <n v="0"/>
  </r>
  <r>
    <x v="19"/>
    <s v="Coupe câble"/>
    <n v="41.88"/>
    <x v="18"/>
    <x v="16"/>
    <s v="Lahcene"/>
    <s v="ELEC"/>
    <x v="18"/>
    <x v="0"/>
    <n v="1"/>
  </r>
  <r>
    <x v="19"/>
    <s v="Coupe câble"/>
    <n v="41.88"/>
    <x v="18"/>
    <x v="16"/>
    <s v="Lahcene"/>
    <s v="ELEC"/>
    <x v="18"/>
    <x v="1"/>
    <n v="0"/>
  </r>
  <r>
    <x v="23"/>
    <s v="Jeu tournevis"/>
    <n v="37.57"/>
    <x v="18"/>
    <x v="16"/>
    <s v="Lahcene"/>
    <s v="ELEC"/>
    <x v="18"/>
    <x v="0"/>
    <n v="1"/>
  </r>
  <r>
    <x v="23"/>
    <s v="Jeu tournevis"/>
    <n v="37.57"/>
    <x v="18"/>
    <x v="16"/>
    <s v="Lahcene"/>
    <s v="ELEC"/>
    <x v="18"/>
    <x v="1"/>
    <n v="0"/>
  </r>
  <r>
    <x v="7"/>
    <s v="Clé à pipe 10"/>
    <n v="5.41"/>
    <x v="18"/>
    <x v="16"/>
    <s v="Lahcene"/>
    <s v="ELEC"/>
    <x v="18"/>
    <x v="0"/>
    <n v="1"/>
  </r>
  <r>
    <x v="7"/>
    <s v="Clé à pipe 10"/>
    <n v="5.41"/>
    <x v="18"/>
    <x v="16"/>
    <s v="Lahcene"/>
    <s v="ELEC"/>
    <x v="18"/>
    <x v="1"/>
    <n v="0"/>
  </r>
  <r>
    <x v="8"/>
    <s v="Clé à pipe 13"/>
    <n v="6.23"/>
    <x v="18"/>
    <x v="16"/>
    <s v="Lahcene"/>
    <s v="ELEC"/>
    <x v="65"/>
    <x v="0"/>
    <n v="1"/>
  </r>
  <r>
    <x v="8"/>
    <s v="Clé à pipe 13"/>
    <n v="6.23"/>
    <x v="18"/>
    <x v="16"/>
    <s v="Lahcene"/>
    <s v="ELEC"/>
    <x v="65"/>
    <x v="1"/>
    <n v="0"/>
  </r>
  <r>
    <x v="13"/>
    <s v="Clé plate 10"/>
    <n v="3.32"/>
    <x v="18"/>
    <x v="16"/>
    <s v="Lahcene"/>
    <s v="ELEC"/>
    <x v="18"/>
    <x v="0"/>
    <n v="1"/>
  </r>
  <r>
    <x v="13"/>
    <s v="Clé plate 10"/>
    <n v="3.32"/>
    <x v="18"/>
    <x v="16"/>
    <s v="Lahcene"/>
    <s v="ELEC"/>
    <x v="18"/>
    <x v="1"/>
    <n v="0"/>
  </r>
  <r>
    <x v="14"/>
    <s v="Clé plate 13"/>
    <n v="3.91"/>
    <x v="18"/>
    <x v="16"/>
    <s v="Lahcene"/>
    <s v="ELEC"/>
    <x v="18"/>
    <x v="0"/>
    <n v="1"/>
  </r>
  <r>
    <x v="14"/>
    <s v="Clé plate 13"/>
    <n v="3.91"/>
    <x v="18"/>
    <x v="16"/>
    <s v="Lahcene"/>
    <s v="ELEC"/>
    <x v="18"/>
    <x v="1"/>
    <n v="0"/>
  </r>
  <r>
    <x v="20"/>
    <s v="Cutter"/>
    <n v="4.8499999999999996"/>
    <x v="18"/>
    <x v="16"/>
    <s v="Lahcene"/>
    <s v="ELEC"/>
    <x v="18"/>
    <x v="0"/>
    <n v="1"/>
  </r>
  <r>
    <x v="20"/>
    <s v="Cutter"/>
    <n v="4.8499999999999996"/>
    <x v="18"/>
    <x v="16"/>
    <s v="Lahcene"/>
    <s v="ELEC"/>
    <x v="18"/>
    <x v="1"/>
    <n v="0"/>
  </r>
  <r>
    <x v="11"/>
    <s v="Clé allen"/>
    <n v="27.5"/>
    <x v="18"/>
    <x v="16"/>
    <s v="Lahcene"/>
    <s v="ELEC"/>
    <x v="18"/>
    <x v="0"/>
    <n v="1"/>
  </r>
  <r>
    <x v="11"/>
    <s v="Clé allen"/>
    <n v="27.5"/>
    <x v="18"/>
    <x v="16"/>
    <s v="Lahcene"/>
    <s v="ELEC"/>
    <x v="18"/>
    <x v="1"/>
    <n v="0"/>
  </r>
  <r>
    <x v="29"/>
    <s v="Outil à dégainer"/>
    <n v="20.5"/>
    <x v="18"/>
    <x v="16"/>
    <s v="Lahcene"/>
    <s v="ELEC"/>
    <x v="18"/>
    <x v="0"/>
    <n v="1"/>
  </r>
  <r>
    <x v="29"/>
    <s v="Outil à dégainer"/>
    <n v="20.5"/>
    <x v="18"/>
    <x v="16"/>
    <s v="Lahcene"/>
    <s v="ELEC"/>
    <x v="18"/>
    <x v="1"/>
    <n v="0"/>
  </r>
  <r>
    <x v="1"/>
    <s v="Boite embouts"/>
    <n v="27.61"/>
    <x v="18"/>
    <x v="16"/>
    <s v="Lahcene"/>
    <s v="ELEC"/>
    <x v="66"/>
    <x v="0"/>
    <n v="1"/>
  </r>
  <r>
    <x v="1"/>
    <s v="Boite embouts"/>
    <n v="27.61"/>
    <x v="18"/>
    <x v="16"/>
    <s v="Lahcene"/>
    <s v="ELEC"/>
    <x v="66"/>
    <x v="1"/>
    <n v="0"/>
  </r>
  <r>
    <x v="24"/>
    <s v="Lampe frontale"/>
    <n v="42.5"/>
    <x v="18"/>
    <x v="16"/>
    <s v="Lahcene"/>
    <s v="ELEC"/>
    <x v="67"/>
    <x v="0"/>
    <n v="1"/>
  </r>
  <r>
    <x v="24"/>
    <s v="Lampe frontale"/>
    <n v="42.5"/>
    <x v="18"/>
    <x v="16"/>
    <s v="Lahcene"/>
    <s v="ELEC"/>
    <x v="67"/>
    <x v="1"/>
    <n v="0"/>
  </r>
  <r>
    <x v="6"/>
    <s v="Clé à molette"/>
    <n v="16.12"/>
    <x v="18"/>
    <x v="16"/>
    <s v="Lahcene"/>
    <s v="ELEC"/>
    <x v="18"/>
    <x v="0"/>
    <n v="1"/>
  </r>
  <r>
    <x v="30"/>
    <s v="Pince à dénuder"/>
    <n v="24.55"/>
    <x v="18"/>
    <x v="16"/>
    <s v="Lahcene"/>
    <s v="ELEC"/>
    <x v="65"/>
    <x v="0"/>
    <n v="1"/>
  </r>
  <r>
    <x v="25"/>
    <s v="lime demi ronde"/>
    <n v="7.59"/>
    <x v="18"/>
    <x v="16"/>
    <s v="Lahcene"/>
    <s v="ELEC"/>
    <x v="66"/>
    <x v="0"/>
    <n v="1"/>
  </r>
  <r>
    <x v="35"/>
    <s v="Scie à métaux"/>
    <n v="11.26"/>
    <x v="18"/>
    <x v="16"/>
    <s v="Lahcene"/>
    <s v="ELEC"/>
    <x v="18"/>
    <x v="0"/>
    <n v="1"/>
  </r>
  <r>
    <x v="27"/>
    <s v="Mètre pliant"/>
    <n v="3.2"/>
    <x v="18"/>
    <x v="16"/>
    <s v="Lahcene"/>
    <s v="ELEC"/>
    <x v="18"/>
    <x v="0"/>
    <n v="1"/>
  </r>
  <r>
    <x v="3"/>
    <s v="Burin plat"/>
    <n v="11.89"/>
    <x v="18"/>
    <x v="16"/>
    <s v="Lahcene"/>
    <s v="ELEC"/>
    <x v="18"/>
    <x v="0"/>
    <n v="1"/>
  </r>
  <r>
    <x v="4"/>
    <s v="Burin pointu"/>
    <n v="8.7200000000000006"/>
    <x v="18"/>
    <x v="16"/>
    <s v="Lahcene"/>
    <s v="ELEC"/>
    <x v="18"/>
    <x v="0"/>
    <n v="1"/>
  </r>
  <r>
    <x v="26"/>
    <s v="Massette"/>
    <n v="15.14"/>
    <x v="18"/>
    <x v="16"/>
    <s v="Lahcene"/>
    <s v="ELEC"/>
    <x v="18"/>
    <x v="0"/>
    <n v="1"/>
  </r>
  <r>
    <x v="28"/>
    <s v="Niveau"/>
    <n v="15"/>
    <x v="18"/>
    <x v="16"/>
    <s v="Lahcene"/>
    <s v="ELEC"/>
    <x v="18"/>
    <x v="0"/>
    <n v="1"/>
  </r>
  <r>
    <x v="34"/>
    <s v="Pince étau"/>
    <n v="16.02"/>
    <x v="18"/>
    <x v="16"/>
    <s v="Lahcene"/>
    <s v="ELEC"/>
    <x v="18"/>
    <x v="0"/>
    <n v="1"/>
  </r>
  <r>
    <x v="18"/>
    <s v="Coffret douilles"/>
    <n v="103.22"/>
    <x v="18"/>
    <x v="16"/>
    <s v="Lahcene"/>
    <s v="ELEC"/>
    <x v="18"/>
    <x v="0"/>
    <n v="1"/>
  </r>
  <r>
    <x v="9"/>
    <s v="Clé à pipe 17"/>
    <n v="9.36"/>
    <x v="18"/>
    <x v="16"/>
    <s v="Lahcene"/>
    <s v="ELEC"/>
    <x v="18"/>
    <x v="0"/>
    <n v="1"/>
  </r>
  <r>
    <x v="10"/>
    <s v="Clé à pipe 19"/>
    <n v="10.4"/>
    <x v="18"/>
    <x v="16"/>
    <s v="Lahcene"/>
    <s v="ELEC"/>
    <x v="18"/>
    <x v="0"/>
    <n v="1"/>
  </r>
  <r>
    <x v="15"/>
    <s v="Clé plate 17"/>
    <n v="5.5"/>
    <x v="18"/>
    <x v="16"/>
    <s v="Lahcene"/>
    <s v="ELEC"/>
    <x v="18"/>
    <x v="0"/>
    <n v="1"/>
  </r>
  <r>
    <x v="16"/>
    <s v="Clé plate 19"/>
    <n v="6.07"/>
    <x v="18"/>
    <x v="16"/>
    <s v="Lahcene"/>
    <s v="ELEC"/>
    <x v="18"/>
    <x v="0"/>
    <n v="1"/>
  </r>
  <r>
    <x v="31"/>
    <s v="Pince à Sertir"/>
    <n v="78.400000000000006"/>
    <x v="18"/>
    <x v="16"/>
    <s v="Lahcene"/>
    <s v="ELEC"/>
    <x v="18"/>
    <x v="0"/>
    <n v="1"/>
  </r>
  <r>
    <x v="37"/>
    <s v="Testeur Fluke"/>
    <n v="0"/>
    <x v="18"/>
    <x v="16"/>
    <s v="Lahcene"/>
    <s v="ELEC"/>
    <x v="18"/>
    <x v="0"/>
    <n v="1"/>
  </r>
  <r>
    <x v="32"/>
    <s v="Pince colson"/>
    <n v="46.91"/>
    <x v="18"/>
    <x v="16"/>
    <s v="Lahcene"/>
    <s v="ELEC"/>
    <x v="18"/>
    <x v="0"/>
    <n v="1"/>
  </r>
  <r>
    <x v="38"/>
    <s v="Lunette de protection"/>
    <n v="2.38"/>
    <x v="18"/>
    <x v="16"/>
    <s v="Lahcene"/>
    <s v="ELEC"/>
    <x v="18"/>
    <x v="0"/>
    <n v="1"/>
  </r>
  <r>
    <x v="39"/>
    <s v="Casque chantier"/>
    <n v="29.05"/>
    <x v="18"/>
    <x v="16"/>
    <s v="Lahcene"/>
    <s v="ELEC"/>
    <x v="65"/>
    <x v="0"/>
    <n v="1"/>
  </r>
  <r>
    <x v="24"/>
    <s v="Lampe frontale"/>
    <n v="42.5"/>
    <x v="18"/>
    <x v="16"/>
    <s v="Lahcene"/>
    <s v="ELEC"/>
    <x v="52"/>
    <x v="0"/>
    <n v="1"/>
  </r>
  <r>
    <x v="40"/>
    <s v="Couteau électricien"/>
    <n v="17.149999999999999"/>
    <x v="19"/>
    <x v="17"/>
    <s v="Samy"/>
    <s v="RE"/>
    <x v="24"/>
    <x v="0"/>
    <n v="1"/>
  </r>
  <r>
    <x v="40"/>
    <s v="Couteau électricien"/>
    <n v="17.149999999999999"/>
    <x v="19"/>
    <x v="17"/>
    <s v="Samy"/>
    <s v="RE"/>
    <x v="68"/>
    <x v="1"/>
    <n v="0"/>
  </r>
  <r>
    <x v="40"/>
    <s v="Couteau électricien"/>
    <n v="17.149999999999999"/>
    <x v="19"/>
    <x v="17"/>
    <s v="Samy"/>
    <s v="RE"/>
    <x v="69"/>
    <x v="0"/>
    <n v="1"/>
  </r>
  <r>
    <x v="17"/>
    <s v="Coffre"/>
    <n v="54.54"/>
    <x v="19"/>
    <x v="17"/>
    <s v="Samy"/>
    <s v="RE"/>
    <x v="70"/>
    <x v="0"/>
    <n v="1"/>
  </r>
  <r>
    <x v="6"/>
    <s v="Clé à molette"/>
    <n v="16.12"/>
    <x v="19"/>
    <x v="17"/>
    <s v="Samy"/>
    <s v="RE"/>
    <x v="70"/>
    <x v="0"/>
    <n v="1"/>
  </r>
  <r>
    <x v="30"/>
    <s v="Pince à dénuder"/>
    <n v="24.55"/>
    <x v="19"/>
    <x v="17"/>
    <s v="Samy"/>
    <s v="RE"/>
    <x v="70"/>
    <x v="0"/>
    <n v="1"/>
  </r>
  <r>
    <x v="25"/>
    <s v="lime demi ronde"/>
    <n v="7.59"/>
    <x v="19"/>
    <x v="17"/>
    <s v="Samy"/>
    <s v="RE"/>
    <x v="1"/>
    <x v="0"/>
    <n v="1"/>
  </r>
  <r>
    <x v="33"/>
    <s v="Pince coupante 1000v"/>
    <n v="20.87"/>
    <x v="19"/>
    <x v="17"/>
    <s v="Samy"/>
    <s v="RE"/>
    <x v="1"/>
    <x v="0"/>
    <n v="1"/>
  </r>
  <r>
    <x v="19"/>
    <s v="Coupe câble"/>
    <n v="41.88"/>
    <x v="19"/>
    <x v="17"/>
    <s v="Samy"/>
    <s v="RE"/>
    <x v="70"/>
    <x v="0"/>
    <n v="1"/>
  </r>
  <r>
    <x v="35"/>
    <s v="Scie à métaux"/>
    <n v="11.26"/>
    <x v="19"/>
    <x v="17"/>
    <s v="Samy"/>
    <s v="RE"/>
    <x v="1"/>
    <x v="0"/>
    <n v="1"/>
  </r>
  <r>
    <x v="3"/>
    <s v="Burin plat"/>
    <n v="11.89"/>
    <x v="19"/>
    <x v="17"/>
    <s v="Samy"/>
    <s v="RE"/>
    <x v="70"/>
    <x v="0"/>
    <n v="1"/>
  </r>
  <r>
    <x v="4"/>
    <s v="Burin pointu"/>
    <n v="8.7200000000000006"/>
    <x v="19"/>
    <x v="17"/>
    <s v="Samy"/>
    <s v="RE"/>
    <x v="70"/>
    <x v="0"/>
    <n v="1"/>
  </r>
  <r>
    <x v="26"/>
    <s v="Massette"/>
    <n v="15.14"/>
    <x v="19"/>
    <x v="17"/>
    <s v="Samy"/>
    <s v="RE"/>
    <x v="70"/>
    <x v="0"/>
    <n v="1"/>
  </r>
  <r>
    <x v="28"/>
    <s v="Niveau"/>
    <n v="15"/>
    <x v="19"/>
    <x v="17"/>
    <s v="Samy"/>
    <s v="RE"/>
    <x v="70"/>
    <x v="0"/>
    <n v="1"/>
  </r>
  <r>
    <x v="23"/>
    <s v="Jeu tournevis"/>
    <n v="37.57"/>
    <x v="19"/>
    <x v="17"/>
    <s v="Samy"/>
    <s v="RE"/>
    <x v="1"/>
    <x v="0"/>
    <n v="1"/>
  </r>
  <r>
    <x v="34"/>
    <s v="Pince étau"/>
    <n v="16.02"/>
    <x v="19"/>
    <x v="17"/>
    <s v="Samy"/>
    <s v="RE"/>
    <x v="1"/>
    <x v="0"/>
    <n v="1"/>
  </r>
  <r>
    <x v="18"/>
    <s v="Coffret douilles"/>
    <n v="103.22"/>
    <x v="19"/>
    <x v="17"/>
    <s v="Samy"/>
    <s v="RE"/>
    <x v="70"/>
    <x v="0"/>
    <n v="1"/>
  </r>
  <r>
    <x v="7"/>
    <s v="Clé à pipe 10"/>
    <n v="5.41"/>
    <x v="19"/>
    <x v="17"/>
    <s v="Samy"/>
    <s v="RE"/>
    <x v="71"/>
    <x v="0"/>
    <n v="1"/>
  </r>
  <r>
    <x v="8"/>
    <s v="Clé à pipe 13"/>
    <n v="6.23"/>
    <x v="19"/>
    <x v="17"/>
    <s v="Samy"/>
    <s v="RE"/>
    <x v="71"/>
    <x v="0"/>
    <n v="1"/>
  </r>
  <r>
    <x v="9"/>
    <s v="Clé à pipe 17"/>
    <n v="9.36"/>
    <x v="19"/>
    <x v="17"/>
    <s v="Samy"/>
    <s v="RE"/>
    <x v="71"/>
    <x v="0"/>
    <n v="1"/>
  </r>
  <r>
    <x v="10"/>
    <s v="Clé à pipe 19"/>
    <n v="10.4"/>
    <x v="19"/>
    <x v="17"/>
    <s v="Samy"/>
    <s v="RE"/>
    <x v="71"/>
    <x v="0"/>
    <n v="1"/>
  </r>
  <r>
    <x v="13"/>
    <s v="Clé plate 10"/>
    <n v="3.32"/>
    <x v="19"/>
    <x v="17"/>
    <s v="Samy"/>
    <s v="RE"/>
    <x v="71"/>
    <x v="0"/>
    <n v="1"/>
  </r>
  <r>
    <x v="14"/>
    <s v="Clé plate 13"/>
    <n v="3.91"/>
    <x v="19"/>
    <x v="17"/>
    <s v="Samy"/>
    <s v="RE"/>
    <x v="71"/>
    <x v="0"/>
    <n v="1"/>
  </r>
  <r>
    <x v="15"/>
    <s v="Clé plate 17"/>
    <n v="5.5"/>
    <x v="19"/>
    <x v="17"/>
    <s v="Samy"/>
    <s v="RE"/>
    <x v="71"/>
    <x v="0"/>
    <n v="1"/>
  </r>
  <r>
    <x v="20"/>
    <s v="Cutter"/>
    <n v="4.8499999999999996"/>
    <x v="19"/>
    <x v="17"/>
    <s v="Samy"/>
    <s v="RE"/>
    <x v="1"/>
    <x v="0"/>
    <n v="1"/>
  </r>
  <r>
    <x v="11"/>
    <s v="Clé allen"/>
    <n v="27.5"/>
    <x v="19"/>
    <x v="17"/>
    <s v="Samy"/>
    <s v="RE"/>
    <x v="71"/>
    <x v="0"/>
    <n v="1"/>
  </r>
  <r>
    <x v="29"/>
    <s v="Outil à dégainer"/>
    <n v="20.5"/>
    <x v="19"/>
    <x v="17"/>
    <s v="Samy"/>
    <s v="RE"/>
    <x v="71"/>
    <x v="0"/>
    <n v="1"/>
  </r>
  <r>
    <x v="31"/>
    <s v="Pince à Sertir"/>
    <n v="78.400000000000006"/>
    <x v="19"/>
    <x v="17"/>
    <s v="Samy"/>
    <s v="RE"/>
    <x v="1"/>
    <x v="0"/>
    <n v="1"/>
  </r>
  <r>
    <x v="37"/>
    <s v="Testeur Fluke"/>
    <n v="0"/>
    <x v="19"/>
    <x v="17"/>
    <s v="Samy"/>
    <s v="RE"/>
    <x v="71"/>
    <x v="0"/>
    <n v="1"/>
  </r>
  <r>
    <x v="1"/>
    <s v="Boite embouts"/>
    <n v="27.61"/>
    <x v="19"/>
    <x v="17"/>
    <s v="Samy"/>
    <s v="RE"/>
    <x v="71"/>
    <x v="0"/>
    <n v="1"/>
  </r>
  <r>
    <x v="32"/>
    <s v="Pince colson"/>
    <n v="46.91"/>
    <x v="19"/>
    <x v="17"/>
    <s v="Samy"/>
    <s v="RE"/>
    <x v="71"/>
    <x v="0"/>
    <n v="1"/>
  </r>
  <r>
    <x v="38"/>
    <s v="Lunette de protection"/>
    <n v="2.38"/>
    <x v="19"/>
    <x v="17"/>
    <s v="Samy"/>
    <s v="RE"/>
    <x v="1"/>
    <x v="0"/>
    <n v="1"/>
  </r>
  <r>
    <x v="39"/>
    <s v="Casque chantier"/>
    <n v="29.05"/>
    <x v="19"/>
    <x v="17"/>
    <s v="Samy"/>
    <s v="RE"/>
    <x v="71"/>
    <x v="0"/>
    <n v="1"/>
  </r>
  <r>
    <x v="24"/>
    <s v="Lampe frontale"/>
    <n v="42.5"/>
    <x v="19"/>
    <x v="17"/>
    <s v="Samy"/>
    <s v="RE"/>
    <x v="71"/>
    <x v="0"/>
    <n v="1"/>
  </r>
  <r>
    <x v="48"/>
    <s v="Jeu de tournevis pro avec embouts de vissage 1/4 ref 438-008"/>
    <n v="0"/>
    <x v="19"/>
    <x v="17"/>
    <s v="Samy"/>
    <s v="RE"/>
    <x v="30"/>
    <x v="0"/>
    <n v="1"/>
  </r>
  <r>
    <x v="69"/>
    <s v="Mètre 5m"/>
    <n v="5.28"/>
    <x v="19"/>
    <x v="17"/>
    <s v="Samy"/>
    <s v="RE"/>
    <x v="1"/>
    <x v="0"/>
    <n v="1"/>
  </r>
  <r>
    <x v="70"/>
    <s v="Cliquet rapide 1/4"/>
    <n v="31"/>
    <x v="19"/>
    <x v="17"/>
    <s v="Samy"/>
    <s v="RE"/>
    <x v="72"/>
    <x v="0"/>
    <n v="1"/>
  </r>
  <r>
    <x v="40"/>
    <s v="Couteau électricien"/>
    <n v="17.149999999999999"/>
    <x v="19"/>
    <x v="17"/>
    <s v="Samy"/>
    <s v="RE"/>
    <x v="73"/>
    <x v="0"/>
    <n v="1"/>
  </r>
  <r>
    <x v="71"/>
    <s v="Clé titan"/>
    <n v="35"/>
    <x v="19"/>
    <x v="17"/>
    <s v="Samy"/>
    <s v="RE"/>
    <x v="74"/>
    <x v="0"/>
    <n v="1"/>
  </r>
  <r>
    <x v="21"/>
    <s v="Douille impact 3/4 longueur 36mm"/>
    <n v="0"/>
    <x v="19"/>
    <x v="17"/>
    <s v="Samy"/>
    <s v="RE"/>
    <x v="0"/>
    <x v="0"/>
    <n v="1"/>
  </r>
  <r>
    <x v="0"/>
    <s v="Augmentateur 1/2 à 3/4"/>
    <n v="20.29"/>
    <x v="19"/>
    <x v="17"/>
    <s v="Samy"/>
    <s v="RE"/>
    <x v="0"/>
    <x v="0"/>
    <n v="1"/>
  </r>
  <r>
    <x v="72"/>
    <s v="Clé à douille cliquet 1/4 "/>
    <n v="25.9"/>
    <x v="19"/>
    <x v="17"/>
    <s v="Samy"/>
    <s v="RE"/>
    <x v="75"/>
    <x v="0"/>
    <n v="1"/>
  </r>
  <r>
    <x v="22"/>
    <s v="Dymo LABEL MANAGER 160 P"/>
    <n v="38"/>
    <x v="20"/>
    <x v="18"/>
    <s v="Carine"/>
    <s v="AD"/>
    <x v="76"/>
    <x v="0"/>
    <n v="1"/>
  </r>
  <r>
    <x v="27"/>
    <s v="Mètre pliant"/>
    <n v="3.2"/>
    <x v="21"/>
    <x v="19"/>
    <s v="Fawzi"/>
    <s v="RC"/>
    <x v="77"/>
    <x v="0"/>
    <n v="1"/>
  </r>
  <r>
    <x v="37"/>
    <s v="Testeur Fluke"/>
    <n v="0"/>
    <x v="21"/>
    <x v="19"/>
    <s v="Fawzi"/>
    <s v="RC"/>
    <x v="48"/>
    <x v="0"/>
    <n v="1"/>
  </r>
  <r>
    <x v="39"/>
    <s v="Casque chantier"/>
    <n v="29.05"/>
    <x v="21"/>
    <x v="19"/>
    <s v="Fawzi"/>
    <s v="RC"/>
    <x v="77"/>
    <x v="1"/>
    <n v="0"/>
  </r>
  <r>
    <x v="24"/>
    <s v="Lampe frontale"/>
    <n v="42.5"/>
    <x v="21"/>
    <x v="19"/>
    <s v="Fawzi"/>
    <s v="RC"/>
    <x v="77"/>
    <x v="0"/>
    <n v="1"/>
  </r>
  <r>
    <x v="33"/>
    <s v="Pince coupante 1000v"/>
    <n v="20.87"/>
    <x v="5"/>
    <x v="4"/>
    <s v="Jonathan"/>
    <s v="ELEC"/>
    <x v="23"/>
    <x v="0"/>
    <n v="1"/>
  </r>
  <r>
    <x v="34"/>
    <s v="Pince étau"/>
    <n v="16.02"/>
    <x v="0"/>
    <x v="0"/>
    <s v="Omar"/>
    <s v="ELEC"/>
    <x v="1"/>
    <x v="0"/>
    <n v="1"/>
  </r>
  <r>
    <x v="32"/>
    <s v="Pince colson"/>
    <n v="46.91"/>
    <x v="1"/>
    <x v="1"/>
    <s v="Ali"/>
    <s v="ELEC"/>
    <x v="7"/>
    <x v="0"/>
    <n v="1"/>
  </r>
  <r>
    <x v="73"/>
    <s v="Clé universelle"/>
    <n v="20.5"/>
    <x v="22"/>
    <x v="20"/>
    <s v="Damien"/>
    <s v="RA"/>
    <x v="78"/>
    <x v="0"/>
    <n v="1"/>
  </r>
  <r>
    <x v="34"/>
    <s v="Pince étau"/>
    <n v="16.02"/>
    <x v="5"/>
    <x v="4"/>
    <s v="Jonathan"/>
    <s v="ELEC"/>
    <x v="1"/>
    <x v="0"/>
    <n v="1"/>
  </r>
  <r>
    <x v="52"/>
    <s v="Pince multiprise"/>
    <n v="27.2"/>
    <x v="5"/>
    <x v="4"/>
    <s v="Jonathan"/>
    <s v="ELEC"/>
    <x v="1"/>
    <x v="0"/>
    <n v="1"/>
  </r>
  <r>
    <x v="74"/>
    <s v="Pioche d'égouttier"/>
    <n v="60.58"/>
    <x v="5"/>
    <x v="4"/>
    <s v="Jonathan"/>
    <s v="ELEC"/>
    <x v="28"/>
    <x v="0"/>
    <n v="1"/>
  </r>
  <r>
    <x v="45"/>
    <s v="Clé mixte 8"/>
    <n v="3.05"/>
    <x v="6"/>
    <x v="5"/>
    <s v="Oumar"/>
    <s v="ELEC"/>
    <x v="33"/>
    <x v="0"/>
    <n v="1"/>
  </r>
  <r>
    <x v="40"/>
    <s v="Couteau électricien"/>
    <n v="17.149999999999999"/>
    <x v="6"/>
    <x v="5"/>
    <s v="Oumar"/>
    <s v="ELEC"/>
    <x v="33"/>
    <x v="0"/>
    <n v="1"/>
  </r>
  <r>
    <x v="52"/>
    <s v="Pince multiprise"/>
    <n v="27.2"/>
    <x v="6"/>
    <x v="5"/>
    <s v="Oumar"/>
    <s v="ELEC"/>
    <x v="33"/>
    <x v="0"/>
    <n v="1"/>
  </r>
  <r>
    <x v="3"/>
    <s v="Burin plat"/>
    <n v="11.89"/>
    <x v="12"/>
    <x v="11"/>
    <s v="Ludowic"/>
    <s v="RE"/>
    <x v="79"/>
    <x v="0"/>
    <n v="1"/>
  </r>
  <r>
    <x v="4"/>
    <s v="Burin pointu"/>
    <n v="8.7200000000000006"/>
    <x v="12"/>
    <x v="11"/>
    <s v="Ludowic"/>
    <s v="RE"/>
    <x v="79"/>
    <x v="0"/>
    <n v="1"/>
  </r>
  <r>
    <x v="59"/>
    <s v="Clé plate 8"/>
    <n v="3.05"/>
    <x v="13"/>
    <x v="11"/>
    <s v="Tony"/>
    <s v="GC"/>
    <x v="53"/>
    <x v="0"/>
    <n v="1"/>
  </r>
  <r>
    <x v="5"/>
    <s v="Cadena"/>
    <n v="13"/>
    <x v="17"/>
    <x v="15"/>
    <s v="Marcelo "/>
    <s v="RE"/>
    <x v="20"/>
    <x v="0"/>
    <n v="1"/>
  </r>
  <r>
    <x v="11"/>
    <s v="Clé allen"/>
    <n v="27.5"/>
    <x v="17"/>
    <x v="15"/>
    <s v="Marcelo "/>
    <s v="RE"/>
    <x v="62"/>
    <x v="0"/>
    <n v="1"/>
  </r>
  <r>
    <x v="11"/>
    <s v="Clé allen"/>
    <n v="27.5"/>
    <x v="17"/>
    <x v="15"/>
    <s v="Marcelo "/>
    <s v="RE"/>
    <x v="64"/>
    <x v="2"/>
    <n v="0"/>
  </r>
  <r>
    <x v="11"/>
    <s v="Clé allen"/>
    <n v="27.5"/>
    <x v="17"/>
    <x v="15"/>
    <s v="Marcelo "/>
    <s v="RE"/>
    <x v="63"/>
    <x v="0"/>
    <n v="1"/>
  </r>
  <r>
    <x v="18"/>
    <s v="Coffret douilles"/>
    <n v="103.22"/>
    <x v="17"/>
    <x v="15"/>
    <s v="Marcelo "/>
    <s v="RE"/>
    <x v="62"/>
    <x v="0"/>
    <n v="1"/>
  </r>
  <r>
    <x v="18"/>
    <s v="Coffret douilles"/>
    <n v="103.22"/>
    <x v="17"/>
    <x v="15"/>
    <s v="Marcelo "/>
    <s v="RE"/>
    <x v="64"/>
    <x v="2"/>
    <n v="0"/>
  </r>
  <r>
    <x v="18"/>
    <s v="Coffret douilles"/>
    <n v="103.22"/>
    <x v="17"/>
    <x v="15"/>
    <s v="Marcelo "/>
    <s v="RE"/>
    <x v="63"/>
    <x v="0"/>
    <n v="1"/>
  </r>
  <r>
    <x v="29"/>
    <s v="Outil à dégainer"/>
    <n v="20.5"/>
    <x v="17"/>
    <x v="15"/>
    <s v="Marcelo "/>
    <s v="RE"/>
    <x v="62"/>
    <x v="0"/>
    <n v="1"/>
  </r>
  <r>
    <x v="33"/>
    <s v="Pince coupante 1000v"/>
    <n v="20.87"/>
    <x v="17"/>
    <x v="15"/>
    <s v="Marcelo "/>
    <s v="RE"/>
    <x v="62"/>
    <x v="0"/>
    <n v="1"/>
  </r>
  <r>
    <x v="16"/>
    <s v="Clé plate 19"/>
    <n v="6.07"/>
    <x v="19"/>
    <x v="17"/>
    <s v="Samy"/>
    <s v="RE"/>
    <x v="71"/>
    <x v="0"/>
    <n v="1"/>
  </r>
  <r>
    <x v="27"/>
    <s v="Mètre pliant"/>
    <n v="3.2"/>
    <x v="19"/>
    <x v="17"/>
    <s v="Samy"/>
    <s v="RE"/>
    <x v="71"/>
    <x v="0"/>
    <n v="1"/>
  </r>
  <r>
    <x v="1"/>
    <s v="Boite embouts"/>
    <n v="27.61"/>
    <x v="23"/>
    <x v="21"/>
    <n v="0"/>
    <n v="0"/>
    <x v="79"/>
    <x v="0"/>
    <n v="1"/>
  </r>
  <r>
    <x v="3"/>
    <s v="Burin plat"/>
    <n v="11.89"/>
    <x v="23"/>
    <x v="21"/>
    <n v="0"/>
    <n v="0"/>
    <x v="79"/>
    <x v="0"/>
    <n v="1"/>
  </r>
  <r>
    <x v="4"/>
    <s v="Burin pointu"/>
    <n v="8.7200000000000006"/>
    <x v="23"/>
    <x v="21"/>
    <n v="0"/>
    <n v="0"/>
    <x v="79"/>
    <x v="0"/>
    <n v="1"/>
  </r>
  <r>
    <x v="5"/>
    <s v="Cadena"/>
    <n v="13"/>
    <x v="23"/>
    <x v="21"/>
    <n v="0"/>
    <n v="0"/>
    <x v="79"/>
    <x v="0"/>
    <n v="1"/>
  </r>
  <r>
    <x v="6"/>
    <s v="Clé à molette"/>
    <n v="16.12"/>
    <x v="23"/>
    <x v="21"/>
    <n v="0"/>
    <n v="0"/>
    <x v="79"/>
    <x v="0"/>
    <n v="1"/>
  </r>
  <r>
    <x v="7"/>
    <s v="Clé à pipe 10"/>
    <n v="5.41"/>
    <x v="23"/>
    <x v="21"/>
    <n v="0"/>
    <n v="0"/>
    <x v="79"/>
    <x v="0"/>
    <n v="1"/>
  </r>
  <r>
    <x v="8"/>
    <s v="Clé à pipe 13"/>
    <n v="6.23"/>
    <x v="23"/>
    <x v="21"/>
    <n v="0"/>
    <n v="0"/>
    <x v="79"/>
    <x v="0"/>
    <n v="1"/>
  </r>
  <r>
    <x v="9"/>
    <s v="Clé à pipe 17"/>
    <n v="9.36"/>
    <x v="23"/>
    <x v="21"/>
    <n v="0"/>
    <n v="0"/>
    <x v="79"/>
    <x v="0"/>
    <n v="1"/>
  </r>
  <r>
    <x v="10"/>
    <s v="Clé à pipe 19"/>
    <n v="10.4"/>
    <x v="23"/>
    <x v="21"/>
    <n v="0"/>
    <n v="0"/>
    <x v="79"/>
    <x v="0"/>
    <n v="1"/>
  </r>
  <r>
    <x v="11"/>
    <s v="Clé allen"/>
    <n v="27.5"/>
    <x v="23"/>
    <x v="21"/>
    <n v="0"/>
    <n v="0"/>
    <x v="79"/>
    <x v="0"/>
    <n v="1"/>
  </r>
  <r>
    <x v="13"/>
    <s v="Clé plate 10"/>
    <n v="3.32"/>
    <x v="23"/>
    <x v="21"/>
    <n v="0"/>
    <n v="0"/>
    <x v="79"/>
    <x v="0"/>
    <n v="1"/>
  </r>
  <r>
    <x v="14"/>
    <s v="Clé plate 13"/>
    <n v="3.91"/>
    <x v="23"/>
    <x v="21"/>
    <n v="0"/>
    <n v="0"/>
    <x v="79"/>
    <x v="0"/>
    <n v="1"/>
  </r>
  <r>
    <x v="15"/>
    <s v="Clé plate 17"/>
    <n v="5.5"/>
    <x v="23"/>
    <x v="21"/>
    <n v="0"/>
    <n v="0"/>
    <x v="79"/>
    <x v="0"/>
    <n v="1"/>
  </r>
  <r>
    <x v="16"/>
    <s v="Clé plate 19"/>
    <n v="6.07"/>
    <x v="23"/>
    <x v="21"/>
    <n v="0"/>
    <n v="0"/>
    <x v="79"/>
    <x v="0"/>
    <n v="1"/>
  </r>
  <r>
    <x v="17"/>
    <s v="Coffre"/>
    <n v="54.54"/>
    <x v="23"/>
    <x v="21"/>
    <n v="0"/>
    <n v="0"/>
    <x v="79"/>
    <x v="0"/>
    <n v="1"/>
  </r>
  <r>
    <x v="18"/>
    <s v="Coffret douilles"/>
    <n v="103.22"/>
    <x v="23"/>
    <x v="21"/>
    <n v="0"/>
    <n v="0"/>
    <x v="79"/>
    <x v="0"/>
    <n v="1"/>
  </r>
  <r>
    <x v="18"/>
    <s v="Coffret douilles"/>
    <n v="103.22"/>
    <x v="23"/>
    <x v="21"/>
    <n v="0"/>
    <n v="0"/>
    <x v="79"/>
    <x v="1"/>
    <n v="0"/>
  </r>
  <r>
    <x v="19"/>
    <s v="Coupe câble"/>
    <n v="41.88"/>
    <x v="23"/>
    <x v="21"/>
    <n v="0"/>
    <n v="0"/>
    <x v="79"/>
    <x v="0"/>
    <n v="1"/>
  </r>
  <r>
    <x v="20"/>
    <s v="Cutter"/>
    <n v="4.8499999999999996"/>
    <x v="23"/>
    <x v="21"/>
    <n v="0"/>
    <n v="0"/>
    <x v="79"/>
    <x v="0"/>
    <n v="1"/>
  </r>
  <r>
    <x v="23"/>
    <s v="Jeu tournevis"/>
    <n v="37.57"/>
    <x v="23"/>
    <x v="21"/>
    <n v="0"/>
    <n v="0"/>
    <x v="79"/>
    <x v="0"/>
    <n v="1"/>
  </r>
  <r>
    <x v="25"/>
    <s v="lime demi ronde"/>
    <n v="7.59"/>
    <x v="23"/>
    <x v="21"/>
    <n v="0"/>
    <n v="0"/>
    <x v="79"/>
    <x v="0"/>
    <n v="1"/>
  </r>
  <r>
    <x v="26"/>
    <s v="Massette"/>
    <n v="15.14"/>
    <x v="23"/>
    <x v="21"/>
    <n v="0"/>
    <n v="0"/>
    <x v="79"/>
    <x v="0"/>
    <n v="1"/>
  </r>
  <r>
    <x v="27"/>
    <s v="Mètre pliant"/>
    <n v="3.2"/>
    <x v="23"/>
    <x v="21"/>
    <n v="0"/>
    <n v="0"/>
    <x v="79"/>
    <x v="0"/>
    <n v="1"/>
  </r>
  <r>
    <x v="28"/>
    <s v="Niveau"/>
    <n v="15"/>
    <x v="23"/>
    <x v="21"/>
    <n v="0"/>
    <n v="0"/>
    <x v="79"/>
    <x v="0"/>
    <n v="1"/>
  </r>
  <r>
    <x v="29"/>
    <s v="Outil à dégainer"/>
    <n v="20.5"/>
    <x v="23"/>
    <x v="21"/>
    <n v="0"/>
    <n v="0"/>
    <x v="79"/>
    <x v="0"/>
    <n v="1"/>
  </r>
  <r>
    <x v="30"/>
    <s v="Pince à dénuder"/>
    <n v="24.55"/>
    <x v="23"/>
    <x v="21"/>
    <n v="0"/>
    <n v="0"/>
    <x v="79"/>
    <x v="0"/>
    <n v="1"/>
  </r>
  <r>
    <x v="31"/>
    <s v="Pince à Sertir"/>
    <n v="78.400000000000006"/>
    <x v="23"/>
    <x v="21"/>
    <n v="0"/>
    <n v="0"/>
    <x v="79"/>
    <x v="0"/>
    <n v="1"/>
  </r>
  <r>
    <x v="32"/>
    <s v="Pince colson"/>
    <n v="46.91"/>
    <x v="23"/>
    <x v="21"/>
    <n v="0"/>
    <n v="0"/>
    <x v="79"/>
    <x v="0"/>
    <n v="1"/>
  </r>
  <r>
    <x v="33"/>
    <s v="Pince coupante 1000v"/>
    <n v="20.87"/>
    <x v="23"/>
    <x v="21"/>
    <n v="0"/>
    <n v="0"/>
    <x v="79"/>
    <x v="0"/>
    <n v="1"/>
  </r>
  <r>
    <x v="34"/>
    <s v="Pince étau"/>
    <n v="16.02"/>
    <x v="23"/>
    <x v="21"/>
    <n v="0"/>
    <n v="0"/>
    <x v="79"/>
    <x v="0"/>
    <n v="1"/>
  </r>
  <r>
    <x v="35"/>
    <s v="Scie à métaux"/>
    <n v="11.26"/>
    <x v="23"/>
    <x v="21"/>
    <n v="0"/>
    <n v="0"/>
    <x v="79"/>
    <x v="0"/>
    <n v="1"/>
  </r>
  <r>
    <x v="37"/>
    <s v="Testeur Fluke"/>
    <n v="0"/>
    <x v="23"/>
    <x v="21"/>
    <n v="0"/>
    <n v="0"/>
    <x v="79"/>
    <x v="0"/>
    <n v="1"/>
  </r>
  <r>
    <x v="1"/>
    <s v="Boite embouts"/>
    <n v="27.61"/>
    <x v="24"/>
    <x v="22"/>
    <n v="0"/>
    <n v="0"/>
    <x v="79"/>
    <x v="0"/>
    <n v="1"/>
  </r>
  <r>
    <x v="3"/>
    <s v="Burin plat"/>
    <n v="11.89"/>
    <x v="24"/>
    <x v="22"/>
    <n v="0"/>
    <n v="0"/>
    <x v="79"/>
    <x v="0"/>
    <n v="1"/>
  </r>
  <r>
    <x v="4"/>
    <s v="Burin pointu"/>
    <n v="8.7200000000000006"/>
    <x v="24"/>
    <x v="22"/>
    <n v="0"/>
    <n v="0"/>
    <x v="79"/>
    <x v="0"/>
    <n v="1"/>
  </r>
  <r>
    <x v="5"/>
    <s v="Cadena"/>
    <n v="13"/>
    <x v="24"/>
    <x v="22"/>
    <n v="0"/>
    <n v="0"/>
    <x v="79"/>
    <x v="0"/>
    <n v="1"/>
  </r>
  <r>
    <x v="6"/>
    <s v="Clé à molette"/>
    <n v="16.12"/>
    <x v="24"/>
    <x v="22"/>
    <n v="0"/>
    <n v="0"/>
    <x v="79"/>
    <x v="0"/>
    <n v="1"/>
  </r>
  <r>
    <x v="7"/>
    <s v="Clé à pipe 10"/>
    <n v="5.41"/>
    <x v="24"/>
    <x v="22"/>
    <n v="0"/>
    <n v="0"/>
    <x v="79"/>
    <x v="0"/>
    <n v="1"/>
  </r>
  <r>
    <x v="8"/>
    <s v="Clé à pipe 13"/>
    <n v="6.23"/>
    <x v="24"/>
    <x v="22"/>
    <n v="0"/>
    <n v="0"/>
    <x v="79"/>
    <x v="0"/>
    <n v="1"/>
  </r>
  <r>
    <x v="8"/>
    <s v="Clé à pipe 13"/>
    <n v="6.23"/>
    <x v="24"/>
    <x v="22"/>
    <n v="0"/>
    <n v="0"/>
    <x v="79"/>
    <x v="1"/>
    <n v="0"/>
  </r>
  <r>
    <x v="9"/>
    <s v="Clé à pipe 17"/>
    <n v="9.36"/>
    <x v="24"/>
    <x v="22"/>
    <n v="0"/>
    <n v="0"/>
    <x v="79"/>
    <x v="0"/>
    <n v="1"/>
  </r>
  <r>
    <x v="10"/>
    <s v="Clé à pipe 19"/>
    <n v="10.4"/>
    <x v="24"/>
    <x v="22"/>
    <n v="0"/>
    <n v="0"/>
    <x v="79"/>
    <x v="0"/>
    <n v="1"/>
  </r>
  <r>
    <x v="11"/>
    <s v="Clé allen"/>
    <n v="27.5"/>
    <x v="24"/>
    <x v="22"/>
    <n v="0"/>
    <n v="0"/>
    <x v="79"/>
    <x v="0"/>
    <n v="1"/>
  </r>
  <r>
    <x v="13"/>
    <s v="Clé plate 10"/>
    <n v="3.32"/>
    <x v="24"/>
    <x v="22"/>
    <n v="0"/>
    <n v="0"/>
    <x v="79"/>
    <x v="0"/>
    <n v="1"/>
  </r>
  <r>
    <x v="14"/>
    <s v="Clé plate 13"/>
    <n v="3.91"/>
    <x v="24"/>
    <x v="22"/>
    <n v="0"/>
    <n v="0"/>
    <x v="79"/>
    <x v="0"/>
    <n v="1"/>
  </r>
  <r>
    <x v="15"/>
    <s v="Clé plate 17"/>
    <n v="5.5"/>
    <x v="24"/>
    <x v="22"/>
    <n v="0"/>
    <n v="0"/>
    <x v="79"/>
    <x v="0"/>
    <n v="1"/>
  </r>
  <r>
    <x v="16"/>
    <s v="Clé plate 19"/>
    <n v="6.07"/>
    <x v="24"/>
    <x v="22"/>
    <n v="0"/>
    <n v="0"/>
    <x v="79"/>
    <x v="0"/>
    <n v="1"/>
  </r>
  <r>
    <x v="17"/>
    <s v="Coffre"/>
    <n v="54.54"/>
    <x v="24"/>
    <x v="22"/>
    <n v="0"/>
    <n v="0"/>
    <x v="79"/>
    <x v="0"/>
    <n v="1"/>
  </r>
  <r>
    <x v="18"/>
    <s v="Coffret douilles"/>
    <n v="103.22"/>
    <x v="24"/>
    <x v="22"/>
    <n v="0"/>
    <n v="0"/>
    <x v="79"/>
    <x v="0"/>
    <n v="1"/>
  </r>
  <r>
    <x v="19"/>
    <s v="Coupe câble"/>
    <n v="41.88"/>
    <x v="24"/>
    <x v="22"/>
    <n v="0"/>
    <n v="0"/>
    <x v="79"/>
    <x v="0"/>
    <n v="1"/>
  </r>
  <r>
    <x v="40"/>
    <s v="Couteau électricien"/>
    <n v="17.149999999999999"/>
    <x v="24"/>
    <x v="22"/>
    <n v="0"/>
    <n v="0"/>
    <x v="79"/>
    <x v="0"/>
    <n v="1"/>
  </r>
  <r>
    <x v="20"/>
    <s v="Cutter"/>
    <n v="4.8499999999999996"/>
    <x v="24"/>
    <x v="22"/>
    <n v="0"/>
    <n v="0"/>
    <x v="79"/>
    <x v="0"/>
    <n v="1"/>
  </r>
  <r>
    <x v="23"/>
    <s v="Jeu tournevis"/>
    <n v="37.57"/>
    <x v="24"/>
    <x v="22"/>
    <n v="0"/>
    <n v="0"/>
    <x v="79"/>
    <x v="0"/>
    <n v="1"/>
  </r>
  <r>
    <x v="24"/>
    <s v="Lampe frontale"/>
    <n v="42.5"/>
    <x v="24"/>
    <x v="22"/>
    <n v="0"/>
    <n v="0"/>
    <x v="79"/>
    <x v="0"/>
    <n v="1"/>
  </r>
  <r>
    <x v="25"/>
    <s v="lime demi ronde"/>
    <n v="7.59"/>
    <x v="24"/>
    <x v="22"/>
    <n v="0"/>
    <n v="0"/>
    <x v="79"/>
    <x v="0"/>
    <n v="1"/>
  </r>
  <r>
    <x v="25"/>
    <s v="lime demi ronde"/>
    <n v="7.59"/>
    <x v="24"/>
    <x v="22"/>
    <n v="0"/>
    <n v="0"/>
    <x v="79"/>
    <x v="1"/>
    <n v="0"/>
  </r>
  <r>
    <x v="38"/>
    <s v="Lunette de protection"/>
    <n v="2.38"/>
    <x v="24"/>
    <x v="22"/>
    <n v="0"/>
    <n v="0"/>
    <x v="79"/>
    <x v="0"/>
    <n v="1"/>
  </r>
  <r>
    <x v="26"/>
    <s v="Massette"/>
    <n v="15.14"/>
    <x v="24"/>
    <x v="22"/>
    <n v="0"/>
    <n v="0"/>
    <x v="79"/>
    <x v="0"/>
    <n v="1"/>
  </r>
  <r>
    <x v="27"/>
    <s v="Mètre pliant"/>
    <n v="3.2"/>
    <x v="24"/>
    <x v="22"/>
    <n v="0"/>
    <n v="0"/>
    <x v="79"/>
    <x v="0"/>
    <n v="1"/>
  </r>
  <r>
    <x v="28"/>
    <s v="Niveau"/>
    <n v="15"/>
    <x v="24"/>
    <x v="22"/>
    <n v="0"/>
    <n v="0"/>
    <x v="79"/>
    <x v="0"/>
    <n v="1"/>
  </r>
  <r>
    <x v="29"/>
    <s v="Outil à dégainer"/>
    <n v="20.5"/>
    <x v="24"/>
    <x v="22"/>
    <n v="0"/>
    <n v="0"/>
    <x v="79"/>
    <x v="0"/>
    <n v="1"/>
  </r>
  <r>
    <x v="30"/>
    <s v="Pince à dénuder"/>
    <n v="24.55"/>
    <x v="24"/>
    <x v="22"/>
    <n v="0"/>
    <n v="0"/>
    <x v="79"/>
    <x v="0"/>
    <n v="1"/>
  </r>
  <r>
    <x v="31"/>
    <s v="Pince à Sertir"/>
    <n v="78.400000000000006"/>
    <x v="24"/>
    <x v="22"/>
    <n v="0"/>
    <n v="0"/>
    <x v="79"/>
    <x v="0"/>
    <n v="1"/>
  </r>
  <r>
    <x v="32"/>
    <s v="Pince colson"/>
    <n v="46.91"/>
    <x v="24"/>
    <x v="22"/>
    <n v="0"/>
    <n v="0"/>
    <x v="79"/>
    <x v="0"/>
    <n v="1"/>
  </r>
  <r>
    <x v="33"/>
    <s v="Pince coupante 1000v"/>
    <n v="20.87"/>
    <x v="24"/>
    <x v="22"/>
    <n v="0"/>
    <n v="0"/>
    <x v="79"/>
    <x v="0"/>
    <n v="1"/>
  </r>
  <r>
    <x v="34"/>
    <s v="Pince étau"/>
    <n v="16.02"/>
    <x v="24"/>
    <x v="22"/>
    <n v="0"/>
    <n v="0"/>
    <x v="79"/>
    <x v="0"/>
    <n v="1"/>
  </r>
  <r>
    <x v="35"/>
    <s v="Scie à métaux"/>
    <n v="11.26"/>
    <x v="24"/>
    <x v="22"/>
    <n v="0"/>
    <n v="0"/>
    <x v="79"/>
    <x v="0"/>
    <n v="1"/>
  </r>
  <r>
    <x v="37"/>
    <s v="Testeur Fluke"/>
    <n v="0"/>
    <x v="24"/>
    <x v="22"/>
    <n v="0"/>
    <n v="0"/>
    <x v="79"/>
    <x v="0"/>
    <n v="1"/>
  </r>
  <r>
    <x v="1"/>
    <s v="Boite embouts"/>
    <n v="27.61"/>
    <x v="25"/>
    <x v="23"/>
    <n v="0"/>
    <n v="0"/>
    <x v="79"/>
    <x v="0"/>
    <n v="1"/>
  </r>
  <r>
    <x v="3"/>
    <s v="Burin plat"/>
    <n v="11.89"/>
    <x v="25"/>
    <x v="23"/>
    <n v="0"/>
    <n v="0"/>
    <x v="79"/>
    <x v="0"/>
    <n v="1"/>
  </r>
  <r>
    <x v="4"/>
    <s v="Burin pointu"/>
    <n v="8.7200000000000006"/>
    <x v="25"/>
    <x v="23"/>
    <n v="0"/>
    <n v="0"/>
    <x v="79"/>
    <x v="0"/>
    <n v="1"/>
  </r>
  <r>
    <x v="5"/>
    <s v="Cadena"/>
    <n v="13"/>
    <x v="25"/>
    <x v="23"/>
    <n v="0"/>
    <n v="0"/>
    <x v="79"/>
    <x v="0"/>
    <n v="1"/>
  </r>
  <r>
    <x v="6"/>
    <s v="Clé à molette"/>
    <n v="16.12"/>
    <x v="25"/>
    <x v="23"/>
    <n v="0"/>
    <n v="0"/>
    <x v="79"/>
    <x v="0"/>
    <n v="1"/>
  </r>
  <r>
    <x v="7"/>
    <s v="Clé à pipe 10"/>
    <n v="5.41"/>
    <x v="25"/>
    <x v="23"/>
    <n v="0"/>
    <n v="0"/>
    <x v="79"/>
    <x v="0"/>
    <n v="1"/>
  </r>
  <r>
    <x v="8"/>
    <s v="Clé à pipe 13"/>
    <n v="6.23"/>
    <x v="25"/>
    <x v="23"/>
    <n v="0"/>
    <n v="0"/>
    <x v="79"/>
    <x v="0"/>
    <n v="1"/>
  </r>
  <r>
    <x v="9"/>
    <s v="Clé à pipe 17"/>
    <n v="9.36"/>
    <x v="25"/>
    <x v="23"/>
    <n v="0"/>
    <n v="0"/>
    <x v="79"/>
    <x v="0"/>
    <n v="1"/>
  </r>
  <r>
    <x v="10"/>
    <s v="Clé à pipe 19"/>
    <n v="10.4"/>
    <x v="25"/>
    <x v="23"/>
    <n v="0"/>
    <n v="0"/>
    <x v="79"/>
    <x v="0"/>
    <n v="1"/>
  </r>
  <r>
    <x v="11"/>
    <s v="Clé allen"/>
    <n v="27.5"/>
    <x v="25"/>
    <x v="23"/>
    <n v="0"/>
    <n v="0"/>
    <x v="79"/>
    <x v="0"/>
    <n v="1"/>
  </r>
  <r>
    <x v="13"/>
    <s v="Clé plate 10"/>
    <n v="3.32"/>
    <x v="25"/>
    <x v="23"/>
    <n v="0"/>
    <n v="0"/>
    <x v="79"/>
    <x v="0"/>
    <n v="1"/>
  </r>
  <r>
    <x v="14"/>
    <s v="Clé plate 13"/>
    <n v="3.91"/>
    <x v="25"/>
    <x v="23"/>
    <n v="0"/>
    <n v="0"/>
    <x v="79"/>
    <x v="0"/>
    <n v="1"/>
  </r>
  <r>
    <x v="15"/>
    <s v="Clé plate 17"/>
    <n v="5.5"/>
    <x v="25"/>
    <x v="23"/>
    <n v="0"/>
    <n v="0"/>
    <x v="79"/>
    <x v="0"/>
    <n v="1"/>
  </r>
  <r>
    <x v="16"/>
    <s v="Clé plate 19"/>
    <n v="6.07"/>
    <x v="25"/>
    <x v="23"/>
    <n v="0"/>
    <n v="0"/>
    <x v="79"/>
    <x v="0"/>
    <n v="1"/>
  </r>
  <r>
    <x v="70"/>
    <s v="Cliquet rapide 1/4"/>
    <n v="31"/>
    <x v="25"/>
    <x v="23"/>
    <n v="0"/>
    <n v="0"/>
    <x v="79"/>
    <x v="0"/>
    <n v="1"/>
  </r>
  <r>
    <x v="17"/>
    <s v="Coffre"/>
    <n v="54.54"/>
    <x v="25"/>
    <x v="23"/>
    <n v="0"/>
    <n v="0"/>
    <x v="79"/>
    <x v="0"/>
    <n v="1"/>
  </r>
  <r>
    <x v="18"/>
    <s v="Coffret douilles"/>
    <n v="103.22"/>
    <x v="25"/>
    <x v="23"/>
    <n v="0"/>
    <n v="0"/>
    <x v="79"/>
    <x v="0"/>
    <n v="1"/>
  </r>
  <r>
    <x v="19"/>
    <s v="Coupe câble"/>
    <n v="41.88"/>
    <x v="25"/>
    <x v="23"/>
    <n v="0"/>
    <n v="0"/>
    <x v="79"/>
    <x v="0"/>
    <n v="1"/>
  </r>
  <r>
    <x v="20"/>
    <s v="Cutter"/>
    <n v="4.8499999999999996"/>
    <x v="25"/>
    <x v="23"/>
    <n v="0"/>
    <n v="0"/>
    <x v="79"/>
    <x v="0"/>
    <n v="1"/>
  </r>
  <r>
    <x v="23"/>
    <s v="Jeu tournevis"/>
    <n v="37.57"/>
    <x v="25"/>
    <x v="23"/>
    <n v="0"/>
    <n v="0"/>
    <x v="79"/>
    <x v="0"/>
    <n v="1"/>
  </r>
  <r>
    <x v="24"/>
    <s v="Lampe frontale"/>
    <n v="42.5"/>
    <x v="25"/>
    <x v="23"/>
    <n v="0"/>
    <n v="0"/>
    <x v="79"/>
    <x v="0"/>
    <n v="1"/>
  </r>
  <r>
    <x v="25"/>
    <s v="lime demi ronde"/>
    <n v="7.59"/>
    <x v="25"/>
    <x v="23"/>
    <n v="0"/>
    <n v="0"/>
    <x v="79"/>
    <x v="0"/>
    <n v="1"/>
  </r>
  <r>
    <x v="38"/>
    <s v="Lunette de protection"/>
    <n v="2.38"/>
    <x v="25"/>
    <x v="23"/>
    <n v="0"/>
    <n v="0"/>
    <x v="79"/>
    <x v="0"/>
    <n v="1"/>
  </r>
  <r>
    <x v="26"/>
    <s v="Massette"/>
    <n v="15.14"/>
    <x v="25"/>
    <x v="23"/>
    <n v="0"/>
    <n v="0"/>
    <x v="79"/>
    <x v="0"/>
    <n v="1"/>
  </r>
  <r>
    <x v="27"/>
    <s v="Mètre pliant"/>
    <n v="3.2"/>
    <x v="25"/>
    <x v="23"/>
    <n v="0"/>
    <n v="0"/>
    <x v="79"/>
    <x v="0"/>
    <n v="1"/>
  </r>
  <r>
    <x v="28"/>
    <s v="Niveau"/>
    <n v="15"/>
    <x v="25"/>
    <x v="23"/>
    <n v="0"/>
    <n v="0"/>
    <x v="79"/>
    <x v="0"/>
    <n v="1"/>
  </r>
  <r>
    <x v="29"/>
    <s v="Outil à dégainer"/>
    <n v="20.5"/>
    <x v="25"/>
    <x v="23"/>
    <n v="0"/>
    <n v="0"/>
    <x v="79"/>
    <x v="0"/>
    <n v="1"/>
  </r>
  <r>
    <x v="30"/>
    <s v="Pince à dénuder"/>
    <n v="24.55"/>
    <x v="25"/>
    <x v="23"/>
    <n v="0"/>
    <n v="0"/>
    <x v="79"/>
    <x v="0"/>
    <n v="1"/>
  </r>
  <r>
    <x v="31"/>
    <s v="Pince à Sertir"/>
    <n v="78.400000000000006"/>
    <x v="25"/>
    <x v="23"/>
    <n v="0"/>
    <n v="0"/>
    <x v="79"/>
    <x v="0"/>
    <n v="1"/>
  </r>
  <r>
    <x v="32"/>
    <s v="Pince colson"/>
    <n v="46.91"/>
    <x v="25"/>
    <x v="23"/>
    <n v="0"/>
    <n v="0"/>
    <x v="79"/>
    <x v="0"/>
    <n v="1"/>
  </r>
  <r>
    <x v="33"/>
    <s v="Pince coupante 1000v"/>
    <n v="20.87"/>
    <x v="25"/>
    <x v="23"/>
    <n v="0"/>
    <n v="0"/>
    <x v="79"/>
    <x v="0"/>
    <n v="1"/>
  </r>
  <r>
    <x v="34"/>
    <s v="Pince étau"/>
    <n v="16.02"/>
    <x v="25"/>
    <x v="23"/>
    <n v="0"/>
    <n v="0"/>
    <x v="79"/>
    <x v="0"/>
    <n v="1"/>
  </r>
  <r>
    <x v="52"/>
    <s v="Pince multiprise"/>
    <n v="27.2"/>
    <x v="25"/>
    <x v="23"/>
    <n v="0"/>
    <n v="0"/>
    <x v="79"/>
    <x v="0"/>
    <n v="1"/>
  </r>
  <r>
    <x v="35"/>
    <s v="Scie à métaux"/>
    <n v="11.26"/>
    <x v="25"/>
    <x v="23"/>
    <n v="0"/>
    <n v="0"/>
    <x v="79"/>
    <x v="0"/>
    <n v="1"/>
  </r>
  <r>
    <x v="75"/>
    <s v="Pince à bec rond"/>
    <n v="19.2"/>
    <x v="25"/>
    <x v="23"/>
    <n v="0"/>
    <n v="0"/>
    <x v="79"/>
    <x v="0"/>
    <n v="1"/>
  </r>
  <r>
    <x v="76"/>
    <s v="Pointaux"/>
    <n v="2.2799999999999998"/>
    <x v="25"/>
    <x v="23"/>
    <n v="0"/>
    <n v="0"/>
    <x v="79"/>
    <x v="0"/>
    <n v="1"/>
  </r>
  <r>
    <x v="75"/>
    <s v="Pince à bec rond"/>
    <n v="19.2"/>
    <x v="25"/>
    <x v="23"/>
    <n v="0"/>
    <n v="0"/>
    <x v="79"/>
    <x v="0"/>
    <n v="1"/>
  </r>
  <r>
    <x v="76"/>
    <s v="Pointaux"/>
    <n v="2.2799999999999998"/>
    <x v="25"/>
    <x v="23"/>
    <n v="0"/>
    <n v="0"/>
    <x v="79"/>
    <x v="0"/>
    <n v="1"/>
  </r>
  <r>
    <x v="76"/>
    <s v="Pointaux"/>
    <n v="2.2799999999999998"/>
    <x v="25"/>
    <x v="23"/>
    <n v="0"/>
    <n v="0"/>
    <x v="79"/>
    <x v="0"/>
    <n v="1"/>
  </r>
  <r>
    <x v="76"/>
    <s v="Pointaux"/>
    <n v="2.2799999999999998"/>
    <x v="25"/>
    <x v="23"/>
    <n v="0"/>
    <n v="0"/>
    <x v="79"/>
    <x v="0"/>
    <n v="1"/>
  </r>
  <r>
    <x v="0"/>
    <s v="Augmentateur 1/2 à 3/4"/>
    <n v="20.29"/>
    <x v="26"/>
    <x v="24"/>
    <s v="Nicolas"/>
    <s v="AD"/>
    <x v="79"/>
    <x v="3"/>
    <n v="0"/>
  </r>
  <r>
    <x v="0"/>
    <s v="Augmentateur 1/2 à 3/4"/>
    <n v="20.29"/>
    <x v="26"/>
    <x v="24"/>
    <s v="Nicolas"/>
    <s v="AD"/>
    <x v="79"/>
    <x v="3"/>
    <n v="0"/>
  </r>
  <r>
    <x v="0"/>
    <s v="Augmentateur 1/2 à 3/4"/>
    <n v="20.29"/>
    <x v="26"/>
    <x v="24"/>
    <s v="Nicolas"/>
    <s v="AD"/>
    <x v="79"/>
    <x v="3"/>
    <n v="0"/>
  </r>
  <r>
    <x v="1"/>
    <s v="Boite embouts"/>
    <n v="27.61"/>
    <x v="26"/>
    <x v="24"/>
    <s v="Nicolas"/>
    <s v="AD"/>
    <x v="79"/>
    <x v="3"/>
    <n v="0"/>
  </r>
  <r>
    <x v="1"/>
    <s v="Boite embouts"/>
    <n v="27.61"/>
    <x v="26"/>
    <x v="24"/>
    <s v="Nicolas"/>
    <s v="AD"/>
    <x v="79"/>
    <x v="3"/>
    <n v="0"/>
  </r>
  <r>
    <x v="3"/>
    <s v="Burin plat"/>
    <n v="11.89"/>
    <x v="26"/>
    <x v="24"/>
    <s v="Nicolas"/>
    <s v="AD"/>
    <x v="79"/>
    <x v="3"/>
    <n v="0"/>
  </r>
  <r>
    <x v="3"/>
    <s v="Burin plat"/>
    <n v="11.89"/>
    <x v="26"/>
    <x v="24"/>
    <s v="Nicolas"/>
    <s v="AD"/>
    <x v="79"/>
    <x v="3"/>
    <n v="0"/>
  </r>
  <r>
    <x v="4"/>
    <s v="Burin pointu"/>
    <n v="8.7200000000000006"/>
    <x v="26"/>
    <x v="24"/>
    <s v="Nicolas"/>
    <s v="AD"/>
    <x v="79"/>
    <x v="3"/>
    <n v="0"/>
  </r>
  <r>
    <x v="4"/>
    <s v="Burin pointu"/>
    <n v="8.7200000000000006"/>
    <x v="26"/>
    <x v="24"/>
    <s v="Nicolas"/>
    <s v="AD"/>
    <x v="79"/>
    <x v="3"/>
    <n v="0"/>
  </r>
  <r>
    <x v="4"/>
    <s v="Burin pointu"/>
    <n v="8.7200000000000006"/>
    <x v="26"/>
    <x v="24"/>
    <s v="Nicolas"/>
    <s v="AD"/>
    <x v="79"/>
    <x v="3"/>
    <n v="0"/>
  </r>
  <r>
    <x v="5"/>
    <s v="Cadena"/>
    <n v="13"/>
    <x v="26"/>
    <x v="24"/>
    <s v="Nicolas"/>
    <s v="AD"/>
    <x v="79"/>
    <x v="3"/>
    <n v="0"/>
  </r>
  <r>
    <x v="5"/>
    <s v="Cadena"/>
    <n v="13"/>
    <x v="26"/>
    <x v="24"/>
    <s v="Nicolas"/>
    <s v="AD"/>
    <x v="79"/>
    <x v="3"/>
    <n v="0"/>
  </r>
  <r>
    <x v="5"/>
    <s v="Cadena"/>
    <n v="13"/>
    <x v="26"/>
    <x v="24"/>
    <s v="Nicolas"/>
    <s v="AD"/>
    <x v="79"/>
    <x v="3"/>
    <n v="0"/>
  </r>
  <r>
    <x v="5"/>
    <s v="Cadena"/>
    <n v="13"/>
    <x v="26"/>
    <x v="24"/>
    <s v="Nicolas"/>
    <s v="AD"/>
    <x v="79"/>
    <x v="3"/>
    <n v="0"/>
  </r>
  <r>
    <x v="72"/>
    <s v="Clé à douille cliquet 1/4 "/>
    <n v="25.9"/>
    <x v="26"/>
    <x v="24"/>
    <s v="Nicolas"/>
    <s v="AD"/>
    <x v="79"/>
    <x v="3"/>
    <n v="0"/>
  </r>
  <r>
    <x v="42"/>
    <s v="Clé à griffe 18p"/>
    <n v="54"/>
    <x v="26"/>
    <x v="24"/>
    <s v="Nicolas"/>
    <s v="AD"/>
    <x v="79"/>
    <x v="3"/>
    <n v="0"/>
  </r>
  <r>
    <x v="7"/>
    <s v="Clé à pipe 10"/>
    <n v="5.41"/>
    <x v="26"/>
    <x v="24"/>
    <s v="Nicolas"/>
    <s v="AD"/>
    <x v="79"/>
    <x v="3"/>
    <n v="0"/>
  </r>
  <r>
    <x v="67"/>
    <s v="Clé à pipe 12"/>
    <n v="6.8"/>
    <x v="26"/>
    <x v="24"/>
    <s v="Nicolas"/>
    <s v="AD"/>
    <x v="79"/>
    <x v="3"/>
    <n v="0"/>
  </r>
  <r>
    <x v="8"/>
    <s v="Clé à pipe 13"/>
    <n v="6.23"/>
    <x v="24"/>
    <x v="22"/>
    <n v="0"/>
    <n v="0"/>
    <x v="79"/>
    <x v="0"/>
    <n v="1"/>
  </r>
  <r>
    <x v="43"/>
    <s v="Clé à pipe 16"/>
    <n v="9.1999999999999993"/>
    <x v="26"/>
    <x v="24"/>
    <s v="Nicolas"/>
    <s v="AD"/>
    <x v="79"/>
    <x v="3"/>
    <n v="0"/>
  </r>
  <r>
    <x v="35"/>
    <s v="Scie à métaux"/>
    <n v="11.26"/>
    <x v="5"/>
    <x v="4"/>
    <s v="Jonathan"/>
    <s v="ELEC"/>
    <x v="23"/>
    <x v="0"/>
    <n v="1"/>
  </r>
  <r>
    <x v="9"/>
    <s v="Clé à pipe 17"/>
    <n v="9.36"/>
    <x v="26"/>
    <x v="24"/>
    <s v="Nicolas"/>
    <s v="AD"/>
    <x v="79"/>
    <x v="3"/>
    <n v="0"/>
  </r>
  <r>
    <x v="9"/>
    <s v="Clé à pipe 17"/>
    <n v="9.36"/>
    <x v="26"/>
    <x v="24"/>
    <s v="Nicolas"/>
    <s v="AD"/>
    <x v="79"/>
    <x v="3"/>
    <n v="0"/>
  </r>
  <r>
    <x v="10"/>
    <s v="Clé à pipe 19"/>
    <n v="10.4"/>
    <x v="26"/>
    <x v="24"/>
    <s v="Nicolas"/>
    <s v="AD"/>
    <x v="79"/>
    <x v="3"/>
    <n v="0"/>
  </r>
  <r>
    <x v="44"/>
    <s v="Clé à pipe 8"/>
    <n v="4.8499999999999996"/>
    <x v="26"/>
    <x v="24"/>
    <s v="Nicolas"/>
    <s v="AD"/>
    <x v="79"/>
    <x v="3"/>
    <n v="0"/>
  </r>
  <r>
    <x v="11"/>
    <s v="Clé allen"/>
    <n v="27.5"/>
    <x v="26"/>
    <x v="24"/>
    <s v="Nicolas"/>
    <s v="AD"/>
    <x v="79"/>
    <x v="3"/>
    <n v="0"/>
  </r>
  <r>
    <x v="45"/>
    <s v="Clé mixte 8"/>
    <n v="3.05"/>
    <x v="26"/>
    <x v="24"/>
    <s v="Nicolas"/>
    <s v="AD"/>
    <x v="79"/>
    <x v="3"/>
    <n v="0"/>
  </r>
  <r>
    <x v="60"/>
    <s v="Clé plate 9"/>
    <n v="2.5"/>
    <x v="26"/>
    <x v="24"/>
    <s v="Nicolas"/>
    <s v="AD"/>
    <x v="79"/>
    <x v="3"/>
    <n v="0"/>
  </r>
  <r>
    <x v="60"/>
    <s v="Clé plate 9"/>
    <n v="2.5"/>
    <x v="26"/>
    <x v="24"/>
    <s v="Nicolas"/>
    <s v="AD"/>
    <x v="79"/>
    <x v="3"/>
    <n v="0"/>
  </r>
  <r>
    <x v="13"/>
    <s v="Clé plate 10"/>
    <n v="3.32"/>
    <x v="26"/>
    <x v="24"/>
    <s v="Nicolas"/>
    <s v="AD"/>
    <x v="79"/>
    <x v="3"/>
    <n v="0"/>
  </r>
  <r>
    <x v="13"/>
    <s v="Clé plate 10"/>
    <n v="3.32"/>
    <x v="26"/>
    <x v="24"/>
    <s v="Nicolas"/>
    <s v="AD"/>
    <x v="79"/>
    <x v="3"/>
    <n v="0"/>
  </r>
  <r>
    <x v="13"/>
    <s v="Clé plate 10"/>
    <n v="3.32"/>
    <x v="26"/>
    <x v="24"/>
    <s v="Nicolas"/>
    <s v="AD"/>
    <x v="79"/>
    <x v="3"/>
    <n v="0"/>
  </r>
  <r>
    <x v="61"/>
    <s v="Clé plate 11"/>
    <n v="2.75"/>
    <x v="26"/>
    <x v="24"/>
    <s v="Nicolas"/>
    <s v="AD"/>
    <x v="79"/>
    <x v="3"/>
    <n v="0"/>
  </r>
  <r>
    <x v="61"/>
    <s v="Clé plate 11"/>
    <n v="2.75"/>
    <x v="26"/>
    <x v="24"/>
    <s v="Nicolas"/>
    <s v="AD"/>
    <x v="79"/>
    <x v="3"/>
    <n v="0"/>
  </r>
  <r>
    <x v="62"/>
    <s v="Clé plate 12"/>
    <n v="3"/>
    <x v="26"/>
    <x v="24"/>
    <s v="Nicolas"/>
    <s v="AD"/>
    <x v="79"/>
    <x v="3"/>
    <n v="0"/>
  </r>
  <r>
    <x v="14"/>
    <s v="Clé plate 13"/>
    <n v="3.91"/>
    <x v="26"/>
    <x v="24"/>
    <s v="Nicolas"/>
    <s v="AD"/>
    <x v="79"/>
    <x v="3"/>
    <n v="0"/>
  </r>
  <r>
    <x v="14"/>
    <s v="Clé plate 13"/>
    <n v="3.91"/>
    <x v="26"/>
    <x v="24"/>
    <s v="Nicolas"/>
    <s v="AD"/>
    <x v="79"/>
    <x v="3"/>
    <n v="0"/>
  </r>
  <r>
    <x v="63"/>
    <s v="Clé plate 16"/>
    <n v="3.85"/>
    <x v="26"/>
    <x v="24"/>
    <s v="Nicolas"/>
    <s v="AD"/>
    <x v="79"/>
    <x v="3"/>
    <n v="0"/>
  </r>
  <r>
    <x v="15"/>
    <s v="Clé plate 17"/>
    <n v="5.5"/>
    <x v="26"/>
    <x v="24"/>
    <s v="Nicolas"/>
    <s v="AD"/>
    <x v="79"/>
    <x v="3"/>
    <n v="0"/>
  </r>
  <r>
    <x v="15"/>
    <s v="Clé plate 17"/>
    <n v="5.5"/>
    <x v="26"/>
    <x v="24"/>
    <s v="Nicolas"/>
    <s v="AD"/>
    <x v="79"/>
    <x v="3"/>
    <n v="0"/>
  </r>
  <r>
    <x v="15"/>
    <s v="Clé plate 17"/>
    <n v="5.5"/>
    <x v="26"/>
    <x v="24"/>
    <s v="Nicolas"/>
    <s v="AD"/>
    <x v="79"/>
    <x v="3"/>
    <n v="0"/>
  </r>
  <r>
    <x v="15"/>
    <s v="Clé plate 17"/>
    <n v="5.5"/>
    <x v="26"/>
    <x v="24"/>
    <s v="Nicolas"/>
    <s v="AD"/>
    <x v="79"/>
    <x v="3"/>
    <n v="0"/>
  </r>
  <r>
    <x v="64"/>
    <s v="Clé plate 18"/>
    <n v="4.12"/>
    <x v="26"/>
    <x v="24"/>
    <s v="Nicolas"/>
    <s v="AD"/>
    <x v="79"/>
    <x v="3"/>
    <n v="0"/>
  </r>
  <r>
    <x v="16"/>
    <s v="Clé plate 19"/>
    <n v="6.07"/>
    <x v="26"/>
    <x v="24"/>
    <s v="Nicolas"/>
    <s v="AD"/>
    <x v="79"/>
    <x v="3"/>
    <n v="0"/>
  </r>
  <r>
    <x v="16"/>
    <s v="Clé plate 19"/>
    <n v="6.07"/>
    <x v="26"/>
    <x v="24"/>
    <s v="Nicolas"/>
    <s v="AD"/>
    <x v="79"/>
    <x v="3"/>
    <n v="0"/>
  </r>
  <r>
    <x v="16"/>
    <s v="Clé plate 19"/>
    <n v="6.07"/>
    <x v="26"/>
    <x v="24"/>
    <s v="Nicolas"/>
    <s v="AD"/>
    <x v="79"/>
    <x v="3"/>
    <n v="0"/>
  </r>
  <r>
    <x v="16"/>
    <s v="Clé plate 19"/>
    <n v="6.07"/>
    <x v="26"/>
    <x v="24"/>
    <s v="Nicolas"/>
    <s v="AD"/>
    <x v="79"/>
    <x v="3"/>
    <n v="0"/>
  </r>
  <r>
    <x v="46"/>
    <s v="Clé plate cliquet 22"/>
    <n v="23.67"/>
    <x v="26"/>
    <x v="24"/>
    <s v="Nicolas"/>
    <s v="AD"/>
    <x v="79"/>
    <x v="3"/>
    <n v="0"/>
  </r>
  <r>
    <x v="65"/>
    <s v="Clé plate 24"/>
    <n v="6.8"/>
    <x v="26"/>
    <x v="24"/>
    <s v="Nicolas"/>
    <s v="AD"/>
    <x v="79"/>
    <x v="3"/>
    <n v="0"/>
  </r>
  <r>
    <x v="17"/>
    <s v="Coffre"/>
    <n v="54.54"/>
    <x v="26"/>
    <x v="24"/>
    <s v="Nicolas"/>
    <s v="AD"/>
    <x v="79"/>
    <x v="3"/>
    <n v="0"/>
  </r>
  <r>
    <x v="18"/>
    <s v="Coffret douilles"/>
    <n v="103.22"/>
    <x v="23"/>
    <x v="21"/>
    <n v="0"/>
    <n v="0"/>
    <x v="79"/>
    <x v="0"/>
    <n v="1"/>
  </r>
  <r>
    <x v="18"/>
    <s v="Coffret douilles"/>
    <n v="103.22"/>
    <x v="26"/>
    <x v="24"/>
    <s v="Nicolas"/>
    <s v="AD"/>
    <x v="79"/>
    <x v="3"/>
    <n v="0"/>
  </r>
  <r>
    <x v="40"/>
    <s v="Couteau électricien"/>
    <n v="17.149999999999999"/>
    <x v="26"/>
    <x v="24"/>
    <s v="Nicolas"/>
    <s v="AD"/>
    <x v="79"/>
    <x v="3"/>
    <n v="0"/>
  </r>
  <r>
    <x v="40"/>
    <s v="Couteau électricien"/>
    <n v="17.149999999999999"/>
    <x v="26"/>
    <x v="24"/>
    <s v="Nicolas"/>
    <s v="AD"/>
    <x v="79"/>
    <x v="3"/>
    <n v="0"/>
  </r>
  <r>
    <x v="40"/>
    <s v="Couteau électricien"/>
    <n v="17.149999999999999"/>
    <x v="26"/>
    <x v="24"/>
    <s v="Nicolas"/>
    <s v="AD"/>
    <x v="79"/>
    <x v="3"/>
    <n v="0"/>
  </r>
  <r>
    <x v="21"/>
    <s v="Douille impact 3/4 longueur 36mm"/>
    <n v="0"/>
    <x v="26"/>
    <x v="24"/>
    <s v="Nicolas"/>
    <s v="AD"/>
    <x v="79"/>
    <x v="3"/>
    <n v="0"/>
  </r>
  <r>
    <x v="21"/>
    <s v="Douille impact 3/4 longueur 36mm"/>
    <n v="0"/>
    <x v="26"/>
    <x v="24"/>
    <s v="Nicolas"/>
    <s v="AD"/>
    <x v="79"/>
    <x v="3"/>
    <n v="0"/>
  </r>
  <r>
    <x v="21"/>
    <s v="Douille impact 3/4 longueur 36mm"/>
    <n v="0"/>
    <x v="26"/>
    <x v="24"/>
    <s v="Nicolas"/>
    <s v="AD"/>
    <x v="79"/>
    <x v="3"/>
    <n v="0"/>
  </r>
  <r>
    <x v="22"/>
    <s v="Dymo LABEL MANAGER 160 P"/>
    <n v="38"/>
    <x v="26"/>
    <x v="24"/>
    <s v="Nicolas"/>
    <s v="AD"/>
    <x v="79"/>
    <x v="3"/>
    <n v="0"/>
  </r>
  <r>
    <x v="48"/>
    <s v="Jeu de tournevis pro avec embouts de vissage 1/4 ref 438-008"/>
    <n v="0"/>
    <x v="26"/>
    <x v="24"/>
    <s v="Nicolas"/>
    <s v="AD"/>
    <x v="79"/>
    <x v="3"/>
    <n v="0"/>
  </r>
  <r>
    <x v="48"/>
    <s v="Jeu de tournevis pro avec embouts de vissage 1/4 ref 438-008"/>
    <n v="0"/>
    <x v="26"/>
    <x v="24"/>
    <s v="Nicolas"/>
    <s v="AD"/>
    <x v="79"/>
    <x v="3"/>
    <n v="0"/>
  </r>
  <r>
    <x v="48"/>
    <s v="Jeu de tournevis pro avec embouts de vissage 1/4 ref 438-008"/>
    <n v="0"/>
    <x v="26"/>
    <x v="24"/>
    <s v="Nicolas"/>
    <s v="AD"/>
    <x v="79"/>
    <x v="3"/>
    <n v="0"/>
  </r>
  <r>
    <x v="48"/>
    <s v="Jeu de tournevis pro avec embouts de vissage 1/4 ref 438-008"/>
    <n v="0"/>
    <x v="26"/>
    <x v="24"/>
    <s v="Nicolas"/>
    <s v="AD"/>
    <x v="79"/>
    <x v="3"/>
    <n v="0"/>
  </r>
  <r>
    <x v="23"/>
    <s v="Jeu tournevis"/>
    <n v="37.57"/>
    <x v="26"/>
    <x v="24"/>
    <s v="Nicolas"/>
    <s v="AD"/>
    <x v="79"/>
    <x v="3"/>
    <n v="0"/>
  </r>
  <r>
    <x v="38"/>
    <s v="Lunette de protection"/>
    <n v="2.38"/>
    <x v="26"/>
    <x v="24"/>
    <s v="Nicolas"/>
    <s v="AD"/>
    <x v="79"/>
    <x v="3"/>
    <n v="0"/>
  </r>
  <r>
    <x v="38"/>
    <s v="Lunette de protection"/>
    <n v="2.38"/>
    <x v="26"/>
    <x v="24"/>
    <s v="Nicolas"/>
    <s v="AD"/>
    <x v="79"/>
    <x v="3"/>
    <n v="0"/>
  </r>
  <r>
    <x v="38"/>
    <s v="Lunette de protection"/>
    <n v="2.38"/>
    <x v="26"/>
    <x v="24"/>
    <s v="Nicolas"/>
    <s v="AD"/>
    <x v="79"/>
    <x v="3"/>
    <n v="0"/>
  </r>
  <r>
    <x v="38"/>
    <s v="Lunette de protection"/>
    <n v="2.38"/>
    <x v="26"/>
    <x v="24"/>
    <s v="Nicolas"/>
    <s v="AD"/>
    <x v="79"/>
    <x v="3"/>
    <n v="0"/>
  </r>
  <r>
    <x v="38"/>
    <s v="Lunette de protection"/>
    <n v="2.38"/>
    <x v="26"/>
    <x v="24"/>
    <s v="Nicolas"/>
    <s v="AD"/>
    <x v="79"/>
    <x v="3"/>
    <n v="0"/>
  </r>
  <r>
    <x v="38"/>
    <s v="Lunette de protection"/>
    <n v="2.38"/>
    <x v="26"/>
    <x v="24"/>
    <s v="Nicolas"/>
    <s v="AD"/>
    <x v="79"/>
    <x v="3"/>
    <n v="0"/>
  </r>
  <r>
    <x v="38"/>
    <s v="Lunette de protection"/>
    <n v="2.38"/>
    <x v="26"/>
    <x v="24"/>
    <s v="Nicolas"/>
    <s v="AD"/>
    <x v="79"/>
    <x v="3"/>
    <n v="0"/>
  </r>
  <r>
    <x v="38"/>
    <s v="Lunette de protection"/>
    <n v="2.38"/>
    <x v="26"/>
    <x v="24"/>
    <s v="Nicolas"/>
    <s v="AD"/>
    <x v="79"/>
    <x v="3"/>
    <n v="0"/>
  </r>
  <r>
    <x v="38"/>
    <s v="Lunette de protection"/>
    <n v="2.38"/>
    <x v="26"/>
    <x v="24"/>
    <s v="Nicolas"/>
    <s v="AD"/>
    <x v="79"/>
    <x v="3"/>
    <n v="0"/>
  </r>
  <r>
    <x v="38"/>
    <s v="Lunette de protection"/>
    <n v="2.38"/>
    <x v="26"/>
    <x v="24"/>
    <s v="Nicolas"/>
    <s v="AD"/>
    <x v="79"/>
    <x v="3"/>
    <n v="0"/>
  </r>
  <r>
    <x v="27"/>
    <s v="Mètre pliant"/>
    <n v="3.2"/>
    <x v="26"/>
    <x v="24"/>
    <s v="Nicolas"/>
    <s v="AD"/>
    <x v="79"/>
    <x v="3"/>
    <n v="0"/>
  </r>
  <r>
    <x v="28"/>
    <s v="Niveau"/>
    <n v="15"/>
    <x v="26"/>
    <x v="24"/>
    <s v="Nicolas"/>
    <s v="AD"/>
    <x v="79"/>
    <x v="3"/>
    <n v="0"/>
  </r>
  <r>
    <x v="29"/>
    <s v="Outil à dégainer"/>
    <n v="20.5"/>
    <x v="26"/>
    <x v="24"/>
    <s v="Nicolas"/>
    <s v="AD"/>
    <x v="79"/>
    <x v="3"/>
    <n v="0"/>
  </r>
  <r>
    <x v="29"/>
    <s v="Outil à dégainer"/>
    <n v="20.5"/>
    <x v="26"/>
    <x v="24"/>
    <s v="Nicolas"/>
    <s v="AD"/>
    <x v="79"/>
    <x v="3"/>
    <n v="0"/>
  </r>
  <r>
    <x v="49"/>
    <s v="Pince à bec plat"/>
    <n v="20.8"/>
    <x v="26"/>
    <x v="24"/>
    <s v="Nicolas"/>
    <s v="AD"/>
    <x v="79"/>
    <x v="3"/>
    <n v="0"/>
  </r>
  <r>
    <x v="49"/>
    <s v="Pince à bec plat"/>
    <n v="20.8"/>
    <x v="26"/>
    <x v="24"/>
    <s v="Nicolas"/>
    <s v="AD"/>
    <x v="79"/>
    <x v="3"/>
    <n v="0"/>
  </r>
  <r>
    <x v="31"/>
    <s v="Pince à Sertir"/>
    <n v="78.400000000000006"/>
    <x v="26"/>
    <x v="24"/>
    <s v="Nicolas"/>
    <s v="AD"/>
    <x v="79"/>
    <x v="3"/>
    <n v="0"/>
  </r>
  <r>
    <x v="31"/>
    <s v="Pince à Sertir"/>
    <n v="78.400000000000006"/>
    <x v="26"/>
    <x v="24"/>
    <s v="Nicolas"/>
    <s v="AD"/>
    <x v="79"/>
    <x v="3"/>
    <n v="0"/>
  </r>
  <r>
    <x v="33"/>
    <s v="Pince coupante 1000v"/>
    <n v="20.87"/>
    <x v="26"/>
    <x v="24"/>
    <s v="Nicolas"/>
    <s v="AD"/>
    <x v="79"/>
    <x v="3"/>
    <n v="0"/>
  </r>
  <r>
    <x v="34"/>
    <s v="Pince étau"/>
    <n v="16.02"/>
    <x v="26"/>
    <x v="24"/>
    <s v="Nicolas"/>
    <s v="AD"/>
    <x v="79"/>
    <x v="3"/>
    <n v="0"/>
  </r>
  <r>
    <x v="34"/>
    <s v="Pince étau"/>
    <n v="16.02"/>
    <x v="26"/>
    <x v="24"/>
    <s v="Nicolas"/>
    <s v="AD"/>
    <x v="79"/>
    <x v="3"/>
    <n v="0"/>
  </r>
  <r>
    <x v="52"/>
    <s v="Pince multiprise"/>
    <n v="27.2"/>
    <x v="26"/>
    <x v="24"/>
    <s v="Nicolas"/>
    <s v="AD"/>
    <x v="79"/>
    <x v="3"/>
    <n v="0"/>
  </r>
  <r>
    <x v="74"/>
    <s v="Pioche d'égouttier"/>
    <n v="60.58"/>
    <x v="26"/>
    <x v="24"/>
    <s v="Nicolas"/>
    <s v="AD"/>
    <x v="79"/>
    <x v="3"/>
    <n v="0"/>
  </r>
  <r>
    <x v="74"/>
    <s v="Pioche d'égouttier"/>
    <n v="60.58"/>
    <x v="26"/>
    <x v="24"/>
    <s v="Nicolas"/>
    <s v="AD"/>
    <x v="79"/>
    <x v="3"/>
    <n v="0"/>
  </r>
  <r>
    <x v="35"/>
    <s v="Scie à métaux"/>
    <n v="11.26"/>
    <x v="26"/>
    <x v="24"/>
    <s v="Nicolas"/>
    <s v="AD"/>
    <x v="79"/>
    <x v="3"/>
    <n v="0"/>
  </r>
  <r>
    <x v="35"/>
    <s v="Scie à métaux"/>
    <n v="11.26"/>
    <x v="26"/>
    <x v="24"/>
    <s v="Nicolas"/>
    <s v="AD"/>
    <x v="79"/>
    <x v="3"/>
    <n v="0"/>
  </r>
  <r>
    <x v="35"/>
    <s v="Scie à métaux"/>
    <n v="11.26"/>
    <x v="26"/>
    <x v="24"/>
    <s v="Nicolas"/>
    <s v="AD"/>
    <x v="79"/>
    <x v="3"/>
    <n v="0"/>
  </r>
  <r>
    <x v="54"/>
    <s v="Tenaille"/>
    <n v="12.37"/>
    <x v="26"/>
    <x v="24"/>
    <s v="Nicolas"/>
    <s v="AD"/>
    <x v="79"/>
    <x v="3"/>
    <n v="0"/>
  </r>
  <r>
    <x v="54"/>
    <s v="Tenaille"/>
    <n v="12.37"/>
    <x v="26"/>
    <x v="24"/>
    <s v="Nicolas"/>
    <s v="AD"/>
    <x v="79"/>
    <x v="3"/>
    <n v="0"/>
  </r>
  <r>
    <x v="37"/>
    <s v="Testeur Fluke"/>
    <n v="0"/>
    <x v="25"/>
    <x v="23"/>
    <n v="0"/>
    <n v="0"/>
    <x v="79"/>
    <x v="0"/>
    <n v="1"/>
  </r>
  <r>
    <x v="37"/>
    <s v="Testeur Fluke"/>
    <n v="0"/>
    <x v="26"/>
    <x v="24"/>
    <s v="Nicolas"/>
    <s v="AD"/>
    <x v="79"/>
    <x v="0"/>
    <n v="1"/>
  </r>
  <r>
    <x v="37"/>
    <s v="Testeur Fluke"/>
    <n v="0"/>
    <x v="26"/>
    <x v="24"/>
    <s v="Nicolas"/>
    <s v="AD"/>
    <x v="79"/>
    <x v="1"/>
    <n v="0"/>
  </r>
  <r>
    <x v="37"/>
    <s v="Testeur Fluke"/>
    <n v="0"/>
    <x v="27"/>
    <x v="25"/>
    <s v="Benjamin"/>
    <s v="RA"/>
    <x v="79"/>
    <x v="0"/>
    <n v="1"/>
  </r>
  <r>
    <x v="37"/>
    <s v="Testeur Fluke"/>
    <n v="0"/>
    <x v="26"/>
    <x v="24"/>
    <s v="Nicolas"/>
    <s v="AD"/>
    <x v="79"/>
    <x v="0"/>
    <n v="1"/>
  </r>
  <r>
    <x v="37"/>
    <s v="Testeur Fluke"/>
    <n v="0"/>
    <x v="26"/>
    <x v="24"/>
    <s v="Nicolas"/>
    <s v="AD"/>
    <x v="79"/>
    <x v="0"/>
    <n v="1"/>
  </r>
  <r>
    <x v="37"/>
    <s v="Testeur Fluke"/>
    <n v="0"/>
    <x v="26"/>
    <x v="24"/>
    <s v="Nicolas"/>
    <s v="AD"/>
    <x v="79"/>
    <x v="2"/>
    <n v="0"/>
  </r>
  <r>
    <x v="37"/>
    <s v="Testeur Fluke"/>
    <n v="0"/>
    <x v="11"/>
    <x v="10"/>
    <s v="Dominique"/>
    <s v="RC"/>
    <x v="79"/>
    <x v="0"/>
    <n v="1"/>
  </r>
  <r>
    <x v="12"/>
    <s v="Clé dynamométrique"/>
    <n v="214"/>
    <x v="26"/>
    <x v="24"/>
    <s v="Nicolas"/>
    <s v="AD"/>
    <x v="79"/>
    <x v="3"/>
    <n v="0"/>
  </r>
  <r>
    <x v="12"/>
    <s v="Clé dynamométrique"/>
    <n v="214"/>
    <x v="26"/>
    <x v="24"/>
    <s v="Nicolas"/>
    <s v="AD"/>
    <x v="79"/>
    <x v="3"/>
    <n v="0"/>
  </r>
  <r>
    <x v="12"/>
    <s v="Clé dynamométrique"/>
    <n v="214"/>
    <x v="26"/>
    <x v="24"/>
    <s v="Nicolas"/>
    <s v="AD"/>
    <x v="80"/>
    <x v="3"/>
    <n v="0"/>
  </r>
  <r>
    <x v="12"/>
    <s v="Clé dynamométrique"/>
    <n v="214"/>
    <x v="11"/>
    <x v="10"/>
    <s v="Dominique"/>
    <s v="RC"/>
    <x v="79"/>
    <x v="0"/>
    <n v="1"/>
  </r>
  <r>
    <x v="12"/>
    <s v="Clé dynamométrique"/>
    <n v="214"/>
    <x v="0"/>
    <x v="0"/>
    <s v="Omar"/>
    <s v="ELEC"/>
    <x v="79"/>
    <x v="0"/>
    <n v="1"/>
  </r>
  <r>
    <x v="12"/>
    <s v="Clé dynamométrique"/>
    <n v="214"/>
    <x v="0"/>
    <x v="0"/>
    <s v="Omar"/>
    <s v="ELEC"/>
    <x v="79"/>
    <x v="2"/>
    <n v="0"/>
  </r>
  <r>
    <x v="12"/>
    <s v="Clé dynamométrique"/>
    <n v="214"/>
    <x v="26"/>
    <x v="24"/>
    <s v="Nicolas"/>
    <s v="AD"/>
    <x v="79"/>
    <x v="3"/>
    <n v="0"/>
  </r>
  <r>
    <x v="12"/>
    <s v="Clé dynamométrique"/>
    <n v="214"/>
    <x v="26"/>
    <x v="24"/>
    <s v="Nicolas"/>
    <s v="AD"/>
    <x v="79"/>
    <x v="2"/>
    <n v="0"/>
  </r>
  <r>
    <x v="12"/>
    <s v="Clé dynamométrique"/>
    <n v="214"/>
    <x v="26"/>
    <x v="24"/>
    <s v="Nicolas"/>
    <s v="AD"/>
    <x v="79"/>
    <x v="3"/>
    <n v="0"/>
  </r>
  <r>
    <x v="12"/>
    <s v="Clé dynamométrique"/>
    <n v="214"/>
    <x v="26"/>
    <x v="24"/>
    <s v="Nicolas"/>
    <s v="AD"/>
    <x v="79"/>
    <x v="2"/>
    <n v="0"/>
  </r>
  <r>
    <x v="37"/>
    <s v="Testeur Fluke"/>
    <n v="0"/>
    <x v="5"/>
    <x v="4"/>
    <s v="Jonathan"/>
    <s v="ELEC"/>
    <x v="1"/>
    <x v="0"/>
    <n v="1"/>
  </r>
  <r>
    <x v="5"/>
    <s v="Cadena"/>
    <n v="13"/>
    <x v="9"/>
    <x v="8"/>
    <s v="Rudy"/>
    <s v="ELEC"/>
    <x v="81"/>
    <x v="1"/>
    <n v="0"/>
  </r>
  <r>
    <x v="17"/>
    <s v="Coffre"/>
    <n v="54.54"/>
    <x v="9"/>
    <x v="8"/>
    <s v="Rudy"/>
    <s v="ELEC"/>
    <x v="81"/>
    <x v="1"/>
    <n v="0"/>
  </r>
  <r>
    <x v="6"/>
    <s v="Clé à molette"/>
    <n v="16.12"/>
    <x v="9"/>
    <x v="8"/>
    <s v="Rudy"/>
    <s v="ELEC"/>
    <x v="81"/>
    <x v="1"/>
    <n v="0"/>
  </r>
  <r>
    <x v="30"/>
    <s v="Pince à dénuder"/>
    <n v="24.55"/>
    <x v="9"/>
    <x v="8"/>
    <s v="Rudy"/>
    <s v="ELEC"/>
    <x v="81"/>
    <x v="1"/>
    <n v="0"/>
  </r>
  <r>
    <x v="25"/>
    <s v="lime demi ronde"/>
    <n v="7.59"/>
    <x v="9"/>
    <x v="8"/>
    <s v="Rudy"/>
    <s v="ELEC"/>
    <x v="81"/>
    <x v="1"/>
    <n v="0"/>
  </r>
  <r>
    <x v="33"/>
    <s v="Pince coupante 1000v"/>
    <n v="20.87"/>
    <x v="9"/>
    <x v="8"/>
    <s v="Rudy"/>
    <s v="ELEC"/>
    <x v="81"/>
    <x v="1"/>
    <n v="0"/>
  </r>
  <r>
    <x v="19"/>
    <s v="Coupe câble"/>
    <n v="41.88"/>
    <x v="9"/>
    <x v="8"/>
    <s v="Rudy"/>
    <s v="ELEC"/>
    <x v="81"/>
    <x v="1"/>
    <n v="0"/>
  </r>
  <r>
    <x v="35"/>
    <s v="Scie à métaux"/>
    <n v="11.26"/>
    <x v="9"/>
    <x v="8"/>
    <s v="Rudy"/>
    <s v="ELEC"/>
    <x v="81"/>
    <x v="1"/>
    <n v="0"/>
  </r>
  <r>
    <x v="27"/>
    <s v="Mètre pliant"/>
    <n v="3.2"/>
    <x v="9"/>
    <x v="8"/>
    <s v="Rudy"/>
    <s v="ELEC"/>
    <x v="81"/>
    <x v="1"/>
    <n v="0"/>
  </r>
  <r>
    <x v="3"/>
    <s v="Burin plat"/>
    <n v="11.89"/>
    <x v="9"/>
    <x v="8"/>
    <s v="Rudy"/>
    <s v="ELEC"/>
    <x v="81"/>
    <x v="1"/>
    <n v="0"/>
  </r>
  <r>
    <x v="4"/>
    <s v="Burin pointu"/>
    <n v="8.7200000000000006"/>
    <x v="9"/>
    <x v="8"/>
    <s v="Rudy"/>
    <s v="ELEC"/>
    <x v="81"/>
    <x v="1"/>
    <n v="0"/>
  </r>
  <r>
    <x v="26"/>
    <s v="Massette"/>
    <n v="15.14"/>
    <x v="9"/>
    <x v="8"/>
    <s v="Rudy"/>
    <s v="ELEC"/>
    <x v="81"/>
    <x v="1"/>
    <n v="0"/>
  </r>
  <r>
    <x v="28"/>
    <s v="Niveau"/>
    <n v="15"/>
    <x v="9"/>
    <x v="8"/>
    <s v="Rudy"/>
    <s v="ELEC"/>
    <x v="81"/>
    <x v="1"/>
    <n v="0"/>
  </r>
  <r>
    <x v="23"/>
    <s v="Jeu tournevis"/>
    <n v="37.57"/>
    <x v="9"/>
    <x v="8"/>
    <s v="Rudy"/>
    <s v="ELEC"/>
    <x v="81"/>
    <x v="1"/>
    <n v="0"/>
  </r>
  <r>
    <x v="34"/>
    <s v="Pince étau"/>
    <n v="16.02"/>
    <x v="9"/>
    <x v="8"/>
    <s v="Rudy"/>
    <s v="ELEC"/>
    <x v="81"/>
    <x v="1"/>
    <n v="0"/>
  </r>
  <r>
    <x v="18"/>
    <s v="Coffret douilles"/>
    <n v="103.22"/>
    <x v="9"/>
    <x v="8"/>
    <s v="Rudy"/>
    <s v="ELEC"/>
    <x v="81"/>
    <x v="1"/>
    <n v="0"/>
  </r>
  <r>
    <x v="7"/>
    <s v="Clé à pipe 10"/>
    <n v="5.41"/>
    <x v="9"/>
    <x v="8"/>
    <s v="Rudy"/>
    <s v="ELEC"/>
    <x v="81"/>
    <x v="1"/>
    <n v="0"/>
  </r>
  <r>
    <x v="8"/>
    <s v="Clé à pipe 13"/>
    <n v="6.23"/>
    <x v="9"/>
    <x v="8"/>
    <s v="Rudy"/>
    <s v="ELEC"/>
    <x v="81"/>
    <x v="1"/>
    <n v="0"/>
  </r>
  <r>
    <x v="9"/>
    <s v="Clé à pipe 17"/>
    <n v="9.36"/>
    <x v="9"/>
    <x v="8"/>
    <s v="Rudy"/>
    <s v="ELEC"/>
    <x v="81"/>
    <x v="1"/>
    <n v="0"/>
  </r>
  <r>
    <x v="10"/>
    <s v="Clé à pipe 19"/>
    <n v="10.4"/>
    <x v="9"/>
    <x v="8"/>
    <s v="Rudy"/>
    <s v="ELEC"/>
    <x v="81"/>
    <x v="1"/>
    <n v="0"/>
  </r>
  <r>
    <x v="13"/>
    <s v="Clé plate 10"/>
    <n v="3.32"/>
    <x v="9"/>
    <x v="8"/>
    <s v="Rudy"/>
    <s v="ELEC"/>
    <x v="81"/>
    <x v="1"/>
    <n v="0"/>
  </r>
  <r>
    <x v="14"/>
    <s v="Clé plate 13"/>
    <n v="3.91"/>
    <x v="9"/>
    <x v="8"/>
    <s v="Rudy"/>
    <s v="ELEC"/>
    <x v="81"/>
    <x v="1"/>
    <n v="0"/>
  </r>
  <r>
    <x v="15"/>
    <s v="Clé plate 17"/>
    <n v="5.5"/>
    <x v="9"/>
    <x v="8"/>
    <s v="Rudy"/>
    <s v="ELEC"/>
    <x v="81"/>
    <x v="1"/>
    <n v="0"/>
  </r>
  <r>
    <x v="16"/>
    <s v="Clé plate 19"/>
    <n v="6.07"/>
    <x v="9"/>
    <x v="8"/>
    <s v="Rudy"/>
    <s v="ELEC"/>
    <x v="81"/>
    <x v="1"/>
    <n v="0"/>
  </r>
  <r>
    <x v="20"/>
    <s v="Cutter"/>
    <n v="4.8499999999999996"/>
    <x v="9"/>
    <x v="8"/>
    <s v="Rudy"/>
    <s v="ELEC"/>
    <x v="81"/>
    <x v="1"/>
    <n v="0"/>
  </r>
  <r>
    <x v="11"/>
    <s v="Clé allen"/>
    <n v="27.5"/>
    <x v="9"/>
    <x v="8"/>
    <s v="Rudy"/>
    <s v="ELEC"/>
    <x v="81"/>
    <x v="1"/>
    <n v="0"/>
  </r>
  <r>
    <x v="29"/>
    <s v="Outil à dégainer"/>
    <n v="20.5"/>
    <x v="9"/>
    <x v="8"/>
    <s v="Rudy"/>
    <s v="ELEC"/>
    <x v="81"/>
    <x v="1"/>
    <n v="0"/>
  </r>
  <r>
    <x v="31"/>
    <s v="Pince à Sertir"/>
    <n v="78.400000000000006"/>
    <x v="9"/>
    <x v="8"/>
    <s v="Rudy"/>
    <s v="ELEC"/>
    <x v="81"/>
    <x v="1"/>
    <n v="0"/>
  </r>
  <r>
    <x v="37"/>
    <s v="Testeur Fluke"/>
    <n v="0"/>
    <x v="9"/>
    <x v="8"/>
    <s v="Rudy"/>
    <s v="ELEC"/>
    <x v="81"/>
    <x v="1"/>
    <n v="0"/>
  </r>
  <r>
    <x v="1"/>
    <s v="Boite embouts"/>
    <n v="27.61"/>
    <x v="9"/>
    <x v="8"/>
    <s v="Rudy"/>
    <s v="ELEC"/>
    <x v="81"/>
    <x v="1"/>
    <n v="0"/>
  </r>
  <r>
    <x v="32"/>
    <s v="Pince colson"/>
    <n v="46.91"/>
    <x v="9"/>
    <x v="8"/>
    <s v="Rudy"/>
    <s v="ELEC"/>
    <x v="81"/>
    <x v="1"/>
    <n v="0"/>
  </r>
  <r>
    <x v="38"/>
    <s v="Lunette de protection"/>
    <n v="2.38"/>
    <x v="9"/>
    <x v="8"/>
    <s v="Rudy"/>
    <s v="ELEC"/>
    <x v="81"/>
    <x v="1"/>
    <n v="0"/>
  </r>
  <r>
    <x v="39"/>
    <s v="Casque chantier"/>
    <n v="29.05"/>
    <x v="9"/>
    <x v="8"/>
    <s v="Rudy"/>
    <s v="ELEC"/>
    <x v="81"/>
    <x v="1"/>
    <n v="0"/>
  </r>
  <r>
    <x v="40"/>
    <s v="Couteau électricien"/>
    <n v="17.149999999999999"/>
    <x v="17"/>
    <x v="15"/>
    <s v="Marcelo "/>
    <s v="RE"/>
    <x v="63"/>
    <x v="0"/>
    <n v="1"/>
  </r>
  <r>
    <x v="5"/>
    <s v="Cadena"/>
    <n v="13"/>
    <x v="9"/>
    <x v="8"/>
    <s v="Rudy"/>
    <s v="ELEC"/>
    <x v="63"/>
    <x v="0"/>
    <n v="1"/>
  </r>
  <r>
    <x v="5"/>
    <s v="Cadena"/>
    <n v="13"/>
    <x v="9"/>
    <x v="8"/>
    <s v="Rudy"/>
    <s v="ELEC"/>
    <x v="82"/>
    <x v="2"/>
    <n v="0"/>
  </r>
  <r>
    <x v="17"/>
    <s v="Coffre"/>
    <n v="54.54"/>
    <x v="9"/>
    <x v="8"/>
    <s v="Rudy"/>
    <s v="ELEC"/>
    <x v="63"/>
    <x v="0"/>
    <n v="1"/>
  </r>
  <r>
    <x v="6"/>
    <s v="Clé à molette"/>
    <n v="16.12"/>
    <x v="9"/>
    <x v="8"/>
    <s v="Rudy"/>
    <s v="ELEC"/>
    <x v="63"/>
    <x v="0"/>
    <n v="1"/>
  </r>
  <r>
    <x v="30"/>
    <s v="Pince à dénuder"/>
    <n v="24.55"/>
    <x v="9"/>
    <x v="8"/>
    <s v="Rudy"/>
    <s v="ELEC"/>
    <x v="63"/>
    <x v="0"/>
    <n v="1"/>
  </r>
  <r>
    <x v="25"/>
    <s v="lime demi ronde"/>
    <n v="7.59"/>
    <x v="9"/>
    <x v="8"/>
    <s v="Rudy"/>
    <s v="ELEC"/>
    <x v="63"/>
    <x v="0"/>
    <n v="1"/>
  </r>
  <r>
    <x v="33"/>
    <s v="Pince coupante 1000v"/>
    <n v="20.87"/>
    <x v="9"/>
    <x v="8"/>
    <s v="Rudy"/>
    <s v="ELEC"/>
    <x v="63"/>
    <x v="0"/>
    <n v="1"/>
  </r>
  <r>
    <x v="19"/>
    <s v="Coupe câble"/>
    <n v="41.88"/>
    <x v="9"/>
    <x v="8"/>
    <s v="Rudy"/>
    <s v="ELEC"/>
    <x v="63"/>
    <x v="0"/>
    <n v="1"/>
  </r>
  <r>
    <x v="35"/>
    <s v="Scie à métaux"/>
    <n v="11.26"/>
    <x v="9"/>
    <x v="8"/>
    <s v="Rudy"/>
    <s v="ELEC"/>
    <x v="63"/>
    <x v="0"/>
    <n v="1"/>
  </r>
  <r>
    <x v="27"/>
    <s v="Mètre pliant"/>
    <n v="3.2"/>
    <x v="9"/>
    <x v="8"/>
    <s v="Rudy"/>
    <s v="ELEC"/>
    <x v="63"/>
    <x v="0"/>
    <n v="1"/>
  </r>
  <r>
    <x v="3"/>
    <s v="Burin plat"/>
    <n v="11.89"/>
    <x v="9"/>
    <x v="8"/>
    <s v="Rudy"/>
    <s v="ELEC"/>
    <x v="63"/>
    <x v="0"/>
    <n v="1"/>
  </r>
  <r>
    <x v="4"/>
    <s v="Burin pointu"/>
    <n v="8.7200000000000006"/>
    <x v="9"/>
    <x v="8"/>
    <s v="Rudy"/>
    <s v="ELEC"/>
    <x v="63"/>
    <x v="0"/>
    <n v="1"/>
  </r>
  <r>
    <x v="26"/>
    <s v="Massette"/>
    <n v="15.14"/>
    <x v="9"/>
    <x v="8"/>
    <s v="Rudy"/>
    <s v="ELEC"/>
    <x v="63"/>
    <x v="0"/>
    <n v="1"/>
  </r>
  <r>
    <x v="28"/>
    <s v="Niveau"/>
    <n v="15"/>
    <x v="9"/>
    <x v="8"/>
    <s v="Rudy"/>
    <s v="ELEC"/>
    <x v="63"/>
    <x v="0"/>
    <n v="1"/>
  </r>
  <r>
    <x v="23"/>
    <s v="Jeu tournevis"/>
    <n v="37.57"/>
    <x v="9"/>
    <x v="8"/>
    <s v="Rudy"/>
    <s v="ELEC"/>
    <x v="63"/>
    <x v="0"/>
    <n v="1"/>
  </r>
  <r>
    <x v="34"/>
    <s v="Pince étau"/>
    <n v="16.02"/>
    <x v="9"/>
    <x v="8"/>
    <s v="Rudy"/>
    <s v="ELEC"/>
    <x v="63"/>
    <x v="0"/>
    <n v="1"/>
  </r>
  <r>
    <x v="18"/>
    <s v="Coffret douilles"/>
    <n v="103.22"/>
    <x v="9"/>
    <x v="8"/>
    <s v="Rudy"/>
    <s v="ELEC"/>
    <x v="63"/>
    <x v="0"/>
    <n v="1"/>
  </r>
  <r>
    <x v="7"/>
    <s v="Clé à pipe 10"/>
    <n v="5.41"/>
    <x v="9"/>
    <x v="8"/>
    <s v="Rudy"/>
    <s v="ELEC"/>
    <x v="63"/>
    <x v="0"/>
    <n v="1"/>
  </r>
  <r>
    <x v="8"/>
    <s v="Clé à pipe 13"/>
    <n v="6.23"/>
    <x v="9"/>
    <x v="8"/>
    <s v="Rudy"/>
    <s v="ELEC"/>
    <x v="63"/>
    <x v="0"/>
    <n v="1"/>
  </r>
  <r>
    <x v="9"/>
    <s v="Clé à pipe 17"/>
    <n v="9.36"/>
    <x v="9"/>
    <x v="8"/>
    <s v="Rudy"/>
    <s v="ELEC"/>
    <x v="63"/>
    <x v="0"/>
    <n v="1"/>
  </r>
  <r>
    <x v="10"/>
    <s v="Clé à pipe 19"/>
    <n v="10.4"/>
    <x v="9"/>
    <x v="8"/>
    <s v="Rudy"/>
    <s v="ELEC"/>
    <x v="63"/>
    <x v="0"/>
    <n v="1"/>
  </r>
  <r>
    <x v="13"/>
    <s v="Clé plate 10"/>
    <n v="3.32"/>
    <x v="9"/>
    <x v="8"/>
    <s v="Rudy"/>
    <s v="ELEC"/>
    <x v="63"/>
    <x v="0"/>
    <n v="1"/>
  </r>
  <r>
    <x v="14"/>
    <s v="Clé plate 13"/>
    <n v="3.91"/>
    <x v="9"/>
    <x v="8"/>
    <s v="Rudy"/>
    <s v="ELEC"/>
    <x v="63"/>
    <x v="0"/>
    <n v="1"/>
  </r>
  <r>
    <x v="16"/>
    <s v="Clé plate 19"/>
    <n v="6.07"/>
    <x v="9"/>
    <x v="8"/>
    <s v="Rudy"/>
    <s v="ELEC"/>
    <x v="63"/>
    <x v="0"/>
    <n v="1"/>
  </r>
  <r>
    <x v="20"/>
    <s v="Cutter"/>
    <n v="4.8499999999999996"/>
    <x v="9"/>
    <x v="8"/>
    <s v="Rudy"/>
    <s v="ELEC"/>
    <x v="63"/>
    <x v="0"/>
    <n v="1"/>
  </r>
  <r>
    <x v="11"/>
    <s v="Clé allen"/>
    <n v="27.5"/>
    <x v="9"/>
    <x v="8"/>
    <s v="Rudy"/>
    <s v="ELEC"/>
    <x v="63"/>
    <x v="0"/>
    <n v="1"/>
  </r>
  <r>
    <x v="29"/>
    <s v="Outil à dégainer"/>
    <n v="20.5"/>
    <x v="9"/>
    <x v="8"/>
    <s v="Rudy"/>
    <s v="ELEC"/>
    <x v="63"/>
    <x v="0"/>
    <n v="1"/>
  </r>
  <r>
    <x v="31"/>
    <s v="Pince à Sertir"/>
    <n v="78.400000000000006"/>
    <x v="9"/>
    <x v="8"/>
    <s v="Rudy"/>
    <s v="ELEC"/>
    <x v="63"/>
    <x v="0"/>
    <n v="1"/>
  </r>
  <r>
    <x v="1"/>
    <s v="Boite embouts"/>
    <n v="27.61"/>
    <x v="9"/>
    <x v="8"/>
    <s v="Rudy"/>
    <s v="ELEC"/>
    <x v="63"/>
    <x v="0"/>
    <n v="1"/>
  </r>
  <r>
    <x v="32"/>
    <s v="Pince colson"/>
    <n v="46.91"/>
    <x v="9"/>
    <x v="8"/>
    <s v="Rudy"/>
    <s v="ELEC"/>
    <x v="63"/>
    <x v="0"/>
    <n v="1"/>
  </r>
  <r>
    <x v="52"/>
    <s v="Pince multiprise"/>
    <n v="27.2"/>
    <x v="9"/>
    <x v="8"/>
    <s v="Rudy"/>
    <s v="ELEC"/>
    <x v="63"/>
    <x v="0"/>
    <n v="1"/>
  </r>
  <r>
    <x v="75"/>
    <s v="Pince à bec rond"/>
    <n v="19.2"/>
    <x v="9"/>
    <x v="8"/>
    <s v="Rudy"/>
    <s v="ELEC"/>
    <x v="63"/>
    <x v="0"/>
    <n v="1"/>
  </r>
  <r>
    <x v="75"/>
    <s v="Pince à bec rond"/>
    <n v="19.2"/>
    <x v="9"/>
    <x v="8"/>
    <s v="Rudy"/>
    <s v="ELEC"/>
    <x v="63"/>
    <x v="0"/>
    <n v="1"/>
  </r>
  <r>
    <x v="76"/>
    <s v="Pointaux"/>
    <n v="2.2799999999999998"/>
    <x v="9"/>
    <x v="8"/>
    <s v="Rudy"/>
    <s v="ELEC"/>
    <x v="63"/>
    <x v="0"/>
    <n v="1"/>
  </r>
  <r>
    <x v="76"/>
    <s v="Pointaux"/>
    <n v="2.2799999999999998"/>
    <x v="9"/>
    <x v="8"/>
    <s v="Rudy"/>
    <s v="ELEC"/>
    <x v="63"/>
    <x v="0"/>
    <n v="1"/>
  </r>
  <r>
    <x v="76"/>
    <s v="Pointaux"/>
    <n v="2.2799999999999998"/>
    <x v="9"/>
    <x v="8"/>
    <s v="Rudy"/>
    <s v="ELEC"/>
    <x v="63"/>
    <x v="0"/>
    <n v="1"/>
  </r>
  <r>
    <x v="76"/>
    <s v="Pointaux"/>
    <n v="2.2799999999999998"/>
    <x v="9"/>
    <x v="8"/>
    <s v="Rudy"/>
    <s v="ELEC"/>
    <x v="63"/>
    <x v="0"/>
    <n v="1"/>
  </r>
  <r>
    <x v="70"/>
    <s v="Cliquet rapide 1/4"/>
    <n v="31"/>
    <x v="9"/>
    <x v="8"/>
    <s v="Rudy"/>
    <s v="ELEC"/>
    <x v="63"/>
    <x v="0"/>
    <n v="1"/>
  </r>
  <r>
    <x v="38"/>
    <s v="Lunette de protection"/>
    <n v="2.38"/>
    <x v="9"/>
    <x v="8"/>
    <s v="Rudy"/>
    <s v="ELEC"/>
    <x v="63"/>
    <x v="0"/>
    <n v="1"/>
  </r>
  <r>
    <x v="1"/>
    <s v="Boite embouts"/>
    <n v="27.61"/>
    <x v="28"/>
    <x v="26"/>
    <n v="0"/>
    <n v="0"/>
    <x v="79"/>
    <x v="0"/>
    <n v="1"/>
  </r>
  <r>
    <x v="3"/>
    <s v="Burin plat"/>
    <n v="11.89"/>
    <x v="28"/>
    <x v="26"/>
    <n v="0"/>
    <n v="0"/>
    <x v="79"/>
    <x v="0"/>
    <n v="1"/>
  </r>
  <r>
    <x v="4"/>
    <s v="Burin pointu"/>
    <n v="8.7200000000000006"/>
    <x v="28"/>
    <x v="26"/>
    <n v="0"/>
    <n v="0"/>
    <x v="79"/>
    <x v="0"/>
    <n v="1"/>
  </r>
  <r>
    <x v="5"/>
    <s v="Cadena"/>
    <n v="13"/>
    <x v="28"/>
    <x v="26"/>
    <n v="0"/>
    <n v="0"/>
    <x v="79"/>
    <x v="0"/>
    <n v="1"/>
  </r>
  <r>
    <x v="6"/>
    <s v="Clé à molette"/>
    <n v="16.12"/>
    <x v="28"/>
    <x v="26"/>
    <n v="0"/>
    <n v="0"/>
    <x v="79"/>
    <x v="0"/>
    <n v="1"/>
  </r>
  <r>
    <x v="7"/>
    <s v="Clé à pipe 10"/>
    <n v="5.41"/>
    <x v="28"/>
    <x v="26"/>
    <n v="0"/>
    <n v="0"/>
    <x v="79"/>
    <x v="0"/>
    <n v="1"/>
  </r>
  <r>
    <x v="8"/>
    <s v="Clé à pipe 13"/>
    <n v="6.23"/>
    <x v="28"/>
    <x v="26"/>
    <n v="0"/>
    <n v="0"/>
    <x v="79"/>
    <x v="0"/>
    <n v="1"/>
  </r>
  <r>
    <x v="43"/>
    <s v="Clé à pipe 16"/>
    <n v="9.1999999999999993"/>
    <x v="28"/>
    <x v="26"/>
    <n v="0"/>
    <n v="0"/>
    <x v="79"/>
    <x v="0"/>
    <n v="1"/>
  </r>
  <r>
    <x v="9"/>
    <s v="Clé à pipe 17"/>
    <n v="9.36"/>
    <x v="28"/>
    <x v="26"/>
    <n v="0"/>
    <n v="0"/>
    <x v="79"/>
    <x v="0"/>
    <n v="1"/>
  </r>
  <r>
    <x v="10"/>
    <s v="Clé à pipe 19"/>
    <n v="10.4"/>
    <x v="28"/>
    <x v="26"/>
    <n v="0"/>
    <n v="0"/>
    <x v="79"/>
    <x v="0"/>
    <n v="1"/>
  </r>
  <r>
    <x v="44"/>
    <s v="Clé à pipe 8"/>
    <n v="4.8499999999999996"/>
    <x v="28"/>
    <x v="26"/>
    <n v="0"/>
    <n v="0"/>
    <x v="79"/>
    <x v="0"/>
    <n v="1"/>
  </r>
  <r>
    <x v="11"/>
    <s v="Clé allen"/>
    <n v="27.5"/>
    <x v="28"/>
    <x v="26"/>
    <n v="0"/>
    <n v="0"/>
    <x v="79"/>
    <x v="0"/>
    <n v="1"/>
  </r>
  <r>
    <x v="45"/>
    <s v="Clé mixte 8"/>
    <n v="3.05"/>
    <x v="28"/>
    <x v="26"/>
    <n v="0"/>
    <n v="0"/>
    <x v="79"/>
    <x v="0"/>
    <n v="1"/>
  </r>
  <r>
    <x v="46"/>
    <s v="Clé plate cliquet 22"/>
    <n v="23.67"/>
    <x v="28"/>
    <x v="26"/>
    <n v="0"/>
    <n v="0"/>
    <x v="79"/>
    <x v="0"/>
    <n v="1"/>
  </r>
  <r>
    <x v="70"/>
    <s v="Cliquet rapide 1/4"/>
    <n v="31"/>
    <x v="28"/>
    <x v="26"/>
    <n v="0"/>
    <n v="0"/>
    <x v="79"/>
    <x v="0"/>
    <n v="1"/>
  </r>
  <r>
    <x v="17"/>
    <s v="Coffre"/>
    <n v="54.54"/>
    <x v="28"/>
    <x v="26"/>
    <n v="0"/>
    <n v="0"/>
    <x v="79"/>
    <x v="0"/>
    <n v="1"/>
  </r>
  <r>
    <x v="18"/>
    <s v="Coffret douilles"/>
    <n v="103.22"/>
    <x v="28"/>
    <x v="26"/>
    <n v="0"/>
    <n v="0"/>
    <x v="79"/>
    <x v="0"/>
    <n v="1"/>
  </r>
  <r>
    <x v="19"/>
    <s v="Coupe câble"/>
    <n v="41.88"/>
    <x v="28"/>
    <x v="26"/>
    <n v="0"/>
    <n v="0"/>
    <x v="79"/>
    <x v="0"/>
    <n v="1"/>
  </r>
  <r>
    <x v="40"/>
    <s v="Couteau électricien"/>
    <n v="17.149999999999999"/>
    <x v="28"/>
    <x v="26"/>
    <n v="0"/>
    <n v="0"/>
    <x v="79"/>
    <x v="0"/>
    <n v="1"/>
  </r>
  <r>
    <x v="20"/>
    <s v="Cutter"/>
    <n v="4.8499999999999996"/>
    <x v="28"/>
    <x v="26"/>
    <n v="0"/>
    <n v="0"/>
    <x v="79"/>
    <x v="0"/>
    <n v="1"/>
  </r>
  <r>
    <x v="47"/>
    <s v="Jeu de Clés mixte à cliquet"/>
    <n v="176"/>
    <x v="28"/>
    <x v="26"/>
    <n v="0"/>
    <n v="0"/>
    <x v="79"/>
    <x v="0"/>
    <n v="1"/>
  </r>
  <r>
    <x v="48"/>
    <s v="Jeu de tournevis pro avec embouts de vissage 1/4 ref 438-008"/>
    <n v="0"/>
    <x v="28"/>
    <x v="26"/>
    <n v="0"/>
    <n v="0"/>
    <x v="79"/>
    <x v="0"/>
    <n v="1"/>
  </r>
  <r>
    <x v="23"/>
    <s v="Jeu tournevis"/>
    <n v="37.57"/>
    <x v="28"/>
    <x v="26"/>
    <n v="0"/>
    <n v="0"/>
    <x v="79"/>
    <x v="0"/>
    <n v="1"/>
  </r>
  <r>
    <x v="24"/>
    <s v="Lampe frontale"/>
    <n v="42.5"/>
    <x v="28"/>
    <x v="26"/>
    <n v="0"/>
    <n v="0"/>
    <x v="79"/>
    <x v="0"/>
    <n v="1"/>
  </r>
  <r>
    <x v="25"/>
    <s v="lime demi ronde"/>
    <n v="7.59"/>
    <x v="28"/>
    <x v="26"/>
    <n v="0"/>
    <n v="0"/>
    <x v="79"/>
    <x v="0"/>
    <n v="1"/>
  </r>
  <r>
    <x v="26"/>
    <s v="Massette"/>
    <n v="15.14"/>
    <x v="28"/>
    <x v="26"/>
    <n v="0"/>
    <n v="0"/>
    <x v="79"/>
    <x v="0"/>
    <n v="1"/>
  </r>
  <r>
    <x v="27"/>
    <s v="Mètre pliant"/>
    <n v="3.2"/>
    <x v="28"/>
    <x v="26"/>
    <n v="0"/>
    <n v="0"/>
    <x v="79"/>
    <x v="0"/>
    <n v="1"/>
  </r>
  <r>
    <x v="28"/>
    <s v="Niveau"/>
    <n v="15"/>
    <x v="28"/>
    <x v="26"/>
    <n v="0"/>
    <n v="0"/>
    <x v="79"/>
    <x v="0"/>
    <n v="1"/>
  </r>
  <r>
    <x v="29"/>
    <s v="Outil à dégainer"/>
    <n v="20.5"/>
    <x v="28"/>
    <x v="26"/>
    <n v="0"/>
    <n v="0"/>
    <x v="79"/>
    <x v="0"/>
    <n v="1"/>
  </r>
  <r>
    <x v="49"/>
    <s v="Pince à bec plat"/>
    <n v="20.8"/>
    <x v="28"/>
    <x v="26"/>
    <n v="0"/>
    <n v="0"/>
    <x v="79"/>
    <x v="0"/>
    <n v="1"/>
  </r>
  <r>
    <x v="30"/>
    <s v="Pince à dénuder"/>
    <n v="24.55"/>
    <x v="28"/>
    <x v="26"/>
    <n v="0"/>
    <n v="0"/>
    <x v="79"/>
    <x v="0"/>
    <n v="1"/>
  </r>
  <r>
    <x v="31"/>
    <s v="Pince à Sertir"/>
    <n v="78.400000000000006"/>
    <x v="28"/>
    <x v="26"/>
    <n v="0"/>
    <n v="0"/>
    <x v="79"/>
    <x v="0"/>
    <n v="1"/>
  </r>
  <r>
    <x v="32"/>
    <s v="Pince colson"/>
    <n v="46.91"/>
    <x v="28"/>
    <x v="26"/>
    <n v="0"/>
    <n v="0"/>
    <x v="79"/>
    <x v="0"/>
    <n v="1"/>
  </r>
  <r>
    <x v="33"/>
    <s v="Pince coupante 1000v"/>
    <n v="20.87"/>
    <x v="28"/>
    <x v="26"/>
    <n v="0"/>
    <n v="0"/>
    <x v="79"/>
    <x v="0"/>
    <n v="1"/>
  </r>
  <r>
    <x v="34"/>
    <s v="Pince étau"/>
    <n v="16.02"/>
    <x v="28"/>
    <x v="26"/>
    <n v="0"/>
    <n v="0"/>
    <x v="79"/>
    <x v="0"/>
    <n v="1"/>
  </r>
  <r>
    <x v="52"/>
    <s v="Pince multiprise"/>
    <n v="27.2"/>
    <x v="28"/>
    <x v="26"/>
    <n v="0"/>
    <n v="0"/>
    <x v="79"/>
    <x v="0"/>
    <n v="1"/>
  </r>
  <r>
    <x v="35"/>
    <s v="Scie à métaux"/>
    <n v="11.26"/>
    <x v="28"/>
    <x v="26"/>
    <n v="0"/>
    <n v="0"/>
    <x v="79"/>
    <x v="0"/>
    <n v="1"/>
  </r>
  <r>
    <x v="37"/>
    <s v="Testeur Fluke"/>
    <n v="0"/>
    <x v="28"/>
    <x v="26"/>
    <n v="0"/>
    <n v="0"/>
    <x v="79"/>
    <x v="0"/>
    <n v="1"/>
  </r>
  <r>
    <x v="5"/>
    <s v="Cadena"/>
    <n v="13"/>
    <x v="9"/>
    <x v="8"/>
    <s v="Rudy"/>
    <s v="ELEC"/>
    <x v="83"/>
    <x v="0"/>
    <n v="1"/>
  </r>
  <r>
    <x v="39"/>
    <s v="Casque chantier"/>
    <n v="29.05"/>
    <x v="29"/>
    <x v="27"/>
    <s v="Stevens"/>
    <s v="GC"/>
    <x v="84"/>
    <x v="0"/>
    <n v="1"/>
  </r>
  <r>
    <x v="39"/>
    <s v="Casque chantier"/>
    <n v="29.05"/>
    <x v="7"/>
    <x v="6"/>
    <s v="Mohamed"/>
    <s v="RA"/>
    <x v="80"/>
    <x v="0"/>
    <n v="1"/>
  </r>
  <r>
    <x v="39"/>
    <s v="Casque chantier"/>
    <n v="29.05"/>
    <x v="30"/>
    <x v="28"/>
    <s v="Joël"/>
    <s v="RA"/>
    <x v="85"/>
    <x v="0"/>
    <n v="1"/>
  </r>
  <r>
    <x v="39"/>
    <s v="Casque chantier"/>
    <n v="29.05"/>
    <x v="27"/>
    <x v="25"/>
    <s v="Benjamin"/>
    <s v="RA"/>
    <x v="86"/>
    <x v="0"/>
    <n v="1"/>
  </r>
  <r>
    <x v="39"/>
    <s v="Casque chantier"/>
    <n v="29.05"/>
    <x v="31"/>
    <x v="29"/>
    <s v="Eli"/>
    <s v="BE"/>
    <x v="87"/>
    <x v="0"/>
    <n v="1"/>
  </r>
  <r>
    <x v="39"/>
    <s v="Casque chantier"/>
    <n v="29.05"/>
    <x v="21"/>
    <x v="19"/>
    <s v="Fawzi"/>
    <s v="RC"/>
    <x v="88"/>
    <x v="0"/>
    <n v="1"/>
  </r>
  <r>
    <x v="5"/>
    <s v="Cadena"/>
    <n v="13"/>
    <x v="32"/>
    <x v="30"/>
    <s v="Amine"/>
    <s v="ELEC"/>
    <x v="89"/>
    <x v="0"/>
    <n v="1"/>
  </r>
  <r>
    <x v="17"/>
    <s v="Coffre"/>
    <n v="54.54"/>
    <x v="32"/>
    <x v="30"/>
    <s v="Amine"/>
    <s v="ELEC"/>
    <x v="89"/>
    <x v="0"/>
    <n v="1"/>
  </r>
  <r>
    <x v="6"/>
    <s v="Clé à molette"/>
    <n v="16.12"/>
    <x v="32"/>
    <x v="30"/>
    <s v="Amine"/>
    <s v="ELEC"/>
    <x v="89"/>
    <x v="0"/>
    <n v="1"/>
  </r>
  <r>
    <x v="30"/>
    <s v="Pince à dénuder"/>
    <n v="24.55"/>
    <x v="32"/>
    <x v="30"/>
    <s v="Amine"/>
    <s v="ELEC"/>
    <x v="89"/>
    <x v="0"/>
    <n v="1"/>
  </r>
  <r>
    <x v="25"/>
    <s v="lime demi ronde"/>
    <n v="7.59"/>
    <x v="32"/>
    <x v="30"/>
    <s v="Amine"/>
    <s v="ELEC"/>
    <x v="89"/>
    <x v="0"/>
    <n v="1"/>
  </r>
  <r>
    <x v="33"/>
    <s v="Pince coupante 1000v"/>
    <n v="20.87"/>
    <x v="32"/>
    <x v="30"/>
    <s v="Amine"/>
    <s v="ELEC"/>
    <x v="89"/>
    <x v="0"/>
    <n v="1"/>
  </r>
  <r>
    <x v="19"/>
    <s v="Coupe câble"/>
    <n v="41.88"/>
    <x v="32"/>
    <x v="30"/>
    <s v="Amine"/>
    <s v="ELEC"/>
    <x v="89"/>
    <x v="0"/>
    <n v="1"/>
  </r>
  <r>
    <x v="35"/>
    <s v="Scie à métaux"/>
    <n v="11.26"/>
    <x v="32"/>
    <x v="30"/>
    <s v="Amine"/>
    <s v="ELEC"/>
    <x v="89"/>
    <x v="0"/>
    <n v="1"/>
  </r>
  <r>
    <x v="27"/>
    <s v="Mètre pliant"/>
    <n v="3.2"/>
    <x v="32"/>
    <x v="30"/>
    <s v="Amine"/>
    <s v="ELEC"/>
    <x v="89"/>
    <x v="0"/>
    <n v="1"/>
  </r>
  <r>
    <x v="3"/>
    <s v="Burin plat"/>
    <n v="11.89"/>
    <x v="32"/>
    <x v="30"/>
    <s v="Amine"/>
    <s v="ELEC"/>
    <x v="89"/>
    <x v="0"/>
    <n v="1"/>
  </r>
  <r>
    <x v="4"/>
    <s v="Burin pointu"/>
    <n v="8.7200000000000006"/>
    <x v="32"/>
    <x v="30"/>
    <s v="Amine"/>
    <s v="ELEC"/>
    <x v="89"/>
    <x v="0"/>
    <n v="1"/>
  </r>
  <r>
    <x v="26"/>
    <s v="Massette"/>
    <n v="15.14"/>
    <x v="32"/>
    <x v="30"/>
    <s v="Amine"/>
    <s v="ELEC"/>
    <x v="89"/>
    <x v="0"/>
    <n v="1"/>
  </r>
  <r>
    <x v="28"/>
    <s v="Niveau"/>
    <n v="15"/>
    <x v="32"/>
    <x v="30"/>
    <s v="Amine"/>
    <s v="ELEC"/>
    <x v="89"/>
    <x v="0"/>
    <n v="1"/>
  </r>
  <r>
    <x v="23"/>
    <s v="Jeu tournevis"/>
    <n v="37.57"/>
    <x v="32"/>
    <x v="30"/>
    <s v="Amine"/>
    <s v="ELEC"/>
    <x v="89"/>
    <x v="0"/>
    <n v="1"/>
  </r>
  <r>
    <x v="34"/>
    <s v="Pince étau"/>
    <n v="16.02"/>
    <x v="32"/>
    <x v="30"/>
    <s v="Amine"/>
    <s v="ELEC"/>
    <x v="89"/>
    <x v="0"/>
    <n v="1"/>
  </r>
  <r>
    <x v="7"/>
    <s v="Clé à pipe 10"/>
    <n v="5.41"/>
    <x v="32"/>
    <x v="30"/>
    <s v="Amine"/>
    <s v="ELEC"/>
    <x v="89"/>
    <x v="0"/>
    <n v="1"/>
  </r>
  <r>
    <x v="8"/>
    <s v="Clé à pipe 13"/>
    <n v="6.23"/>
    <x v="32"/>
    <x v="30"/>
    <s v="Amine"/>
    <s v="ELEC"/>
    <x v="89"/>
    <x v="0"/>
    <n v="1"/>
  </r>
  <r>
    <x v="9"/>
    <s v="Clé à pipe 17"/>
    <n v="9.36"/>
    <x v="32"/>
    <x v="30"/>
    <s v="Amine"/>
    <s v="ELEC"/>
    <x v="89"/>
    <x v="0"/>
    <n v="1"/>
  </r>
  <r>
    <x v="10"/>
    <s v="Clé à pipe 19"/>
    <n v="10.4"/>
    <x v="32"/>
    <x v="30"/>
    <s v="Amine"/>
    <s v="ELEC"/>
    <x v="89"/>
    <x v="0"/>
    <n v="1"/>
  </r>
  <r>
    <x v="13"/>
    <s v="Clé plate 10"/>
    <n v="3.32"/>
    <x v="32"/>
    <x v="30"/>
    <s v="Amine"/>
    <s v="ELEC"/>
    <x v="89"/>
    <x v="0"/>
    <n v="1"/>
  </r>
  <r>
    <x v="14"/>
    <s v="Clé plate 13"/>
    <n v="3.91"/>
    <x v="32"/>
    <x v="30"/>
    <s v="Amine"/>
    <s v="ELEC"/>
    <x v="89"/>
    <x v="0"/>
    <n v="1"/>
  </r>
  <r>
    <x v="15"/>
    <s v="Clé plate 17"/>
    <n v="5.5"/>
    <x v="32"/>
    <x v="30"/>
    <s v="Amine"/>
    <s v="ELEC"/>
    <x v="89"/>
    <x v="0"/>
    <n v="1"/>
  </r>
  <r>
    <x v="16"/>
    <s v="Clé plate 19"/>
    <n v="6.07"/>
    <x v="32"/>
    <x v="30"/>
    <s v="Amine"/>
    <s v="ELEC"/>
    <x v="89"/>
    <x v="0"/>
    <n v="1"/>
  </r>
  <r>
    <x v="11"/>
    <s v="Clé allen"/>
    <n v="27.5"/>
    <x v="32"/>
    <x v="30"/>
    <s v="Amine"/>
    <s v="ELEC"/>
    <x v="89"/>
    <x v="0"/>
    <n v="1"/>
  </r>
  <r>
    <x v="29"/>
    <s v="Outil à dégainer"/>
    <n v="20.5"/>
    <x v="32"/>
    <x v="30"/>
    <s v="Amine"/>
    <s v="ELEC"/>
    <x v="89"/>
    <x v="0"/>
    <n v="1"/>
  </r>
  <r>
    <x v="31"/>
    <s v="Pince à Sertir"/>
    <n v="78.400000000000006"/>
    <x v="32"/>
    <x v="30"/>
    <s v="Amine"/>
    <s v="ELEC"/>
    <x v="89"/>
    <x v="0"/>
    <n v="1"/>
  </r>
  <r>
    <x v="37"/>
    <s v="Testeur Fluke"/>
    <n v="0"/>
    <x v="32"/>
    <x v="30"/>
    <s v="Amine"/>
    <s v="ELEC"/>
    <x v="89"/>
    <x v="0"/>
    <n v="1"/>
  </r>
  <r>
    <x v="1"/>
    <s v="Boite embouts"/>
    <n v="27.61"/>
    <x v="32"/>
    <x v="30"/>
    <s v="Amine"/>
    <s v="ELEC"/>
    <x v="89"/>
    <x v="0"/>
    <n v="1"/>
  </r>
  <r>
    <x v="32"/>
    <s v="Pince colson"/>
    <n v="46.91"/>
    <x v="32"/>
    <x v="30"/>
    <s v="Amine"/>
    <s v="ELEC"/>
    <x v="89"/>
    <x v="0"/>
    <n v="1"/>
  </r>
  <r>
    <x v="19"/>
    <s v="Coupe câble"/>
    <n v="41.88"/>
    <x v="15"/>
    <x v="13"/>
    <s v="Maxime"/>
    <s v="GC"/>
    <x v="90"/>
    <x v="1"/>
    <n v="0"/>
  </r>
  <r>
    <x v="35"/>
    <s v="Scie à métaux"/>
    <n v="11.26"/>
    <x v="15"/>
    <x v="13"/>
    <s v="Maxime"/>
    <s v="GC"/>
    <x v="90"/>
    <x v="4"/>
    <n v="0"/>
  </r>
  <r>
    <x v="26"/>
    <s v="Massette"/>
    <n v="15.14"/>
    <x v="15"/>
    <x v="13"/>
    <s v="Maxime"/>
    <s v="GC"/>
    <x v="90"/>
    <x v="4"/>
    <n v="0"/>
  </r>
  <r>
    <x v="28"/>
    <s v="Niveau"/>
    <n v="15"/>
    <x v="15"/>
    <x v="13"/>
    <s v="Maxime"/>
    <s v="GC"/>
    <x v="90"/>
    <x v="4"/>
    <n v="0"/>
  </r>
  <r>
    <x v="23"/>
    <s v="Jeu tournevis"/>
    <n v="37.57"/>
    <x v="15"/>
    <x v="13"/>
    <s v="Maxime"/>
    <s v="GC"/>
    <x v="90"/>
    <x v="4"/>
    <n v="0"/>
  </r>
  <r>
    <x v="7"/>
    <s v="Clé à pipe 10"/>
    <n v="5.41"/>
    <x v="15"/>
    <x v="13"/>
    <s v="Maxime"/>
    <s v="GC"/>
    <x v="90"/>
    <x v="4"/>
    <n v="0"/>
  </r>
  <r>
    <x v="67"/>
    <s v="Clé à pipe 12"/>
    <n v="6.8"/>
    <x v="15"/>
    <x v="13"/>
    <s v="Maxime"/>
    <s v="GC"/>
    <x v="90"/>
    <x v="4"/>
    <n v="0"/>
  </r>
  <r>
    <x v="13"/>
    <s v="Clé plate 10"/>
    <n v="3.32"/>
    <x v="15"/>
    <x v="13"/>
    <s v="Maxime"/>
    <s v="GC"/>
    <x v="90"/>
    <x v="4"/>
    <n v="0"/>
  </r>
  <r>
    <x v="62"/>
    <s v="Clé plate 12"/>
    <n v="3"/>
    <x v="15"/>
    <x v="13"/>
    <s v="Maxime"/>
    <s v="GC"/>
    <x v="90"/>
    <x v="4"/>
    <n v="0"/>
  </r>
  <r>
    <x v="37"/>
    <s v="Testeur Fluke"/>
    <n v="0"/>
    <x v="15"/>
    <x v="13"/>
    <s v="Maxime"/>
    <s v="GC"/>
    <x v="90"/>
    <x v="1"/>
    <n v="0"/>
  </r>
  <r>
    <x v="39"/>
    <s v="Casque chantier"/>
    <n v="29.05"/>
    <x v="15"/>
    <x v="13"/>
    <s v="Maxime"/>
    <s v="GC"/>
    <x v="90"/>
    <x v="2"/>
    <n v="0"/>
  </r>
  <r>
    <x v="24"/>
    <s v="Lampe frontale"/>
    <n v="42.5"/>
    <x v="15"/>
    <x v="13"/>
    <s v="Maxime"/>
    <s v="GC"/>
    <x v="90"/>
    <x v="2"/>
    <n v="0"/>
  </r>
  <r>
    <x v="68"/>
    <s v="Douille de 16"/>
    <n v="2.67"/>
    <x v="15"/>
    <x v="13"/>
    <s v="Maxime"/>
    <s v="GC"/>
    <x v="90"/>
    <x v="4"/>
    <n v="0"/>
  </r>
  <r>
    <x v="0"/>
    <s v="Augmentateur 1/2 à 3/4"/>
    <n v="20.29"/>
    <x v="5"/>
    <x v="4"/>
    <s v="Jonathan"/>
    <s v="ELEC"/>
    <x v="91"/>
    <x v="4"/>
    <n v="0"/>
  </r>
  <r>
    <x v="1"/>
    <s v="Boite embouts"/>
    <n v="27.61"/>
    <x v="5"/>
    <x v="4"/>
    <s v="Jonathan"/>
    <s v="ELEC"/>
    <x v="91"/>
    <x v="4"/>
    <n v="0"/>
  </r>
  <r>
    <x v="3"/>
    <s v="Burin plat"/>
    <n v="11.89"/>
    <x v="5"/>
    <x v="4"/>
    <s v="Jonathan"/>
    <s v="ELEC"/>
    <x v="91"/>
    <x v="4"/>
    <n v="0"/>
  </r>
  <r>
    <x v="4"/>
    <s v="Burin pointu"/>
    <n v="8.7200000000000006"/>
    <x v="5"/>
    <x v="4"/>
    <s v="Jonathan"/>
    <s v="ELEC"/>
    <x v="91"/>
    <x v="4"/>
    <n v="0"/>
  </r>
  <r>
    <x v="5"/>
    <s v="Cadena"/>
    <n v="13"/>
    <x v="5"/>
    <x v="4"/>
    <s v="Jonathan"/>
    <s v="ELEC"/>
    <x v="91"/>
    <x v="4"/>
    <n v="0"/>
  </r>
  <r>
    <x v="39"/>
    <s v="Casque chantier"/>
    <n v="29.05"/>
    <x v="5"/>
    <x v="4"/>
    <s v="Jonathan"/>
    <s v="ELEC"/>
    <x v="91"/>
    <x v="4"/>
    <n v="0"/>
  </r>
  <r>
    <x v="6"/>
    <s v="Clé à molette"/>
    <n v="16.12"/>
    <x v="5"/>
    <x v="4"/>
    <s v="Jonathan"/>
    <s v="ELEC"/>
    <x v="91"/>
    <x v="4"/>
    <n v="0"/>
  </r>
  <r>
    <x v="7"/>
    <s v="Clé à pipe 10"/>
    <n v="5.41"/>
    <x v="5"/>
    <x v="4"/>
    <s v="Jonathan"/>
    <s v="ELEC"/>
    <x v="91"/>
    <x v="4"/>
    <n v="0"/>
  </r>
  <r>
    <x v="8"/>
    <s v="Clé à pipe 13"/>
    <n v="6.23"/>
    <x v="5"/>
    <x v="4"/>
    <s v="Jonathan"/>
    <s v="ELEC"/>
    <x v="91"/>
    <x v="4"/>
    <n v="0"/>
  </r>
  <r>
    <x v="43"/>
    <s v="Clé à pipe 16"/>
    <n v="9.1999999999999993"/>
    <x v="5"/>
    <x v="4"/>
    <s v="Jonathan"/>
    <s v="ELEC"/>
    <x v="91"/>
    <x v="4"/>
    <n v="0"/>
  </r>
  <r>
    <x v="9"/>
    <s v="Clé à pipe 17"/>
    <n v="9.36"/>
    <x v="5"/>
    <x v="4"/>
    <s v="Jonathan"/>
    <s v="ELEC"/>
    <x v="91"/>
    <x v="4"/>
    <n v="0"/>
  </r>
  <r>
    <x v="10"/>
    <s v="Clé à pipe 19"/>
    <n v="10.4"/>
    <x v="5"/>
    <x v="4"/>
    <s v="Jonathan"/>
    <s v="ELEC"/>
    <x v="91"/>
    <x v="4"/>
    <n v="0"/>
  </r>
  <r>
    <x v="44"/>
    <s v="Clé à pipe 8"/>
    <n v="4.8499999999999996"/>
    <x v="5"/>
    <x v="4"/>
    <s v="Jonathan"/>
    <s v="ELEC"/>
    <x v="91"/>
    <x v="4"/>
    <n v="0"/>
  </r>
  <r>
    <x v="11"/>
    <s v="Clé allen"/>
    <n v="27.5"/>
    <x v="5"/>
    <x v="4"/>
    <s v="Jonathan"/>
    <s v="ELEC"/>
    <x v="91"/>
    <x v="4"/>
    <n v="0"/>
  </r>
  <r>
    <x v="45"/>
    <s v="Clé mixte 8"/>
    <n v="3.05"/>
    <x v="5"/>
    <x v="4"/>
    <s v="Jonathan"/>
    <s v="ELEC"/>
    <x v="91"/>
    <x v="4"/>
    <n v="0"/>
  </r>
  <r>
    <x v="13"/>
    <s v="Clé plate 10"/>
    <n v="3.32"/>
    <x v="5"/>
    <x v="4"/>
    <s v="Jonathan"/>
    <s v="ELEC"/>
    <x v="91"/>
    <x v="4"/>
    <n v="0"/>
  </r>
  <r>
    <x v="14"/>
    <s v="Clé plate 13"/>
    <n v="3.91"/>
    <x v="5"/>
    <x v="4"/>
    <s v="Jonathan"/>
    <s v="ELEC"/>
    <x v="91"/>
    <x v="4"/>
    <n v="0"/>
  </r>
  <r>
    <x v="15"/>
    <s v="Clé plate 17"/>
    <n v="5.5"/>
    <x v="5"/>
    <x v="4"/>
    <s v="Jonathan"/>
    <s v="ELEC"/>
    <x v="91"/>
    <x v="4"/>
    <n v="0"/>
  </r>
  <r>
    <x v="16"/>
    <s v="Clé plate 19"/>
    <n v="6.07"/>
    <x v="5"/>
    <x v="4"/>
    <s v="Jonathan"/>
    <s v="ELEC"/>
    <x v="91"/>
    <x v="4"/>
    <n v="0"/>
  </r>
  <r>
    <x v="46"/>
    <s v="Clé plate cliquet 22"/>
    <n v="23.67"/>
    <x v="5"/>
    <x v="4"/>
    <s v="Jonathan"/>
    <s v="ELEC"/>
    <x v="91"/>
    <x v="4"/>
    <n v="0"/>
  </r>
  <r>
    <x v="17"/>
    <s v="Coffre"/>
    <n v="54.54"/>
    <x v="5"/>
    <x v="4"/>
    <s v="Jonathan"/>
    <s v="ELEC"/>
    <x v="91"/>
    <x v="4"/>
    <n v="0"/>
  </r>
  <r>
    <x v="18"/>
    <s v="Coffret douilles"/>
    <n v="103.22"/>
    <x v="5"/>
    <x v="4"/>
    <s v="Jonathan"/>
    <s v="ELEC"/>
    <x v="91"/>
    <x v="4"/>
    <n v="0"/>
  </r>
  <r>
    <x v="19"/>
    <s v="Coupe câble"/>
    <n v="41.88"/>
    <x v="5"/>
    <x v="4"/>
    <s v="Jonathan"/>
    <s v="ELEC"/>
    <x v="91"/>
    <x v="4"/>
    <n v="0"/>
  </r>
  <r>
    <x v="40"/>
    <s v="Couteau électricien"/>
    <n v="17.149999999999999"/>
    <x v="5"/>
    <x v="4"/>
    <s v="Jonathan"/>
    <s v="ELEC"/>
    <x v="91"/>
    <x v="4"/>
    <n v="0"/>
  </r>
  <r>
    <x v="20"/>
    <s v="Cutter"/>
    <n v="4.8499999999999996"/>
    <x v="5"/>
    <x v="4"/>
    <s v="Jonathan"/>
    <s v="ELEC"/>
    <x v="91"/>
    <x v="4"/>
    <n v="0"/>
  </r>
  <r>
    <x v="21"/>
    <s v="Douille impact 3/4 longueur 36mm"/>
    <n v="0"/>
    <x v="5"/>
    <x v="4"/>
    <s v="Jonathan"/>
    <s v="ELEC"/>
    <x v="91"/>
    <x v="1"/>
    <n v="0"/>
  </r>
  <r>
    <x v="47"/>
    <s v="Jeu de Clés mixte à cliquet"/>
    <n v="176"/>
    <x v="5"/>
    <x v="4"/>
    <s v="Jonathan"/>
    <s v="ELEC"/>
    <x v="91"/>
    <x v="4"/>
    <n v="0"/>
  </r>
  <r>
    <x v="48"/>
    <s v="Jeu de tournevis pro avec embouts de vissage 1/4 ref 438-008"/>
    <n v="0"/>
    <x v="5"/>
    <x v="4"/>
    <s v="Jonathan"/>
    <s v="ELEC"/>
    <x v="91"/>
    <x v="4"/>
    <n v="0"/>
  </r>
  <r>
    <x v="23"/>
    <s v="Jeu tournevis"/>
    <n v="37.57"/>
    <x v="5"/>
    <x v="4"/>
    <s v="Jonathan"/>
    <s v="ELEC"/>
    <x v="91"/>
    <x v="4"/>
    <n v="0"/>
  </r>
  <r>
    <x v="24"/>
    <s v="Lampe frontale"/>
    <n v="42.5"/>
    <x v="5"/>
    <x v="4"/>
    <s v="Jonathan"/>
    <s v="ELEC"/>
    <x v="91"/>
    <x v="4"/>
    <n v="0"/>
  </r>
  <r>
    <x v="25"/>
    <s v="lime demi ronde"/>
    <n v="7.59"/>
    <x v="5"/>
    <x v="4"/>
    <s v="Jonathan"/>
    <s v="ELEC"/>
    <x v="91"/>
    <x v="4"/>
    <n v="0"/>
  </r>
  <r>
    <x v="38"/>
    <s v="Lunette de protection"/>
    <n v="2.38"/>
    <x v="5"/>
    <x v="4"/>
    <s v="Jonathan"/>
    <s v="ELEC"/>
    <x v="91"/>
    <x v="2"/>
    <n v="0"/>
  </r>
  <r>
    <x v="26"/>
    <s v="Massette"/>
    <n v="15.14"/>
    <x v="5"/>
    <x v="4"/>
    <s v="Jonathan"/>
    <s v="ELEC"/>
    <x v="91"/>
    <x v="4"/>
    <n v="0"/>
  </r>
  <r>
    <x v="27"/>
    <s v="Mètre pliant"/>
    <n v="3.2"/>
    <x v="5"/>
    <x v="4"/>
    <s v="Jonathan"/>
    <s v="ELEC"/>
    <x v="91"/>
    <x v="4"/>
    <n v="0"/>
  </r>
  <r>
    <x v="28"/>
    <s v="Niveau"/>
    <n v="15"/>
    <x v="5"/>
    <x v="4"/>
    <s v="Jonathan"/>
    <s v="ELEC"/>
    <x v="91"/>
    <x v="4"/>
    <n v="0"/>
  </r>
  <r>
    <x v="29"/>
    <s v="Outil à dégainer"/>
    <n v="20.5"/>
    <x v="5"/>
    <x v="4"/>
    <s v="Jonathan"/>
    <s v="ELEC"/>
    <x v="91"/>
    <x v="4"/>
    <n v="0"/>
  </r>
  <r>
    <x v="49"/>
    <s v="Pince à bec plat"/>
    <n v="20.8"/>
    <x v="5"/>
    <x v="4"/>
    <s v="Jonathan"/>
    <s v="ELEC"/>
    <x v="91"/>
    <x v="4"/>
    <n v="0"/>
  </r>
  <r>
    <x v="30"/>
    <s v="Pince à dénuder"/>
    <n v="24.55"/>
    <x v="5"/>
    <x v="4"/>
    <s v="Jonathan"/>
    <s v="ELEC"/>
    <x v="91"/>
    <x v="4"/>
    <n v="0"/>
  </r>
  <r>
    <x v="50"/>
    <s v="Pince à long bec"/>
    <n v="0"/>
    <x v="5"/>
    <x v="4"/>
    <s v="Jonathan"/>
    <s v="ELEC"/>
    <x v="91"/>
    <x v="4"/>
    <n v="0"/>
  </r>
  <r>
    <x v="31"/>
    <s v="Pince à Sertir"/>
    <n v="78.400000000000006"/>
    <x v="5"/>
    <x v="4"/>
    <s v="Jonathan"/>
    <s v="ELEC"/>
    <x v="91"/>
    <x v="4"/>
    <n v="0"/>
  </r>
  <r>
    <x v="32"/>
    <s v="Pince colson"/>
    <n v="46.91"/>
    <x v="5"/>
    <x v="4"/>
    <s v="Jonathan"/>
    <s v="ELEC"/>
    <x v="91"/>
    <x v="4"/>
    <n v="0"/>
  </r>
  <r>
    <x v="33"/>
    <s v="Pince coupante 1000v"/>
    <n v="20.87"/>
    <x v="5"/>
    <x v="4"/>
    <s v="Jonathan"/>
    <s v="ELEC"/>
    <x v="91"/>
    <x v="4"/>
    <n v="0"/>
  </r>
  <r>
    <x v="34"/>
    <s v="Pince étau"/>
    <n v="16.02"/>
    <x v="5"/>
    <x v="4"/>
    <s v="Jonathan"/>
    <s v="ELEC"/>
    <x v="91"/>
    <x v="4"/>
    <n v="0"/>
  </r>
  <r>
    <x v="52"/>
    <s v="Pince multiprise"/>
    <n v="27.2"/>
    <x v="5"/>
    <x v="4"/>
    <s v="Jonathan"/>
    <s v="ELEC"/>
    <x v="91"/>
    <x v="4"/>
    <n v="0"/>
  </r>
  <r>
    <x v="74"/>
    <s v="Pioche d'égouttier"/>
    <n v="60.58"/>
    <x v="5"/>
    <x v="4"/>
    <s v="Jonathan"/>
    <s v="ELEC"/>
    <x v="91"/>
    <x v="4"/>
    <n v="0"/>
  </r>
  <r>
    <x v="74"/>
    <s v="Pioche d'égouttier"/>
    <n v="60.58"/>
    <x v="5"/>
    <x v="4"/>
    <s v="Jonathan"/>
    <s v="ELEC"/>
    <x v="91"/>
    <x v="4"/>
    <n v="0"/>
  </r>
  <r>
    <x v="35"/>
    <s v="Scie à métaux"/>
    <n v="11.26"/>
    <x v="5"/>
    <x v="4"/>
    <s v="Jonathan"/>
    <s v="ELEC"/>
    <x v="91"/>
    <x v="4"/>
    <n v="0"/>
  </r>
  <r>
    <x v="39"/>
    <s v="Casque chantier"/>
    <n v="29.05"/>
    <x v="32"/>
    <x v="30"/>
    <s v="Amine"/>
    <s v="ELEC"/>
    <x v="92"/>
    <x v="0"/>
    <n v="1"/>
  </r>
  <r>
    <x v="74"/>
    <s v="Pioche d'égouttier"/>
    <n v="60.58"/>
    <x v="1"/>
    <x v="1"/>
    <s v="Ali"/>
    <s v="ELEC"/>
    <x v="93"/>
    <x v="0"/>
    <n v="1"/>
  </r>
  <r>
    <x v="74"/>
    <s v="Pioche d'égouttier"/>
    <n v="60.58"/>
    <x v="1"/>
    <x v="1"/>
    <s v="Ali"/>
    <s v="ELEC"/>
    <x v="93"/>
    <x v="0"/>
    <n v="1"/>
  </r>
  <r>
    <x v="77"/>
    <s v="Coffret dogher gris + 2 boites rangement pour CDGU"/>
    <n v="130"/>
    <x v="1"/>
    <x v="1"/>
    <s v="Ali"/>
    <s v="ELEC"/>
    <x v="94"/>
    <x v="0"/>
    <n v="1"/>
  </r>
  <r>
    <x v="78"/>
    <s v="Pince cerclips + boites clips"/>
    <n v="34.130000000000003"/>
    <x v="12"/>
    <x v="11"/>
    <s v="Ludowic"/>
    <s v="RE"/>
    <x v="95"/>
    <x v="0"/>
    <n v="1"/>
  </r>
  <r>
    <x v="17"/>
    <s v="Coffre"/>
    <n v="54.54"/>
    <x v="12"/>
    <x v="11"/>
    <s v="Ludowic"/>
    <s v="RE"/>
    <x v="95"/>
    <x v="0"/>
    <n v="1"/>
  </r>
  <r>
    <x v="5"/>
    <s v="Cadena"/>
    <n v="13"/>
    <x v="12"/>
    <x v="11"/>
    <s v="Ludowic"/>
    <s v="RE"/>
    <x v="95"/>
    <x v="0"/>
    <n v="1"/>
  </r>
  <r>
    <x v="79"/>
    <s v="Clé mixte 17"/>
    <n v="6.53"/>
    <x v="26"/>
    <x v="24"/>
    <s v="Nicolas"/>
    <s v="AD"/>
    <x v="96"/>
    <x v="0"/>
    <n v="1"/>
  </r>
  <r>
    <x v="80"/>
    <s v="Clé mixte 27"/>
    <n v="11.75"/>
    <x v="26"/>
    <x v="24"/>
    <s v="Nicolas"/>
    <s v="AD"/>
    <x v="97"/>
    <x v="0"/>
    <n v="1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">
  <r>
    <x v="0"/>
    <s v="Cadenas"/>
    <n v="5.5"/>
    <x v="0"/>
    <x v="0"/>
    <s v="Carine"/>
    <s v="AD"/>
    <x v="0"/>
    <x v="0"/>
  </r>
  <r>
    <x v="0"/>
    <s v="Cadenas"/>
    <n v="5.5"/>
    <x v="1"/>
    <x v="1"/>
    <s v="Isoline"/>
    <s v="AD"/>
    <x v="1"/>
    <x v="1"/>
  </r>
  <r>
    <x v="1"/>
    <s v="Coffre "/>
    <n v="23.56"/>
    <x v="2"/>
    <x v="2"/>
    <s v="Julien"/>
    <s v="CC"/>
    <x v="2"/>
    <x v="0"/>
  </r>
  <r>
    <x v="0"/>
    <s v="Cadenas"/>
    <n v="5.5"/>
    <x v="3"/>
    <x v="3"/>
    <s v="Joël"/>
    <s v="RA"/>
    <x v="3"/>
    <x v="1"/>
  </r>
  <r>
    <x v="2"/>
    <s v="Clef à molette "/>
    <n v="99.9"/>
    <x v="2"/>
    <x v="2"/>
    <s v="Julien"/>
    <s v="CC"/>
    <x v="0"/>
    <x v="0"/>
  </r>
  <r>
    <x v="3"/>
    <e v="#N/A"/>
    <e v="#N/A"/>
    <x v="4"/>
    <x v="4"/>
    <e v="#N/A"/>
    <e v="#N/A"/>
    <x v="4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D7556D9-3BFB-4950-BF1E-A6D68804222F}" name="Tableau croisé dynamique1" cacheId="44" applyNumberFormats="0" applyBorderFormats="0" applyFontFormats="0" applyPatternFormats="0" applyAlignmentFormats="0" applyWidthHeightFormats="1" dataCaption="Valeurs" updatedVersion="6" minRefreshableVersion="3" useAutoFormatting="1" itemPrintTitles="1" createdVersion="6" indent="0" compact="0" compactData="0" multipleFieldFilters="0">
  <location ref="D3:I8" firstHeaderRow="0" firstDataRow="1" firstDataCol="4"/>
  <pivotFields count="12">
    <pivotField axis="axisRow" dataField="1" compact="0" outline="0" showAll="0" defaultSubtotal="0">
      <items count="87">
        <item h="1" m="1" x="84"/>
        <item h="1" m="1" x="86"/>
        <item h="1" m="1" x="83"/>
        <item h="1" m="1" x="81"/>
        <item h="1" x="5"/>
        <item h="1" x="17"/>
        <item h="1" x="6"/>
        <item h="1" x="30"/>
        <item h="1" x="25"/>
        <item h="1" x="33"/>
        <item h="1" x="19"/>
        <item h="1" x="35"/>
        <item h="1" x="27"/>
        <item h="1" x="3"/>
        <item h="1" x="4"/>
        <item h="1" x="26"/>
        <item h="1" x="28"/>
        <item h="1" x="23"/>
        <item h="1" x="34"/>
        <item h="1" x="18"/>
        <item h="1" x="42"/>
        <item h="1" x="45"/>
        <item h="1" x="44"/>
        <item h="1" x="7"/>
        <item h="1" x="67"/>
        <item h="1" x="8"/>
        <item h="1" x="55"/>
        <item h="1" x="43"/>
        <item h="1" x="9"/>
        <item h="1" x="10"/>
        <item h="1" x="13"/>
        <item h="1" x="62"/>
        <item h="1" x="14"/>
        <item h="1" x="56"/>
        <item h="1" x="15"/>
        <item h="1" x="16"/>
        <item h="1" x="59"/>
        <item h="1" x="60"/>
        <item h="1" x="61"/>
        <item h="1" x="63"/>
        <item h="1" x="64"/>
        <item h="1" x="65"/>
        <item h="1" x="36"/>
        <item h="1" x="51"/>
        <item h="1" x="20"/>
        <item h="1" x="11"/>
        <item h="1" x="29"/>
        <item h="1" x="31"/>
        <item h="1" x="37"/>
        <item h="1" x="1"/>
        <item h="1" x="32"/>
        <item h="1" x="38"/>
        <item h="1" x="39"/>
        <item h="1" x="24"/>
        <item h="1" x="48"/>
        <item h="1" x="52"/>
        <item h="1" x="68"/>
        <item h="1" x="53"/>
        <item h="1" x="54"/>
        <item h="1" x="12"/>
        <item h="1" x="69"/>
        <item h="1" m="1" x="85"/>
        <item x="70"/>
        <item h="1" x="40"/>
        <item h="1" x="50"/>
        <item h="1" x="57"/>
        <item h="1" x="58"/>
        <item h="1" x="74"/>
        <item h="1" x="71"/>
        <item h="1" x="21"/>
        <item h="1" x="0"/>
        <item h="1" x="22"/>
        <item h="1" x="66"/>
        <item h="1" x="2"/>
        <item h="1" x="49"/>
        <item h="1" x="41"/>
        <item h="1" x="72"/>
        <item h="1" x="73"/>
        <item h="1" x="46"/>
        <item h="1" x="75"/>
        <item h="1" x="76"/>
        <item h="1" x="47"/>
        <item h="1" m="1" x="82"/>
        <item h="1" x="77"/>
        <item h="1" x="78"/>
        <item h="1" x="79"/>
        <item h="1" x="80"/>
      </items>
    </pivotField>
    <pivotField compact="0" outline="0" showAll="0" defaultSubtotal="0"/>
    <pivotField dataField="1" compact="0" outline="0" showAll="0" defaultSubtotal="0"/>
    <pivotField compact="0" outline="0" showAll="0" defaultSubtotal="0">
      <items count="37">
        <item x="20"/>
        <item m="1" x="36"/>
        <item m="1" x="35"/>
        <item m="1" x="33"/>
        <item x="30"/>
        <item x="0"/>
        <item x="5"/>
        <item x="6"/>
        <item x="9"/>
        <item x="10"/>
        <item x="13"/>
        <item x="16"/>
        <item x="17"/>
        <item x="18"/>
        <item x="19"/>
        <item x="1"/>
        <item x="4"/>
        <item x="8"/>
        <item x="14"/>
        <item x="12"/>
        <item x="15"/>
        <item x="21"/>
        <item x="3"/>
        <item x="11"/>
        <item x="2"/>
        <item x="7"/>
        <item m="1" x="34"/>
        <item x="22"/>
        <item x="23"/>
        <item x="24"/>
        <item x="25"/>
        <item x="26"/>
        <item x="27"/>
        <item x="28"/>
        <item x="29"/>
        <item x="31"/>
        <item x="32"/>
      </items>
    </pivotField>
    <pivotField axis="axisRow" compact="0" outline="0" showAll="0" includeNewItemsInFilter="1" sortType="ascending" defaultSubtotal="0">
      <items count="35">
        <item x="0"/>
        <item x="1"/>
        <item x="2"/>
        <item x="3"/>
        <item x="21"/>
        <item x="22"/>
        <item x="23"/>
        <item x="26"/>
        <item x="20"/>
        <item x="24"/>
        <item x="4"/>
        <item x="5"/>
        <item x="27"/>
        <item x="6"/>
        <item x="7"/>
        <item x="8"/>
        <item x="9"/>
        <item x="28"/>
        <item m="1" x="33"/>
        <item x="10"/>
        <item x="25"/>
        <item x="11"/>
        <item x="12"/>
        <item x="13"/>
        <item x="14"/>
        <item x="15"/>
        <item x="16"/>
        <item x="17"/>
        <item x="18"/>
        <item m="1" x="32"/>
        <item x="30"/>
        <item x="29"/>
        <item x="19"/>
        <item m="1" x="34"/>
        <item m="1" x="31"/>
      </items>
    </pivotField>
    <pivotField compact="0" outline="0" showAll="0" defaultSubtotal="0"/>
    <pivotField compact="0" outline="0" showAll="0" defaultSubtotal="0"/>
    <pivotField compact="0" outline="0" showAll="0" defaultSubtota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</items>
    </pivotField>
    <pivotField axis="axisRow" compact="0" outline="0" showAll="0" defaultSubtotal="0">
      <items count="6">
        <item x="2"/>
        <item x="3"/>
        <item x="1"/>
        <item x="0"/>
        <item m="1" x="5"/>
        <item x="4"/>
      </items>
    </pivotField>
    <pivotField compact="0" outline="0" subtotalTop="0" showAll="0" defaultSubtotal="0"/>
    <pivotField compact="0" outline="0" subtotalTop="0" showAll="0" defaultSubtotal="0">
      <items count="6">
        <item sd="0" x="1"/>
        <item sd="0" x="2"/>
        <item sd="0" x="3"/>
        <item sd="0" x="4"/>
        <item x="0"/>
        <item x="5"/>
      </items>
    </pivotField>
    <pivotField axis="axisRow" compact="0" outline="0" subtotalTop="0" showAll="0" defaultSubtotal="0">
      <items count="7">
        <item sd="0" x="1"/>
        <item sd="0" x="2"/>
        <item sd="0" x="3"/>
        <item x="4"/>
        <item x="5"/>
        <item x="0"/>
        <item x="6"/>
      </items>
    </pivotField>
  </pivotFields>
  <rowFields count="4">
    <field x="4"/>
    <field x="8"/>
    <field x="11"/>
    <field x="0"/>
  </rowFields>
  <rowItems count="5">
    <i>
      <x v="6"/>
      <x v="3"/>
      <x v="5"/>
      <x v="62"/>
    </i>
    <i>
      <x v="7"/>
      <x v="3"/>
      <x v="5"/>
      <x v="62"/>
    </i>
    <i>
      <x v="15"/>
      <x v="3"/>
      <x v="4"/>
      <x v="62"/>
    </i>
    <i>
      <x v="27"/>
      <x v="3"/>
      <x v="3"/>
      <x v="62"/>
    </i>
    <i t="grand">
      <x/>
    </i>
  </rowItems>
  <colFields count="1">
    <field x="-2"/>
  </colFields>
  <colItems count="2">
    <i>
      <x/>
    </i>
    <i i="1">
      <x v="1"/>
    </i>
  </colItems>
  <dataFields count="2">
    <dataField name="NB Réf. matériel" fld="0" subtotal="count" baseField="4" baseItem="1"/>
    <dataField name="Montant" fld="2" baseField="4" baseItem="1" numFmtId="164"/>
  </dataFields>
  <formats count="29">
    <format dxfId="70">
      <pivotArea field="0" dataOnly="0" labelOnly="1" grandRow="1" outline="0" axis="axisRow" fieldPosition="3">
        <references count="1">
          <reference field="4294967294" count="1" selected="0">
            <x v="0"/>
          </reference>
        </references>
      </pivotArea>
    </format>
    <format dxfId="69">
      <pivotArea field="0" dataOnly="0" labelOnly="1" grandRow="1" outline="0" axis="axisRow" fieldPosition="3">
        <references count="1">
          <reference field="4294967294" count="1" selected="0">
            <x v="1"/>
          </reference>
        </references>
      </pivotArea>
    </format>
    <format dxfId="68">
      <pivotArea field="0" grandRow="1" outline="0" axis="axisRow" fieldPosition="3">
        <references count="1">
          <reference field="4294967294" count="2" selected="0">
            <x v="0"/>
            <x v="1"/>
          </reference>
        </references>
      </pivotArea>
    </format>
    <format dxfId="67">
      <pivotArea field="0" grandRow="1" outline="0" axis="axisRow" fieldPosition="3">
        <references count="1">
          <reference field="4294967294" count="2" selected="0">
            <x v="0"/>
            <x v="1"/>
          </reference>
        </references>
      </pivotArea>
    </format>
    <format dxfId="66">
      <pivotArea type="origin" dataOnly="0" labelOnly="1" outline="0" fieldPosition="0"/>
    </format>
    <format dxfId="65">
      <pivotArea field="0" type="button" dataOnly="0" labelOnly="1" outline="0" axis="axisRow" fieldPosition="3"/>
    </format>
    <format dxfId="64">
      <pivotArea field="-2" type="button" dataOnly="0" labelOnly="1" outline="0" axis="axisCol" fieldPosition="0"/>
    </format>
    <format dxfId="63">
      <pivotArea type="topRight" dataOnly="0" labelOnly="1" outline="0" fieldPosition="0"/>
    </format>
    <format dxfId="62">
      <pivotArea field="3" type="button" dataOnly="0" labelOnly="1" outline="0"/>
    </format>
    <format dxfId="61">
      <pivotArea field="4" type="button" dataOnly="0" labelOnly="1" outline="0" axis="axisRow" fieldPosition="0"/>
    </format>
    <format dxfId="60">
      <pivotArea dataOnly="0" labelOnly="1" outline="0" fieldPosition="0">
        <references count="1">
          <reference field="0" count="2">
            <x v="1"/>
            <x v="2"/>
          </reference>
        </references>
      </pivotArea>
    </format>
    <format dxfId="59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"/>
          </reference>
        </references>
      </pivotArea>
    </format>
    <format dxfId="58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2"/>
          </reference>
        </references>
      </pivotArea>
    </format>
    <format dxfId="57">
      <pivotArea type="origin" dataOnly="0" labelOnly="1" outline="0" fieldPosition="0"/>
    </format>
    <format dxfId="56">
      <pivotArea field="0" type="button" dataOnly="0" labelOnly="1" outline="0" axis="axisRow" fieldPosition="3"/>
    </format>
    <format dxfId="55">
      <pivotArea field="-2" type="button" dataOnly="0" labelOnly="1" outline="0" axis="axisCol" fieldPosition="0"/>
    </format>
    <format dxfId="54">
      <pivotArea type="topRight" dataOnly="0" labelOnly="1" outline="0" fieldPosition="0"/>
    </format>
    <format dxfId="53">
      <pivotArea field="3" type="button" dataOnly="0" labelOnly="1" outline="0"/>
    </format>
    <format dxfId="52">
      <pivotArea field="4" type="button" dataOnly="0" labelOnly="1" outline="0" axis="axisRow" fieldPosition="0"/>
    </format>
    <format dxfId="51">
      <pivotArea dataOnly="0" labelOnly="1" outline="0" fieldPosition="0">
        <references count="1">
          <reference field="0" count="2">
            <x v="1"/>
            <x v="2"/>
          </reference>
        </references>
      </pivotArea>
    </format>
    <format dxfId="50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"/>
          </reference>
        </references>
      </pivotArea>
    </format>
    <format dxfId="49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2"/>
          </reference>
        </references>
      </pivotArea>
    </format>
    <format dxfId="48">
      <pivotArea outline="0" fieldPosition="0">
        <references count="2">
          <reference field="4294967294" count="2" selected="0">
            <x v="0"/>
            <x v="1"/>
          </reference>
          <reference field="0" count="2" selected="0">
            <x v="1"/>
            <x v="2"/>
          </reference>
        </references>
      </pivotArea>
    </format>
    <format dxfId="47">
      <pivotArea field="0" type="button" dataOnly="0" labelOnly="1" outline="0" axis="axisRow" fieldPosition="3"/>
    </format>
    <format dxfId="46">
      <pivotArea field="-2" type="button" dataOnly="0" labelOnly="1" outline="0" axis="axisCol" fieldPosition="0"/>
    </format>
    <format dxfId="45">
      <pivotArea type="topRight" dataOnly="0" labelOnly="1" outline="0" fieldPosition="0"/>
    </format>
    <format dxfId="44">
      <pivotArea dataOnly="0" labelOnly="1" outline="0" fieldPosition="0">
        <references count="1">
          <reference field="0" count="2">
            <x v="1"/>
            <x v="2"/>
          </reference>
        </references>
      </pivotArea>
    </format>
    <format dxfId="43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1"/>
          </reference>
        </references>
      </pivotArea>
    </format>
    <format dxfId="42">
      <pivotArea dataOnly="0" labelOnly="1" outline="0" fieldPosition="0">
        <references count="2">
          <reference field="4294967294" count="2">
            <x v="0"/>
            <x v="1"/>
          </reference>
          <reference field="0" count="1" selected="0">
            <x v="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État" xr10:uid="{99011B91-0F03-4941-ABF8-6D163BF4C8BF}" sourceName="État">
  <pivotTables>
    <pivotTable tabId="13" name="Tableau croisé dynamique1"/>
  </pivotTables>
  <data>
    <tabular pivotCacheId="1722236824">
      <items count="6">
        <i x="0" s="1"/>
        <i x="2" s="1" nd="1"/>
        <i x="3" s="1" nd="1"/>
        <i x="1" s="1" nd="1"/>
        <i x="4" s="1" nd="1"/>
        <i x="5" s="1" nd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egment_Matricule" xr10:uid="{0F63659F-024D-4B1B-BF2A-6F53F23874C4}" sourceName="Matricule">
  <pivotTables>
    <pivotTable tabId="13" name="Tableau croisé dynamique1"/>
  </pivotTables>
  <data>
    <tabular pivotCacheId="1722236824">
      <items count="37">
        <i x="25" s="1"/>
        <i x="28" s="1"/>
        <i x="9" s="1"/>
        <i x="19" s="1"/>
        <i x="1" s="1" nd="1"/>
        <i x="4" s="1" nd="1"/>
        <i x="32" s="1" nd="1"/>
        <i x="27" s="1" nd="1"/>
        <i x="10" s="1" nd="1"/>
        <i x="20" s="1" nd="1"/>
        <i x="23" s="1" nd="1"/>
        <i x="24" s="1" nd="1"/>
        <i x="22" s="1" nd="1"/>
        <i x="11" s="1" nd="1"/>
        <i x="31" s="1" nd="1"/>
        <i x="34" s="1" nd="1"/>
        <i x="21" s="1" nd="1"/>
        <i x="8" s="1" nd="1"/>
        <i x="2" s="1" nd="1"/>
        <i x="36" s="1" nd="1"/>
        <i x="5" s="1" nd="1"/>
        <i x="30" s="1" nd="1"/>
        <i x="35" s="1" nd="1"/>
        <i x="14" s="1" nd="1"/>
        <i x="12" s="1" nd="1"/>
        <i x="18" s="1" nd="1"/>
        <i x="7" s="1" nd="1"/>
        <i x="15" s="1" nd="1"/>
        <i x="17" s="1" nd="1"/>
        <i x="26" s="1" nd="1"/>
        <i x="0" s="1" nd="1"/>
        <i x="6" s="1" nd="1"/>
        <i x="3" s="1" nd="1"/>
        <i x="29" s="1" nd="1"/>
        <i x="16" s="1" nd="1"/>
        <i x="13" s="1" nd="1"/>
        <i x="33" s="1" nd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État" xr10:uid="{CF6ABE1F-A6EC-4A2D-BE4B-9E531A1F4500}" cache="Segment_État" caption="État" rowHeight="241300"/>
  <slicer name="Matricule" xr10:uid="{8442CC20-7597-42EE-854C-D11A86C5A525}" cache="Segment_Matricule" caption="Matricule" startItem="1" rowHeight="23495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42BF9D-F9C6-40C6-98F0-A70AEE830EA7}" name="Tableau1" displayName="Tableau1" ref="B3:E43" totalsRowShown="0">
  <autoFilter ref="B3:E43" xr:uid="{D7266E53-F196-4838-AB89-17B542AF180E}"/>
  <tableColumns count="4">
    <tableColumn id="1" xr3:uid="{0CA78596-1918-456B-80EE-5FEA50E33B63}" name="Matricule"/>
    <tableColumn id="2" xr3:uid="{3A7ED751-A0C4-4522-93A7-9D645CB9E49C}" name="Nom"/>
    <tableColumn id="3" xr3:uid="{A8EC2FB7-8FAC-4FFD-A42D-FC7EC60FE96D}" name="Prénom"/>
    <tableColumn id="4" xr3:uid="{1B752D58-7B3F-4833-8F31-8DA53064EBD7}" name="Service"/>
  </tableColumns>
  <tableStyleInfo name="TableStyleLight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CCB1C33-53A9-4ADB-8B54-9092E65454AD}" name="Tableau2" displayName="Tableau2" ref="G3:G11" totalsRowShown="0">
  <autoFilter ref="G3:G11" xr:uid="{EE8C231C-07FE-4D4F-8C41-ED10B42E0601}"/>
  <tableColumns count="1">
    <tableColumn id="1" xr3:uid="{023686BD-0ECB-4630-8114-1618F052B401}" name="État"/>
  </tableColumns>
  <tableStyleInfo name="TableStyleLight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2F113D0-0471-4EFE-94D3-20CECF8BC7E9}" name="Tableau3" displayName="Tableau3" ref="I3:K86" totalsRowShown="0">
  <autoFilter ref="I3:K86" xr:uid="{6CC01224-4836-44C2-9329-964323BAC7DA}"/>
  <sortState xmlns:xlrd2="http://schemas.microsoft.com/office/spreadsheetml/2017/richdata2" ref="I4:K86">
    <sortCondition ref="I4:I86"/>
  </sortState>
  <tableColumns count="3">
    <tableColumn id="2" xr3:uid="{84DF8482-87C4-4568-A4C6-3C4D5D1CD0B3}" name="Réf matériel"/>
    <tableColumn id="1" xr3:uid="{56019DCD-EB77-469F-B00C-F2DE615B44CB}" name="Liste matériel"/>
    <tableColumn id="3" xr3:uid="{CEBFEBFA-18A0-4496-B1C3-272DB425B744}" name="Prix matériel" dataDxfId="133"/>
  </tableColumns>
  <tableStyleInfo name="TableStyleLight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8DA50B2-9B95-4F69-A988-76074242C19B}" name="Tableau4" displayName="Tableau4" ref="B2:K1017" totalsRowShown="0" headerRowDxfId="12">
  <autoFilter ref="B2:K1017" xr:uid="{BE03A903-2B1E-4B85-843F-D1F273E3DCFD}"/>
  <sortState xmlns:xlrd2="http://schemas.microsoft.com/office/spreadsheetml/2017/richdata2" ref="B111:K798">
    <sortCondition ref="B3:B916"/>
  </sortState>
  <tableColumns count="10">
    <tableColumn id="2" xr3:uid="{FACC0C22-0DE6-41DE-9A1E-0BB3F49B42C2}" name="Réf matériel"/>
    <tableColumn id="1" xr3:uid="{88C7DCF6-D451-45AF-B8B1-2EC0A591D674}" name="Liste matériel" dataDxfId="11">
      <calculatedColumnFormula>VLOOKUP(Tableau4[[#This Row],[Réf matériel]],Tableau3[],2,FALSE)</calculatedColumnFormula>
    </tableColumn>
    <tableColumn id="3" xr3:uid="{9501025E-B903-4739-8041-99AADEB21A3C}" name="Prix matériel" dataDxfId="10">
      <calculatedColumnFormula>VLOOKUP(Tableau4[[#This Row],[Réf matériel]],Tableau3[],3,FALSE)</calculatedColumnFormula>
    </tableColumn>
    <tableColumn id="4" xr3:uid="{37B5596E-57BA-4D16-87C7-690F99EAEF1B}" name="Matricule"/>
    <tableColumn id="5" xr3:uid="{42D57684-BEFC-4DF9-860F-826E3C583393}" name="Nom" dataDxfId="9">
      <calculatedColumnFormula>VLOOKUP(Tableau4[[#This Row],[Matricule]],Tableau1[],2,FALSE)</calculatedColumnFormula>
    </tableColumn>
    <tableColumn id="6" xr3:uid="{34C23F31-3B38-451B-8ED6-8AC3BF9AB551}" name="Prénom" dataDxfId="8">
      <calculatedColumnFormula>VLOOKUP(Tableau4[[#This Row],[Matricule]],Tableau1[],3,FALSE)</calculatedColumnFormula>
    </tableColumn>
    <tableColumn id="7" xr3:uid="{47E6A8BA-CFA5-4B56-A77E-FB7530D1667C}" name="Service" dataDxfId="7">
      <calculatedColumnFormula>VLOOKUP(Tableau4[[#This Row],[Matricule]],Tableau1[],4,FALSE)</calculatedColumnFormula>
    </tableColumn>
    <tableColumn id="8" xr3:uid="{0A8DB0EF-B45B-4EA2-9BB3-4A64BC1ACDC9}" name="Date "/>
    <tableColumn id="9" xr3:uid="{3C0A555A-9106-4F79-8B29-6B3820A1C0F9}" name="État"/>
    <tableColumn id="10" xr3:uid="{E279C206-F820-4739-9905-8F8298182393}" name="NB Remis" dataDxfId="6">
      <calculatedColumnFormula>IF(Tableau4[[#This Row],[État]]="Remis",1,0)</calculatedColumnFormula>
    </tableColumn>
  </tableColumns>
  <tableStyleInfo name="TableStyleLight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30615F1E-11B7-41D6-A90C-B181236BFA5C}" name="Tableau5" displayName="Tableau5" ref="B2:CH82" totalsRowShown="0" headerRowDxfId="132">
  <autoFilter ref="B2:CH82" xr:uid="{76076A5D-1AD4-4F9F-A488-D263B5EB6F7D}"/>
  <tableColumns count="85">
    <tableColumn id="1" xr3:uid="{4B114917-4ADC-48A6-8FE5-4407EB784B29}" name="Réf matériel"/>
    <tableColumn id="4" xr3:uid="{86A905F6-F3C2-4C7F-ABA0-2BB7DCDF3CD7}" name="Besoin OAI"/>
    <tableColumn id="27" xr3:uid="{D161DC10-B9D2-4FE1-802F-EF46ACA3B351}" name="Remis OAI" dataDxfId="131">
      <calculatedColumnFormula>SUMIFS(Tableau4[NB Remis],Tableau4[Réf matériel],Tableau5[[#This Row],[Réf matériel]],Tableau4[Matricule],"OAI")</calculatedColumnFormula>
    </tableColumn>
    <tableColumn id="28" xr3:uid="{AF85AFB4-FF14-41E7-A6CE-F5B971F50894}" name="OAI" dataDxfId="130">
      <calculatedColumnFormula>IF(Tableau5[[#This Row],[Besoin OAI]]=Tableau5[[#This Row],[Remis OAI]],"OK","NOK")</calculatedColumnFormula>
    </tableColumn>
    <tableColumn id="5" xr3:uid="{BBE13A16-0D3A-4896-B14A-137C2ED5095A}" name="Besoin ABE"/>
    <tableColumn id="29" xr3:uid="{D1E26DB6-8375-4A55-A243-5C81CD89E6B6}" name="Remis ABE" dataDxfId="129">
      <calculatedColumnFormula>SUMIFS(Tableau4[NB Remis],Tableau4[Réf matériel],Tableau5[[#This Row],[Réf matériel]],Tableau4[Matricule],"ABE")</calculatedColumnFormula>
    </tableColumn>
    <tableColumn id="30" xr3:uid="{5127B955-D78E-405C-B3AD-F0CE926EB489}" name="ABE" dataDxfId="128">
      <calculatedColumnFormula>IF(Tableau5[[#This Row],[Besoin ABE]]=Tableau5[[#This Row],[Remis ABE]],"OK","NOK")</calculatedColumnFormula>
    </tableColumn>
    <tableColumn id="6" xr3:uid="{F37AF065-1EED-4E7A-9EE3-B4E95BE2BB94}" name="Besoin SBI"/>
    <tableColumn id="3" xr3:uid="{879ACB06-601D-40C7-A6A4-8A9970B6B369}" name="Remis SBI" dataDxfId="127">
      <calculatedColumnFormula>SUMIFS(Tableau4[NB Remis],Tableau4[Réf matériel],Tableau5[[#This Row],[Réf matériel]],Tableau4[Matricule],"SBI")</calculatedColumnFormula>
    </tableColumn>
    <tableColumn id="2" xr3:uid="{05021E45-CD22-46A6-9C94-073F21820358}" name="SBI" dataDxfId="126">
      <calculatedColumnFormula>IF(Tableau5[[#This Row],[Besoin SBI]]=Tableau5[[#This Row],[Remis SBI]],"OK","NOK")</calculatedColumnFormula>
    </tableColumn>
    <tableColumn id="8" xr3:uid="{84625428-45C0-47EE-A5BA-40C1010D6B7D}" name="Besoin ABI"/>
    <tableColumn id="36" xr3:uid="{AAA52FFE-C379-4EEE-BB18-8CF8819E0127}" name="Remis ABI" dataDxfId="125">
      <calculatedColumnFormula>SUMIFS(Tableau4[NB Remis],Tableau4[Réf matériel],Tableau5[[#This Row],[Réf matériel]],Tableau4[Matricule],"ABI")</calculatedColumnFormula>
    </tableColumn>
    <tableColumn id="35" xr3:uid="{3EA01D3D-77D0-40E0-92E9-F492A32D6F58}" name="ABI" dataDxfId="124">
      <calculatedColumnFormula>IF(Tableau5[[#This Row],[Besoin ABI]]=Tableau5[[#This Row],[Remis ABI]],"OK","NOK")</calculatedColumnFormula>
    </tableColumn>
    <tableColumn id="9" xr3:uid="{E99F13F7-142B-4325-83D7-204F338EBB17}" name="Besoin DCE"/>
    <tableColumn id="38" xr3:uid="{FA8A279F-CFA6-4FB4-909A-F8C213FE387D}" name="Remis DCE" dataDxfId="123">
      <calculatedColumnFormula>SUMIFS(Tableau4[NB Remis],Tableau4[Réf matériel],Tableau5[[#This Row],[Réf matériel]],Tableau4[Matricule],"DCE")</calculatedColumnFormula>
    </tableColumn>
    <tableColumn id="37" xr3:uid="{8BFD9D6D-F2AC-40CE-AE33-B8CDDA749FC2}" name="DCE" dataDxfId="122">
      <calculatedColumnFormula>IF(Tableau5[[#This Row],[Besoin DCE]]=Tableau5[[#This Row],[Remis DCE]],"OK","NOK")</calculatedColumnFormula>
    </tableColumn>
    <tableColumn id="10" xr3:uid="{A47FA2DA-E210-4309-86AF-5754788BA394}" name="Besoin JDE"/>
    <tableColumn id="40" xr3:uid="{C4C017FF-E615-432A-BC40-770F77DFAE2A}" name="Remis JDE" dataDxfId="121">
      <calculatedColumnFormula>SUMIFS(Tableau4[NB Remis],Tableau4[Réf matériel],Tableau5[[#This Row],[Réf matériel]],Tableau4[Matricule],"JDE")</calculatedColumnFormula>
    </tableColumn>
    <tableColumn id="39" xr3:uid="{E5A7DCC5-D3B0-45A8-BFBF-E27C4B94561E}" name="JDE" dataDxfId="120">
      <calculatedColumnFormula>IF(Tableau5[[#This Row],[Besoin JDE]]=Tableau5[[#This Row],[Remis JDE]],"OK","NOK")</calculatedColumnFormula>
    </tableColumn>
    <tableColumn id="11" xr3:uid="{4633C39D-52AE-4627-92A4-64A427D45AC4}" name="Besoin ODI"/>
    <tableColumn id="42" xr3:uid="{DE8E56C7-DCA0-4634-879C-7A1645060419}" name="Remis ODI" dataDxfId="119">
      <calculatedColumnFormula>SUMIFS(Tableau4[NB Remis],Tableau4[Réf matériel],Tableau5[[#This Row],[Réf matériel]],Tableau4[Matricule],"ODI")</calculatedColumnFormula>
    </tableColumn>
    <tableColumn id="41" xr3:uid="{FE6F085C-211D-402B-9BB4-43952CBFACF4}" name="ODI" dataDxfId="118">
      <calculatedColumnFormula>IF(Tableau5[[#This Row],[Besoin ODI]]=Tableau5[[#This Row],[Remis ODI]],"OK","NOK")</calculatedColumnFormula>
    </tableColumn>
    <tableColumn id="12" xr3:uid="{A214626F-EAB9-4B55-B51E-95658446A72C}" name="Besoin MFO"/>
    <tableColumn id="44" xr3:uid="{D2F15BB8-BA50-4794-A44E-68465AC055B7}" name="Remis MFO" dataDxfId="117">
      <calculatedColumnFormula>SUMIFS(Tableau4[NB Remis],Tableau4[Réf matériel],Tableau5[[#This Row],[Réf matériel]],Tableau4[Matricule],"MFO")</calculatedColumnFormula>
    </tableColumn>
    <tableColumn id="43" xr3:uid="{5CEDFBF5-DC0A-4D80-B7A3-2CC6C60553C0}" name="MFO" dataDxfId="116">
      <calculatedColumnFormula>IF(Tableau5[[#This Row],[Besoin MFO]]=Tableau5[[#This Row],[Remis MFO]],"OK","NOK")</calculatedColumnFormula>
    </tableColumn>
    <tableColumn id="83" xr3:uid="{BA240673-5FDD-4DBC-BBD9-EC226B08DE14}" name="Besoin SDU" dataDxfId="115"/>
    <tableColumn id="84" xr3:uid="{AE00BE65-A2A5-4A3A-8A7B-C514BF8EB22D}" name="Remis SDU" dataDxfId="114">
      <calculatedColumnFormula>SUMIFS(Tableau4[NB Remis],Tableau4[Réf matériel],Tableau5[[#This Row],[Réf matériel]],Tableau4[Matricule],"SDU")</calculatedColumnFormula>
    </tableColumn>
    <tableColumn id="85" xr3:uid="{5E72CAC3-67C5-4E11-B374-163E777480BB}" name="SDU" dataDxfId="113">
      <calculatedColumnFormula>IF(Tableau5[[#This Row],[Besoin SDU]]=Tableau5[[#This Row],[Remis SDU]],"OK","NOK")</calculatedColumnFormula>
    </tableColumn>
    <tableColumn id="13" xr3:uid="{7598427F-0532-4925-A083-D4ED78524BD6}" name="Besoin GGA2"/>
    <tableColumn id="46" xr3:uid="{C7E0F315-58D9-4F9A-AFDE-FA7B75608447}" name="Remis GGA3" dataDxfId="112">
      <calculatedColumnFormula>SUMIFS(Tableau4[NB Remis],Tableau4[Réf matériel],Tableau5[[#This Row],[Réf matériel]],Tableau4[Matricule],"GGA")</calculatedColumnFormula>
    </tableColumn>
    <tableColumn id="45" xr3:uid="{85E65F91-4CEE-4BA7-B3DB-39BF7A98BC63}" name="GGA4" dataDxfId="111">
      <calculatedColumnFormula>IF(Tableau5[[#This Row],[Besoin GGA2]]=Tableau5[[#This Row],[Remis GGA3]],"OK","NOK")</calculatedColumnFormula>
    </tableColumn>
    <tableColumn id="14" xr3:uid="{15322926-BBDC-4348-ACFD-719FFC85AF3F}" name="Besoin RGE"/>
    <tableColumn id="31" xr3:uid="{7CC26897-3064-42D7-A60F-1A817326EFE1}" name="Remis RGE" dataDxfId="110">
      <calculatedColumnFormula>SUMIFS(Tableau4[NB Remis],Tableau4[Réf matériel],Tableau5[[#This Row],[Réf matériel]],Tableau4[Matricule],"RGE")</calculatedColumnFormula>
    </tableColumn>
    <tableColumn id="32" xr3:uid="{85E45FBE-5607-47C3-86C2-59CF14CFFC03}" name="RGE" dataDxfId="109">
      <calculatedColumnFormula>IF(Tableau5[[#This Row],[Besoin RGE]]=Tableau5[[#This Row],[Remis RGE]],"OK","NOK")</calculatedColumnFormula>
    </tableColumn>
    <tableColumn id="15" xr3:uid="{943E0CE5-FCC9-467C-B27D-15076B363889}" name="Besoin CKE"/>
    <tableColumn id="50" xr3:uid="{5FB2092D-BF5A-4E10-8509-628AD9D3A754}" name="Remis CKE" dataDxfId="108">
      <calculatedColumnFormula>SUMIFS(Tableau4[NB Remis],Tableau4[Réf matériel],Tableau5[[#This Row],[Réf matériel]],Tableau4[Matricule],"CKE")</calculatedColumnFormula>
    </tableColumn>
    <tableColumn id="49" xr3:uid="{C8DA7753-CE6F-420B-9E94-F5B76547A756}" name="CKE" dataDxfId="107">
      <calculatedColumnFormula>IF(Tableau5[[#This Row],[Besoin CKE]]=Tableau5[[#This Row],[Remis CKE]],"OK","NOK")</calculatedColumnFormula>
    </tableColumn>
    <tableColumn id="16" xr3:uid="{F6E3E012-6921-415F-A8A7-D426EAA7F49E}" name="Besoin DMA"/>
    <tableColumn id="52" xr3:uid="{B6F9755B-DC16-4F74-A379-BA50D6092C98}" name="Remis DMA" dataDxfId="106">
      <calculatedColumnFormula>SUMIFS(Tableau4[NB Remis],Tableau4[Réf matériel],Tableau5[[#This Row],[Réf matériel]],Tableau4[Matricule],"DMA")</calculatedColumnFormula>
    </tableColumn>
    <tableColumn id="51" xr3:uid="{D9CF658B-A38C-4D18-A4F9-67B0A050955F}" name="DMA" dataDxfId="105">
      <calculatedColumnFormula>IF(Tableau5[[#This Row],[Besoin DMA]]=Tableau5[[#This Row],[Remis DMA]],"OK","NOK")</calculatedColumnFormula>
    </tableColumn>
    <tableColumn id="17" xr3:uid="{7C68457E-D2FA-4DD5-866E-CF0C55EC84AD}" name="Besoin LMO"/>
    <tableColumn id="54" xr3:uid="{DA840519-18E5-49E0-9DE6-619D92C08672}" name="Remis LMO" dataDxfId="104">
      <calculatedColumnFormula>SUMIFS(Tableau4[NB Remis],Tableau4[Réf matériel],Tableau5[[#This Row],[Réf matériel]],Tableau4[Matricule],"LMO")</calculatedColumnFormula>
    </tableColumn>
    <tableColumn id="53" xr3:uid="{2CC00097-9A2A-4C16-801B-DFEB60F59744}" name="LMO" dataDxfId="103">
      <calculatedColumnFormula>IF(Tableau5[[#This Row],[Besoin LMO]]=Tableau5[[#This Row],[Remis LMO]],"OK","NOK")</calculatedColumnFormula>
    </tableColumn>
    <tableColumn id="18" xr3:uid="{D6C50DDF-DE6B-45A4-8147-F98AA40C2BC4}" name="Besoin TMO"/>
    <tableColumn id="56" xr3:uid="{541C9C9D-5177-4362-B95F-AA8FD0CBB2A0}" name="Remis TMO" dataDxfId="102">
      <calculatedColumnFormula>SUMIFS(Tableau4[NB Remis],Tableau4[Réf matériel],Tableau5[[#This Row],[Réf matériel]],Tableau4[Matricule],"TMO")</calculatedColumnFormula>
    </tableColumn>
    <tableColumn id="55" xr3:uid="{F508A004-541C-4F18-80F3-7F3A41CDE34F}" name="TMO" dataDxfId="101">
      <calculatedColumnFormula>IF(Tableau5[[#This Row],[Besoin TMO]]=Tableau5[[#This Row],[Remis TMO]],"OK","NOK")</calculatedColumnFormula>
    </tableColumn>
    <tableColumn id="19" xr3:uid="{41AA984C-8CC8-4D1B-9EF7-3A4857BA7B4F}" name="Besoin JPA"/>
    <tableColumn id="58" xr3:uid="{2D90C487-BDC8-4382-AB66-8163286D4D57}" name="Remis JPA" dataDxfId="100">
      <calculatedColumnFormula>SUMIFS(Tableau4[NB Remis],Tableau4[Réf matériel],Tableau5[[#This Row],[Réf matériel]],Tableau4[Matricule],"JPA")</calculatedColumnFormula>
    </tableColumn>
    <tableColumn id="57" xr3:uid="{9AEB19AA-4233-40D9-B8FB-C78072561262}" name="JPA" dataDxfId="99">
      <calculatedColumnFormula>IF(Tableau5[[#This Row],[Besoin JPA]]=Tableau5[[#This Row],[Remis JPA]],"OK","NOK")</calculatedColumnFormula>
    </tableColumn>
    <tableColumn id="20" xr3:uid="{195B598C-65F0-4927-B4B7-32A7C3990159}" name="Besoin MPE"/>
    <tableColumn id="61" xr3:uid="{5654D551-1983-42E6-9D3D-9F9705BB1292}" name="Remis MPE" dataDxfId="98">
      <calculatedColumnFormula>SUMIFS(Tableau4[NB Remis],Tableau4[Réf matériel],Tableau5[[#This Row],[Réf matériel]],Tableau4[Matricule],"MPE")</calculatedColumnFormula>
    </tableColumn>
    <tableColumn id="60" xr3:uid="{00C802BD-196C-4847-826B-3C2F0296D739}" name="MPE" dataDxfId="97">
      <calculatedColumnFormula>IF(Tableau5[[#This Row],[Besoin MPE]]=Tableau5[[#This Row],[Remis MPE]],"OK","NOK")</calculatedColumnFormula>
    </tableColumn>
    <tableColumn id="21" xr3:uid="{BF4BE652-B1C1-466C-B5F2-7E77D8684C01}" name="Besoin SPR"/>
    <tableColumn id="63" xr3:uid="{242EDF52-0CB5-493A-885A-F2BE99EDBD62}" name="Remis SPR" dataDxfId="96">
      <calculatedColumnFormula>SUMIFS(Tableau4[NB Remis],Tableau4[Réf matériel],Tableau5[[#This Row],[Réf matériel]],Tableau4[Matricule],"SPR")</calculatedColumnFormula>
    </tableColumn>
    <tableColumn id="62" xr3:uid="{3D40FD1C-4D3B-4825-8840-092E64191EC4}" name="SPR" dataDxfId="95">
      <calculatedColumnFormula>IF(Tableau5[[#This Row],[Besoin SPR]]=Tableau5[[#This Row],[Remis SPR]],"OK","NOK")</calculatedColumnFormula>
    </tableColumn>
    <tableColumn id="22" xr3:uid="{659CD2DF-F4CE-4F0C-B00C-3359822EC6F0}" name="Besoin MRO"/>
    <tableColumn id="65" xr3:uid="{EE7C2BE7-6987-4845-91A0-79632EB54425}" name="Remis MRO" dataDxfId="94">
      <calculatedColumnFormula>SUMIFS(Tableau4[NB Remis],Tableau4[Réf matériel],Tableau5[[#This Row],[Réf matériel]],Tableau4[Matricule],"MRO")</calculatedColumnFormula>
    </tableColumn>
    <tableColumn id="64" xr3:uid="{84AE32BD-BFCF-491A-AA90-4DB9D0207EC3}" name="MRO" dataDxfId="93">
      <calculatedColumnFormula>IF(Tableau5[[#This Row],[Besoin MRO]]=Tableau5[[#This Row],[Remis MRO]],"OK","NOK")</calculatedColumnFormula>
    </tableColumn>
    <tableColumn id="23" xr3:uid="{226FE8C2-D8B1-4C25-BA63-6C0D889A69E2}" name="Besoin LSA"/>
    <tableColumn id="67" xr3:uid="{84FFB8B8-C64C-4651-A646-FAF71C48E5AD}" name="Remis LSA" dataDxfId="92">
      <calculatedColumnFormula>SUMIFS(Tableau4[NB Remis],Tableau4[Réf matériel],Tableau5[[#This Row],[Réf matériel]],Tableau4[Matricule],"LSA")</calculatedColumnFormula>
    </tableColumn>
    <tableColumn id="66" xr3:uid="{0C175718-A3CB-4CCE-A9AA-5D12B127BF03}" name="LSA" dataDxfId="91">
      <calculatedColumnFormula>IF(Tableau5[[#This Row],[Besoin LSA]]=Tableau5[[#This Row],[Remis LSA]],"OK","NOK")</calculatedColumnFormula>
    </tableColumn>
    <tableColumn id="24" xr3:uid="{5BF9E825-D94E-454B-9DCF-8EE78595FC9E}" name="Besoin SST"/>
    <tableColumn id="69" xr3:uid="{A63C60B5-A053-4B48-BA6B-6DBA1BAB509E}" name="Remis SST" dataDxfId="90">
      <calculatedColumnFormula>SUMIFS(Tableau4[NB Remis],Tableau4[Réf matériel],Tableau5[[#This Row],[Réf matériel]],Tableau4[Matricule],"SST")</calculatedColumnFormula>
    </tableColumn>
    <tableColumn id="68" xr3:uid="{7BED627B-312E-4E38-AFEA-F2AC96FA8522}" name="SST" dataDxfId="89">
      <calculatedColumnFormula>IF(Tableau5[[#This Row],[Besoin SST]]=Tableau5[[#This Row],[Remis SST]],"OK","NOK")</calculatedColumnFormula>
    </tableColumn>
    <tableColumn id="25" xr3:uid="{EE74C7FA-7CC6-4CC5-890C-D245D9402C6C}" name="Besoin CTH"/>
    <tableColumn id="71" xr3:uid="{A3B5DB7C-326C-4CBB-87C9-B237D6DA9B73}" name="Remis CTH" dataDxfId="88">
      <calculatedColumnFormula>SUMIFS(Tableau4[NB Remis],Tableau4[Réf matériel],Tableau5[[#This Row],[Réf matériel]],Tableau4[Matricule],"CTH")</calculatedColumnFormula>
    </tableColumn>
    <tableColumn id="70" xr3:uid="{21ABB33E-0D51-4649-8183-99289213E6AB}" name="CTH" dataDxfId="87">
      <calculatedColumnFormula>IF(Tableau5[[#This Row],[Besoin CTH]]=Tableau5[[#This Row],[Remis CTH]],"OK","NOK")</calculatedColumnFormula>
    </tableColumn>
    <tableColumn id="7" xr3:uid="{802267F6-9B8E-4058-ACB0-7CAD7A014743}" name="Besoin AVU" dataDxfId="86"/>
    <tableColumn id="34" xr3:uid="{CD67B7CC-0055-43E0-B52D-3E8D34AF7590}" name="Remis AVU" dataDxfId="85">
      <calculatedColumnFormula>SUMIFS(Tableau4[NB Remis],Tableau4[Réf matériel],Tableau5[[#This Row],[Réf matériel]],Tableau4[Matricule],"AVU")</calculatedColumnFormula>
    </tableColumn>
    <tableColumn id="33" xr3:uid="{FB1C5468-ECD6-4F43-BF0A-EB7BA92BFF0D}" name="AVU" dataDxfId="84">
      <calculatedColumnFormula>IF(Tableau5[[#This Row],[Besoin AVU]]=Tableau5[[#This Row],[Remis AVU]],"OK","NOK")</calculatedColumnFormula>
    </tableColumn>
    <tableColumn id="73" xr3:uid="{B98ED16D-40EE-4A7E-A875-D784AC34FF0F}" name="Besoin FZE"/>
    <tableColumn id="72" xr3:uid="{F1EB528A-B9E2-40A9-B577-3C0BA808FD4C}" name="Remis FZE" dataDxfId="83">
      <calculatedColumnFormula>SUMIFS(Tableau4[NB Remis],Tableau4[Réf matériel],Tableau5[[#This Row],[Réf matériel]],Tableau4[Matricule],"FZE")</calculatedColumnFormula>
    </tableColumn>
    <tableColumn id="26" xr3:uid="{2D71A835-6EBF-44A0-8EB1-6B731C8A1554}" name="FZE" dataDxfId="82">
      <calculatedColumnFormula>IF(Tableau5[[#This Row],[Besoin FZE]]=Tableau5[[#This Row],[Remis FZE]],"OK","NOK")</calculatedColumnFormula>
    </tableColumn>
    <tableColumn id="77" xr3:uid="{7751EE4A-2079-4EBC-A0F6-533691E3545A}" name="Besoin CV2" dataDxfId="81"/>
    <tableColumn id="78" xr3:uid="{1CE4DF23-7FB7-4FA6-8A62-6CE89FDA8407}" name="Remis CV2" dataDxfId="80">
      <calculatedColumnFormula>SUMIFS(Tableau4[NB Remis],Tableau4[Réf matériel],Tableau5[[#This Row],[Réf matériel]],Tableau4[Matricule],"CV2")</calculatedColumnFormula>
    </tableColumn>
    <tableColumn id="79" xr3:uid="{D1258D71-C2BF-4206-BE3F-B8E7B1800B27}" name="CV2" dataDxfId="79">
      <calculatedColumnFormula>IF(Tableau5[[#This Row],[Besoin CV2]]=Tableau5[[#This Row],[Remis CV2]],"OK","NOK")</calculatedColumnFormula>
    </tableColumn>
    <tableColumn id="76" xr3:uid="{909C88F1-01F8-491F-A8CC-F0A8780124AB}" name="Besoin CV3" dataDxfId="78"/>
    <tableColumn id="75" xr3:uid="{E27793C4-D1EC-40BA-A6A1-3FC966D5EDEB}" name="Remis CV3" dataDxfId="77">
      <calculatedColumnFormula>SUMIFS(Tableau4[NB Remis],Tableau4[Réf matériel],Tableau5[[#This Row],[Réf matériel]],Tableau4[Matricule],"CV3")</calculatedColumnFormula>
    </tableColumn>
    <tableColumn id="74" xr3:uid="{1AD0C717-1D79-4357-8A03-DC5612B6BB5E}" name="CV3" dataDxfId="76">
      <calculatedColumnFormula>IF(Tableau5[[#This Row],[Besoin CV3]]=Tableau5[[#This Row],[Remis CV3]],"OK","NOK")</calculatedColumnFormula>
    </tableColumn>
    <tableColumn id="47" xr3:uid="{63C91AA4-FB7C-4365-A7D2-E0A54EC542A2}" name="Besoin CV1"/>
    <tableColumn id="48" xr3:uid="{2F0B3D9F-2E85-445B-9179-F7A73BB1F72B}" name="Remis CV1" dataDxfId="75">
      <calculatedColumnFormula>SUMIFS(Tableau4[NB Remis],Tableau4[Réf matériel],Tableau5[[#This Row],[Réf matériel]],Tableau4[Matricule],"CV1")</calculatedColumnFormula>
    </tableColumn>
    <tableColumn id="59" xr3:uid="{EDF025F5-C788-40A4-B888-668316BDBF05}" name="CV1" dataDxfId="74">
      <calculatedColumnFormula>IF(Tableau5[[#This Row],[Besoin CV1]]=Tableau5[[#This Row],[Remis CV1]],"OK","NOK")</calculatedColumnFormula>
    </tableColumn>
    <tableColumn id="80" xr3:uid="{464B3E72-7176-43E5-A5EE-5FB45C6FAC0B}" name="Besoin CV4" dataDxfId="73"/>
    <tableColumn id="81" xr3:uid="{56740A65-1DD0-4CE5-B4FF-9E25E0ACFA47}" name="Remis CV4" dataDxfId="72">
      <calculatedColumnFormula>SUMIFS(Tableau4[NB Remis],Tableau4[Réf matériel],Tableau5[[#This Row],[Réf matériel]],Tableau4[Matricule],"CV4")</calculatedColumnFormula>
    </tableColumn>
    <tableColumn id="82" xr3:uid="{47D3B23B-B29C-4A29-B1BD-2D52CDBA5F3F}" name="CV4" dataDxfId="71">
      <calculatedColumnFormula>IF(Tableau5[[#This Row],[Besoin CV4]]=Tableau5[[#This Row],[Remis CV4]],"OK","NOK")</calculatedColumnFormula>
    </tableColumn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imelineCaches/timelineCache1.xml><?xml version="1.0" encoding="utf-8"?>
<timelineCacheDefinition xmlns="http://schemas.microsoft.com/office/spreadsheetml/2010/11/main" xmlns:x15="http://schemas.microsoft.com/office/spreadsheetml/2010/11/main" xmlns:mc="http://schemas.openxmlformats.org/markup-compatibility/2006" xmlns:xr10="http://schemas.microsoft.com/office/spreadsheetml/2016/revision10" mc:Ignorable="xr10" name="ChronologieNative_Date" xr10:uid="{431BFAC6-9D9A-4908-8531-FDC566AF919A}" sourceName="Date ">
  <state minimalRefreshVersion="6" lastRefreshVersion="6" pivotCacheId="2120444133" filterType="unknown">
    <bounds startDate="2020-01-01T00:00:00" endDate="2021-01-01T00:00:00"/>
  </state>
</timelineCacheDefinition>
</file>

<file path=xl/timelines/timeline1.xml><?xml version="1.0" encoding="utf-8"?>
<timelines xmlns="http://schemas.microsoft.com/office/spreadsheetml/2010/11/main" xmlns:mc="http://schemas.openxmlformats.org/markup-compatibility/2006" xmlns:x="http://schemas.openxmlformats.org/spreadsheetml/2006/main" xmlns:xr10="http://schemas.microsoft.com/office/spreadsheetml/2016/revision10" mc:Ignorable="x xr10">
  <timeline name="Date " xr10:uid="{2EA6DFDF-4313-46E6-880B-29367F616EE9}" cache="ChronologieNative_Date" caption="Date " level="2" selectionLevel="2" scrollPosition="2020-01-01T00:00:00"/>
</timeline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9.bin"/><Relationship Id="rId4" Type="http://schemas.openxmlformats.org/officeDocument/2006/relationships/table" Target="../tables/table3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2.bin"/><Relationship Id="rId1" Type="http://schemas.openxmlformats.org/officeDocument/2006/relationships/pivotTable" Target="../pivotTables/pivotTable1.xml"/><Relationship Id="rId5" Type="http://schemas.microsoft.com/office/2011/relationships/timeline" Target="../timelines/timelin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FF5F05-D147-428C-94BD-428553B6A7A3}">
  <dimension ref="A1:AJ34"/>
  <sheetViews>
    <sheetView zoomScaleNormal="100" workbookViewId="0">
      <pane xSplit="2" ySplit="2" topLeftCell="W3" activePane="bottomRight" state="frozen"/>
      <selection activeCell="S13" sqref="S13"/>
      <selection pane="topRight" activeCell="S13" sqref="S13"/>
      <selection pane="bottomLeft" activeCell="S13" sqref="S13"/>
      <selection pane="bottomRight" activeCell="S13" sqref="S13"/>
    </sheetView>
  </sheetViews>
  <sheetFormatPr baseColWidth="10" defaultColWidth="11.5703125" defaultRowHeight="15" x14ac:dyDescent="0.25"/>
  <cols>
    <col min="1" max="1" width="15.5703125" bestFit="1" customWidth="1"/>
    <col min="2" max="2" width="18.28515625" customWidth="1"/>
    <col min="3" max="32" width="15.42578125" style="6" bestFit="1" customWidth="1"/>
    <col min="33" max="33" width="15.42578125" style="6" customWidth="1"/>
    <col min="34" max="36" width="15.42578125" style="6" bestFit="1" customWidth="1"/>
  </cols>
  <sheetData>
    <row r="1" spans="1:36" x14ac:dyDescent="0.25">
      <c r="A1" s="9" t="s">
        <v>104</v>
      </c>
      <c r="W1" s="6" t="s">
        <v>116</v>
      </c>
    </row>
    <row r="2" spans="1:36" ht="15.75" thickBot="1" x14ac:dyDescent="0.3"/>
    <row r="3" spans="1:36" s="2" customFormat="1" ht="30.75" thickBot="1" x14ac:dyDescent="0.3">
      <c r="A3" s="1" t="s">
        <v>0</v>
      </c>
      <c r="B3" s="1" t="s">
        <v>1</v>
      </c>
      <c r="C3" s="1" t="str">
        <f>+'à commander 2019'!A4</f>
        <v>Cadenas</v>
      </c>
      <c r="D3" s="1" t="str">
        <f>+'à commander 2019'!A5</f>
        <v>Coffre 026-001</v>
      </c>
      <c r="E3" s="1" t="str">
        <f>+'à commander 2019'!A6</f>
        <v>Clef à molette 493-250</v>
      </c>
      <c r="F3" s="1" t="str">
        <f>+'à commander 2019'!A7</f>
        <v>Pince à dénuder 257-160</v>
      </c>
      <c r="G3" s="1" t="str">
        <f>+'à commander 2019'!A8</f>
        <v>Lime demi ronde 805-209</v>
      </c>
      <c r="H3" s="1" t="str">
        <f>+'à commander 2019'!A9</f>
        <v>Pince coupante 1000v 256-160</v>
      </c>
      <c r="I3" s="1" t="str">
        <f>+'à commander 2019'!A10</f>
        <v>Coupe câble</v>
      </c>
      <c r="J3" s="1" t="str">
        <f>+'à commander 2019'!A11</f>
        <v>Scie à métaux 840-001</v>
      </c>
      <c r="K3" s="1" t="str">
        <f>+'à commander 2019'!A12</f>
        <v>Mètre pliant</v>
      </c>
      <c r="L3" s="1" t="str">
        <f>+'à commander 2019'!A13</f>
        <v>Burin plat 753-22-16-300</v>
      </c>
      <c r="M3" s="1" t="str">
        <f>+'à commander 2019'!A14</f>
        <v>Burin pointe 754-04-16-300</v>
      </c>
      <c r="N3" s="1" t="str">
        <f>+'à commander 2019'!A15</f>
        <v>Massette 704-1250</v>
      </c>
      <c r="O3" s="1" t="str">
        <f>+'à commander 2019'!A16</f>
        <v>Niveau</v>
      </c>
      <c r="P3" s="1" t="str">
        <f>+'à commander 2019'!A17</f>
        <v>Jeu tournevis</v>
      </c>
      <c r="Q3" s="1" t="str">
        <f>+'à commander 2019'!A18</f>
        <v>Pince étau 275-175</v>
      </c>
      <c r="R3" s="1" t="str">
        <f>+'à commander 2019'!A19</f>
        <v>Coffret douilles 531-002</v>
      </c>
      <c r="S3" s="1" t="str">
        <f>+'à commander 2019'!A20</f>
        <v>Clef à pipe 10/462-10</v>
      </c>
      <c r="T3" s="1" t="str">
        <f>+'à commander 2019'!A21</f>
        <v>Clef à pipe 13/462-13</v>
      </c>
      <c r="U3" s="1" t="str">
        <f>+'à commander 2019'!A22</f>
        <v>Clef à pipe 17/462-17</v>
      </c>
      <c r="V3" s="1" t="str">
        <f>+'à commander 2019'!A23</f>
        <v>Clef à pipe 19/462-19</v>
      </c>
      <c r="W3" s="1" t="str">
        <f>+'à commander 2019'!A24</f>
        <v>Clef plate 10/451-10</v>
      </c>
      <c r="X3" s="1" t="str">
        <f>+'à commander 2019'!A25</f>
        <v>Clef plate 13/451-13</v>
      </c>
      <c r="Y3" s="1" t="str">
        <f>+'à commander 2019'!A26</f>
        <v>Clef plate 17/451-17</v>
      </c>
      <c r="Z3" s="1" t="str">
        <f>+'à commander 2019'!A27</f>
        <v>Clef plate 19/451-19</v>
      </c>
      <c r="AA3" s="1" t="str">
        <f>+'à commander 2019'!A28</f>
        <v>Cutter</v>
      </c>
      <c r="AB3" s="1" t="str">
        <f>+'à commander 2019'!A29</f>
        <v>Clef allen 602-009</v>
      </c>
      <c r="AC3" s="1" t="str">
        <f>+'à commander 2019'!A30</f>
        <v>Outil à dégainer 296-032</v>
      </c>
      <c r="AD3" s="1" t="str">
        <f>+'à commander 2019'!A31</f>
        <v>Pince à Sertir</v>
      </c>
      <c r="AE3" s="1" t="str">
        <f>+'à commander 2019'!A32</f>
        <v>Testeur Fluke</v>
      </c>
      <c r="AF3" s="1" t="str">
        <f>+'à commander 2019'!A33</f>
        <v xml:space="preserve">Boite embouts </v>
      </c>
      <c r="AG3" s="1" t="str">
        <f>+'à commander 2019'!A34</f>
        <v>Pince colson</v>
      </c>
      <c r="AH3" s="1" t="str">
        <f>+'à commander 2019'!A35</f>
        <v>Lunette de protection</v>
      </c>
      <c r="AI3" s="1" t="str">
        <f>+'à commander 2019'!A36</f>
        <v>Casque chantier</v>
      </c>
      <c r="AJ3" s="1" t="str">
        <f>+'à commander 2019'!A37</f>
        <v>Lampe frontale</v>
      </c>
    </row>
    <row r="4" spans="1:36" s="2" customFormat="1" x14ac:dyDescent="0.25">
      <c r="A4" s="19" t="s">
        <v>80</v>
      </c>
      <c r="B4" s="19" t="s">
        <v>81</v>
      </c>
      <c r="C4" s="14" t="s">
        <v>77</v>
      </c>
      <c r="D4" s="14" t="s">
        <v>77</v>
      </c>
      <c r="E4" s="14" t="s">
        <v>76</v>
      </c>
      <c r="F4" s="14" t="s">
        <v>77</v>
      </c>
      <c r="G4" s="14" t="s">
        <v>76</v>
      </c>
      <c r="H4" s="14" t="s">
        <v>77</v>
      </c>
      <c r="I4" s="14" t="s">
        <v>77</v>
      </c>
      <c r="J4" s="14" t="s">
        <v>77</v>
      </c>
      <c r="K4" s="14" t="s">
        <v>77</v>
      </c>
      <c r="L4" s="14" t="s">
        <v>76</v>
      </c>
      <c r="M4" s="14" t="s">
        <v>76</v>
      </c>
      <c r="N4" s="14" t="s">
        <v>77</v>
      </c>
      <c r="O4" s="14" t="s">
        <v>76</v>
      </c>
      <c r="P4" s="14" t="s">
        <v>76</v>
      </c>
      <c r="Q4" s="14" t="s">
        <v>76</v>
      </c>
      <c r="R4" s="14" t="s">
        <v>77</v>
      </c>
      <c r="S4" s="14" t="s">
        <v>77</v>
      </c>
      <c r="T4" s="14" t="s">
        <v>77</v>
      </c>
      <c r="U4" s="14" t="s">
        <v>77</v>
      </c>
      <c r="V4" s="14" t="s">
        <v>76</v>
      </c>
      <c r="W4" s="14" t="s">
        <v>77</v>
      </c>
      <c r="X4" s="14" t="s">
        <v>76</v>
      </c>
      <c r="Y4" s="14" t="s">
        <v>77</v>
      </c>
      <c r="Z4" s="14" t="s">
        <v>77</v>
      </c>
      <c r="AA4" s="14" t="s">
        <v>76</v>
      </c>
      <c r="AB4" s="14" t="s">
        <v>76</v>
      </c>
      <c r="AC4" s="14" t="s">
        <v>77</v>
      </c>
      <c r="AD4" s="14" t="s">
        <v>77</v>
      </c>
      <c r="AE4" s="14" t="s">
        <v>77</v>
      </c>
      <c r="AF4" s="14" t="s">
        <v>76</v>
      </c>
      <c r="AG4" s="14" t="s">
        <v>77</v>
      </c>
      <c r="AH4" s="14" t="s">
        <v>76</v>
      </c>
      <c r="AI4" s="14" t="s">
        <v>76</v>
      </c>
      <c r="AJ4" s="14" t="s">
        <v>77</v>
      </c>
    </row>
    <row r="5" spans="1:36" s="3" customFormat="1" x14ac:dyDescent="0.25">
      <c r="A5" s="19" t="s">
        <v>2</v>
      </c>
      <c r="B5" s="19" t="s">
        <v>3</v>
      </c>
      <c r="C5" s="14"/>
      <c r="D5" s="14" t="s">
        <v>77</v>
      </c>
      <c r="E5" s="14" t="s">
        <v>77</v>
      </c>
      <c r="F5" s="14" t="s">
        <v>77</v>
      </c>
      <c r="G5" s="14" t="s">
        <v>77</v>
      </c>
      <c r="H5" s="14" t="s">
        <v>76</v>
      </c>
      <c r="I5" s="14" t="s">
        <v>77</v>
      </c>
      <c r="J5" s="14" t="s">
        <v>76</v>
      </c>
      <c r="K5" s="14" t="s">
        <v>76</v>
      </c>
      <c r="L5" s="14" t="s">
        <v>76</v>
      </c>
      <c r="M5" s="14" t="s">
        <v>76</v>
      </c>
      <c r="N5" s="14" t="s">
        <v>76</v>
      </c>
      <c r="O5" s="14" t="s">
        <v>77</v>
      </c>
      <c r="P5" s="14" t="s">
        <v>77</v>
      </c>
      <c r="Q5" s="14" t="s">
        <v>76</v>
      </c>
      <c r="R5" s="14" t="s">
        <v>77</v>
      </c>
      <c r="S5" s="14" t="s">
        <v>76</v>
      </c>
      <c r="T5" s="14" t="s">
        <v>76</v>
      </c>
      <c r="U5" s="14" t="s">
        <v>76</v>
      </c>
      <c r="V5" s="14" t="s">
        <v>76</v>
      </c>
      <c r="W5" s="14" t="s">
        <v>77</v>
      </c>
      <c r="X5" s="14" t="s">
        <v>77</v>
      </c>
      <c r="Y5" s="14" t="s">
        <v>77</v>
      </c>
      <c r="Z5" s="14" t="s">
        <v>77</v>
      </c>
      <c r="AA5" s="14" t="s">
        <v>76</v>
      </c>
      <c r="AB5" s="14" t="s">
        <v>76</v>
      </c>
      <c r="AC5" s="14" t="s">
        <v>76</v>
      </c>
      <c r="AD5" s="14" t="s">
        <v>77</v>
      </c>
      <c r="AE5" s="14" t="s">
        <v>77</v>
      </c>
      <c r="AF5" s="14" t="s">
        <v>76</v>
      </c>
      <c r="AG5" s="14"/>
      <c r="AH5" s="14" t="s">
        <v>76</v>
      </c>
      <c r="AI5" s="14" t="s">
        <v>77</v>
      </c>
      <c r="AJ5" s="14" t="s">
        <v>76</v>
      </c>
    </row>
    <row r="6" spans="1:36" s="3" customFormat="1" x14ac:dyDescent="0.25">
      <c r="A6" s="4" t="s">
        <v>4</v>
      </c>
      <c r="B6" s="4" t="s">
        <v>5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</row>
    <row r="7" spans="1:36" s="3" customFormat="1" x14ac:dyDescent="0.25">
      <c r="A7" s="4" t="s">
        <v>4</v>
      </c>
      <c r="B7" s="4" t="s">
        <v>6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</row>
    <row r="8" spans="1:36" s="3" customFormat="1" x14ac:dyDescent="0.25">
      <c r="A8" s="20" t="s">
        <v>7</v>
      </c>
      <c r="B8" s="20" t="s">
        <v>8</v>
      </c>
      <c r="C8" s="14" t="s">
        <v>76</v>
      </c>
      <c r="D8" s="14" t="s">
        <v>76</v>
      </c>
      <c r="E8" s="14" t="s">
        <v>76</v>
      </c>
      <c r="F8" s="14" t="s">
        <v>76</v>
      </c>
      <c r="G8" s="14" t="s">
        <v>76</v>
      </c>
      <c r="H8" s="14" t="s">
        <v>76</v>
      </c>
      <c r="I8" s="14" t="s">
        <v>77</v>
      </c>
      <c r="J8" s="14" t="s">
        <v>76</v>
      </c>
      <c r="K8" s="14" t="s">
        <v>76</v>
      </c>
      <c r="L8" s="14" t="s">
        <v>76</v>
      </c>
      <c r="M8" s="14" t="s">
        <v>76</v>
      </c>
      <c r="N8" s="14" t="s">
        <v>76</v>
      </c>
      <c r="O8" s="14" t="s">
        <v>76</v>
      </c>
      <c r="P8" s="14" t="s">
        <v>76</v>
      </c>
      <c r="Q8" s="14" t="s">
        <v>76</v>
      </c>
      <c r="R8" s="14" t="s">
        <v>76</v>
      </c>
      <c r="S8" s="14" t="s">
        <v>76</v>
      </c>
      <c r="T8" s="14" t="s">
        <v>76</v>
      </c>
      <c r="U8" s="14" t="s">
        <v>76</v>
      </c>
      <c r="V8" s="14" t="s">
        <v>76</v>
      </c>
      <c r="W8" s="14" t="s">
        <v>77</v>
      </c>
      <c r="X8" s="14" t="s">
        <v>76</v>
      </c>
      <c r="Y8" s="14" t="s">
        <v>76</v>
      </c>
      <c r="Z8" s="14" t="s">
        <v>76</v>
      </c>
      <c r="AA8" s="14" t="s">
        <v>77</v>
      </c>
      <c r="AB8" s="14" t="s">
        <v>77</v>
      </c>
      <c r="AC8" s="14" t="s">
        <v>77</v>
      </c>
      <c r="AD8" s="14" t="s">
        <v>77</v>
      </c>
      <c r="AE8" s="14" t="s">
        <v>76</v>
      </c>
      <c r="AF8" s="14" t="s">
        <v>76</v>
      </c>
      <c r="AG8" s="14" t="s">
        <v>76</v>
      </c>
      <c r="AH8" s="14" t="s">
        <v>76</v>
      </c>
      <c r="AI8" s="14" t="s">
        <v>76</v>
      </c>
      <c r="AJ8" s="14" t="s">
        <v>76</v>
      </c>
    </row>
    <row r="9" spans="1:36" s="3" customFormat="1" x14ac:dyDescent="0.25">
      <c r="A9" s="4" t="s">
        <v>9</v>
      </c>
      <c r="B9" s="4" t="s">
        <v>10</v>
      </c>
      <c r="C9" s="14" t="s">
        <v>76</v>
      </c>
      <c r="D9" s="14" t="s">
        <v>77</v>
      </c>
      <c r="E9" s="14" t="s">
        <v>76</v>
      </c>
      <c r="F9" s="14" t="s">
        <v>77</v>
      </c>
      <c r="G9" s="14" t="s">
        <v>76</v>
      </c>
      <c r="H9" s="14" t="s">
        <v>76</v>
      </c>
      <c r="I9" s="14" t="s">
        <v>77</v>
      </c>
      <c r="J9" s="14" t="s">
        <v>76</v>
      </c>
      <c r="K9" s="14" t="s">
        <v>76</v>
      </c>
      <c r="L9" s="14" t="s">
        <v>76</v>
      </c>
      <c r="M9" s="14" t="s">
        <v>76</v>
      </c>
      <c r="N9" s="14" t="s">
        <v>76</v>
      </c>
      <c r="O9" s="14" t="s">
        <v>76</v>
      </c>
      <c r="P9" s="14" t="s">
        <v>76</v>
      </c>
      <c r="Q9" s="14" t="s">
        <v>76</v>
      </c>
      <c r="R9" s="14" t="s">
        <v>76</v>
      </c>
      <c r="S9" s="14" t="s">
        <v>76</v>
      </c>
      <c r="T9" s="14" t="s">
        <v>76</v>
      </c>
      <c r="U9" s="14" t="s">
        <v>76</v>
      </c>
      <c r="V9" s="14" t="s">
        <v>76</v>
      </c>
      <c r="W9" s="14" t="s">
        <v>76</v>
      </c>
      <c r="X9" s="14" t="s">
        <v>77</v>
      </c>
      <c r="Y9" s="14" t="s">
        <v>77</v>
      </c>
      <c r="Z9" s="14" t="s">
        <v>77</v>
      </c>
      <c r="AA9" s="14" t="s">
        <v>76</v>
      </c>
      <c r="AB9" s="14" t="s">
        <v>77</v>
      </c>
      <c r="AC9" s="14" t="s">
        <v>76</v>
      </c>
      <c r="AD9" s="14" t="s">
        <v>77</v>
      </c>
      <c r="AE9" s="14" t="s">
        <v>77</v>
      </c>
      <c r="AF9" s="14" t="s">
        <v>76</v>
      </c>
      <c r="AG9" s="14" t="s">
        <v>77</v>
      </c>
      <c r="AH9" s="14" t="s">
        <v>76</v>
      </c>
      <c r="AI9" s="14" t="s">
        <v>76</v>
      </c>
      <c r="AJ9" s="14" t="s">
        <v>77</v>
      </c>
    </row>
    <row r="10" spans="1:36" s="3" customFormat="1" x14ac:dyDescent="0.25">
      <c r="A10" s="4" t="s">
        <v>11</v>
      </c>
      <c r="B10" s="4" t="s">
        <v>12</v>
      </c>
      <c r="C10" s="14" t="s">
        <v>77</v>
      </c>
      <c r="D10" s="14" t="s">
        <v>77</v>
      </c>
      <c r="E10" s="14" t="s">
        <v>77</v>
      </c>
      <c r="F10" s="14" t="s">
        <v>77</v>
      </c>
      <c r="G10" s="14" t="s">
        <v>77</v>
      </c>
      <c r="H10" s="14" t="s">
        <v>76</v>
      </c>
      <c r="I10" s="14" t="s">
        <v>77</v>
      </c>
      <c r="J10" s="14" t="s">
        <v>77</v>
      </c>
      <c r="K10" s="14" t="s">
        <v>77</v>
      </c>
      <c r="L10" s="14" t="s">
        <v>77</v>
      </c>
      <c r="M10" s="14" t="s">
        <v>77</v>
      </c>
      <c r="N10" s="14" t="s">
        <v>77</v>
      </c>
      <c r="O10" s="14" t="s">
        <v>77</v>
      </c>
      <c r="P10" s="14" t="s">
        <v>77</v>
      </c>
      <c r="Q10" s="14" t="s">
        <v>77</v>
      </c>
      <c r="R10" s="14" t="s">
        <v>77</v>
      </c>
      <c r="S10" s="14" t="s">
        <v>77</v>
      </c>
      <c r="T10" s="14" t="s">
        <v>77</v>
      </c>
      <c r="U10" s="14" t="s">
        <v>77</v>
      </c>
      <c r="V10" s="14" t="s">
        <v>77</v>
      </c>
      <c r="W10" s="14" t="s">
        <v>77</v>
      </c>
      <c r="X10" s="14" t="s">
        <v>77</v>
      </c>
      <c r="Y10" s="14" t="s">
        <v>77</v>
      </c>
      <c r="Z10" s="14" t="s">
        <v>77</v>
      </c>
      <c r="AA10" s="14" t="s">
        <v>77</v>
      </c>
      <c r="AB10" s="14" t="s">
        <v>77</v>
      </c>
      <c r="AC10" s="14" t="s">
        <v>77</v>
      </c>
      <c r="AD10" s="14" t="s">
        <v>77</v>
      </c>
      <c r="AE10" s="14" t="s">
        <v>77</v>
      </c>
      <c r="AF10" s="14" t="s">
        <v>77</v>
      </c>
      <c r="AG10" s="14" t="s">
        <v>78</v>
      </c>
      <c r="AH10" s="14" t="s">
        <v>78</v>
      </c>
      <c r="AI10" s="14" t="s">
        <v>78</v>
      </c>
      <c r="AJ10" s="14" t="s">
        <v>78</v>
      </c>
    </row>
    <row r="11" spans="1:36" s="3" customFormat="1" x14ac:dyDescent="0.25">
      <c r="A11" s="4" t="s">
        <v>105</v>
      </c>
      <c r="B11" s="4" t="s">
        <v>106</v>
      </c>
      <c r="C11" s="14" t="s">
        <v>77</v>
      </c>
      <c r="D11" s="14" t="s">
        <v>77</v>
      </c>
      <c r="E11" s="14" t="s">
        <v>77</v>
      </c>
      <c r="F11" s="14" t="s">
        <v>77</v>
      </c>
      <c r="G11" s="14" t="s">
        <v>76</v>
      </c>
      <c r="H11" s="14" t="s">
        <v>77</v>
      </c>
      <c r="I11" s="14" t="s">
        <v>77</v>
      </c>
      <c r="J11" s="14" t="s">
        <v>77</v>
      </c>
      <c r="K11" s="14" t="s">
        <v>77</v>
      </c>
      <c r="L11" s="14" t="s">
        <v>77</v>
      </c>
      <c r="M11" s="14" t="s">
        <v>77</v>
      </c>
      <c r="N11" s="14" t="s">
        <v>77</v>
      </c>
      <c r="O11" s="14" t="s">
        <v>76</v>
      </c>
      <c r="P11" s="14" t="s">
        <v>77</v>
      </c>
      <c r="Q11" s="14" t="s">
        <v>76</v>
      </c>
      <c r="R11" s="14" t="s">
        <v>76</v>
      </c>
      <c r="S11" s="14" t="s">
        <v>77</v>
      </c>
      <c r="T11" s="14" t="s">
        <v>77</v>
      </c>
      <c r="U11" s="14" t="s">
        <v>77</v>
      </c>
      <c r="V11" s="14" t="s">
        <v>77</v>
      </c>
      <c r="W11" s="14" t="s">
        <v>77</v>
      </c>
      <c r="X11" s="14" t="s">
        <v>77</v>
      </c>
      <c r="Y11" s="14" t="s">
        <v>77</v>
      </c>
      <c r="Z11" s="14" t="s">
        <v>77</v>
      </c>
      <c r="AA11" s="14" t="s">
        <v>77</v>
      </c>
      <c r="AB11" s="14" t="s">
        <v>77</v>
      </c>
      <c r="AC11" s="14" t="s">
        <v>76</v>
      </c>
      <c r="AD11" s="14" t="s">
        <v>77</v>
      </c>
      <c r="AE11" s="14" t="s">
        <v>76</v>
      </c>
      <c r="AF11" s="14" t="s">
        <v>76</v>
      </c>
      <c r="AG11" s="14" t="s">
        <v>76</v>
      </c>
      <c r="AH11" s="14" t="s">
        <v>77</v>
      </c>
      <c r="AI11" s="14" t="s">
        <v>76</v>
      </c>
      <c r="AJ11" s="14" t="s">
        <v>76</v>
      </c>
    </row>
    <row r="12" spans="1:36" s="3" customFormat="1" x14ac:dyDescent="0.25">
      <c r="A12" s="17" t="s">
        <v>13</v>
      </c>
      <c r="B12" s="17" t="s">
        <v>14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</row>
    <row r="13" spans="1:36" s="3" customFormat="1" x14ac:dyDescent="0.25">
      <c r="A13" s="4" t="s">
        <v>15</v>
      </c>
      <c r="B13" s="4" t="s">
        <v>16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</row>
    <row r="14" spans="1:36" s="3" customFormat="1" x14ac:dyDescent="0.25">
      <c r="A14" s="4" t="s">
        <v>17</v>
      </c>
      <c r="B14" s="4" t="s">
        <v>18</v>
      </c>
      <c r="C14" s="23" t="s">
        <v>76</v>
      </c>
      <c r="D14" s="23"/>
      <c r="E14" s="23"/>
      <c r="F14" s="23"/>
      <c r="G14" s="23"/>
      <c r="H14" s="23"/>
      <c r="I14" s="23"/>
      <c r="J14" s="23" t="s">
        <v>76</v>
      </c>
      <c r="K14" s="23" t="s">
        <v>76</v>
      </c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 t="s">
        <v>76</v>
      </c>
      <c r="AI14" s="23" t="s">
        <v>76</v>
      </c>
      <c r="AJ14" s="23" t="s">
        <v>76</v>
      </c>
    </row>
    <row r="15" spans="1:36" s="3" customFormat="1" x14ac:dyDescent="0.25">
      <c r="A15" s="4" t="s">
        <v>19</v>
      </c>
      <c r="B15" s="4" t="s">
        <v>20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 t="s">
        <v>76</v>
      </c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 t="s">
        <v>76</v>
      </c>
      <c r="AI15" s="23"/>
      <c r="AJ15" s="23"/>
    </row>
    <row r="16" spans="1:36" s="3" customFormat="1" x14ac:dyDescent="0.25">
      <c r="A16" s="4" t="s">
        <v>21</v>
      </c>
      <c r="B16" s="4" t="s">
        <v>22</v>
      </c>
      <c r="C16" s="14" t="s">
        <v>76</v>
      </c>
      <c r="D16" s="14" t="s">
        <v>76</v>
      </c>
      <c r="E16" s="14" t="s">
        <v>77</v>
      </c>
      <c r="F16" s="14" t="s">
        <v>77</v>
      </c>
      <c r="G16" s="14" t="s">
        <v>76</v>
      </c>
      <c r="H16" s="14" t="s">
        <v>77</v>
      </c>
      <c r="I16" s="14" t="s">
        <v>76</v>
      </c>
      <c r="J16" s="14" t="s">
        <v>77</v>
      </c>
      <c r="K16" s="14" t="s">
        <v>77</v>
      </c>
      <c r="L16" s="14" t="s">
        <v>76</v>
      </c>
      <c r="M16" s="14" t="s">
        <v>76</v>
      </c>
      <c r="N16" s="14" t="s">
        <v>76</v>
      </c>
      <c r="O16" s="14" t="s">
        <v>76</v>
      </c>
      <c r="P16" s="14" t="s">
        <v>76</v>
      </c>
      <c r="Q16" s="14" t="s">
        <v>76</v>
      </c>
      <c r="R16" s="14" t="s">
        <v>77</v>
      </c>
      <c r="S16" s="14" t="s">
        <v>76</v>
      </c>
      <c r="T16" s="14" t="s">
        <v>76</v>
      </c>
      <c r="U16" s="14" t="s">
        <v>76</v>
      </c>
      <c r="V16" s="14" t="s">
        <v>76</v>
      </c>
      <c r="W16" s="14" t="s">
        <v>77</v>
      </c>
      <c r="X16" s="14" t="s">
        <v>77</v>
      </c>
      <c r="Y16" s="14" t="s">
        <v>77</v>
      </c>
      <c r="Z16" s="14" t="s">
        <v>77</v>
      </c>
      <c r="AA16" s="14" t="s">
        <v>77</v>
      </c>
      <c r="AB16" s="14" t="s">
        <v>77</v>
      </c>
      <c r="AC16" s="14" t="s">
        <v>76</v>
      </c>
      <c r="AD16" s="14" t="s">
        <v>77</v>
      </c>
      <c r="AE16" s="14" t="s">
        <v>77</v>
      </c>
      <c r="AF16" s="14" t="s">
        <v>77</v>
      </c>
      <c r="AG16" s="14" t="s">
        <v>77</v>
      </c>
      <c r="AH16" s="14" t="s">
        <v>77</v>
      </c>
      <c r="AI16" s="14" t="s">
        <v>76</v>
      </c>
      <c r="AJ16" s="14" t="s">
        <v>77</v>
      </c>
    </row>
    <row r="17" spans="1:36" s="3" customFormat="1" x14ac:dyDescent="0.25">
      <c r="A17" s="4" t="s">
        <v>23</v>
      </c>
      <c r="B17" s="4" t="s">
        <v>24</v>
      </c>
      <c r="C17" s="14" t="s">
        <v>76</v>
      </c>
      <c r="D17" s="14" t="s">
        <v>77</v>
      </c>
      <c r="E17" s="14" t="s">
        <v>77</v>
      </c>
      <c r="F17" s="14" t="s">
        <v>77</v>
      </c>
      <c r="G17" s="14" t="s">
        <v>76</v>
      </c>
      <c r="H17" s="14" t="s">
        <v>76</v>
      </c>
      <c r="I17" s="14" t="s">
        <v>77</v>
      </c>
      <c r="J17" s="14" t="s">
        <v>76</v>
      </c>
      <c r="K17" s="14" t="s">
        <v>76</v>
      </c>
      <c r="L17" s="14" t="s">
        <v>76</v>
      </c>
      <c r="M17" s="14" t="s">
        <v>76</v>
      </c>
      <c r="N17" s="14" t="s">
        <v>76</v>
      </c>
      <c r="O17" s="14" t="s">
        <v>77</v>
      </c>
      <c r="P17" s="14" t="s">
        <v>76</v>
      </c>
      <c r="Q17" s="14" t="s">
        <v>77</v>
      </c>
      <c r="R17" s="14" t="s">
        <v>76</v>
      </c>
      <c r="S17" s="14" t="s">
        <v>76</v>
      </c>
      <c r="T17" s="14" t="s">
        <v>76</v>
      </c>
      <c r="U17" s="14" t="s">
        <v>76</v>
      </c>
      <c r="V17" s="14" t="s">
        <v>76</v>
      </c>
      <c r="W17" s="14" t="s">
        <v>77</v>
      </c>
      <c r="X17" s="14" t="s">
        <v>77</v>
      </c>
      <c r="Y17" s="14" t="s">
        <v>77</v>
      </c>
      <c r="Z17" s="14" t="s">
        <v>77</v>
      </c>
      <c r="AA17" s="14" t="s">
        <v>77</v>
      </c>
      <c r="AB17" s="14" t="s">
        <v>77</v>
      </c>
      <c r="AC17" s="14" t="s">
        <v>77</v>
      </c>
      <c r="AD17" s="14" t="s">
        <v>77</v>
      </c>
      <c r="AE17" s="14" t="s">
        <v>77</v>
      </c>
      <c r="AF17" s="14" t="s">
        <v>77</v>
      </c>
      <c r="AG17" s="14" t="s">
        <v>76</v>
      </c>
      <c r="AH17" s="14" t="s">
        <v>76</v>
      </c>
      <c r="AI17" s="14" t="s">
        <v>76</v>
      </c>
      <c r="AJ17" s="14" t="s">
        <v>77</v>
      </c>
    </row>
    <row r="18" spans="1:36" s="3" customFormat="1" x14ac:dyDescent="0.25">
      <c r="A18" s="20" t="s">
        <v>25</v>
      </c>
      <c r="B18" s="20" t="s">
        <v>26</v>
      </c>
      <c r="C18" s="14" t="s">
        <v>77</v>
      </c>
      <c r="D18" s="14" t="s">
        <v>77</v>
      </c>
      <c r="E18" s="14" t="s">
        <v>76</v>
      </c>
      <c r="F18" s="14" t="s">
        <v>77</v>
      </c>
      <c r="G18" s="14" t="s">
        <v>77</v>
      </c>
      <c r="H18" s="14" t="s">
        <v>77</v>
      </c>
      <c r="I18" s="14" t="s">
        <v>77</v>
      </c>
      <c r="J18" s="14" t="s">
        <v>77</v>
      </c>
      <c r="K18" s="14" t="s">
        <v>76</v>
      </c>
      <c r="L18" s="14" t="s">
        <v>77</v>
      </c>
      <c r="M18" s="14" t="s">
        <v>77</v>
      </c>
      <c r="N18" s="14" t="s">
        <v>77</v>
      </c>
      <c r="O18" s="14" t="s">
        <v>76</v>
      </c>
      <c r="P18" s="14" t="s">
        <v>76</v>
      </c>
      <c r="Q18" s="14" t="s">
        <v>77</v>
      </c>
      <c r="R18" s="14" t="s">
        <v>77</v>
      </c>
      <c r="S18" s="14" t="s">
        <v>76</v>
      </c>
      <c r="T18" s="14" t="s">
        <v>77</v>
      </c>
      <c r="U18" s="14" t="s">
        <v>77</v>
      </c>
      <c r="V18" s="14" t="s">
        <v>77</v>
      </c>
      <c r="W18" s="14" t="s">
        <v>77</v>
      </c>
      <c r="X18" s="14" t="s">
        <v>77</v>
      </c>
      <c r="Y18" s="14" t="s">
        <v>77</v>
      </c>
      <c r="Z18" s="14" t="s">
        <v>77</v>
      </c>
      <c r="AA18" s="14" t="s">
        <v>77</v>
      </c>
      <c r="AB18" s="14" t="s">
        <v>77</v>
      </c>
      <c r="AC18" s="14" t="s">
        <v>77</v>
      </c>
      <c r="AD18" s="14" t="s">
        <v>77</v>
      </c>
      <c r="AE18" s="14" t="s">
        <v>76</v>
      </c>
      <c r="AF18" s="14" t="s">
        <v>77</v>
      </c>
      <c r="AG18" s="14" t="s">
        <v>77</v>
      </c>
      <c r="AH18" s="14" t="s">
        <v>77</v>
      </c>
      <c r="AI18" s="14" t="s">
        <v>76</v>
      </c>
      <c r="AJ18" s="14" t="s">
        <v>77</v>
      </c>
    </row>
    <row r="19" spans="1:36" s="3" customFormat="1" x14ac:dyDescent="0.25">
      <c r="A19" s="4" t="s">
        <v>27</v>
      </c>
      <c r="B19" s="4" t="s">
        <v>28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</row>
    <row r="20" spans="1:36" s="5" customFormat="1" x14ac:dyDescent="0.25">
      <c r="A20" s="4" t="s">
        <v>29</v>
      </c>
      <c r="B20" s="4" t="s">
        <v>30</v>
      </c>
      <c r="C20" s="23"/>
      <c r="D20" s="23"/>
      <c r="E20" s="23"/>
      <c r="F20" s="23"/>
      <c r="G20" s="23"/>
      <c r="H20" s="23"/>
      <c r="I20" s="23" t="s">
        <v>76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 t="s">
        <v>76</v>
      </c>
      <c r="AE20" s="23" t="s">
        <v>76</v>
      </c>
      <c r="AF20" s="23"/>
      <c r="AG20" s="23"/>
      <c r="AH20" s="23"/>
      <c r="AI20" s="23"/>
      <c r="AJ20" s="23"/>
    </row>
    <row r="21" spans="1:36" s="3" customFormat="1" x14ac:dyDescent="0.25">
      <c r="A21" s="4" t="s">
        <v>31</v>
      </c>
      <c r="B21" s="4" t="s">
        <v>32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</row>
    <row r="22" spans="1:36" s="3" customFormat="1" x14ac:dyDescent="0.25">
      <c r="A22" s="4" t="s">
        <v>33</v>
      </c>
      <c r="B22" s="4" t="s">
        <v>5</v>
      </c>
      <c r="C22" s="14" t="s">
        <v>77</v>
      </c>
      <c r="D22" s="14" t="s">
        <v>77</v>
      </c>
      <c r="E22" s="14" t="s">
        <v>77</v>
      </c>
      <c r="F22" s="14" t="s">
        <v>77</v>
      </c>
      <c r="G22" s="14" t="s">
        <v>77</v>
      </c>
      <c r="H22" s="14" t="s">
        <v>76</v>
      </c>
      <c r="I22" s="14" t="s">
        <v>76</v>
      </c>
      <c r="J22" s="14" t="s">
        <v>76</v>
      </c>
      <c r="K22" s="14" t="s">
        <v>77</v>
      </c>
      <c r="L22" s="14" t="s">
        <v>76</v>
      </c>
      <c r="M22" s="14" t="s">
        <v>77</v>
      </c>
      <c r="N22" s="14" t="s">
        <v>77</v>
      </c>
      <c r="O22" s="14" t="s">
        <v>77</v>
      </c>
      <c r="P22" s="14" t="s">
        <v>77</v>
      </c>
      <c r="Q22" s="14" t="s">
        <v>77</v>
      </c>
      <c r="R22" s="14" t="s">
        <v>77</v>
      </c>
      <c r="S22" s="14" t="s">
        <v>77</v>
      </c>
      <c r="T22" s="14" t="s">
        <v>77</v>
      </c>
      <c r="U22" s="14" t="s">
        <v>77</v>
      </c>
      <c r="V22" s="14" t="s">
        <v>76</v>
      </c>
      <c r="W22" s="14" t="s">
        <v>76</v>
      </c>
      <c r="X22" s="14" t="s">
        <v>76</v>
      </c>
      <c r="Y22" s="14" t="s">
        <v>77</v>
      </c>
      <c r="Z22" s="14" t="s">
        <v>77</v>
      </c>
      <c r="AA22" s="14" t="s">
        <v>77</v>
      </c>
      <c r="AB22" s="14" t="s">
        <v>77</v>
      </c>
      <c r="AC22" s="14" t="s">
        <v>76</v>
      </c>
      <c r="AD22" s="14" t="s">
        <v>76</v>
      </c>
      <c r="AE22" s="14" t="s">
        <v>76</v>
      </c>
      <c r="AF22" s="14" t="s">
        <v>76</v>
      </c>
      <c r="AG22" s="14" t="s">
        <v>77</v>
      </c>
      <c r="AH22" s="14" t="s">
        <v>76</v>
      </c>
      <c r="AI22" s="14" t="s">
        <v>77</v>
      </c>
      <c r="AJ22" s="14" t="s">
        <v>77</v>
      </c>
    </row>
    <row r="23" spans="1:36" s="3" customFormat="1" x14ac:dyDescent="0.25">
      <c r="A23" s="19" t="s">
        <v>33</v>
      </c>
      <c r="B23" s="19" t="s">
        <v>34</v>
      </c>
      <c r="C23" s="14" t="s">
        <v>76</v>
      </c>
      <c r="D23" s="14" t="s">
        <v>77</v>
      </c>
      <c r="E23" s="14" t="s">
        <v>77</v>
      </c>
      <c r="F23" s="14" t="s">
        <v>77</v>
      </c>
      <c r="G23" s="14" t="s">
        <v>77</v>
      </c>
      <c r="H23" s="14" t="s">
        <v>77</v>
      </c>
      <c r="I23" s="14" t="s">
        <v>76</v>
      </c>
      <c r="J23" s="14" t="s">
        <v>77</v>
      </c>
      <c r="K23" s="14" t="s">
        <v>77</v>
      </c>
      <c r="L23" s="14" t="s">
        <v>76</v>
      </c>
      <c r="M23" s="14" t="s">
        <v>76</v>
      </c>
      <c r="N23" s="14" t="s">
        <v>77</v>
      </c>
      <c r="O23" s="14" t="s">
        <v>77</v>
      </c>
      <c r="P23" s="14" t="s">
        <v>77</v>
      </c>
      <c r="Q23" s="14" t="s">
        <v>77</v>
      </c>
      <c r="R23" s="14" t="s">
        <v>77</v>
      </c>
      <c r="S23" s="14" t="s">
        <v>77</v>
      </c>
      <c r="T23" s="14" t="s">
        <v>77</v>
      </c>
      <c r="U23" s="14" t="s">
        <v>77</v>
      </c>
      <c r="V23" s="14" t="s">
        <v>77</v>
      </c>
      <c r="W23" s="14" t="s">
        <v>77</v>
      </c>
      <c r="X23" s="14" t="s">
        <v>77</v>
      </c>
      <c r="Y23" s="14" t="s">
        <v>77</v>
      </c>
      <c r="Z23" s="14" t="s">
        <v>77</v>
      </c>
      <c r="AA23" s="14" t="s">
        <v>76</v>
      </c>
      <c r="AB23" s="14" t="s">
        <v>77</v>
      </c>
      <c r="AC23" s="14" t="s">
        <v>76</v>
      </c>
      <c r="AD23" s="14" t="s">
        <v>77</v>
      </c>
      <c r="AE23" s="14" t="s">
        <v>77</v>
      </c>
      <c r="AF23" s="14" t="s">
        <v>77</v>
      </c>
      <c r="AG23" s="14" t="s">
        <v>77</v>
      </c>
      <c r="AH23" s="14" t="s">
        <v>76</v>
      </c>
      <c r="AI23" s="14" t="s">
        <v>76</v>
      </c>
      <c r="AJ23" s="14" t="s">
        <v>76</v>
      </c>
    </row>
    <row r="24" spans="1:36" s="3" customFormat="1" x14ac:dyDescent="0.25">
      <c r="A24" s="20" t="s">
        <v>35</v>
      </c>
      <c r="B24" s="20" t="s">
        <v>36</v>
      </c>
      <c r="C24" s="14" t="s">
        <v>77</v>
      </c>
      <c r="D24" s="14" t="s">
        <v>77</v>
      </c>
      <c r="E24" s="14" t="s">
        <v>77</v>
      </c>
      <c r="F24" s="14" t="s">
        <v>77</v>
      </c>
      <c r="G24" s="14" t="s">
        <v>77</v>
      </c>
      <c r="H24" s="14" t="s">
        <v>77</v>
      </c>
      <c r="I24" s="14" t="s">
        <v>76</v>
      </c>
      <c r="J24" s="14" t="s">
        <v>76</v>
      </c>
      <c r="K24" s="14" t="s">
        <v>77</v>
      </c>
      <c r="L24" s="14" t="s">
        <v>77</v>
      </c>
      <c r="M24" s="14" t="s">
        <v>77</v>
      </c>
      <c r="N24" s="14" t="s">
        <v>76</v>
      </c>
      <c r="O24" s="14" t="s">
        <v>76</v>
      </c>
      <c r="P24" s="14" t="s">
        <v>76</v>
      </c>
      <c r="Q24" s="14" t="s">
        <v>77</v>
      </c>
      <c r="R24" s="14" t="s">
        <v>77</v>
      </c>
      <c r="S24" s="14" t="s">
        <v>77</v>
      </c>
      <c r="T24" s="14" t="s">
        <v>77</v>
      </c>
      <c r="U24" s="14" t="s">
        <v>77</v>
      </c>
      <c r="V24" s="14" t="s">
        <v>76</v>
      </c>
      <c r="W24" s="14" t="s">
        <v>77</v>
      </c>
      <c r="X24" s="14" t="s">
        <v>77</v>
      </c>
      <c r="Y24" s="14" t="s">
        <v>77</v>
      </c>
      <c r="Z24" s="14" t="s">
        <v>77</v>
      </c>
      <c r="AA24" s="14" t="s">
        <v>77</v>
      </c>
      <c r="AB24" s="14" t="s">
        <v>76</v>
      </c>
      <c r="AC24" s="14" t="s">
        <v>76</v>
      </c>
      <c r="AD24" s="14" t="s">
        <v>77</v>
      </c>
      <c r="AE24" s="14" t="s">
        <v>77</v>
      </c>
      <c r="AF24" s="14" t="s">
        <v>76</v>
      </c>
      <c r="AG24" s="14" t="s">
        <v>77</v>
      </c>
      <c r="AH24" s="14" t="s">
        <v>76</v>
      </c>
      <c r="AI24" s="14" t="s">
        <v>76</v>
      </c>
      <c r="AJ24" s="14" t="s">
        <v>76</v>
      </c>
    </row>
    <row r="25" spans="1:36" s="3" customFormat="1" x14ac:dyDescent="0.25">
      <c r="A25" s="20" t="s">
        <v>37</v>
      </c>
      <c r="B25" s="20" t="s">
        <v>38</v>
      </c>
      <c r="C25" s="14" t="s">
        <v>77</v>
      </c>
      <c r="D25" s="14" t="s">
        <v>77</v>
      </c>
      <c r="E25" s="14" t="s">
        <v>77</v>
      </c>
      <c r="F25" s="14" t="s">
        <v>77</v>
      </c>
      <c r="G25" s="14" t="s">
        <v>77</v>
      </c>
      <c r="H25" s="14" t="s">
        <v>77</v>
      </c>
      <c r="I25" s="14" t="s">
        <v>77</v>
      </c>
      <c r="J25" s="14" t="s">
        <v>77</v>
      </c>
      <c r="K25" s="14" t="s">
        <v>77</v>
      </c>
      <c r="L25" s="14" t="s">
        <v>77</v>
      </c>
      <c r="M25" s="14" t="s">
        <v>77</v>
      </c>
      <c r="N25" s="14" t="s">
        <v>77</v>
      </c>
      <c r="O25" s="14" t="s">
        <v>77</v>
      </c>
      <c r="P25" s="14" t="s">
        <v>77</v>
      </c>
      <c r="Q25" s="14" t="s">
        <v>77</v>
      </c>
      <c r="R25" s="14" t="s">
        <v>77</v>
      </c>
      <c r="S25" s="14" t="s">
        <v>77</v>
      </c>
      <c r="T25" s="14" t="s">
        <v>77</v>
      </c>
      <c r="U25" s="14" t="s">
        <v>77</v>
      </c>
      <c r="V25" s="14" t="s">
        <v>76</v>
      </c>
      <c r="W25" s="14" t="s">
        <v>76</v>
      </c>
      <c r="X25" s="14" t="s">
        <v>77</v>
      </c>
      <c r="Y25" s="14" t="s">
        <v>77</v>
      </c>
      <c r="Z25" s="14" t="s">
        <v>77</v>
      </c>
      <c r="AA25" s="14" t="s">
        <v>77</v>
      </c>
      <c r="AB25" s="14" t="s">
        <v>77</v>
      </c>
      <c r="AC25" s="14" t="s">
        <v>77</v>
      </c>
      <c r="AD25" s="14" t="s">
        <v>77</v>
      </c>
      <c r="AE25" s="14" t="s">
        <v>77</v>
      </c>
      <c r="AF25" s="14" t="s">
        <v>77</v>
      </c>
      <c r="AG25" s="14" t="s">
        <v>76</v>
      </c>
      <c r="AH25" s="14" t="s">
        <v>76</v>
      </c>
      <c r="AI25" s="14" t="s">
        <v>77</v>
      </c>
      <c r="AJ25" s="14" t="s">
        <v>77</v>
      </c>
    </row>
    <row r="26" spans="1:36" s="3" customFormat="1" x14ac:dyDescent="0.25">
      <c r="A26" s="4" t="s">
        <v>39</v>
      </c>
      <c r="B26" s="4" t="s">
        <v>40</v>
      </c>
      <c r="C26" s="14" t="s">
        <v>76</v>
      </c>
      <c r="D26" s="14" t="s">
        <v>77</v>
      </c>
      <c r="E26" s="14" t="s">
        <v>76</v>
      </c>
      <c r="F26" s="14" t="s">
        <v>76</v>
      </c>
      <c r="G26" s="14" t="s">
        <v>76</v>
      </c>
      <c r="H26" s="14" t="s">
        <v>77</v>
      </c>
      <c r="I26" s="14" t="s">
        <v>76</v>
      </c>
      <c r="J26" s="14" t="s">
        <v>76</v>
      </c>
      <c r="K26" s="14" t="s">
        <v>76</v>
      </c>
      <c r="L26" s="14" t="s">
        <v>76</v>
      </c>
      <c r="M26" s="14" t="s">
        <v>76</v>
      </c>
      <c r="N26" s="14" t="s">
        <v>76</v>
      </c>
      <c r="O26" s="14" t="s">
        <v>76</v>
      </c>
      <c r="P26" s="14" t="s">
        <v>76</v>
      </c>
      <c r="Q26" s="14" t="s">
        <v>76</v>
      </c>
      <c r="R26" s="14" t="s">
        <v>76</v>
      </c>
      <c r="S26" s="14" t="s">
        <v>76</v>
      </c>
      <c r="T26" s="14" t="s">
        <v>77</v>
      </c>
      <c r="U26" s="14" t="s">
        <v>76</v>
      </c>
      <c r="V26" s="14" t="s">
        <v>76</v>
      </c>
      <c r="W26" s="14" t="s">
        <v>76</v>
      </c>
      <c r="X26" s="14" t="s">
        <v>76</v>
      </c>
      <c r="Y26" s="14" t="s">
        <v>76</v>
      </c>
      <c r="Z26" s="14" t="s">
        <v>76</v>
      </c>
      <c r="AA26" s="14" t="s">
        <v>76</v>
      </c>
      <c r="AB26" s="14" t="s">
        <v>76</v>
      </c>
      <c r="AC26" s="14" t="s">
        <v>76</v>
      </c>
      <c r="AD26" s="14" t="s">
        <v>76</v>
      </c>
      <c r="AE26" s="14" t="s">
        <v>76</v>
      </c>
      <c r="AF26" s="14" t="s">
        <v>76</v>
      </c>
      <c r="AG26" s="14" t="s">
        <v>76</v>
      </c>
      <c r="AH26" s="14" t="s">
        <v>76</v>
      </c>
      <c r="AI26" s="14" t="s">
        <v>77</v>
      </c>
      <c r="AJ26" s="14" t="s">
        <v>77</v>
      </c>
    </row>
    <row r="27" spans="1:36" s="3" customFormat="1" ht="15.75" thickBot="1" x14ac:dyDescent="0.3">
      <c r="A27" s="15" t="s">
        <v>41</v>
      </c>
      <c r="B27" s="15" t="s">
        <v>42</v>
      </c>
      <c r="C27" s="16" t="s">
        <v>77</v>
      </c>
      <c r="D27" s="16" t="s">
        <v>77</v>
      </c>
      <c r="E27" s="16" t="s">
        <v>77</v>
      </c>
      <c r="F27" s="16" t="s">
        <v>77</v>
      </c>
      <c r="G27" s="16" t="s">
        <v>76</v>
      </c>
      <c r="H27" s="16" t="s">
        <v>76</v>
      </c>
      <c r="I27" s="16" t="s">
        <v>77</v>
      </c>
      <c r="J27" s="16" t="s">
        <v>77</v>
      </c>
      <c r="K27" s="16" t="s">
        <v>77</v>
      </c>
      <c r="L27" s="16" t="s">
        <v>77</v>
      </c>
      <c r="M27" s="16" t="s">
        <v>77</v>
      </c>
      <c r="N27" s="16" t="s">
        <v>77</v>
      </c>
      <c r="O27" s="16" t="s">
        <v>77</v>
      </c>
      <c r="P27" s="16" t="s">
        <v>77</v>
      </c>
      <c r="Q27" s="16" t="s">
        <v>76</v>
      </c>
      <c r="R27" s="16" t="s">
        <v>77</v>
      </c>
      <c r="S27" s="16" t="s">
        <v>77</v>
      </c>
      <c r="T27" s="16" t="s">
        <v>76</v>
      </c>
      <c r="U27" s="16" t="s">
        <v>77</v>
      </c>
      <c r="V27" s="16" t="s">
        <v>77</v>
      </c>
      <c r="W27" s="16" t="s">
        <v>77</v>
      </c>
      <c r="X27" s="16" t="s">
        <v>77</v>
      </c>
      <c r="Y27" s="16" t="s">
        <v>77</v>
      </c>
      <c r="Z27" s="16" t="s">
        <v>77</v>
      </c>
      <c r="AA27" s="16" t="s">
        <v>76</v>
      </c>
      <c r="AB27" s="16" t="s">
        <v>77</v>
      </c>
      <c r="AC27" s="16" t="s">
        <v>77</v>
      </c>
      <c r="AD27" s="16" t="s">
        <v>77</v>
      </c>
      <c r="AE27" s="16" t="s">
        <v>77</v>
      </c>
      <c r="AF27" s="16" t="s">
        <v>76</v>
      </c>
      <c r="AG27" s="16" t="s">
        <v>77</v>
      </c>
      <c r="AH27" s="16" t="s">
        <v>76</v>
      </c>
      <c r="AI27" s="16" t="s">
        <v>77</v>
      </c>
      <c r="AJ27" s="16" t="s">
        <v>77</v>
      </c>
    </row>
    <row r="28" spans="1:36" ht="15.75" thickBot="1" x14ac:dyDescent="0.3">
      <c r="A28" s="8"/>
      <c r="B28" s="22" t="s">
        <v>82</v>
      </c>
      <c r="C28" s="21">
        <f t="shared" ref="C28:AJ28" si="0">+COUNTIF(C4:C27,"NOK")</f>
        <v>7</v>
      </c>
      <c r="D28" s="21">
        <f t="shared" si="0"/>
        <v>2</v>
      </c>
      <c r="E28" s="21">
        <f t="shared" si="0"/>
        <v>5</v>
      </c>
      <c r="F28" s="21">
        <f t="shared" si="0"/>
        <v>2</v>
      </c>
      <c r="G28" s="21">
        <f t="shared" si="0"/>
        <v>8</v>
      </c>
      <c r="H28" s="21">
        <f t="shared" si="0"/>
        <v>7</v>
      </c>
      <c r="I28" s="21">
        <f t="shared" si="0"/>
        <v>6</v>
      </c>
      <c r="J28" s="21">
        <f t="shared" si="0"/>
        <v>8</v>
      </c>
      <c r="K28" s="21">
        <f t="shared" si="0"/>
        <v>7</v>
      </c>
      <c r="L28" s="21">
        <f t="shared" si="0"/>
        <v>9</v>
      </c>
      <c r="M28" s="21">
        <f t="shared" si="0"/>
        <v>8</v>
      </c>
      <c r="N28" s="21">
        <f t="shared" si="0"/>
        <v>7</v>
      </c>
      <c r="O28" s="21">
        <f t="shared" si="0"/>
        <v>9</v>
      </c>
      <c r="P28" s="21">
        <f t="shared" si="0"/>
        <v>8</v>
      </c>
      <c r="Q28" s="21">
        <f t="shared" si="0"/>
        <v>8</v>
      </c>
      <c r="R28" s="21">
        <f t="shared" si="0"/>
        <v>5</v>
      </c>
      <c r="S28" s="21">
        <f t="shared" si="0"/>
        <v>7</v>
      </c>
      <c r="T28" s="21">
        <f t="shared" si="0"/>
        <v>6</v>
      </c>
      <c r="U28" s="21">
        <f t="shared" si="0"/>
        <v>6</v>
      </c>
      <c r="V28" s="21">
        <f t="shared" si="0"/>
        <v>10</v>
      </c>
      <c r="W28" s="21">
        <f t="shared" si="0"/>
        <v>4</v>
      </c>
      <c r="X28" s="21">
        <f t="shared" si="0"/>
        <v>4</v>
      </c>
      <c r="Y28" s="21">
        <f t="shared" si="0"/>
        <v>2</v>
      </c>
      <c r="Z28" s="21">
        <f t="shared" si="0"/>
        <v>2</v>
      </c>
      <c r="AA28" s="21">
        <f t="shared" si="0"/>
        <v>6</v>
      </c>
      <c r="AB28" s="21">
        <f t="shared" si="0"/>
        <v>4</v>
      </c>
      <c r="AC28" s="21">
        <f t="shared" si="0"/>
        <v>8</v>
      </c>
      <c r="AD28" s="21">
        <f t="shared" si="0"/>
        <v>3</v>
      </c>
      <c r="AE28" s="21">
        <f t="shared" si="0"/>
        <v>6</v>
      </c>
      <c r="AF28" s="21">
        <f t="shared" si="0"/>
        <v>9</v>
      </c>
      <c r="AG28" s="21">
        <f t="shared" si="0"/>
        <v>5</v>
      </c>
      <c r="AH28" s="21">
        <f t="shared" si="0"/>
        <v>13</v>
      </c>
      <c r="AI28" s="21">
        <f t="shared" si="0"/>
        <v>10</v>
      </c>
      <c r="AJ28" s="21">
        <f t="shared" si="0"/>
        <v>6</v>
      </c>
    </row>
    <row r="29" spans="1:36" x14ac:dyDescent="0.25">
      <c r="AE29" s="21"/>
    </row>
    <row r="30" spans="1:36" x14ac:dyDescent="0.25">
      <c r="A30" s="18"/>
      <c r="B30" t="s">
        <v>79</v>
      </c>
      <c r="C30" s="24"/>
    </row>
    <row r="32" spans="1:36" s="7" customFormat="1" x14ac:dyDescent="0.25">
      <c r="A32"/>
      <c r="B32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</row>
    <row r="33" spans="1:36" s="7" customFormat="1" x14ac:dyDescent="0.25">
      <c r="A33"/>
      <c r="B3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</row>
    <row r="34" spans="1:36" s="7" customFormat="1" x14ac:dyDescent="0.25">
      <c r="A34"/>
      <c r="B3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7B4E4-3FAD-492E-ADB6-9C2AC9A8E7DF}">
  <dimension ref="B1:K86"/>
  <sheetViews>
    <sheetView workbookViewId="0">
      <pane xSplit="1" ySplit="3" topLeftCell="B19" activePane="bottomRight" state="frozen"/>
      <selection pane="topRight" activeCell="B1" sqref="B1"/>
      <selection pane="bottomLeft" activeCell="A4" sqref="A4"/>
      <selection pane="bottomRight" activeCell="K46" sqref="K46"/>
    </sheetView>
  </sheetViews>
  <sheetFormatPr baseColWidth="10" defaultRowHeight="15" x14ac:dyDescent="0.25"/>
  <cols>
    <col min="2" max="2" width="11.5703125" customWidth="1"/>
    <col min="9" max="9" width="38.42578125" customWidth="1"/>
    <col min="10" max="10" width="24" customWidth="1"/>
  </cols>
  <sheetData>
    <row r="1" spans="2:11" x14ac:dyDescent="0.25">
      <c r="B1" s="113" t="s">
        <v>451</v>
      </c>
      <c r="C1" s="114"/>
      <c r="D1" s="114"/>
      <c r="E1" s="115"/>
      <c r="G1" s="102" t="s">
        <v>450</v>
      </c>
      <c r="I1" s="113" t="s">
        <v>246</v>
      </c>
      <c r="J1" s="114"/>
      <c r="K1" s="115"/>
    </row>
    <row r="3" spans="2:11" x14ac:dyDescent="0.25">
      <c r="B3" t="s">
        <v>305</v>
      </c>
      <c r="C3" t="s">
        <v>0</v>
      </c>
      <c r="D3" t="s">
        <v>1</v>
      </c>
      <c r="E3" t="s">
        <v>306</v>
      </c>
      <c r="G3" t="s">
        <v>379</v>
      </c>
      <c r="I3" t="s">
        <v>385</v>
      </c>
      <c r="J3" t="s">
        <v>382</v>
      </c>
      <c r="K3" t="s">
        <v>384</v>
      </c>
    </row>
    <row r="4" spans="2:11" x14ac:dyDescent="0.25">
      <c r="B4" t="s">
        <v>307</v>
      </c>
      <c r="C4" t="s">
        <v>80</v>
      </c>
      <c r="D4" t="s">
        <v>81</v>
      </c>
      <c r="E4" t="s">
        <v>308</v>
      </c>
      <c r="G4" t="s">
        <v>447</v>
      </c>
      <c r="I4" t="s">
        <v>432</v>
      </c>
      <c r="J4" t="s">
        <v>432</v>
      </c>
      <c r="K4" s="91">
        <v>20.29</v>
      </c>
    </row>
    <row r="5" spans="2:11" x14ac:dyDescent="0.25">
      <c r="B5" t="s">
        <v>309</v>
      </c>
      <c r="C5" t="s">
        <v>310</v>
      </c>
      <c r="D5" t="s">
        <v>311</v>
      </c>
      <c r="E5" t="s">
        <v>312</v>
      </c>
      <c r="G5" t="s">
        <v>454</v>
      </c>
      <c r="I5" t="s">
        <v>399</v>
      </c>
      <c r="J5" t="s">
        <v>399</v>
      </c>
      <c r="K5" s="91">
        <v>27.61</v>
      </c>
    </row>
    <row r="6" spans="2:11" x14ac:dyDescent="0.25">
      <c r="B6" t="s">
        <v>313</v>
      </c>
      <c r="C6" t="s">
        <v>2</v>
      </c>
      <c r="D6" t="s">
        <v>3</v>
      </c>
      <c r="E6" t="s">
        <v>308</v>
      </c>
      <c r="G6" t="s">
        <v>516</v>
      </c>
      <c r="I6" t="s">
        <v>433</v>
      </c>
      <c r="J6" t="s">
        <v>433</v>
      </c>
      <c r="K6" s="91">
        <v>151.05000000000001</v>
      </c>
    </row>
    <row r="7" spans="2:11" x14ac:dyDescent="0.25">
      <c r="B7" t="s">
        <v>314</v>
      </c>
      <c r="C7" t="s">
        <v>4</v>
      </c>
      <c r="D7" t="s">
        <v>5</v>
      </c>
      <c r="E7" t="s">
        <v>315</v>
      </c>
      <c r="G7" t="s">
        <v>517</v>
      </c>
      <c r="I7" t="s">
        <v>434</v>
      </c>
      <c r="J7" t="s">
        <v>434</v>
      </c>
      <c r="K7" s="91">
        <v>790</v>
      </c>
    </row>
    <row r="8" spans="2:11" x14ac:dyDescent="0.25">
      <c r="B8" t="s">
        <v>316</v>
      </c>
      <c r="C8" t="s">
        <v>4</v>
      </c>
      <c r="D8" t="s">
        <v>6</v>
      </c>
      <c r="E8" t="s">
        <v>315</v>
      </c>
      <c r="G8" t="s">
        <v>518</v>
      </c>
      <c r="I8" t="s">
        <v>395</v>
      </c>
      <c r="J8" t="s">
        <v>395</v>
      </c>
      <c r="K8" s="91">
        <v>11.89</v>
      </c>
    </row>
    <row r="9" spans="2:11" x14ac:dyDescent="0.25">
      <c r="B9" t="s">
        <v>317</v>
      </c>
      <c r="C9" t="s">
        <v>7</v>
      </c>
      <c r="D9" t="s">
        <v>8</v>
      </c>
      <c r="E9" t="s">
        <v>308</v>
      </c>
      <c r="G9" t="s">
        <v>381</v>
      </c>
      <c r="I9" t="s">
        <v>401</v>
      </c>
      <c r="J9" t="s">
        <v>401</v>
      </c>
      <c r="K9" s="91">
        <v>8.7200000000000006</v>
      </c>
    </row>
    <row r="10" spans="2:11" x14ac:dyDescent="0.25">
      <c r="B10" t="s">
        <v>318</v>
      </c>
      <c r="C10" t="s">
        <v>319</v>
      </c>
      <c r="D10" t="s">
        <v>320</v>
      </c>
      <c r="E10" t="s">
        <v>321</v>
      </c>
      <c r="G10" t="s">
        <v>380</v>
      </c>
      <c r="I10" t="s">
        <v>391</v>
      </c>
      <c r="J10" t="s">
        <v>391</v>
      </c>
      <c r="K10" s="91">
        <v>13</v>
      </c>
    </row>
    <row r="11" spans="2:11" x14ac:dyDescent="0.25">
      <c r="B11" t="s">
        <v>322</v>
      </c>
      <c r="C11" t="s">
        <v>323</v>
      </c>
      <c r="D11" t="s">
        <v>324</v>
      </c>
      <c r="E11" t="s">
        <v>325</v>
      </c>
      <c r="G11" t="s">
        <v>547</v>
      </c>
      <c r="I11" t="s">
        <v>74</v>
      </c>
      <c r="J11" t="s">
        <v>74</v>
      </c>
      <c r="K11" s="91">
        <v>29.05</v>
      </c>
    </row>
    <row r="12" spans="2:11" x14ac:dyDescent="0.25">
      <c r="B12" t="s">
        <v>326</v>
      </c>
      <c r="C12" t="s">
        <v>327</v>
      </c>
      <c r="D12" t="s">
        <v>328</v>
      </c>
      <c r="E12" t="s">
        <v>329</v>
      </c>
      <c r="I12" t="s">
        <v>449</v>
      </c>
      <c r="J12" t="s">
        <v>449</v>
      </c>
      <c r="K12" s="91">
        <v>25.9</v>
      </c>
    </row>
    <row r="13" spans="2:11" x14ac:dyDescent="0.25">
      <c r="B13" t="s">
        <v>330</v>
      </c>
      <c r="C13" t="s">
        <v>105</v>
      </c>
      <c r="D13" t="s">
        <v>106</v>
      </c>
      <c r="E13" t="s">
        <v>308</v>
      </c>
      <c r="I13" t="s">
        <v>422</v>
      </c>
      <c r="J13" t="s">
        <v>422</v>
      </c>
      <c r="K13" s="91">
        <v>54</v>
      </c>
    </row>
    <row r="14" spans="2:11" x14ac:dyDescent="0.25">
      <c r="B14" t="s">
        <v>331</v>
      </c>
      <c r="C14" t="s">
        <v>332</v>
      </c>
      <c r="D14" t="s">
        <v>14</v>
      </c>
      <c r="E14" t="s">
        <v>308</v>
      </c>
      <c r="I14" t="s">
        <v>393</v>
      </c>
      <c r="J14" t="s">
        <v>393</v>
      </c>
      <c r="K14" s="91">
        <v>16.12</v>
      </c>
    </row>
    <row r="15" spans="2:11" x14ac:dyDescent="0.25">
      <c r="B15" t="s">
        <v>543</v>
      </c>
      <c r="C15" t="s">
        <v>541</v>
      </c>
      <c r="D15" t="s">
        <v>542</v>
      </c>
      <c r="E15" t="s">
        <v>315</v>
      </c>
      <c r="I15" t="s">
        <v>403</v>
      </c>
      <c r="J15" t="s">
        <v>403</v>
      </c>
      <c r="K15" s="91">
        <v>5.41</v>
      </c>
    </row>
    <row r="16" spans="2:11" x14ac:dyDescent="0.25">
      <c r="B16" t="s">
        <v>333</v>
      </c>
      <c r="C16" t="s">
        <v>291</v>
      </c>
      <c r="D16" t="s">
        <v>334</v>
      </c>
      <c r="E16" t="s">
        <v>325</v>
      </c>
      <c r="I16" t="s">
        <v>404</v>
      </c>
      <c r="J16" t="s">
        <v>404</v>
      </c>
      <c r="K16" s="91">
        <v>6.8</v>
      </c>
    </row>
    <row r="17" spans="2:11" x14ac:dyDescent="0.25">
      <c r="B17" t="s">
        <v>335</v>
      </c>
      <c r="C17" t="s">
        <v>90</v>
      </c>
      <c r="D17" t="s">
        <v>20</v>
      </c>
      <c r="E17" t="s">
        <v>315</v>
      </c>
      <c r="I17" t="s">
        <v>405</v>
      </c>
      <c r="J17" t="s">
        <v>405</v>
      </c>
      <c r="K17" s="91">
        <v>6.23</v>
      </c>
    </row>
    <row r="18" spans="2:11" x14ac:dyDescent="0.25">
      <c r="B18" t="s">
        <v>336</v>
      </c>
      <c r="C18" t="s">
        <v>21</v>
      </c>
      <c r="D18" t="s">
        <v>337</v>
      </c>
      <c r="E18" t="s">
        <v>308</v>
      </c>
      <c r="I18" t="s">
        <v>406</v>
      </c>
      <c r="J18" t="s">
        <v>406</v>
      </c>
      <c r="K18" s="91">
        <v>8.16</v>
      </c>
    </row>
    <row r="19" spans="2:11" x14ac:dyDescent="0.25">
      <c r="B19" t="s">
        <v>338</v>
      </c>
      <c r="C19" t="s">
        <v>25</v>
      </c>
      <c r="D19" t="s">
        <v>26</v>
      </c>
      <c r="E19" t="s">
        <v>308</v>
      </c>
      <c r="I19" t="s">
        <v>407</v>
      </c>
      <c r="J19" t="s">
        <v>407</v>
      </c>
      <c r="K19" s="91">
        <v>9.1999999999999993</v>
      </c>
    </row>
    <row r="20" spans="2:11" x14ac:dyDescent="0.25">
      <c r="B20" t="s">
        <v>339</v>
      </c>
      <c r="C20" t="s">
        <v>340</v>
      </c>
      <c r="D20" t="s">
        <v>341</v>
      </c>
      <c r="E20" t="s">
        <v>325</v>
      </c>
      <c r="I20" t="s">
        <v>408</v>
      </c>
      <c r="J20" t="s">
        <v>408</v>
      </c>
      <c r="K20" s="91">
        <v>9.36</v>
      </c>
    </row>
    <row r="21" spans="2:11" x14ac:dyDescent="0.25">
      <c r="B21" t="s">
        <v>342</v>
      </c>
      <c r="C21" t="s">
        <v>343</v>
      </c>
      <c r="D21" t="s">
        <v>344</v>
      </c>
      <c r="E21" t="s">
        <v>345</v>
      </c>
      <c r="I21" t="s">
        <v>409</v>
      </c>
      <c r="J21" t="s">
        <v>409</v>
      </c>
      <c r="K21" s="91">
        <v>10.4</v>
      </c>
    </row>
    <row r="22" spans="2:11" x14ac:dyDescent="0.25">
      <c r="B22" t="s">
        <v>346</v>
      </c>
      <c r="C22" t="s">
        <v>162</v>
      </c>
      <c r="D22" t="s">
        <v>163</v>
      </c>
      <c r="E22" t="s">
        <v>312</v>
      </c>
      <c r="I22" t="s">
        <v>402</v>
      </c>
      <c r="J22" t="s">
        <v>402</v>
      </c>
      <c r="K22" s="91">
        <v>4.8499999999999996</v>
      </c>
    </row>
    <row r="23" spans="2:11" x14ac:dyDescent="0.25">
      <c r="B23" t="s">
        <v>347</v>
      </c>
      <c r="C23" t="s">
        <v>162</v>
      </c>
      <c r="D23" t="s">
        <v>348</v>
      </c>
      <c r="E23" t="s">
        <v>315</v>
      </c>
      <c r="I23" t="s">
        <v>420</v>
      </c>
      <c r="J23" t="s">
        <v>420</v>
      </c>
      <c r="K23" s="91">
        <v>27.5</v>
      </c>
    </row>
    <row r="24" spans="2:11" x14ac:dyDescent="0.25">
      <c r="B24" t="s">
        <v>349</v>
      </c>
      <c r="C24" t="s">
        <v>350</v>
      </c>
      <c r="D24" t="s">
        <v>351</v>
      </c>
      <c r="E24" t="s">
        <v>325</v>
      </c>
      <c r="I24" t="s">
        <v>429</v>
      </c>
      <c r="J24" t="s">
        <v>429</v>
      </c>
      <c r="K24" s="91">
        <v>214</v>
      </c>
    </row>
    <row r="25" spans="2:11" x14ac:dyDescent="0.25">
      <c r="B25" t="s">
        <v>352</v>
      </c>
      <c r="C25" t="s">
        <v>353</v>
      </c>
      <c r="D25" t="s">
        <v>354</v>
      </c>
      <c r="E25" t="s">
        <v>321</v>
      </c>
      <c r="I25" t="s">
        <v>421</v>
      </c>
      <c r="J25" t="s">
        <v>421</v>
      </c>
      <c r="K25" s="91">
        <v>3.05</v>
      </c>
    </row>
    <row r="26" spans="2:11" x14ac:dyDescent="0.25">
      <c r="B26" t="s">
        <v>355</v>
      </c>
      <c r="C26" t="s">
        <v>29</v>
      </c>
      <c r="D26" t="s">
        <v>30</v>
      </c>
      <c r="E26" t="s">
        <v>356</v>
      </c>
      <c r="I26" t="s">
        <v>561</v>
      </c>
      <c r="J26" t="s">
        <v>561</v>
      </c>
      <c r="K26" s="91">
        <v>6.53</v>
      </c>
    </row>
    <row r="27" spans="2:11" x14ac:dyDescent="0.25">
      <c r="B27" t="s">
        <v>357</v>
      </c>
      <c r="C27" t="s">
        <v>29</v>
      </c>
      <c r="D27" t="s">
        <v>142</v>
      </c>
      <c r="E27" t="s">
        <v>315</v>
      </c>
      <c r="I27" t="s">
        <v>562</v>
      </c>
      <c r="J27" t="s">
        <v>562</v>
      </c>
      <c r="K27" s="91">
        <v>11.75</v>
      </c>
    </row>
    <row r="28" spans="2:11" x14ac:dyDescent="0.25">
      <c r="B28" t="s">
        <v>358</v>
      </c>
      <c r="C28" t="s">
        <v>359</v>
      </c>
      <c r="D28" t="s">
        <v>360</v>
      </c>
      <c r="E28" t="s">
        <v>312</v>
      </c>
      <c r="I28" t="s">
        <v>423</v>
      </c>
      <c r="J28" t="s">
        <v>423</v>
      </c>
      <c r="K28" s="91">
        <v>3.05</v>
      </c>
    </row>
    <row r="29" spans="2:11" x14ac:dyDescent="0.25">
      <c r="B29" t="s">
        <v>361</v>
      </c>
      <c r="C29" t="s">
        <v>31</v>
      </c>
      <c r="D29" t="s">
        <v>32</v>
      </c>
      <c r="E29" t="s">
        <v>315</v>
      </c>
      <c r="I29" t="s">
        <v>424</v>
      </c>
      <c r="J29" t="s">
        <v>424</v>
      </c>
      <c r="K29" s="91">
        <v>2.5</v>
      </c>
    </row>
    <row r="30" spans="2:11" x14ac:dyDescent="0.25">
      <c r="B30" t="s">
        <v>362</v>
      </c>
      <c r="C30" t="s">
        <v>33</v>
      </c>
      <c r="D30" t="s">
        <v>5</v>
      </c>
      <c r="E30" t="s">
        <v>356</v>
      </c>
      <c r="I30" t="s">
        <v>410</v>
      </c>
      <c r="J30" t="s">
        <v>410</v>
      </c>
      <c r="K30" s="91">
        <v>3.32</v>
      </c>
    </row>
    <row r="31" spans="2:11" x14ac:dyDescent="0.25">
      <c r="B31" t="s">
        <v>363</v>
      </c>
      <c r="C31" t="s">
        <v>33</v>
      </c>
      <c r="D31" t="s">
        <v>364</v>
      </c>
      <c r="E31" t="s">
        <v>356</v>
      </c>
      <c r="I31" t="s">
        <v>425</v>
      </c>
      <c r="J31" t="s">
        <v>425</v>
      </c>
      <c r="K31" s="91">
        <v>2.75</v>
      </c>
    </row>
    <row r="32" spans="2:11" x14ac:dyDescent="0.25">
      <c r="B32" t="s">
        <v>365</v>
      </c>
      <c r="C32" t="s">
        <v>37</v>
      </c>
      <c r="D32" t="s">
        <v>366</v>
      </c>
      <c r="E32" t="s">
        <v>356</v>
      </c>
      <c r="I32" t="s">
        <v>411</v>
      </c>
      <c r="J32" t="s">
        <v>411</v>
      </c>
      <c r="K32" s="91">
        <v>3</v>
      </c>
    </row>
    <row r="33" spans="2:11" x14ac:dyDescent="0.25">
      <c r="B33" t="s">
        <v>367</v>
      </c>
      <c r="C33" t="s">
        <v>39</v>
      </c>
      <c r="D33" t="s">
        <v>40</v>
      </c>
      <c r="E33" t="s">
        <v>308</v>
      </c>
      <c r="I33" t="s">
        <v>412</v>
      </c>
      <c r="J33" t="s">
        <v>412</v>
      </c>
      <c r="K33" s="91">
        <v>3.91</v>
      </c>
    </row>
    <row r="34" spans="2:11" x14ac:dyDescent="0.25">
      <c r="B34" t="s">
        <v>368</v>
      </c>
      <c r="C34" t="s">
        <v>369</v>
      </c>
      <c r="D34" t="s">
        <v>42</v>
      </c>
      <c r="E34" t="s">
        <v>356</v>
      </c>
      <c r="I34" t="s">
        <v>413</v>
      </c>
      <c r="J34" t="s">
        <v>413</v>
      </c>
      <c r="K34" s="91">
        <v>3.85</v>
      </c>
    </row>
    <row r="35" spans="2:11" x14ac:dyDescent="0.25">
      <c r="B35" t="s">
        <v>370</v>
      </c>
      <c r="C35" t="s">
        <v>371</v>
      </c>
      <c r="D35" t="s">
        <v>241</v>
      </c>
      <c r="E35" t="s">
        <v>329</v>
      </c>
      <c r="I35" t="s">
        <v>426</v>
      </c>
      <c r="J35" t="s">
        <v>426</v>
      </c>
      <c r="K35" s="91">
        <v>3.85</v>
      </c>
    </row>
    <row r="36" spans="2:11" x14ac:dyDescent="0.25">
      <c r="B36" t="s">
        <v>372</v>
      </c>
      <c r="C36" t="s">
        <v>373</v>
      </c>
      <c r="D36" t="s">
        <v>374</v>
      </c>
      <c r="E36" t="s">
        <v>329</v>
      </c>
      <c r="I36" t="s">
        <v>414</v>
      </c>
      <c r="J36" t="s">
        <v>414</v>
      </c>
      <c r="K36" s="91">
        <v>5.5</v>
      </c>
    </row>
    <row r="37" spans="2:11" x14ac:dyDescent="0.25">
      <c r="B37" t="s">
        <v>546</v>
      </c>
      <c r="C37" t="s">
        <v>544</v>
      </c>
      <c r="D37" t="s">
        <v>545</v>
      </c>
      <c r="E37" t="s">
        <v>308</v>
      </c>
      <c r="I37" t="s">
        <v>427</v>
      </c>
      <c r="J37" t="s">
        <v>427</v>
      </c>
      <c r="K37" s="91">
        <v>4.12</v>
      </c>
    </row>
    <row r="38" spans="2:11" x14ac:dyDescent="0.25">
      <c r="B38" t="s">
        <v>375</v>
      </c>
      <c r="C38" t="s">
        <v>376</v>
      </c>
      <c r="D38" t="s">
        <v>377</v>
      </c>
      <c r="E38" t="s">
        <v>321</v>
      </c>
      <c r="I38" t="s">
        <v>415</v>
      </c>
      <c r="J38" t="s">
        <v>415</v>
      </c>
      <c r="K38" s="91">
        <v>6.07</v>
      </c>
    </row>
    <row r="39" spans="2:11" x14ac:dyDescent="0.25">
      <c r="B39" t="s">
        <v>378</v>
      </c>
      <c r="C39" t="s">
        <v>130</v>
      </c>
      <c r="D39" t="s">
        <v>131</v>
      </c>
      <c r="E39" t="s">
        <v>312</v>
      </c>
      <c r="I39" t="s">
        <v>453</v>
      </c>
      <c r="J39" t="s">
        <v>453</v>
      </c>
      <c r="K39" s="91">
        <v>23.67</v>
      </c>
    </row>
    <row r="40" spans="2:11" x14ac:dyDescent="0.25">
      <c r="B40" t="s">
        <v>499</v>
      </c>
      <c r="C40" t="s">
        <v>502</v>
      </c>
      <c r="I40" t="s">
        <v>437</v>
      </c>
      <c r="J40" t="s">
        <v>437</v>
      </c>
      <c r="K40" s="91">
        <v>6.8</v>
      </c>
    </row>
    <row r="41" spans="2:11" x14ac:dyDescent="0.25">
      <c r="B41" t="s">
        <v>500</v>
      </c>
      <c r="C41" t="s">
        <v>503</v>
      </c>
      <c r="I41" t="s">
        <v>431</v>
      </c>
      <c r="J41" t="s">
        <v>431</v>
      </c>
      <c r="K41" s="91">
        <v>35</v>
      </c>
    </row>
    <row r="42" spans="2:11" x14ac:dyDescent="0.25">
      <c r="B42" t="s">
        <v>501</v>
      </c>
      <c r="C42" t="s">
        <v>504</v>
      </c>
      <c r="I42" t="s">
        <v>452</v>
      </c>
      <c r="J42" t="s">
        <v>452</v>
      </c>
      <c r="K42" s="91">
        <v>20.5</v>
      </c>
    </row>
    <row r="43" spans="2:11" x14ac:dyDescent="0.25">
      <c r="B43" t="s">
        <v>536</v>
      </c>
      <c r="C43" t="s">
        <v>537</v>
      </c>
      <c r="I43" t="s">
        <v>275</v>
      </c>
      <c r="J43" t="s">
        <v>275</v>
      </c>
      <c r="K43" s="91">
        <v>31</v>
      </c>
    </row>
    <row r="44" spans="2:11" x14ac:dyDescent="0.25">
      <c r="I44" t="s">
        <v>392</v>
      </c>
      <c r="J44" t="s">
        <v>392</v>
      </c>
      <c r="K44" s="91">
        <v>54.54</v>
      </c>
    </row>
    <row r="45" spans="2:11" x14ac:dyDescent="0.25">
      <c r="I45" t="s">
        <v>563</v>
      </c>
      <c r="J45" t="s">
        <v>564</v>
      </c>
      <c r="K45" s="91">
        <v>17.7</v>
      </c>
    </row>
    <row r="46" spans="2:11" x14ac:dyDescent="0.25">
      <c r="I46" t="s">
        <v>398</v>
      </c>
      <c r="J46" t="s">
        <v>398</v>
      </c>
      <c r="K46" s="91">
        <v>103.22</v>
      </c>
    </row>
    <row r="47" spans="2:11" x14ac:dyDescent="0.25">
      <c r="I47" t="s">
        <v>559</v>
      </c>
      <c r="J47" t="s">
        <v>559</v>
      </c>
      <c r="K47" s="91">
        <v>130</v>
      </c>
    </row>
    <row r="48" spans="2:11" x14ac:dyDescent="0.25">
      <c r="I48" t="s">
        <v>49</v>
      </c>
      <c r="J48" t="s">
        <v>49</v>
      </c>
      <c r="K48" s="91">
        <v>41.88</v>
      </c>
    </row>
    <row r="49" spans="9:11" x14ac:dyDescent="0.25">
      <c r="I49" t="s">
        <v>430</v>
      </c>
      <c r="J49" t="s">
        <v>430</v>
      </c>
      <c r="K49" s="91">
        <v>17.149999999999999</v>
      </c>
    </row>
    <row r="50" spans="9:11" x14ac:dyDescent="0.25">
      <c r="I50" t="s">
        <v>67</v>
      </c>
      <c r="J50" t="s">
        <v>67</v>
      </c>
      <c r="K50" s="91">
        <v>4.8499999999999996</v>
      </c>
    </row>
    <row r="51" spans="9:11" x14ac:dyDescent="0.25">
      <c r="I51" t="s">
        <v>199</v>
      </c>
      <c r="J51" t="s">
        <v>199</v>
      </c>
      <c r="K51" s="91">
        <v>2.67</v>
      </c>
    </row>
    <row r="52" spans="9:11" x14ac:dyDescent="0.25">
      <c r="I52" t="s">
        <v>119</v>
      </c>
      <c r="J52" t="s">
        <v>119</v>
      </c>
      <c r="K52" s="91">
        <v>2.91</v>
      </c>
    </row>
    <row r="53" spans="9:11" x14ac:dyDescent="0.25">
      <c r="I53" t="s">
        <v>400</v>
      </c>
      <c r="J53" t="s">
        <v>400</v>
      </c>
      <c r="K53" s="91"/>
    </row>
    <row r="54" spans="9:11" x14ac:dyDescent="0.25">
      <c r="I54" t="s">
        <v>289</v>
      </c>
      <c r="J54" t="s">
        <v>519</v>
      </c>
      <c r="K54" s="91">
        <v>38</v>
      </c>
    </row>
    <row r="55" spans="9:11" x14ac:dyDescent="0.25">
      <c r="I55" t="s">
        <v>160</v>
      </c>
      <c r="J55" t="s">
        <v>160</v>
      </c>
      <c r="K55" s="91"/>
    </row>
    <row r="56" spans="9:11" x14ac:dyDescent="0.25">
      <c r="I56" t="s">
        <v>418</v>
      </c>
      <c r="J56" t="s">
        <v>418</v>
      </c>
      <c r="K56" s="91">
        <v>182.4</v>
      </c>
    </row>
    <row r="57" spans="9:11" x14ac:dyDescent="0.25">
      <c r="I57" t="s">
        <v>513</v>
      </c>
      <c r="J57" t="s">
        <v>513</v>
      </c>
      <c r="K57" s="91">
        <v>176</v>
      </c>
    </row>
    <row r="58" spans="9:11" x14ac:dyDescent="0.25">
      <c r="I58" t="s">
        <v>419</v>
      </c>
      <c r="J58" t="s">
        <v>419</v>
      </c>
      <c r="K58" s="91">
        <v>45</v>
      </c>
    </row>
    <row r="59" spans="9:11" x14ac:dyDescent="0.25">
      <c r="I59" t="s">
        <v>124</v>
      </c>
      <c r="J59" t="s">
        <v>124</v>
      </c>
      <c r="K59" s="91"/>
    </row>
    <row r="60" spans="9:11" x14ac:dyDescent="0.25">
      <c r="I60" t="s">
        <v>56</v>
      </c>
      <c r="J60" t="s">
        <v>56</v>
      </c>
      <c r="K60" s="91">
        <v>37.57</v>
      </c>
    </row>
    <row r="61" spans="9:11" x14ac:dyDescent="0.25">
      <c r="I61" t="s">
        <v>75</v>
      </c>
      <c r="J61" t="s">
        <v>75</v>
      </c>
      <c r="K61" s="91">
        <v>42.5</v>
      </c>
    </row>
    <row r="62" spans="9:11" x14ac:dyDescent="0.25">
      <c r="I62" t="s">
        <v>394</v>
      </c>
      <c r="J62" t="s">
        <v>394</v>
      </c>
      <c r="K62" s="91">
        <v>7.59</v>
      </c>
    </row>
    <row r="63" spans="9:11" x14ac:dyDescent="0.25">
      <c r="I63" t="s">
        <v>73</v>
      </c>
      <c r="J63" t="s">
        <v>73</v>
      </c>
      <c r="K63" s="91">
        <v>2.38</v>
      </c>
    </row>
    <row r="64" spans="9:11" x14ac:dyDescent="0.25">
      <c r="I64" t="s">
        <v>396</v>
      </c>
      <c r="J64" t="s">
        <v>396</v>
      </c>
      <c r="K64" s="91">
        <v>15.14</v>
      </c>
    </row>
    <row r="65" spans="9:11" x14ac:dyDescent="0.25">
      <c r="I65" t="s">
        <v>128</v>
      </c>
      <c r="J65" t="s">
        <v>128</v>
      </c>
      <c r="K65" s="91">
        <v>5.28</v>
      </c>
    </row>
    <row r="66" spans="9:11" x14ac:dyDescent="0.25">
      <c r="I66" t="s">
        <v>51</v>
      </c>
      <c r="J66" t="s">
        <v>51</v>
      </c>
      <c r="K66" s="91">
        <v>3.2</v>
      </c>
    </row>
    <row r="67" spans="9:11" x14ac:dyDescent="0.25">
      <c r="I67" t="s">
        <v>55</v>
      </c>
      <c r="J67" t="s">
        <v>55</v>
      </c>
      <c r="K67" s="91">
        <v>15</v>
      </c>
    </row>
    <row r="68" spans="9:11" x14ac:dyDescent="0.25">
      <c r="I68" t="s">
        <v>524</v>
      </c>
      <c r="J68" t="s">
        <v>524</v>
      </c>
      <c r="K68" s="91">
        <v>129</v>
      </c>
    </row>
    <row r="69" spans="9:11" x14ac:dyDescent="0.25">
      <c r="I69" t="s">
        <v>287</v>
      </c>
      <c r="J69" t="s">
        <v>287</v>
      </c>
      <c r="K69" s="91">
        <v>20.5</v>
      </c>
    </row>
    <row r="70" spans="9:11" x14ac:dyDescent="0.25">
      <c r="I70" t="s">
        <v>445</v>
      </c>
      <c r="J70" t="s">
        <v>445</v>
      </c>
      <c r="K70" s="91">
        <v>20.8</v>
      </c>
    </row>
    <row r="71" spans="9:11" x14ac:dyDescent="0.25">
      <c r="I71" t="s">
        <v>505</v>
      </c>
      <c r="J71" t="s">
        <v>505</v>
      </c>
      <c r="K71" s="91">
        <v>19.2</v>
      </c>
    </row>
    <row r="72" spans="9:11" x14ac:dyDescent="0.25">
      <c r="I72" t="s">
        <v>278</v>
      </c>
      <c r="J72" t="s">
        <v>278</v>
      </c>
      <c r="K72" s="91">
        <v>24.55</v>
      </c>
    </row>
    <row r="73" spans="9:11" x14ac:dyDescent="0.25">
      <c r="I73" t="s">
        <v>145</v>
      </c>
      <c r="J73" t="s">
        <v>145</v>
      </c>
      <c r="K73" s="91"/>
    </row>
    <row r="74" spans="9:11" x14ac:dyDescent="0.25">
      <c r="I74" t="s">
        <v>102</v>
      </c>
      <c r="J74" t="s">
        <v>102</v>
      </c>
      <c r="K74" s="91">
        <v>78.400000000000006</v>
      </c>
    </row>
    <row r="75" spans="9:11" x14ac:dyDescent="0.25">
      <c r="I75" t="s">
        <v>560</v>
      </c>
      <c r="J75" t="s">
        <v>560</v>
      </c>
      <c r="K75" s="91">
        <v>34.130000000000003</v>
      </c>
    </row>
    <row r="76" spans="9:11" x14ac:dyDescent="0.25">
      <c r="I76" t="s">
        <v>72</v>
      </c>
      <c r="J76" t="s">
        <v>72</v>
      </c>
      <c r="K76" s="91">
        <v>46.91</v>
      </c>
    </row>
    <row r="77" spans="9:11" x14ac:dyDescent="0.25">
      <c r="I77" t="s">
        <v>280</v>
      </c>
      <c r="J77" t="s">
        <v>280</v>
      </c>
      <c r="K77" s="91">
        <v>20.87</v>
      </c>
    </row>
    <row r="78" spans="9:11" x14ac:dyDescent="0.25">
      <c r="I78" t="s">
        <v>397</v>
      </c>
      <c r="J78" t="s">
        <v>397</v>
      </c>
      <c r="K78" s="91">
        <v>16.02</v>
      </c>
    </row>
    <row r="79" spans="9:11" x14ac:dyDescent="0.25">
      <c r="I79" t="s">
        <v>146</v>
      </c>
      <c r="J79" t="s">
        <v>146</v>
      </c>
      <c r="K79" s="91"/>
    </row>
    <row r="80" spans="9:11" x14ac:dyDescent="0.25">
      <c r="I80" t="s">
        <v>428</v>
      </c>
      <c r="J80" t="s">
        <v>428</v>
      </c>
      <c r="K80" s="91">
        <v>27.2</v>
      </c>
    </row>
    <row r="81" spans="9:11" x14ac:dyDescent="0.25">
      <c r="I81" t="s">
        <v>170</v>
      </c>
      <c r="J81" t="s">
        <v>170</v>
      </c>
      <c r="K81" s="91">
        <v>60.58</v>
      </c>
    </row>
    <row r="82" spans="9:11" x14ac:dyDescent="0.25">
      <c r="I82" t="s">
        <v>506</v>
      </c>
      <c r="J82" t="s">
        <v>506</v>
      </c>
      <c r="K82" s="91">
        <v>2.2799999999999998</v>
      </c>
    </row>
    <row r="83" spans="9:11" x14ac:dyDescent="0.25">
      <c r="I83" t="s">
        <v>281</v>
      </c>
      <c r="J83" t="s">
        <v>281</v>
      </c>
      <c r="K83" s="91">
        <v>11.26</v>
      </c>
    </row>
    <row r="84" spans="9:11" x14ac:dyDescent="0.25">
      <c r="I84" t="s">
        <v>149</v>
      </c>
      <c r="J84" t="s">
        <v>149</v>
      </c>
      <c r="K84" s="91">
        <v>4.8499999999999996</v>
      </c>
    </row>
    <row r="85" spans="9:11" x14ac:dyDescent="0.25">
      <c r="I85" t="s">
        <v>121</v>
      </c>
      <c r="J85" t="s">
        <v>121</v>
      </c>
      <c r="K85" s="91">
        <v>12.37</v>
      </c>
    </row>
    <row r="86" spans="9:11" x14ac:dyDescent="0.25">
      <c r="I86" t="s">
        <v>70</v>
      </c>
      <c r="J86" t="s">
        <v>70</v>
      </c>
      <c r="K86" s="91"/>
    </row>
  </sheetData>
  <mergeCells count="2">
    <mergeCell ref="B1:E1"/>
    <mergeCell ref="I1:K1"/>
  </mergeCells>
  <pageMargins left="0.7" right="0.7" top="0.75" bottom="0.75" header="0.3" footer="0.3"/>
  <pageSetup paperSize="9" orientation="portrait" r:id="rId1"/>
  <tableParts count="3">
    <tablePart r:id="rId2"/>
    <tablePart r:id="rId3"/>
    <tablePart r:id="rId4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4A0CF-5EDE-4599-AF0E-C7C638EF3D92}">
  <dimension ref="A1:K1017"/>
  <sheetViews>
    <sheetView showGridLines="0" tabSelected="1" workbookViewId="0">
      <pane xSplit="1" ySplit="2" topLeftCell="B992" activePane="bottomRight" state="frozen"/>
      <selection pane="topRight" activeCell="B1" sqref="B1"/>
      <selection pane="bottomLeft" activeCell="A3" sqref="A3"/>
      <selection pane="bottomRight" activeCell="J1016" sqref="J1016:J1017"/>
    </sheetView>
  </sheetViews>
  <sheetFormatPr baseColWidth="10" defaultRowHeight="15" x14ac:dyDescent="0.25"/>
  <cols>
    <col min="1" max="1" width="4.42578125" customWidth="1"/>
    <col min="2" max="2" width="14.7109375" customWidth="1"/>
    <col min="3" max="3" width="15.28515625" customWidth="1"/>
    <col min="5" max="5" width="14.5703125" customWidth="1"/>
    <col min="6" max="6" width="11.7109375" customWidth="1"/>
    <col min="11" max="11" width="0" hidden="1" customWidth="1"/>
  </cols>
  <sheetData>
    <row r="1" spans="1:11" ht="61.5" x14ac:dyDescent="0.25">
      <c r="A1" s="89"/>
      <c r="B1" s="89" t="s">
        <v>386</v>
      </c>
    </row>
    <row r="2" spans="1:11" x14ac:dyDescent="0.25">
      <c r="B2" t="s">
        <v>385</v>
      </c>
      <c r="C2" t="s">
        <v>382</v>
      </c>
      <c r="D2" t="s">
        <v>384</v>
      </c>
      <c r="E2" s="86" t="s">
        <v>305</v>
      </c>
      <c r="F2" s="86" t="s">
        <v>0</v>
      </c>
      <c r="G2" s="86" t="s">
        <v>1</v>
      </c>
      <c r="H2" s="86" t="s">
        <v>306</v>
      </c>
      <c r="I2" s="87" t="s">
        <v>383</v>
      </c>
      <c r="J2" s="86" t="s">
        <v>379</v>
      </c>
      <c r="K2" s="103" t="s">
        <v>455</v>
      </c>
    </row>
    <row r="3" spans="1:11" x14ac:dyDescent="0.25">
      <c r="B3" t="s">
        <v>432</v>
      </c>
      <c r="C3" s="90" t="str">
        <f>VLOOKUP(Tableau4[[#This Row],[Réf matériel]],Tableau3[],2,FALSE)</f>
        <v>Augmentateur 1/2 à 3/4</v>
      </c>
      <c r="D3" s="90">
        <f>VLOOKUP(Tableau4[[#This Row],[Réf matériel]],Tableau3[],3,FALSE)</f>
        <v>20.29</v>
      </c>
      <c r="E3" t="s">
        <v>307</v>
      </c>
      <c r="F3" s="90" t="str">
        <f>VLOOKUP(Tableau4[[#This Row],[Matricule]],Tableau1[],2,FALSE)</f>
        <v>AIT RAISS</v>
      </c>
      <c r="G3" s="90" t="str">
        <f>VLOOKUP(Tableau4[[#This Row],[Matricule]],Tableau1[],3,FALSE)</f>
        <v>Omar</v>
      </c>
      <c r="H3" s="90" t="str">
        <f>VLOOKUP(Tableau4[[#This Row],[Matricule]],Tableau1[],4,FALSE)</f>
        <v>ELEC</v>
      </c>
      <c r="I3" s="88">
        <v>43889</v>
      </c>
      <c r="J3" t="s">
        <v>380</v>
      </c>
      <c r="K3" s="90">
        <f>IF(Tableau4[[#This Row],[État]]="Remis",1,0)</f>
        <v>1</v>
      </c>
    </row>
    <row r="4" spans="1:11" x14ac:dyDescent="0.25">
      <c r="B4" t="s">
        <v>399</v>
      </c>
      <c r="C4" s="90" t="str">
        <f>VLOOKUP(Tableau4[[#This Row],[Réf matériel]],Tableau3[],2,FALSE)</f>
        <v>Boite embouts</v>
      </c>
      <c r="D4" s="90">
        <f>VLOOKUP(Tableau4[[#This Row],[Réf matériel]],Tableau3[],3,FALSE)</f>
        <v>27.61</v>
      </c>
      <c r="E4" t="s">
        <v>307</v>
      </c>
      <c r="F4" s="90" t="str">
        <f>VLOOKUP(Tableau4[[#This Row],[Matricule]],Tableau1[],2,FALSE)</f>
        <v>AIT RAISS</v>
      </c>
      <c r="G4" s="90" t="str">
        <f>VLOOKUP(Tableau4[[#This Row],[Matricule]],Tableau1[],3,FALSE)</f>
        <v>Omar</v>
      </c>
      <c r="H4" s="90" t="str">
        <f>VLOOKUP(Tableau4[[#This Row],[Matricule]],Tableau1[],4,FALSE)</f>
        <v>ELEC</v>
      </c>
      <c r="I4" s="88">
        <v>43510</v>
      </c>
      <c r="J4" t="s">
        <v>380</v>
      </c>
      <c r="K4" s="90">
        <f>IF(Tableau4[[#This Row],[État]]="Remis",1,0)</f>
        <v>1</v>
      </c>
    </row>
    <row r="5" spans="1:11" x14ac:dyDescent="0.25">
      <c r="B5" t="s">
        <v>444</v>
      </c>
      <c r="C5" s="90" t="str">
        <f>VLOOKUP(Tableau4[[#This Row],[Réf matériel]],Tableau3[],2,FALSE)</f>
        <v>Brady BMP71</v>
      </c>
      <c r="D5" s="90">
        <f>VLOOKUP(Tableau4[[#This Row],[Réf matériel]],Tableau3[],3,FALSE)</f>
        <v>790</v>
      </c>
      <c r="E5" t="s">
        <v>307</v>
      </c>
      <c r="F5" s="90" t="str">
        <f>VLOOKUP(Tableau4[[#This Row],[Matricule]],Tableau1[],2,FALSE)</f>
        <v>AIT RAISS</v>
      </c>
      <c r="G5" s="90" t="str">
        <f>VLOOKUP(Tableau4[[#This Row],[Matricule]],Tableau1[],3,FALSE)</f>
        <v>Omar</v>
      </c>
      <c r="H5" s="90" t="str">
        <f>VLOOKUP(Tableau4[[#This Row],[Matricule]],Tableau1[],4,FALSE)</f>
        <v>ELEC</v>
      </c>
      <c r="I5" s="88">
        <v>43445</v>
      </c>
      <c r="J5" t="s">
        <v>380</v>
      </c>
      <c r="K5" s="90">
        <f>IF(Tableau4[[#This Row],[État]]="Remis",1,0)</f>
        <v>1</v>
      </c>
    </row>
    <row r="6" spans="1:11" x14ac:dyDescent="0.25">
      <c r="B6" t="s">
        <v>395</v>
      </c>
      <c r="C6" s="90" t="str">
        <f>VLOOKUP(Tableau4[[#This Row],[Réf matériel]],Tableau3[],2,FALSE)</f>
        <v>Burin plat</v>
      </c>
      <c r="D6" s="90">
        <f>VLOOKUP(Tableau4[[#This Row],[Réf matériel]],Tableau3[],3,FALSE)</f>
        <v>11.89</v>
      </c>
      <c r="E6" t="s">
        <v>307</v>
      </c>
      <c r="F6" s="90" t="str">
        <f>VLOOKUP(Tableau4[[#This Row],[Matricule]],Tableau1[],2,FALSE)</f>
        <v>AIT RAISS</v>
      </c>
      <c r="G6" s="90" t="str">
        <f>VLOOKUP(Tableau4[[#This Row],[Matricule]],Tableau1[],3,FALSE)</f>
        <v>Omar</v>
      </c>
      <c r="H6" s="90" t="str">
        <f>VLOOKUP(Tableau4[[#This Row],[Matricule]],Tableau1[],4,FALSE)</f>
        <v>ELEC</v>
      </c>
      <c r="I6" s="88">
        <v>43889</v>
      </c>
      <c r="J6" t="s">
        <v>380</v>
      </c>
      <c r="K6" s="90">
        <f>IF(Tableau4[[#This Row],[État]]="Remis",1,0)</f>
        <v>1</v>
      </c>
    </row>
    <row r="7" spans="1:11" x14ac:dyDescent="0.25">
      <c r="B7" t="s">
        <v>401</v>
      </c>
      <c r="C7" s="90" t="str">
        <f>VLOOKUP(Tableau4[[#This Row],[Réf matériel]],Tableau3[],2,FALSE)</f>
        <v>Burin pointu</v>
      </c>
      <c r="D7" s="90">
        <f>VLOOKUP(Tableau4[[#This Row],[Réf matériel]],Tableau3[],3,FALSE)</f>
        <v>8.7200000000000006</v>
      </c>
      <c r="E7" t="s">
        <v>307</v>
      </c>
      <c r="F7" s="90" t="str">
        <f>VLOOKUP(Tableau4[[#This Row],[Matricule]],Tableau1[],2,FALSE)</f>
        <v>AIT RAISS</v>
      </c>
      <c r="G7" s="90" t="str">
        <f>VLOOKUP(Tableau4[[#This Row],[Matricule]],Tableau1[],3,FALSE)</f>
        <v>Omar</v>
      </c>
      <c r="H7" s="90" t="str">
        <f>VLOOKUP(Tableau4[[#This Row],[Matricule]],Tableau1[],4,FALSE)</f>
        <v>ELEC</v>
      </c>
      <c r="I7" s="88">
        <v>43889</v>
      </c>
      <c r="J7" t="s">
        <v>380</v>
      </c>
      <c r="K7" s="90">
        <f>IF(Tableau4[[#This Row],[État]]="Remis",1,0)</f>
        <v>1</v>
      </c>
    </row>
    <row r="8" spans="1:11" x14ac:dyDescent="0.25">
      <c r="B8" s="98" t="s">
        <v>391</v>
      </c>
      <c r="C8" s="98" t="str">
        <f>VLOOKUP(Tableau4[[#This Row],[Réf matériel]],Tableau3[],2,FALSE)</f>
        <v>Cadena</v>
      </c>
      <c r="D8" s="98">
        <f>VLOOKUP(Tableau4[[#This Row],[Réf matériel]],Tableau3[],3,FALSE)</f>
        <v>13</v>
      </c>
      <c r="E8" s="98" t="s">
        <v>307</v>
      </c>
      <c r="F8" s="98" t="str">
        <f>VLOOKUP(Tableau4[[#This Row],[Matricule]],Tableau1[],2,FALSE)</f>
        <v>AIT RAISS</v>
      </c>
      <c r="G8" s="98" t="str">
        <f>VLOOKUP(Tableau4[[#This Row],[Matricule]],Tableau1[],3,FALSE)</f>
        <v>Omar</v>
      </c>
      <c r="H8" s="98" t="str">
        <f>VLOOKUP(Tableau4[[#This Row],[Matricule]],Tableau1[],4,FALSE)</f>
        <v>ELEC</v>
      </c>
      <c r="I8" s="99">
        <v>43445</v>
      </c>
      <c r="J8" s="98" t="s">
        <v>380</v>
      </c>
      <c r="K8" s="90">
        <f>IF(Tableau4[[#This Row],[État]]="Remis",1,0)</f>
        <v>1</v>
      </c>
    </row>
    <row r="9" spans="1:11" x14ac:dyDescent="0.25">
      <c r="B9" t="s">
        <v>393</v>
      </c>
      <c r="C9" s="100" t="str">
        <f>VLOOKUP(Tableau4[[#This Row],[Réf matériel]],Tableau3[],2,FALSE)</f>
        <v>Clé à molette</v>
      </c>
      <c r="D9" s="100">
        <f>VLOOKUP(Tableau4[[#This Row],[Réf matériel]],Tableau3[],3,FALSE)</f>
        <v>16.12</v>
      </c>
      <c r="E9" s="98" t="s">
        <v>307</v>
      </c>
      <c r="F9" s="100" t="str">
        <f>VLOOKUP(Tableau4[[#This Row],[Matricule]],Tableau1[],2,FALSE)</f>
        <v>AIT RAISS</v>
      </c>
      <c r="G9" s="100" t="str">
        <f>VLOOKUP(Tableau4[[#This Row],[Matricule]],Tableau1[],3,FALSE)</f>
        <v>Omar</v>
      </c>
      <c r="H9" s="100" t="str">
        <f>VLOOKUP(Tableau4[[#This Row],[Matricule]],Tableau1[],4,FALSE)</f>
        <v>ELEC</v>
      </c>
      <c r="I9" s="99">
        <v>43510</v>
      </c>
      <c r="J9" s="98" t="s">
        <v>380</v>
      </c>
      <c r="K9" s="90">
        <f>IF(Tableau4[[#This Row],[État]]="Remis",1,0)</f>
        <v>1</v>
      </c>
    </row>
    <row r="10" spans="1:11" x14ac:dyDescent="0.25">
      <c r="B10" t="s">
        <v>403</v>
      </c>
      <c r="C10" s="90" t="str">
        <f>VLOOKUP(Tableau4[[#This Row],[Réf matériel]],Tableau3[],2,FALSE)</f>
        <v>Clé à pipe 10</v>
      </c>
      <c r="D10" s="90">
        <f>VLOOKUP(Tableau4[[#This Row],[Réf matériel]],Tableau3[],3,FALSE)</f>
        <v>5.41</v>
      </c>
      <c r="E10" t="s">
        <v>307</v>
      </c>
      <c r="F10" s="90" t="str">
        <f>VLOOKUP(Tableau4[[#This Row],[Matricule]],Tableau1[],2,FALSE)</f>
        <v>AIT RAISS</v>
      </c>
      <c r="G10" s="90" t="str">
        <f>VLOOKUP(Tableau4[[#This Row],[Matricule]],Tableau1[],3,FALSE)</f>
        <v>Omar</v>
      </c>
      <c r="H10" s="90" t="str">
        <f>VLOOKUP(Tableau4[[#This Row],[Matricule]],Tableau1[],4,FALSE)</f>
        <v>ELEC</v>
      </c>
      <c r="I10" s="88">
        <v>43445</v>
      </c>
      <c r="J10" t="s">
        <v>380</v>
      </c>
      <c r="K10" s="90">
        <f>IF(Tableau4[[#This Row],[État]]="Remis",1,0)</f>
        <v>1</v>
      </c>
    </row>
    <row r="11" spans="1:11" x14ac:dyDescent="0.25">
      <c r="B11" t="s">
        <v>405</v>
      </c>
      <c r="C11" s="90" t="str">
        <f>VLOOKUP(Tableau4[[#This Row],[Réf matériel]],Tableau3[],2,FALSE)</f>
        <v>Clé à pipe 13</v>
      </c>
      <c r="D11" s="90">
        <f>VLOOKUP(Tableau4[[#This Row],[Réf matériel]],Tableau3[],3,FALSE)</f>
        <v>6.23</v>
      </c>
      <c r="E11" t="s">
        <v>307</v>
      </c>
      <c r="F11" s="90" t="str">
        <f>VLOOKUP(Tableau4[[#This Row],[Matricule]],Tableau1[],2,FALSE)</f>
        <v>AIT RAISS</v>
      </c>
      <c r="G11" s="90" t="str">
        <f>VLOOKUP(Tableau4[[#This Row],[Matricule]],Tableau1[],3,FALSE)</f>
        <v>Omar</v>
      </c>
      <c r="H11" s="90" t="str">
        <f>VLOOKUP(Tableau4[[#This Row],[Matricule]],Tableau1[],4,FALSE)</f>
        <v>ELEC</v>
      </c>
      <c r="I11" s="88">
        <v>43445</v>
      </c>
      <c r="J11" t="s">
        <v>380</v>
      </c>
      <c r="K11" s="90">
        <f>IF(Tableau4[[#This Row],[État]]="Remis",1,0)</f>
        <v>1</v>
      </c>
    </row>
    <row r="12" spans="1:11" x14ac:dyDescent="0.25">
      <c r="B12" t="s">
        <v>408</v>
      </c>
      <c r="C12" s="90" t="str">
        <f>VLOOKUP(Tableau4[[#This Row],[Réf matériel]],Tableau3[],2,FALSE)</f>
        <v>Clé à pipe 17</v>
      </c>
      <c r="D12" s="90">
        <f>VLOOKUP(Tableau4[[#This Row],[Réf matériel]],Tableau3[],3,FALSE)</f>
        <v>9.36</v>
      </c>
      <c r="E12" t="s">
        <v>307</v>
      </c>
      <c r="F12" s="90" t="str">
        <f>VLOOKUP(Tableau4[[#This Row],[Matricule]],Tableau1[],2,FALSE)</f>
        <v>AIT RAISS</v>
      </c>
      <c r="G12" s="90" t="str">
        <f>VLOOKUP(Tableau4[[#This Row],[Matricule]],Tableau1[],3,FALSE)</f>
        <v>Omar</v>
      </c>
      <c r="H12" s="90" t="str">
        <f>VLOOKUP(Tableau4[[#This Row],[Matricule]],Tableau1[],4,FALSE)</f>
        <v>ELEC</v>
      </c>
      <c r="I12" s="88">
        <v>43445</v>
      </c>
      <c r="J12" t="s">
        <v>380</v>
      </c>
      <c r="K12" s="90">
        <f>IF(Tableau4[[#This Row],[État]]="Remis",1,0)</f>
        <v>1</v>
      </c>
    </row>
    <row r="13" spans="1:11" x14ac:dyDescent="0.25">
      <c r="B13" t="s">
        <v>409</v>
      </c>
      <c r="C13" s="90" t="str">
        <f>VLOOKUP(Tableau4[[#This Row],[Réf matériel]],Tableau3[],2,FALSE)</f>
        <v>Clé à pipe 19</v>
      </c>
      <c r="D13" s="90">
        <f>VLOOKUP(Tableau4[[#This Row],[Réf matériel]],Tableau3[],3,FALSE)</f>
        <v>10.4</v>
      </c>
      <c r="E13" t="s">
        <v>307</v>
      </c>
      <c r="F13" s="90" t="str">
        <f>VLOOKUP(Tableau4[[#This Row],[Matricule]],Tableau1[],2,FALSE)</f>
        <v>AIT RAISS</v>
      </c>
      <c r="G13" s="90" t="str">
        <f>VLOOKUP(Tableau4[[#This Row],[Matricule]],Tableau1[],3,FALSE)</f>
        <v>Omar</v>
      </c>
      <c r="H13" s="90" t="str">
        <f>VLOOKUP(Tableau4[[#This Row],[Matricule]],Tableau1[],4,FALSE)</f>
        <v>ELEC</v>
      </c>
      <c r="I13" s="88">
        <v>43510</v>
      </c>
      <c r="J13" t="s">
        <v>380</v>
      </c>
      <c r="K13" s="90">
        <f>IF(Tableau4[[#This Row],[État]]="Remis",1,0)</f>
        <v>1</v>
      </c>
    </row>
    <row r="14" spans="1:11" x14ac:dyDescent="0.25">
      <c r="B14" t="s">
        <v>420</v>
      </c>
      <c r="C14" s="90" t="str">
        <f>VLOOKUP(Tableau4[[#This Row],[Réf matériel]],Tableau3[],2,FALSE)</f>
        <v>Clé allen</v>
      </c>
      <c r="D14" s="90">
        <f>VLOOKUP(Tableau4[[#This Row],[Réf matériel]],Tableau3[],3,FALSE)</f>
        <v>27.5</v>
      </c>
      <c r="E14" t="s">
        <v>307</v>
      </c>
      <c r="F14" s="90" t="str">
        <f>VLOOKUP(Tableau4[[#This Row],[Matricule]],Tableau1[],2,FALSE)</f>
        <v>AIT RAISS</v>
      </c>
      <c r="G14" s="90" t="str">
        <f>VLOOKUP(Tableau4[[#This Row],[Matricule]],Tableau1[],3,FALSE)</f>
        <v>Omar</v>
      </c>
      <c r="H14" s="90" t="str">
        <f>VLOOKUP(Tableau4[[#This Row],[Matricule]],Tableau1[],4,FALSE)</f>
        <v>ELEC</v>
      </c>
      <c r="I14" s="88">
        <v>43510</v>
      </c>
      <c r="J14" t="s">
        <v>380</v>
      </c>
      <c r="K14" s="90">
        <f>IF(Tableau4[[#This Row],[État]]="Remis",1,0)</f>
        <v>1</v>
      </c>
    </row>
    <row r="15" spans="1:11" x14ac:dyDescent="0.25">
      <c r="B15" t="s">
        <v>429</v>
      </c>
      <c r="C15" s="90" t="str">
        <f>VLOOKUP(Tableau4[[#This Row],[Réf matériel]],Tableau3[],2,FALSE)</f>
        <v>Clé dynamométrique</v>
      </c>
      <c r="D15" s="90">
        <f>VLOOKUP(Tableau4[[#This Row],[Réf matériel]],Tableau3[],3,FALSE)</f>
        <v>214</v>
      </c>
      <c r="E15" t="s">
        <v>307</v>
      </c>
      <c r="F15" s="90" t="str">
        <f>VLOOKUP(Tableau4[[#This Row],[Matricule]],Tableau1[],2,FALSE)</f>
        <v>AIT RAISS</v>
      </c>
      <c r="G15" s="90" t="str">
        <f>VLOOKUP(Tableau4[[#This Row],[Matricule]],Tableau1[],3,FALSE)</f>
        <v>Omar</v>
      </c>
      <c r="H15" s="90" t="str">
        <f>VLOOKUP(Tableau4[[#This Row],[Matricule]],Tableau1[],4,FALSE)</f>
        <v>ELEC</v>
      </c>
      <c r="I15" s="88">
        <v>43445</v>
      </c>
      <c r="J15" t="s">
        <v>380</v>
      </c>
      <c r="K15" s="90">
        <f>IF(Tableau4[[#This Row],[État]]="Remis",1,0)</f>
        <v>1</v>
      </c>
    </row>
    <row r="16" spans="1:11" x14ac:dyDescent="0.25">
      <c r="B16" t="s">
        <v>410</v>
      </c>
      <c r="C16" s="90" t="str">
        <f>VLOOKUP(Tableau4[[#This Row],[Réf matériel]],Tableau3[],2,FALSE)</f>
        <v>Clé plate 10</v>
      </c>
      <c r="D16" s="90">
        <f>VLOOKUP(Tableau4[[#This Row],[Réf matériel]],Tableau3[],3,FALSE)</f>
        <v>3.32</v>
      </c>
      <c r="E16" t="s">
        <v>307</v>
      </c>
      <c r="F16" s="90" t="str">
        <f>VLOOKUP(Tableau4[[#This Row],[Matricule]],Tableau1[],2,FALSE)</f>
        <v>AIT RAISS</v>
      </c>
      <c r="G16" s="90" t="str">
        <f>VLOOKUP(Tableau4[[#This Row],[Matricule]],Tableau1[],3,FALSE)</f>
        <v>Omar</v>
      </c>
      <c r="H16" s="90" t="str">
        <f>VLOOKUP(Tableau4[[#This Row],[Matricule]],Tableau1[],4,FALSE)</f>
        <v>ELEC</v>
      </c>
      <c r="I16" s="88">
        <v>43445</v>
      </c>
      <c r="J16" t="s">
        <v>380</v>
      </c>
      <c r="K16" s="90">
        <f>IF(Tableau4[[#This Row],[État]]="Remis",1,0)</f>
        <v>1</v>
      </c>
    </row>
    <row r="17" spans="2:11" x14ac:dyDescent="0.25">
      <c r="B17" t="s">
        <v>412</v>
      </c>
      <c r="C17" s="90" t="str">
        <f>VLOOKUP(Tableau4[[#This Row],[Réf matériel]],Tableau3[],2,FALSE)</f>
        <v>Clé plate 13</v>
      </c>
      <c r="D17" s="90">
        <f>VLOOKUP(Tableau4[[#This Row],[Réf matériel]],Tableau3[],3,FALSE)</f>
        <v>3.91</v>
      </c>
      <c r="E17" t="s">
        <v>307</v>
      </c>
      <c r="F17" s="90" t="str">
        <f>VLOOKUP(Tableau4[[#This Row],[Matricule]],Tableau1[],2,FALSE)</f>
        <v>AIT RAISS</v>
      </c>
      <c r="G17" s="90" t="str">
        <f>VLOOKUP(Tableau4[[#This Row],[Matricule]],Tableau1[],3,FALSE)</f>
        <v>Omar</v>
      </c>
      <c r="H17" s="90" t="str">
        <f>VLOOKUP(Tableau4[[#This Row],[Matricule]],Tableau1[],4,FALSE)</f>
        <v>ELEC</v>
      </c>
      <c r="I17" s="88">
        <v>43510</v>
      </c>
      <c r="J17" t="s">
        <v>380</v>
      </c>
      <c r="K17" s="90">
        <f>IF(Tableau4[[#This Row],[État]]="Remis",1,0)</f>
        <v>1</v>
      </c>
    </row>
    <row r="18" spans="2:11" x14ac:dyDescent="0.25">
      <c r="B18" t="s">
        <v>414</v>
      </c>
      <c r="C18" s="90" t="str">
        <f>VLOOKUP(Tableau4[[#This Row],[Réf matériel]],Tableau3[],2,FALSE)</f>
        <v>Clé plate 17</v>
      </c>
      <c r="D18" s="90">
        <f>VLOOKUP(Tableau4[[#This Row],[Réf matériel]],Tableau3[],3,FALSE)</f>
        <v>5.5</v>
      </c>
      <c r="E18" t="s">
        <v>307</v>
      </c>
      <c r="F18" s="90" t="str">
        <f>VLOOKUP(Tableau4[[#This Row],[Matricule]],Tableau1[],2,FALSE)</f>
        <v>AIT RAISS</v>
      </c>
      <c r="G18" s="90" t="str">
        <f>VLOOKUP(Tableau4[[#This Row],[Matricule]],Tableau1[],3,FALSE)</f>
        <v>Omar</v>
      </c>
      <c r="H18" s="90" t="str">
        <f>VLOOKUP(Tableau4[[#This Row],[Matricule]],Tableau1[],4,FALSE)</f>
        <v>ELEC</v>
      </c>
      <c r="I18" s="88">
        <v>43445</v>
      </c>
      <c r="J18" t="s">
        <v>380</v>
      </c>
      <c r="K18" s="90">
        <f>IF(Tableau4[[#This Row],[État]]="Remis",1,0)</f>
        <v>1</v>
      </c>
    </row>
    <row r="19" spans="2:11" x14ac:dyDescent="0.25">
      <c r="B19" t="s">
        <v>415</v>
      </c>
      <c r="C19" s="90" t="str">
        <f>VLOOKUP(Tableau4[[#This Row],[Réf matériel]],Tableau3[],2,FALSE)</f>
        <v>Clé plate 19</v>
      </c>
      <c r="D19" s="90">
        <f>VLOOKUP(Tableau4[[#This Row],[Réf matériel]],Tableau3[],3,FALSE)</f>
        <v>6.07</v>
      </c>
      <c r="E19" t="s">
        <v>307</v>
      </c>
      <c r="F19" s="90" t="str">
        <f>VLOOKUP(Tableau4[[#This Row],[Matricule]],Tableau1[],2,FALSE)</f>
        <v>AIT RAISS</v>
      </c>
      <c r="G19" s="90" t="str">
        <f>VLOOKUP(Tableau4[[#This Row],[Matricule]],Tableau1[],3,FALSE)</f>
        <v>Omar</v>
      </c>
      <c r="H19" s="90" t="str">
        <f>VLOOKUP(Tableau4[[#This Row],[Matricule]],Tableau1[],4,FALSE)</f>
        <v>ELEC</v>
      </c>
      <c r="I19" s="88">
        <v>43445</v>
      </c>
      <c r="J19" t="s">
        <v>380</v>
      </c>
      <c r="K19" s="90">
        <f>IF(Tableau4[[#This Row],[État]]="Remis",1,0)</f>
        <v>1</v>
      </c>
    </row>
    <row r="20" spans="2:11" x14ac:dyDescent="0.25">
      <c r="B20" s="98" t="s">
        <v>392</v>
      </c>
      <c r="C20" s="100" t="str">
        <f>VLOOKUP(Tableau4[[#This Row],[Réf matériel]],Tableau3[],2,FALSE)</f>
        <v>Coffre</v>
      </c>
      <c r="D20" s="100">
        <f>VLOOKUP(Tableau4[[#This Row],[Réf matériel]],Tableau3[],3,FALSE)</f>
        <v>54.54</v>
      </c>
      <c r="E20" s="97" t="s">
        <v>307</v>
      </c>
      <c r="F20" s="100" t="str">
        <f>VLOOKUP(Tableau4[[#This Row],[Matricule]],Tableau1[],2,FALSE)</f>
        <v>AIT RAISS</v>
      </c>
      <c r="G20" s="100" t="str">
        <f>VLOOKUP(Tableau4[[#This Row],[Matricule]],Tableau1[],3,FALSE)</f>
        <v>Omar</v>
      </c>
      <c r="H20" s="100" t="str">
        <f>VLOOKUP(Tableau4[[#This Row],[Matricule]],Tableau1[],4,FALSE)</f>
        <v>ELEC</v>
      </c>
      <c r="I20" s="99">
        <v>43769</v>
      </c>
      <c r="J20" s="98" t="s">
        <v>380</v>
      </c>
      <c r="K20" s="90">
        <f>IF(Tableau4[[#This Row],[État]]="Remis",1,0)</f>
        <v>1</v>
      </c>
    </row>
    <row r="21" spans="2:11" x14ac:dyDescent="0.25">
      <c r="B21" t="s">
        <v>398</v>
      </c>
      <c r="C21" s="90" t="str">
        <f>VLOOKUP(Tableau4[[#This Row],[Réf matériel]],Tableau3[],2,FALSE)</f>
        <v>Coffret douilles</v>
      </c>
      <c r="D21" s="90">
        <f>VLOOKUP(Tableau4[[#This Row],[Réf matériel]],Tableau3[],3,FALSE)</f>
        <v>103.22</v>
      </c>
      <c r="E21" t="s">
        <v>307</v>
      </c>
      <c r="F21" s="90" t="str">
        <f>VLOOKUP(Tableau4[[#This Row],[Matricule]],Tableau1[],2,FALSE)</f>
        <v>AIT RAISS</v>
      </c>
      <c r="G21" s="90" t="str">
        <f>VLOOKUP(Tableau4[[#This Row],[Matricule]],Tableau1[],3,FALSE)</f>
        <v>Omar</v>
      </c>
      <c r="H21" s="90" t="str">
        <f>VLOOKUP(Tableau4[[#This Row],[Matricule]],Tableau1[],4,FALSE)</f>
        <v>ELEC</v>
      </c>
      <c r="I21" s="88">
        <v>43889</v>
      </c>
      <c r="J21" t="s">
        <v>380</v>
      </c>
      <c r="K21" s="90">
        <f>IF(Tableau4[[#This Row],[État]]="Remis",1,0)</f>
        <v>1</v>
      </c>
    </row>
    <row r="22" spans="2:11" x14ac:dyDescent="0.25">
      <c r="B22" t="s">
        <v>49</v>
      </c>
      <c r="C22" s="90" t="str">
        <f>VLOOKUP(Tableau4[[#This Row],[Réf matériel]],Tableau3[],2,FALSE)</f>
        <v>Coupe câble</v>
      </c>
      <c r="D22" s="90">
        <f>VLOOKUP(Tableau4[[#This Row],[Réf matériel]],Tableau3[],3,FALSE)</f>
        <v>41.88</v>
      </c>
      <c r="E22" t="s">
        <v>307</v>
      </c>
      <c r="F22" s="90" t="str">
        <f>VLOOKUP(Tableau4[[#This Row],[Matricule]],Tableau1[],2,FALSE)</f>
        <v>AIT RAISS</v>
      </c>
      <c r="G22" s="90" t="str">
        <f>VLOOKUP(Tableau4[[#This Row],[Matricule]],Tableau1[],3,FALSE)</f>
        <v>Omar</v>
      </c>
      <c r="H22" s="90" t="str">
        <f>VLOOKUP(Tableau4[[#This Row],[Matricule]],Tableau1[],4,FALSE)</f>
        <v>ELEC</v>
      </c>
      <c r="I22" s="88">
        <v>43445</v>
      </c>
      <c r="J22" t="s">
        <v>380</v>
      </c>
      <c r="K22" s="90">
        <f>IF(Tableau4[[#This Row],[État]]="Remis",1,0)</f>
        <v>1</v>
      </c>
    </row>
    <row r="23" spans="2:11" x14ac:dyDescent="0.25">
      <c r="B23" t="s">
        <v>67</v>
      </c>
      <c r="C23" s="90" t="str">
        <f>VLOOKUP(Tableau4[[#This Row],[Réf matériel]],Tableau3[],2,FALSE)</f>
        <v>Cutter</v>
      </c>
      <c r="D23" s="90">
        <f>VLOOKUP(Tableau4[[#This Row],[Réf matériel]],Tableau3[],3,FALSE)</f>
        <v>4.8499999999999996</v>
      </c>
      <c r="E23" t="s">
        <v>307</v>
      </c>
      <c r="F23" s="90" t="str">
        <f>VLOOKUP(Tableau4[[#This Row],[Matricule]],Tableau1[],2,FALSE)</f>
        <v>AIT RAISS</v>
      </c>
      <c r="G23" s="90" t="str">
        <f>VLOOKUP(Tableau4[[#This Row],[Matricule]],Tableau1[],3,FALSE)</f>
        <v>Omar</v>
      </c>
      <c r="H23" s="90" t="str">
        <f>VLOOKUP(Tableau4[[#This Row],[Matricule]],Tableau1[],4,FALSE)</f>
        <v>ELEC</v>
      </c>
      <c r="I23" s="88">
        <v>43889</v>
      </c>
      <c r="J23" t="s">
        <v>380</v>
      </c>
      <c r="K23" s="90">
        <f>IF(Tableau4[[#This Row],[État]]="Remis",1,0)</f>
        <v>1</v>
      </c>
    </row>
    <row r="24" spans="2:11" x14ac:dyDescent="0.25">
      <c r="B24" t="s">
        <v>400</v>
      </c>
      <c r="C24" s="90" t="str">
        <f>VLOOKUP(Tableau4[[#This Row],[Réf matériel]],Tableau3[],2,FALSE)</f>
        <v>Douille impact 3/4 longueur 36mm</v>
      </c>
      <c r="D24" s="90">
        <f>VLOOKUP(Tableau4[[#This Row],[Réf matériel]],Tableau3[],3,FALSE)</f>
        <v>0</v>
      </c>
      <c r="E24" t="s">
        <v>307</v>
      </c>
      <c r="F24" s="90" t="str">
        <f>VLOOKUP(Tableau4[[#This Row],[Matricule]],Tableau1[],2,FALSE)</f>
        <v>AIT RAISS</v>
      </c>
      <c r="G24" s="90" t="str">
        <f>VLOOKUP(Tableau4[[#This Row],[Matricule]],Tableau1[],3,FALSE)</f>
        <v>Omar</v>
      </c>
      <c r="H24" s="90" t="str">
        <f>VLOOKUP(Tableau4[[#This Row],[Matricule]],Tableau1[],4,FALSE)</f>
        <v>ELEC</v>
      </c>
      <c r="I24" s="88">
        <v>43889</v>
      </c>
      <c r="J24" t="s">
        <v>380</v>
      </c>
      <c r="K24" s="90">
        <f>IF(Tableau4[[#This Row],[État]]="Remis",1,0)</f>
        <v>1</v>
      </c>
    </row>
    <row r="25" spans="2:11" x14ac:dyDescent="0.25">
      <c r="B25" t="s">
        <v>442</v>
      </c>
      <c r="C25" s="90" t="str">
        <f>VLOOKUP(Tableau4[[#This Row],[Réf matériel]],Tableau3[],2,FALSE)</f>
        <v>Dymo LABEL MANAGER 160 P</v>
      </c>
      <c r="D25" s="90">
        <f>VLOOKUP(Tableau4[[#This Row],[Réf matériel]],Tableau3[],3,FALSE)</f>
        <v>38</v>
      </c>
      <c r="E25" t="s">
        <v>307</v>
      </c>
      <c r="F25" s="90" t="str">
        <f>VLOOKUP(Tableau4[[#This Row],[Matricule]],Tableau1[],2,FALSE)</f>
        <v>AIT RAISS</v>
      </c>
      <c r="G25" s="90" t="str">
        <f>VLOOKUP(Tableau4[[#This Row],[Matricule]],Tableau1[],3,FALSE)</f>
        <v>Omar</v>
      </c>
      <c r="H25" s="90" t="str">
        <f>VLOOKUP(Tableau4[[#This Row],[Matricule]],Tableau1[],4,FALSE)</f>
        <v>ELEC</v>
      </c>
      <c r="I25" s="88">
        <v>43716</v>
      </c>
      <c r="J25" t="s">
        <v>380</v>
      </c>
      <c r="K25" s="90">
        <f>IF(Tableau4[[#This Row],[État]]="Remis",1,0)</f>
        <v>1</v>
      </c>
    </row>
    <row r="26" spans="2:11" x14ac:dyDescent="0.25">
      <c r="B26" t="s">
        <v>56</v>
      </c>
      <c r="C26" s="90" t="str">
        <f>VLOOKUP(Tableau4[[#This Row],[Réf matériel]],Tableau3[],2,FALSE)</f>
        <v>Jeu tournevis</v>
      </c>
      <c r="D26" s="90">
        <f>VLOOKUP(Tableau4[[#This Row],[Réf matériel]],Tableau3[],3,FALSE)</f>
        <v>37.57</v>
      </c>
      <c r="E26" t="s">
        <v>307</v>
      </c>
      <c r="F26" s="90" t="str">
        <f>VLOOKUP(Tableau4[[#This Row],[Matricule]],Tableau1[],2,FALSE)</f>
        <v>AIT RAISS</v>
      </c>
      <c r="G26" s="90" t="str">
        <f>VLOOKUP(Tableau4[[#This Row],[Matricule]],Tableau1[],3,FALSE)</f>
        <v>Omar</v>
      </c>
      <c r="H26" s="90" t="str">
        <f>VLOOKUP(Tableau4[[#This Row],[Matricule]],Tableau1[],4,FALSE)</f>
        <v>ELEC</v>
      </c>
      <c r="I26" s="88">
        <v>43479</v>
      </c>
      <c r="J26" t="s">
        <v>380</v>
      </c>
      <c r="K26" s="90">
        <f>IF(Tableau4[[#This Row],[État]]="Remis",1,0)</f>
        <v>1</v>
      </c>
    </row>
    <row r="27" spans="2:11" x14ac:dyDescent="0.25">
      <c r="B27" t="s">
        <v>75</v>
      </c>
      <c r="C27" s="90" t="str">
        <f>VLOOKUP(Tableau4[[#This Row],[Réf matériel]],Tableau3[],2,FALSE)</f>
        <v>Lampe frontale</v>
      </c>
      <c r="D27" s="90">
        <f>VLOOKUP(Tableau4[[#This Row],[Réf matériel]],Tableau3[],3,FALSE)</f>
        <v>42.5</v>
      </c>
      <c r="E27" t="s">
        <v>307</v>
      </c>
      <c r="F27" s="90" t="str">
        <f>VLOOKUP(Tableau4[[#This Row],[Matricule]],Tableau1[],2,FALSE)</f>
        <v>AIT RAISS</v>
      </c>
      <c r="G27" s="90" t="str">
        <f>VLOOKUP(Tableau4[[#This Row],[Matricule]],Tableau1[],3,FALSE)</f>
        <v>Omar</v>
      </c>
      <c r="H27" s="90" t="str">
        <f>VLOOKUP(Tableau4[[#This Row],[Matricule]],Tableau1[],4,FALSE)</f>
        <v>ELEC</v>
      </c>
      <c r="I27" s="88">
        <v>43445</v>
      </c>
      <c r="J27" t="s">
        <v>380</v>
      </c>
      <c r="K27" s="90">
        <f>IF(Tableau4[[#This Row],[État]]="Remis",1,0)</f>
        <v>1</v>
      </c>
    </row>
    <row r="28" spans="2:11" x14ac:dyDescent="0.25">
      <c r="B28" t="s">
        <v>279</v>
      </c>
      <c r="C28" s="90" t="str">
        <f>VLOOKUP(Tableau4[[#This Row],[Réf matériel]],Tableau3[],2,FALSE)</f>
        <v>lime demi ronde</v>
      </c>
      <c r="D28" s="90">
        <f>VLOOKUP(Tableau4[[#This Row],[Réf matériel]],Tableau3[],3,FALSE)</f>
        <v>7.59</v>
      </c>
      <c r="E28" t="s">
        <v>307</v>
      </c>
      <c r="F28" s="90" t="str">
        <f>VLOOKUP(Tableau4[[#This Row],[Matricule]],Tableau1[],2,FALSE)</f>
        <v>AIT RAISS</v>
      </c>
      <c r="G28" s="90" t="str">
        <f>VLOOKUP(Tableau4[[#This Row],[Matricule]],Tableau1[],3,FALSE)</f>
        <v>Omar</v>
      </c>
      <c r="H28" s="90" t="str">
        <f>VLOOKUP(Tableau4[[#This Row],[Matricule]],Tableau1[],4,FALSE)</f>
        <v>ELEC</v>
      </c>
      <c r="I28" s="88">
        <v>43510</v>
      </c>
      <c r="J28" s="98" t="s">
        <v>380</v>
      </c>
      <c r="K28" s="90">
        <f>IF(Tableau4[[#This Row],[État]]="Remis",1,0)</f>
        <v>1</v>
      </c>
    </row>
    <row r="29" spans="2:11" ht="15.75" customHeight="1" x14ac:dyDescent="0.25">
      <c r="B29" t="s">
        <v>396</v>
      </c>
      <c r="C29" s="90" t="str">
        <f>VLOOKUP(Tableau4[[#This Row],[Réf matériel]],Tableau3[],2,FALSE)</f>
        <v>Massette</v>
      </c>
      <c r="D29" s="90">
        <f>VLOOKUP(Tableau4[[#This Row],[Réf matériel]],Tableau3[],3,FALSE)</f>
        <v>15.14</v>
      </c>
      <c r="E29" t="s">
        <v>307</v>
      </c>
      <c r="F29" s="90" t="str">
        <f>VLOOKUP(Tableau4[[#This Row],[Matricule]],Tableau1[],2,FALSE)</f>
        <v>AIT RAISS</v>
      </c>
      <c r="G29" s="90" t="str">
        <f>VLOOKUP(Tableau4[[#This Row],[Matricule]],Tableau1[],3,FALSE)</f>
        <v>Omar</v>
      </c>
      <c r="H29" s="90" t="str">
        <f>VLOOKUP(Tableau4[[#This Row],[Matricule]],Tableau1[],4,FALSE)</f>
        <v>ELEC</v>
      </c>
      <c r="I29" s="88">
        <v>43445</v>
      </c>
      <c r="J29" t="s">
        <v>380</v>
      </c>
      <c r="K29" s="90">
        <f>IF(Tableau4[[#This Row],[État]]="Remis",1,0)</f>
        <v>1</v>
      </c>
    </row>
    <row r="30" spans="2:11" x14ac:dyDescent="0.25">
      <c r="B30" t="s">
        <v>51</v>
      </c>
      <c r="C30" s="90" t="str">
        <f>VLOOKUP(Tableau4[[#This Row],[Réf matériel]],Tableau3[],2,FALSE)</f>
        <v>Mètre pliant</v>
      </c>
      <c r="D30" s="90">
        <f>VLOOKUP(Tableau4[[#This Row],[Réf matériel]],Tableau3[],3,FALSE)</f>
        <v>3.2</v>
      </c>
      <c r="E30" t="s">
        <v>307</v>
      </c>
      <c r="F30" s="90" t="str">
        <f>VLOOKUP(Tableau4[[#This Row],[Matricule]],Tableau1[],2,FALSE)</f>
        <v>AIT RAISS</v>
      </c>
      <c r="G30" s="90" t="str">
        <f>VLOOKUP(Tableau4[[#This Row],[Matricule]],Tableau1[],3,FALSE)</f>
        <v>Omar</v>
      </c>
      <c r="H30" s="90" t="str">
        <f>VLOOKUP(Tableau4[[#This Row],[Matricule]],Tableau1[],4,FALSE)</f>
        <v>ELEC</v>
      </c>
      <c r="I30" s="88">
        <v>43445</v>
      </c>
      <c r="J30" t="s">
        <v>380</v>
      </c>
      <c r="K30" s="90">
        <f>IF(Tableau4[[#This Row],[État]]="Remis",1,0)</f>
        <v>1</v>
      </c>
    </row>
    <row r="31" spans="2:11" x14ac:dyDescent="0.25">
      <c r="B31" t="s">
        <v>55</v>
      </c>
      <c r="C31" s="90" t="str">
        <f>VLOOKUP(Tableau4[[#This Row],[Réf matériel]],Tableau3[],2,FALSE)</f>
        <v>Niveau</v>
      </c>
      <c r="D31" s="90">
        <f>VLOOKUP(Tableau4[[#This Row],[Réf matériel]],Tableau3[],3,FALSE)</f>
        <v>15</v>
      </c>
      <c r="E31" t="s">
        <v>307</v>
      </c>
      <c r="F31" s="90" t="str">
        <f>VLOOKUP(Tableau4[[#This Row],[Matricule]],Tableau1[],2,FALSE)</f>
        <v>AIT RAISS</v>
      </c>
      <c r="G31" s="90" t="str">
        <f>VLOOKUP(Tableau4[[#This Row],[Matricule]],Tableau1[],3,FALSE)</f>
        <v>Omar</v>
      </c>
      <c r="H31" s="90" t="str">
        <f>VLOOKUP(Tableau4[[#This Row],[Matricule]],Tableau1[],4,FALSE)</f>
        <v>ELEC</v>
      </c>
      <c r="I31" s="88">
        <v>43875</v>
      </c>
      <c r="J31" t="s">
        <v>380</v>
      </c>
      <c r="K31" s="90">
        <f>IF(Tableau4[[#This Row],[État]]="Remis",1,0)</f>
        <v>1</v>
      </c>
    </row>
    <row r="32" spans="2:11" x14ac:dyDescent="0.25">
      <c r="B32" t="s">
        <v>438</v>
      </c>
      <c r="C32" s="90" t="str">
        <f>VLOOKUP(Tableau4[[#This Row],[Réf matériel]],Tableau3[],2,FALSE)</f>
        <v>Outil à dégainer</v>
      </c>
      <c r="D32" s="90">
        <f>VLOOKUP(Tableau4[[#This Row],[Réf matériel]],Tableau3[],3,FALSE)</f>
        <v>20.5</v>
      </c>
      <c r="E32" t="s">
        <v>307</v>
      </c>
      <c r="F32" s="90" t="str">
        <f>VLOOKUP(Tableau4[[#This Row],[Matricule]],Tableau1[],2,FALSE)</f>
        <v>AIT RAISS</v>
      </c>
      <c r="G32" s="90" t="str">
        <f>VLOOKUP(Tableau4[[#This Row],[Matricule]],Tableau1[],3,FALSE)</f>
        <v>Omar</v>
      </c>
      <c r="H32" s="90" t="str">
        <f>VLOOKUP(Tableau4[[#This Row],[Matricule]],Tableau1[],4,FALSE)</f>
        <v>ELEC</v>
      </c>
      <c r="I32" s="88">
        <v>43889</v>
      </c>
      <c r="J32" t="s">
        <v>380</v>
      </c>
      <c r="K32" s="90">
        <f>IF(Tableau4[[#This Row],[État]]="Remis",1,0)</f>
        <v>1</v>
      </c>
    </row>
    <row r="33" spans="2:11" x14ac:dyDescent="0.25">
      <c r="B33" t="s">
        <v>278</v>
      </c>
      <c r="C33" s="90" t="str">
        <f>VLOOKUP(Tableau4[[#This Row],[Réf matériel]],Tableau3[],2,FALSE)</f>
        <v>Pince à dénuder</v>
      </c>
      <c r="D33" s="90">
        <f>VLOOKUP(Tableau4[[#This Row],[Réf matériel]],Tableau3[],3,FALSE)</f>
        <v>24.55</v>
      </c>
      <c r="E33" t="s">
        <v>307</v>
      </c>
      <c r="F33" s="90" t="str">
        <f>VLOOKUP(Tableau4[[#This Row],[Matricule]],Tableau1[],2,FALSE)</f>
        <v>AIT RAISS</v>
      </c>
      <c r="G33" s="90" t="str">
        <f>VLOOKUP(Tableau4[[#This Row],[Matricule]],Tableau1[],3,FALSE)</f>
        <v>Omar</v>
      </c>
      <c r="H33" s="90" t="str">
        <f>VLOOKUP(Tableau4[[#This Row],[Matricule]],Tableau1[],4,FALSE)</f>
        <v>ELEC</v>
      </c>
      <c r="I33" s="88">
        <v>43889</v>
      </c>
      <c r="J33" s="98" t="s">
        <v>380</v>
      </c>
      <c r="K33" s="90">
        <f>IF(Tableau4[[#This Row],[État]]="Remis",1,0)</f>
        <v>1</v>
      </c>
    </row>
    <row r="34" spans="2:11" x14ac:dyDescent="0.25">
      <c r="B34" t="s">
        <v>439</v>
      </c>
      <c r="C34" s="90" t="str">
        <f>VLOOKUP(Tableau4[[#This Row],[Réf matériel]],Tableau3[],2,FALSE)</f>
        <v>Pince à Sertir</v>
      </c>
      <c r="D34" s="90">
        <f>VLOOKUP(Tableau4[[#This Row],[Réf matériel]],Tableau3[],3,FALSE)</f>
        <v>78.400000000000006</v>
      </c>
      <c r="E34" t="s">
        <v>307</v>
      </c>
      <c r="F34" s="90" t="str">
        <f>VLOOKUP(Tableau4[[#This Row],[Matricule]],Tableau1[],2,FALSE)</f>
        <v>AIT RAISS</v>
      </c>
      <c r="G34" s="90" t="str">
        <f>VLOOKUP(Tableau4[[#This Row],[Matricule]],Tableau1[],3,FALSE)</f>
        <v>Omar</v>
      </c>
      <c r="H34" s="90" t="str">
        <f>VLOOKUP(Tableau4[[#This Row],[Matricule]],Tableau1[],4,FALSE)</f>
        <v>ELEC</v>
      </c>
      <c r="I34" s="88">
        <v>43445</v>
      </c>
      <c r="J34" t="s">
        <v>380</v>
      </c>
      <c r="K34" s="90">
        <f>IF(Tableau4[[#This Row],[État]]="Remis",1,0)</f>
        <v>1</v>
      </c>
    </row>
    <row r="35" spans="2:11" x14ac:dyDescent="0.25">
      <c r="B35" t="s">
        <v>72</v>
      </c>
      <c r="C35" s="90" t="str">
        <f>VLOOKUP(Tableau4[[#This Row],[Réf matériel]],Tableau3[],2,FALSE)</f>
        <v>Pince colson</v>
      </c>
      <c r="D35" s="90">
        <f>VLOOKUP(Tableau4[[#This Row],[Réf matériel]],Tableau3[],3,FALSE)</f>
        <v>46.91</v>
      </c>
      <c r="E35" t="s">
        <v>307</v>
      </c>
      <c r="F35" s="90" t="str">
        <f>VLOOKUP(Tableau4[[#This Row],[Matricule]],Tableau1[],2,FALSE)</f>
        <v>AIT RAISS</v>
      </c>
      <c r="G35" s="90" t="str">
        <f>VLOOKUP(Tableau4[[#This Row],[Matricule]],Tableau1[],3,FALSE)</f>
        <v>Omar</v>
      </c>
      <c r="H35" s="90" t="str">
        <f>VLOOKUP(Tableau4[[#This Row],[Matricule]],Tableau1[],4,FALSE)</f>
        <v>ELEC</v>
      </c>
      <c r="I35" s="88">
        <v>43445</v>
      </c>
      <c r="J35" t="s">
        <v>380</v>
      </c>
      <c r="K35" s="90">
        <f>IF(Tableau4[[#This Row],[État]]="Remis",1,0)</f>
        <v>1</v>
      </c>
    </row>
    <row r="36" spans="2:11" x14ac:dyDescent="0.25">
      <c r="B36" t="s">
        <v>280</v>
      </c>
      <c r="C36" s="90" t="str">
        <f>VLOOKUP(Tableau4[[#This Row],[Réf matériel]],Tableau3[],2,FALSE)</f>
        <v>Pince coupante 1000v</v>
      </c>
      <c r="D36" s="90">
        <f>VLOOKUP(Tableau4[[#This Row],[Réf matériel]],Tableau3[],3,FALSE)</f>
        <v>20.87</v>
      </c>
      <c r="E36" t="s">
        <v>307</v>
      </c>
      <c r="F36" s="90" t="str">
        <f>VLOOKUP(Tableau4[[#This Row],[Matricule]],Tableau1[],2,FALSE)</f>
        <v>AIT RAISS</v>
      </c>
      <c r="G36" s="90" t="str">
        <f>VLOOKUP(Tableau4[[#This Row],[Matricule]],Tableau1[],3,FALSE)</f>
        <v>Omar</v>
      </c>
      <c r="H36" s="90" t="str">
        <f>VLOOKUP(Tableau4[[#This Row],[Matricule]],Tableau1[],4,FALSE)</f>
        <v>ELEC</v>
      </c>
      <c r="I36" s="88">
        <v>43445</v>
      </c>
      <c r="J36" s="98" t="s">
        <v>380</v>
      </c>
      <c r="K36" s="90">
        <f>IF(Tableau4[[#This Row],[État]]="Remis",1,0)</f>
        <v>1</v>
      </c>
    </row>
    <row r="37" spans="2:11" x14ac:dyDescent="0.25">
      <c r="B37" t="s">
        <v>397</v>
      </c>
      <c r="C37" s="90" t="str">
        <f>VLOOKUP(Tableau4[[#This Row],[Réf matériel]],Tableau3[],2,FALSE)</f>
        <v>Pince étau</v>
      </c>
      <c r="D37" s="90">
        <f>VLOOKUP(Tableau4[[#This Row],[Réf matériel]],Tableau3[],3,FALSE)</f>
        <v>16.02</v>
      </c>
      <c r="E37" t="s">
        <v>307</v>
      </c>
      <c r="F37" s="90" t="str">
        <f>VLOOKUP(Tableau4[[#This Row],[Matricule]],Tableau1[],2,FALSE)</f>
        <v>AIT RAISS</v>
      </c>
      <c r="G37" s="90" t="str">
        <f>VLOOKUP(Tableau4[[#This Row],[Matricule]],Tableau1[],3,FALSE)</f>
        <v>Omar</v>
      </c>
      <c r="H37" s="90" t="str">
        <f>VLOOKUP(Tableau4[[#This Row],[Matricule]],Tableau1[],4,FALSE)</f>
        <v>ELEC</v>
      </c>
      <c r="I37" s="88">
        <v>43510</v>
      </c>
      <c r="J37" s="98" t="s">
        <v>380</v>
      </c>
      <c r="K37" s="90">
        <f>IF(Tableau4[[#This Row],[État]]="Remis",1,0)</f>
        <v>1</v>
      </c>
    </row>
    <row r="38" spans="2:11" x14ac:dyDescent="0.25">
      <c r="B38" t="s">
        <v>397</v>
      </c>
      <c r="C38" s="90" t="str">
        <f>VLOOKUP(Tableau4[[#This Row],[Réf matériel]],Tableau3[],2,FALSE)</f>
        <v>Pince étau</v>
      </c>
      <c r="D38" s="90">
        <f>VLOOKUP(Tableau4[[#This Row],[Réf matériel]],Tableau3[],3,FALSE)</f>
        <v>16.02</v>
      </c>
      <c r="E38" t="s">
        <v>307</v>
      </c>
      <c r="F38" s="90" t="str">
        <f>VLOOKUP(Tableau4[[#This Row],[Matricule]],Tableau1[],2,FALSE)</f>
        <v>AIT RAISS</v>
      </c>
      <c r="G38" s="90" t="str">
        <f>VLOOKUP(Tableau4[[#This Row],[Matricule]],Tableau1[],3,FALSE)</f>
        <v>Omar</v>
      </c>
      <c r="H38" s="90" t="str">
        <f>VLOOKUP(Tableau4[[#This Row],[Matricule]],Tableau1[],4,FALSE)</f>
        <v>ELEC</v>
      </c>
      <c r="I38" s="88">
        <v>43510</v>
      </c>
      <c r="J38" t="s">
        <v>381</v>
      </c>
      <c r="K38" s="90">
        <f>IF(Tableau4[[#This Row],[État]]="Remis",1,0)</f>
        <v>0</v>
      </c>
    </row>
    <row r="39" spans="2:11" x14ac:dyDescent="0.25">
      <c r="B39" t="s">
        <v>281</v>
      </c>
      <c r="C39" s="90" t="str">
        <f>VLOOKUP(Tableau4[[#This Row],[Réf matériel]],Tableau3[],2,FALSE)</f>
        <v>Scie à métaux</v>
      </c>
      <c r="D39" s="90">
        <f>VLOOKUP(Tableau4[[#This Row],[Réf matériel]],Tableau3[],3,FALSE)</f>
        <v>11.26</v>
      </c>
      <c r="E39" t="s">
        <v>307</v>
      </c>
      <c r="F39" s="90" t="str">
        <f>VLOOKUP(Tableau4[[#This Row],[Matricule]],Tableau1[],2,FALSE)</f>
        <v>AIT RAISS</v>
      </c>
      <c r="G39" s="90" t="str">
        <f>VLOOKUP(Tableau4[[#This Row],[Matricule]],Tableau1[],3,FALSE)</f>
        <v>Omar</v>
      </c>
      <c r="H39" s="90" t="str">
        <f>VLOOKUP(Tableau4[[#This Row],[Matricule]],Tableau1[],4,FALSE)</f>
        <v>ELEC</v>
      </c>
      <c r="I39" s="88">
        <v>43889</v>
      </c>
      <c r="J39" t="s">
        <v>380</v>
      </c>
      <c r="K39" s="90">
        <f>IF(Tableau4[[#This Row],[État]]="Remis",1,0)</f>
        <v>1</v>
      </c>
    </row>
    <row r="40" spans="2:11" x14ac:dyDescent="0.25">
      <c r="B40" s="98" t="s">
        <v>392</v>
      </c>
      <c r="C40" s="100" t="str">
        <f>VLOOKUP(Tableau4[[#This Row],[Réf matériel]],Tableau3[],2,FALSE)</f>
        <v>Coffre</v>
      </c>
      <c r="D40" s="100">
        <f>VLOOKUP(Tableau4[[#This Row],[Réf matériel]],Tableau3[],3,FALSE)</f>
        <v>54.54</v>
      </c>
      <c r="E40" s="97" t="s">
        <v>313</v>
      </c>
      <c r="F40" s="100" t="str">
        <f>VLOOKUP(Tableau4[[#This Row],[Matricule]],Tableau1[],2,FALSE)</f>
        <v>BENAMROUCHE</v>
      </c>
      <c r="G40" s="100" t="str">
        <f>VLOOKUP(Tableau4[[#This Row],[Matricule]],Tableau1[],3,FALSE)</f>
        <v>Ali</v>
      </c>
      <c r="H40" s="100" t="str">
        <f>VLOOKUP(Tableau4[[#This Row],[Matricule]],Tableau1[],4,FALSE)</f>
        <v>ELEC</v>
      </c>
      <c r="I40" s="99">
        <v>43273</v>
      </c>
      <c r="J40" s="98" t="s">
        <v>380</v>
      </c>
      <c r="K40" s="90">
        <f>IF(Tableau4[[#This Row],[État]]="Remis",1,0)</f>
        <v>1</v>
      </c>
    </row>
    <row r="41" spans="2:11" x14ac:dyDescent="0.25">
      <c r="B41" t="s">
        <v>393</v>
      </c>
      <c r="C41" s="90" t="str">
        <f>VLOOKUP(Tableau4[[#This Row],[Réf matériel]],Tableau3[],2,FALSE)</f>
        <v>Clé à molette</v>
      </c>
      <c r="D41" s="90">
        <f>VLOOKUP(Tableau4[[#This Row],[Réf matériel]],Tableau3[],3,FALSE)</f>
        <v>16.12</v>
      </c>
      <c r="E41" t="s">
        <v>313</v>
      </c>
      <c r="F41" s="90" t="str">
        <f>VLOOKUP(Tableau4[[#This Row],[Matricule]],Tableau1[],2,FALSE)</f>
        <v>BENAMROUCHE</v>
      </c>
      <c r="G41" s="90" t="str">
        <f>VLOOKUP(Tableau4[[#This Row],[Matricule]],Tableau1[],3,FALSE)</f>
        <v>Ali</v>
      </c>
      <c r="H41" s="90" t="str">
        <f>VLOOKUP(Tableau4[[#This Row],[Matricule]],Tableau1[],4,FALSE)</f>
        <v>ELEC</v>
      </c>
      <c r="I41" s="88">
        <v>43638</v>
      </c>
      <c r="J41" s="98" t="s">
        <v>380</v>
      </c>
      <c r="K41" s="90">
        <f>IF(Tableau4[[#This Row],[État]]="Remis",1,0)</f>
        <v>1</v>
      </c>
    </row>
    <row r="42" spans="2:11" x14ac:dyDescent="0.25">
      <c r="B42" t="s">
        <v>278</v>
      </c>
      <c r="C42" s="90" t="str">
        <f>VLOOKUP(Tableau4[[#This Row],[Réf matériel]],Tableau3[],2,FALSE)</f>
        <v>Pince à dénuder</v>
      </c>
      <c r="D42" s="90">
        <f>VLOOKUP(Tableau4[[#This Row],[Réf matériel]],Tableau3[],3,FALSE)</f>
        <v>24.55</v>
      </c>
      <c r="E42" t="s">
        <v>313</v>
      </c>
      <c r="F42" s="90" t="str">
        <f>VLOOKUP(Tableau4[[#This Row],[Matricule]],Tableau1[],2,FALSE)</f>
        <v>BENAMROUCHE</v>
      </c>
      <c r="G42" s="90" t="str">
        <f>VLOOKUP(Tableau4[[#This Row],[Matricule]],Tableau1[],3,FALSE)</f>
        <v>Ali</v>
      </c>
      <c r="H42" s="90" t="str">
        <f>VLOOKUP(Tableau4[[#This Row],[Matricule]],Tableau1[],4,FALSE)</f>
        <v>ELEC</v>
      </c>
      <c r="I42" s="88">
        <v>43638</v>
      </c>
      <c r="J42" s="98" t="s">
        <v>380</v>
      </c>
      <c r="K42" s="90">
        <f>IF(Tableau4[[#This Row],[État]]="Remis",1,0)</f>
        <v>1</v>
      </c>
    </row>
    <row r="43" spans="2:11" x14ac:dyDescent="0.25">
      <c r="B43" t="s">
        <v>279</v>
      </c>
      <c r="C43" s="90" t="str">
        <f>VLOOKUP(Tableau4[[#This Row],[Réf matériel]],Tableau3[],2,FALSE)</f>
        <v>lime demi ronde</v>
      </c>
      <c r="D43" s="90">
        <f>VLOOKUP(Tableau4[[#This Row],[Réf matériel]],Tableau3[],3,FALSE)</f>
        <v>7.59</v>
      </c>
      <c r="E43" t="s">
        <v>313</v>
      </c>
      <c r="F43" s="90" t="str">
        <f>VLOOKUP(Tableau4[[#This Row],[Matricule]],Tableau1[],2,FALSE)</f>
        <v>BENAMROUCHE</v>
      </c>
      <c r="G43" s="90" t="str">
        <f>VLOOKUP(Tableau4[[#This Row],[Matricule]],Tableau1[],3,FALSE)</f>
        <v>Ali</v>
      </c>
      <c r="H43" s="90" t="str">
        <f>VLOOKUP(Tableau4[[#This Row],[Matricule]],Tableau1[],4,FALSE)</f>
        <v>ELEC</v>
      </c>
      <c r="I43" s="88">
        <v>43638</v>
      </c>
      <c r="J43" s="98" t="s">
        <v>380</v>
      </c>
      <c r="K43" s="90">
        <f>IF(Tableau4[[#This Row],[État]]="Remis",1,0)</f>
        <v>1</v>
      </c>
    </row>
    <row r="44" spans="2:11" x14ac:dyDescent="0.25">
      <c r="B44" t="s">
        <v>280</v>
      </c>
      <c r="C44" s="90" t="str">
        <f>VLOOKUP(Tableau4[[#This Row],[Réf matériel]],Tableau3[],2,FALSE)</f>
        <v>Pince coupante 1000v</v>
      </c>
      <c r="D44" s="90">
        <f>VLOOKUP(Tableau4[[#This Row],[Réf matériel]],Tableau3[],3,FALSE)</f>
        <v>20.87</v>
      </c>
      <c r="E44" t="s">
        <v>313</v>
      </c>
      <c r="F44" s="90" t="str">
        <f>VLOOKUP(Tableau4[[#This Row],[Matricule]],Tableau1[],2,FALSE)</f>
        <v>BENAMROUCHE</v>
      </c>
      <c r="G44" s="90" t="str">
        <f>VLOOKUP(Tableau4[[#This Row],[Matricule]],Tableau1[],3,FALSE)</f>
        <v>Ali</v>
      </c>
      <c r="H44" s="90" t="str">
        <f>VLOOKUP(Tableau4[[#This Row],[Matricule]],Tableau1[],4,FALSE)</f>
        <v>ELEC</v>
      </c>
      <c r="I44" s="88">
        <v>43510</v>
      </c>
      <c r="J44" s="98" t="s">
        <v>380</v>
      </c>
      <c r="K44" s="90">
        <f>IF(Tableau4[[#This Row],[État]]="Remis",1,0)</f>
        <v>1</v>
      </c>
    </row>
    <row r="45" spans="2:11" x14ac:dyDescent="0.25">
      <c r="B45" t="s">
        <v>49</v>
      </c>
      <c r="C45" s="90" t="str">
        <f>VLOOKUP(Tableau4[[#This Row],[Réf matériel]],Tableau3[],2,FALSE)</f>
        <v>Coupe câble</v>
      </c>
      <c r="D45" s="90">
        <f>VLOOKUP(Tableau4[[#This Row],[Réf matériel]],Tableau3[],3,FALSE)</f>
        <v>41.88</v>
      </c>
      <c r="E45" t="s">
        <v>313</v>
      </c>
      <c r="F45" s="90" t="str">
        <f>VLOOKUP(Tableau4[[#This Row],[Matricule]],Tableau1[],2,FALSE)</f>
        <v>BENAMROUCHE</v>
      </c>
      <c r="G45" s="90" t="str">
        <f>VLOOKUP(Tableau4[[#This Row],[Matricule]],Tableau1[],3,FALSE)</f>
        <v>Ali</v>
      </c>
      <c r="H45" s="90" t="str">
        <f>VLOOKUP(Tableau4[[#This Row],[Matricule]],Tableau1[],4,FALSE)</f>
        <v>ELEC</v>
      </c>
      <c r="I45" s="88">
        <v>43638</v>
      </c>
      <c r="J45" t="s">
        <v>380</v>
      </c>
      <c r="K45" s="90">
        <f>IF(Tableau4[[#This Row],[État]]="Remis",1,0)</f>
        <v>1</v>
      </c>
    </row>
    <row r="46" spans="2:11" x14ac:dyDescent="0.25">
      <c r="B46" t="s">
        <v>281</v>
      </c>
      <c r="C46" s="90" t="str">
        <f>VLOOKUP(Tableau4[[#This Row],[Réf matériel]],Tableau3[],2,FALSE)</f>
        <v>Scie à métaux</v>
      </c>
      <c r="D46" s="90">
        <f>VLOOKUP(Tableau4[[#This Row],[Réf matériel]],Tableau3[],3,FALSE)</f>
        <v>11.26</v>
      </c>
      <c r="E46" t="s">
        <v>313</v>
      </c>
      <c r="F46" s="90" t="str">
        <f>VLOOKUP(Tableau4[[#This Row],[Matricule]],Tableau1[],2,FALSE)</f>
        <v>BENAMROUCHE</v>
      </c>
      <c r="G46" s="90" t="str">
        <f>VLOOKUP(Tableau4[[#This Row],[Matricule]],Tableau1[],3,FALSE)</f>
        <v>Ali</v>
      </c>
      <c r="H46" s="90" t="str">
        <f>VLOOKUP(Tableau4[[#This Row],[Matricule]],Tableau1[],4,FALSE)</f>
        <v>ELEC</v>
      </c>
      <c r="I46" s="88">
        <v>43510</v>
      </c>
      <c r="J46" t="s">
        <v>380</v>
      </c>
      <c r="K46" s="90">
        <f>IF(Tableau4[[#This Row],[État]]="Remis",1,0)</f>
        <v>1</v>
      </c>
    </row>
    <row r="47" spans="2:11" x14ac:dyDescent="0.25">
      <c r="B47" t="s">
        <v>51</v>
      </c>
      <c r="C47" s="90" t="str">
        <f>VLOOKUP(Tableau4[[#This Row],[Réf matériel]],Tableau3[],2,FALSE)</f>
        <v>Mètre pliant</v>
      </c>
      <c r="D47" s="90">
        <f>VLOOKUP(Tableau4[[#This Row],[Réf matériel]],Tableau3[],3,FALSE)</f>
        <v>3.2</v>
      </c>
      <c r="E47" t="s">
        <v>313</v>
      </c>
      <c r="F47" s="90" t="str">
        <f>VLOOKUP(Tableau4[[#This Row],[Matricule]],Tableau1[],2,FALSE)</f>
        <v>BENAMROUCHE</v>
      </c>
      <c r="G47" s="90" t="str">
        <f>VLOOKUP(Tableau4[[#This Row],[Matricule]],Tableau1[],3,FALSE)</f>
        <v>Ali</v>
      </c>
      <c r="H47" s="90" t="str">
        <f>VLOOKUP(Tableau4[[#This Row],[Matricule]],Tableau1[],4,FALSE)</f>
        <v>ELEC</v>
      </c>
      <c r="I47" s="88">
        <v>43510</v>
      </c>
      <c r="J47" t="s">
        <v>380</v>
      </c>
      <c r="K47" s="90">
        <f>IF(Tableau4[[#This Row],[État]]="Remis",1,0)</f>
        <v>1</v>
      </c>
    </row>
    <row r="48" spans="2:11" x14ac:dyDescent="0.25">
      <c r="B48" t="s">
        <v>395</v>
      </c>
      <c r="C48" s="90" t="str">
        <f>VLOOKUP(Tableau4[[#This Row],[Réf matériel]],Tableau3[],2,FALSE)</f>
        <v>Burin plat</v>
      </c>
      <c r="D48" s="90">
        <f>VLOOKUP(Tableau4[[#This Row],[Réf matériel]],Tableau3[],3,FALSE)</f>
        <v>11.89</v>
      </c>
      <c r="E48" t="s">
        <v>313</v>
      </c>
      <c r="F48" s="90" t="str">
        <f>VLOOKUP(Tableau4[[#This Row],[Matricule]],Tableau1[],2,FALSE)</f>
        <v>BENAMROUCHE</v>
      </c>
      <c r="G48" s="90" t="str">
        <f>VLOOKUP(Tableau4[[#This Row],[Matricule]],Tableau1[],3,FALSE)</f>
        <v>Ali</v>
      </c>
      <c r="H48" s="90" t="str">
        <f>VLOOKUP(Tableau4[[#This Row],[Matricule]],Tableau1[],4,FALSE)</f>
        <v>ELEC</v>
      </c>
      <c r="I48" s="88">
        <v>43510</v>
      </c>
      <c r="J48" t="s">
        <v>380</v>
      </c>
      <c r="K48" s="90">
        <f>IF(Tableau4[[#This Row],[État]]="Remis",1,0)</f>
        <v>1</v>
      </c>
    </row>
    <row r="49" spans="2:11" x14ac:dyDescent="0.25">
      <c r="B49" t="s">
        <v>401</v>
      </c>
      <c r="C49" s="90" t="str">
        <f>VLOOKUP(Tableau4[[#This Row],[Réf matériel]],Tableau3[],2,FALSE)</f>
        <v>Burin pointu</v>
      </c>
      <c r="D49" s="90">
        <f>VLOOKUP(Tableau4[[#This Row],[Réf matériel]],Tableau3[],3,FALSE)</f>
        <v>8.7200000000000006</v>
      </c>
      <c r="E49" t="s">
        <v>313</v>
      </c>
      <c r="F49" s="90" t="str">
        <f>VLOOKUP(Tableau4[[#This Row],[Matricule]],Tableau1[],2,FALSE)</f>
        <v>BENAMROUCHE</v>
      </c>
      <c r="G49" s="90" t="str">
        <f>VLOOKUP(Tableau4[[#This Row],[Matricule]],Tableau1[],3,FALSE)</f>
        <v>Ali</v>
      </c>
      <c r="H49" s="90" t="str">
        <f>VLOOKUP(Tableau4[[#This Row],[Matricule]],Tableau1[],4,FALSE)</f>
        <v>ELEC</v>
      </c>
      <c r="I49" s="88">
        <v>43510</v>
      </c>
      <c r="J49" t="s">
        <v>380</v>
      </c>
      <c r="K49" s="90">
        <f>IF(Tableau4[[#This Row],[État]]="Remis",1,0)</f>
        <v>1</v>
      </c>
    </row>
    <row r="50" spans="2:11" x14ac:dyDescent="0.25">
      <c r="B50" t="s">
        <v>396</v>
      </c>
      <c r="C50" s="90" t="str">
        <f>VLOOKUP(Tableau4[[#This Row],[Réf matériel]],Tableau3[],2,FALSE)</f>
        <v>Massette</v>
      </c>
      <c r="D50" s="90">
        <f>VLOOKUP(Tableau4[[#This Row],[Réf matériel]],Tableau3[],3,FALSE)</f>
        <v>15.14</v>
      </c>
      <c r="E50" t="s">
        <v>313</v>
      </c>
      <c r="F50" s="90" t="str">
        <f>VLOOKUP(Tableau4[[#This Row],[Matricule]],Tableau1[],2,FALSE)</f>
        <v>BENAMROUCHE</v>
      </c>
      <c r="G50" s="90" t="str">
        <f>VLOOKUP(Tableau4[[#This Row],[Matricule]],Tableau1[],3,FALSE)</f>
        <v>Ali</v>
      </c>
      <c r="H50" s="90" t="str">
        <f>VLOOKUP(Tableau4[[#This Row],[Matricule]],Tableau1[],4,FALSE)</f>
        <v>ELEC</v>
      </c>
      <c r="I50" s="88">
        <v>43510</v>
      </c>
      <c r="J50" t="s">
        <v>380</v>
      </c>
      <c r="K50" s="90">
        <f>IF(Tableau4[[#This Row],[État]]="Remis",1,0)</f>
        <v>1</v>
      </c>
    </row>
    <row r="51" spans="2:11" x14ac:dyDescent="0.25">
      <c r="B51" t="s">
        <v>55</v>
      </c>
      <c r="C51" s="90" t="str">
        <f>VLOOKUP(Tableau4[[#This Row],[Réf matériel]],Tableau3[],2,FALSE)</f>
        <v>Niveau</v>
      </c>
      <c r="D51" s="90">
        <f>VLOOKUP(Tableau4[[#This Row],[Réf matériel]],Tableau3[],3,FALSE)</f>
        <v>15</v>
      </c>
      <c r="E51" t="s">
        <v>313</v>
      </c>
      <c r="F51" s="90" t="str">
        <f>VLOOKUP(Tableau4[[#This Row],[Matricule]],Tableau1[],2,FALSE)</f>
        <v>BENAMROUCHE</v>
      </c>
      <c r="G51" s="90" t="str">
        <f>VLOOKUP(Tableau4[[#This Row],[Matricule]],Tableau1[],3,FALSE)</f>
        <v>Ali</v>
      </c>
      <c r="H51" s="90" t="str">
        <f>VLOOKUP(Tableau4[[#This Row],[Matricule]],Tableau1[],4,FALSE)</f>
        <v>ELEC</v>
      </c>
      <c r="I51" s="88">
        <v>43638</v>
      </c>
      <c r="J51" t="s">
        <v>380</v>
      </c>
      <c r="K51" s="90">
        <f>IF(Tableau4[[#This Row],[État]]="Remis",1,0)</f>
        <v>1</v>
      </c>
    </row>
    <row r="52" spans="2:11" x14ac:dyDescent="0.25">
      <c r="B52" t="s">
        <v>56</v>
      </c>
      <c r="C52" s="90" t="str">
        <f>VLOOKUP(Tableau4[[#This Row],[Réf matériel]],Tableau3[],2,FALSE)</f>
        <v>Jeu tournevis</v>
      </c>
      <c r="D52" s="90">
        <f>VLOOKUP(Tableau4[[#This Row],[Réf matériel]],Tableau3[],3,FALSE)</f>
        <v>37.57</v>
      </c>
      <c r="E52" t="s">
        <v>313</v>
      </c>
      <c r="F52" s="90" t="str">
        <f>VLOOKUP(Tableau4[[#This Row],[Matricule]],Tableau1[],2,FALSE)</f>
        <v>BENAMROUCHE</v>
      </c>
      <c r="G52" s="90" t="str">
        <f>VLOOKUP(Tableau4[[#This Row],[Matricule]],Tableau1[],3,FALSE)</f>
        <v>Ali</v>
      </c>
      <c r="H52" s="90" t="str">
        <f>VLOOKUP(Tableau4[[#This Row],[Matricule]],Tableau1[],4,FALSE)</f>
        <v>ELEC</v>
      </c>
      <c r="I52" s="88">
        <v>43885</v>
      </c>
      <c r="J52" t="s">
        <v>380</v>
      </c>
      <c r="K52" s="90">
        <f>IF(Tableau4[[#This Row],[État]]="Remis",1,0)</f>
        <v>1</v>
      </c>
    </row>
    <row r="53" spans="2:11" x14ac:dyDescent="0.25">
      <c r="B53" t="s">
        <v>397</v>
      </c>
      <c r="C53" s="90" t="str">
        <f>VLOOKUP(Tableau4[[#This Row],[Réf matériel]],Tableau3[],2,FALSE)</f>
        <v>Pince étau</v>
      </c>
      <c r="D53" s="90">
        <f>VLOOKUP(Tableau4[[#This Row],[Réf matériel]],Tableau3[],3,FALSE)</f>
        <v>16.02</v>
      </c>
      <c r="E53" t="s">
        <v>313</v>
      </c>
      <c r="F53" s="90" t="str">
        <f>VLOOKUP(Tableau4[[#This Row],[Matricule]],Tableau1[],2,FALSE)</f>
        <v>BENAMROUCHE</v>
      </c>
      <c r="G53" s="90" t="str">
        <f>VLOOKUP(Tableau4[[#This Row],[Matricule]],Tableau1[],3,FALSE)</f>
        <v>Ali</v>
      </c>
      <c r="H53" s="90" t="str">
        <f>VLOOKUP(Tableau4[[#This Row],[Matricule]],Tableau1[],4,FALSE)</f>
        <v>ELEC</v>
      </c>
      <c r="I53" s="88">
        <v>43510</v>
      </c>
      <c r="J53" t="s">
        <v>380</v>
      </c>
      <c r="K53" s="90">
        <f>IF(Tableau4[[#This Row],[État]]="Remis",1,0)</f>
        <v>1</v>
      </c>
    </row>
    <row r="54" spans="2:11" x14ac:dyDescent="0.25">
      <c r="B54" t="s">
        <v>398</v>
      </c>
      <c r="C54" s="90" t="str">
        <f>VLOOKUP(Tableau4[[#This Row],[Réf matériel]],Tableau3[],2,FALSE)</f>
        <v>Coffret douilles</v>
      </c>
      <c r="D54" s="90">
        <f>VLOOKUP(Tableau4[[#This Row],[Réf matériel]],Tableau3[],3,FALSE)</f>
        <v>103.22</v>
      </c>
      <c r="E54" t="s">
        <v>313</v>
      </c>
      <c r="F54" s="90" t="str">
        <f>VLOOKUP(Tableau4[[#This Row],[Matricule]],Tableau1[],2,FALSE)</f>
        <v>BENAMROUCHE</v>
      </c>
      <c r="G54" s="90" t="str">
        <f>VLOOKUP(Tableau4[[#This Row],[Matricule]],Tableau1[],3,FALSE)</f>
        <v>Ali</v>
      </c>
      <c r="H54" s="90" t="str">
        <f>VLOOKUP(Tableau4[[#This Row],[Matricule]],Tableau1[],4,FALSE)</f>
        <v>ELEC</v>
      </c>
      <c r="I54" s="88">
        <v>43638</v>
      </c>
      <c r="J54" t="s">
        <v>380</v>
      </c>
      <c r="K54" s="90">
        <f>IF(Tableau4[[#This Row],[État]]="Remis",1,0)</f>
        <v>1</v>
      </c>
    </row>
    <row r="55" spans="2:11" x14ac:dyDescent="0.25">
      <c r="B55" t="s">
        <v>403</v>
      </c>
      <c r="C55" s="90" t="str">
        <f>VLOOKUP(Tableau4[[#This Row],[Réf matériel]],Tableau3[],2,FALSE)</f>
        <v>Clé à pipe 10</v>
      </c>
      <c r="D55" s="90">
        <f>VLOOKUP(Tableau4[[#This Row],[Réf matériel]],Tableau3[],3,FALSE)</f>
        <v>5.41</v>
      </c>
      <c r="E55" t="s">
        <v>313</v>
      </c>
      <c r="F55" s="90" t="str">
        <f>VLOOKUP(Tableau4[[#This Row],[Matricule]],Tableau1[],2,FALSE)</f>
        <v>BENAMROUCHE</v>
      </c>
      <c r="G55" s="90" t="str">
        <f>VLOOKUP(Tableau4[[#This Row],[Matricule]],Tableau1[],3,FALSE)</f>
        <v>Ali</v>
      </c>
      <c r="H55" s="90" t="str">
        <f>VLOOKUP(Tableau4[[#This Row],[Matricule]],Tableau1[],4,FALSE)</f>
        <v>ELEC</v>
      </c>
      <c r="I55" s="88">
        <v>43510</v>
      </c>
      <c r="J55" t="s">
        <v>380</v>
      </c>
      <c r="K55" s="90">
        <f>IF(Tableau4[[#This Row],[État]]="Remis",1,0)</f>
        <v>1</v>
      </c>
    </row>
    <row r="56" spans="2:11" x14ac:dyDescent="0.25">
      <c r="B56" t="s">
        <v>405</v>
      </c>
      <c r="C56" s="90" t="str">
        <f>VLOOKUP(Tableau4[[#This Row],[Réf matériel]],Tableau3[],2,FALSE)</f>
        <v>Clé à pipe 13</v>
      </c>
      <c r="D56" s="90">
        <f>VLOOKUP(Tableau4[[#This Row],[Réf matériel]],Tableau3[],3,FALSE)</f>
        <v>6.23</v>
      </c>
      <c r="E56" t="s">
        <v>313</v>
      </c>
      <c r="F56" s="90" t="str">
        <f>VLOOKUP(Tableau4[[#This Row],[Matricule]],Tableau1[],2,FALSE)</f>
        <v>BENAMROUCHE</v>
      </c>
      <c r="G56" s="90" t="str">
        <f>VLOOKUP(Tableau4[[#This Row],[Matricule]],Tableau1[],3,FALSE)</f>
        <v>Ali</v>
      </c>
      <c r="H56" s="90" t="str">
        <f>VLOOKUP(Tableau4[[#This Row],[Matricule]],Tableau1[],4,FALSE)</f>
        <v>ELEC</v>
      </c>
      <c r="I56" s="88">
        <v>43510</v>
      </c>
      <c r="J56" t="s">
        <v>380</v>
      </c>
      <c r="K56" s="90">
        <f>IF(Tableau4[[#This Row],[État]]="Remis",1,0)</f>
        <v>1</v>
      </c>
    </row>
    <row r="57" spans="2:11" x14ac:dyDescent="0.25">
      <c r="B57" t="s">
        <v>408</v>
      </c>
      <c r="C57" s="90" t="str">
        <f>VLOOKUP(Tableau4[[#This Row],[Réf matériel]],Tableau3[],2,FALSE)</f>
        <v>Clé à pipe 17</v>
      </c>
      <c r="D57" s="90">
        <f>VLOOKUP(Tableau4[[#This Row],[Réf matériel]],Tableau3[],3,FALSE)</f>
        <v>9.36</v>
      </c>
      <c r="E57" t="s">
        <v>313</v>
      </c>
      <c r="F57" s="90" t="str">
        <f>VLOOKUP(Tableau4[[#This Row],[Matricule]],Tableau1[],2,FALSE)</f>
        <v>BENAMROUCHE</v>
      </c>
      <c r="G57" s="90" t="str">
        <f>VLOOKUP(Tableau4[[#This Row],[Matricule]],Tableau1[],3,FALSE)</f>
        <v>Ali</v>
      </c>
      <c r="H57" s="90" t="str">
        <f>VLOOKUP(Tableau4[[#This Row],[Matricule]],Tableau1[],4,FALSE)</f>
        <v>ELEC</v>
      </c>
      <c r="I57" s="88">
        <v>43510</v>
      </c>
      <c r="J57" t="s">
        <v>380</v>
      </c>
      <c r="K57" s="90">
        <f>IF(Tableau4[[#This Row],[État]]="Remis",1,0)</f>
        <v>1</v>
      </c>
    </row>
    <row r="58" spans="2:11" x14ac:dyDescent="0.25">
      <c r="B58" t="s">
        <v>409</v>
      </c>
      <c r="C58" s="90" t="str">
        <f>VLOOKUP(Tableau4[[#This Row],[Réf matériel]],Tableau3[],2,FALSE)</f>
        <v>Clé à pipe 19</v>
      </c>
      <c r="D58" s="90">
        <f>VLOOKUP(Tableau4[[#This Row],[Réf matériel]],Tableau3[],3,FALSE)</f>
        <v>10.4</v>
      </c>
      <c r="E58" t="s">
        <v>313</v>
      </c>
      <c r="F58" s="90" t="str">
        <f>VLOOKUP(Tableau4[[#This Row],[Matricule]],Tableau1[],2,FALSE)</f>
        <v>BENAMROUCHE</v>
      </c>
      <c r="G58" s="90" t="str">
        <f>VLOOKUP(Tableau4[[#This Row],[Matricule]],Tableau1[],3,FALSE)</f>
        <v>Ali</v>
      </c>
      <c r="H58" s="90" t="str">
        <f>VLOOKUP(Tableau4[[#This Row],[Matricule]],Tableau1[],4,FALSE)</f>
        <v>ELEC</v>
      </c>
      <c r="I58" s="88">
        <v>43510</v>
      </c>
      <c r="J58" t="s">
        <v>380</v>
      </c>
      <c r="K58" s="90">
        <f>IF(Tableau4[[#This Row],[État]]="Remis",1,0)</f>
        <v>1</v>
      </c>
    </row>
    <row r="59" spans="2:11" x14ac:dyDescent="0.25">
      <c r="B59" t="s">
        <v>410</v>
      </c>
      <c r="C59" s="90" t="str">
        <f>VLOOKUP(Tableau4[[#This Row],[Réf matériel]],Tableau3[],2,FALSE)</f>
        <v>Clé plate 10</v>
      </c>
      <c r="D59" s="90">
        <f>VLOOKUP(Tableau4[[#This Row],[Réf matériel]],Tableau3[],3,FALSE)</f>
        <v>3.32</v>
      </c>
      <c r="E59" t="s">
        <v>313</v>
      </c>
      <c r="F59" s="90" t="str">
        <f>VLOOKUP(Tableau4[[#This Row],[Matricule]],Tableau1[],2,FALSE)</f>
        <v>BENAMROUCHE</v>
      </c>
      <c r="G59" s="90" t="str">
        <f>VLOOKUP(Tableau4[[#This Row],[Matricule]],Tableau1[],3,FALSE)</f>
        <v>Ali</v>
      </c>
      <c r="H59" s="90" t="str">
        <f>VLOOKUP(Tableau4[[#This Row],[Matricule]],Tableau1[],4,FALSE)</f>
        <v>ELEC</v>
      </c>
      <c r="I59" s="88">
        <v>43638</v>
      </c>
      <c r="J59" t="s">
        <v>380</v>
      </c>
      <c r="K59" s="90">
        <f>IF(Tableau4[[#This Row],[État]]="Remis",1,0)</f>
        <v>1</v>
      </c>
    </row>
    <row r="60" spans="2:11" x14ac:dyDescent="0.25">
      <c r="B60" t="s">
        <v>412</v>
      </c>
      <c r="C60" s="90" t="str">
        <f>VLOOKUP(Tableau4[[#This Row],[Réf matériel]],Tableau3[],2,FALSE)</f>
        <v>Clé plate 13</v>
      </c>
      <c r="D60" s="90">
        <f>VLOOKUP(Tableau4[[#This Row],[Réf matériel]],Tableau3[],3,FALSE)</f>
        <v>3.91</v>
      </c>
      <c r="E60" t="s">
        <v>313</v>
      </c>
      <c r="F60" s="90" t="str">
        <f>VLOOKUP(Tableau4[[#This Row],[Matricule]],Tableau1[],2,FALSE)</f>
        <v>BENAMROUCHE</v>
      </c>
      <c r="G60" s="90" t="str">
        <f>VLOOKUP(Tableau4[[#This Row],[Matricule]],Tableau1[],3,FALSE)</f>
        <v>Ali</v>
      </c>
      <c r="H60" s="90" t="str">
        <f>VLOOKUP(Tableau4[[#This Row],[Matricule]],Tableau1[],4,FALSE)</f>
        <v>ELEC</v>
      </c>
      <c r="I60" s="88">
        <v>43638</v>
      </c>
      <c r="J60" t="s">
        <v>380</v>
      </c>
      <c r="K60" s="90">
        <f>IF(Tableau4[[#This Row],[État]]="Remis",1,0)</f>
        <v>1</v>
      </c>
    </row>
    <row r="61" spans="2:11" x14ac:dyDescent="0.25">
      <c r="B61" t="s">
        <v>414</v>
      </c>
      <c r="C61" s="90" t="str">
        <f>VLOOKUP(Tableau4[[#This Row],[Réf matériel]],Tableau3[],2,FALSE)</f>
        <v>Clé plate 17</v>
      </c>
      <c r="D61" s="90">
        <f>VLOOKUP(Tableau4[[#This Row],[Réf matériel]],Tableau3[],3,FALSE)</f>
        <v>5.5</v>
      </c>
      <c r="E61" t="s">
        <v>313</v>
      </c>
      <c r="F61" s="90" t="str">
        <f>VLOOKUP(Tableau4[[#This Row],[Matricule]],Tableau1[],2,FALSE)</f>
        <v>BENAMROUCHE</v>
      </c>
      <c r="G61" s="90" t="str">
        <f>VLOOKUP(Tableau4[[#This Row],[Matricule]],Tableau1[],3,FALSE)</f>
        <v>Ali</v>
      </c>
      <c r="H61" s="90" t="str">
        <f>VLOOKUP(Tableau4[[#This Row],[Matricule]],Tableau1[],4,FALSE)</f>
        <v>ELEC</v>
      </c>
      <c r="I61" s="88">
        <v>43638</v>
      </c>
      <c r="J61" t="s">
        <v>380</v>
      </c>
      <c r="K61" s="90">
        <f>IF(Tableau4[[#This Row],[État]]="Remis",1,0)</f>
        <v>1</v>
      </c>
    </row>
    <row r="62" spans="2:11" x14ac:dyDescent="0.25">
      <c r="B62" t="s">
        <v>415</v>
      </c>
      <c r="C62" s="90" t="str">
        <f>VLOOKUP(Tableau4[[#This Row],[Réf matériel]],Tableau3[],2,FALSE)</f>
        <v>Clé plate 19</v>
      </c>
      <c r="D62" s="90">
        <f>VLOOKUP(Tableau4[[#This Row],[Réf matériel]],Tableau3[],3,FALSE)</f>
        <v>6.07</v>
      </c>
      <c r="E62" t="s">
        <v>313</v>
      </c>
      <c r="F62" s="90" t="str">
        <f>VLOOKUP(Tableau4[[#This Row],[Matricule]],Tableau1[],2,FALSE)</f>
        <v>BENAMROUCHE</v>
      </c>
      <c r="G62" s="90" t="str">
        <f>VLOOKUP(Tableau4[[#This Row],[Matricule]],Tableau1[],3,FALSE)</f>
        <v>Ali</v>
      </c>
      <c r="H62" s="90" t="str">
        <f>VLOOKUP(Tableau4[[#This Row],[Matricule]],Tableau1[],4,FALSE)</f>
        <v>ELEC</v>
      </c>
      <c r="I62" s="88">
        <v>43638</v>
      </c>
      <c r="J62" t="s">
        <v>380</v>
      </c>
      <c r="K62" s="90">
        <f>IF(Tableau4[[#This Row],[État]]="Remis",1,0)</f>
        <v>1</v>
      </c>
    </row>
    <row r="63" spans="2:11" x14ac:dyDescent="0.25">
      <c r="B63" t="s">
        <v>418</v>
      </c>
      <c r="C63" s="90" t="str">
        <f>VLOOKUP(Tableau4[[#This Row],[Réf matériel]],Tableau3[],2,FALSE)</f>
        <v>Jeu de Clés plate à cliquet</v>
      </c>
      <c r="D63" s="90">
        <f>VLOOKUP(Tableau4[[#This Row],[Réf matériel]],Tableau3[],3,FALSE)</f>
        <v>182.4</v>
      </c>
      <c r="E63" t="s">
        <v>313</v>
      </c>
      <c r="F63" s="90" t="str">
        <f>VLOOKUP(Tableau4[[#This Row],[Matricule]],Tableau1[],2,FALSE)</f>
        <v>BENAMROUCHE</v>
      </c>
      <c r="G63" s="90" t="str">
        <f>VLOOKUP(Tableau4[[#This Row],[Matricule]],Tableau1[],3,FALSE)</f>
        <v>Ali</v>
      </c>
      <c r="H63" s="90" t="str">
        <f>VLOOKUP(Tableau4[[#This Row],[Matricule]],Tableau1[],4,FALSE)</f>
        <v>ELEC</v>
      </c>
      <c r="I63" s="88">
        <v>43889</v>
      </c>
      <c r="J63" t="s">
        <v>380</v>
      </c>
      <c r="K63" s="90">
        <f>IF(Tableau4[[#This Row],[État]]="Remis",1,0)</f>
        <v>1</v>
      </c>
    </row>
    <row r="64" spans="2:11" x14ac:dyDescent="0.25">
      <c r="B64" t="s">
        <v>67</v>
      </c>
      <c r="C64" s="90" t="str">
        <f>VLOOKUP(Tableau4[[#This Row],[Réf matériel]],Tableau3[],2,FALSE)</f>
        <v>Cutter</v>
      </c>
      <c r="D64" s="90">
        <f>VLOOKUP(Tableau4[[#This Row],[Réf matériel]],Tableau3[],3,FALSE)</f>
        <v>4.8499999999999996</v>
      </c>
      <c r="E64" t="s">
        <v>313</v>
      </c>
      <c r="F64" s="90" t="str">
        <f>VLOOKUP(Tableau4[[#This Row],[Matricule]],Tableau1[],2,FALSE)</f>
        <v>BENAMROUCHE</v>
      </c>
      <c r="G64" s="90" t="str">
        <f>VLOOKUP(Tableau4[[#This Row],[Matricule]],Tableau1[],3,FALSE)</f>
        <v>Ali</v>
      </c>
      <c r="H64" s="90" t="str">
        <f>VLOOKUP(Tableau4[[#This Row],[Matricule]],Tableau1[],4,FALSE)</f>
        <v>ELEC</v>
      </c>
      <c r="I64" s="88">
        <v>43510</v>
      </c>
      <c r="J64" t="s">
        <v>380</v>
      </c>
      <c r="K64" s="90">
        <f>IF(Tableau4[[#This Row],[État]]="Remis",1,0)</f>
        <v>1</v>
      </c>
    </row>
    <row r="65" spans="2:11" x14ac:dyDescent="0.25">
      <c r="B65" t="s">
        <v>420</v>
      </c>
      <c r="C65" s="90" t="str">
        <f>VLOOKUP(Tableau4[[#This Row],[Réf matériel]],Tableau3[],2,FALSE)</f>
        <v>Clé allen</v>
      </c>
      <c r="D65" s="90">
        <f>VLOOKUP(Tableau4[[#This Row],[Réf matériel]],Tableau3[],3,FALSE)</f>
        <v>27.5</v>
      </c>
      <c r="E65" t="s">
        <v>313</v>
      </c>
      <c r="F65" s="90" t="str">
        <f>VLOOKUP(Tableau4[[#This Row],[Matricule]],Tableau1[],2,FALSE)</f>
        <v>BENAMROUCHE</v>
      </c>
      <c r="G65" s="90" t="str">
        <f>VLOOKUP(Tableau4[[#This Row],[Matricule]],Tableau1[],3,FALSE)</f>
        <v>Ali</v>
      </c>
      <c r="H65" s="90" t="str">
        <f>VLOOKUP(Tableau4[[#This Row],[Matricule]],Tableau1[],4,FALSE)</f>
        <v>ELEC</v>
      </c>
      <c r="I65" s="88">
        <v>43510</v>
      </c>
      <c r="J65" t="s">
        <v>380</v>
      </c>
      <c r="K65" s="90">
        <f>IF(Tableau4[[#This Row],[État]]="Remis",1,0)</f>
        <v>1</v>
      </c>
    </row>
    <row r="66" spans="2:11" x14ac:dyDescent="0.25">
      <c r="B66" t="s">
        <v>438</v>
      </c>
      <c r="C66" s="90" t="str">
        <f>VLOOKUP(Tableau4[[#This Row],[Réf matériel]],Tableau3[],2,FALSE)</f>
        <v>Outil à dégainer</v>
      </c>
      <c r="D66" s="90">
        <f>VLOOKUP(Tableau4[[#This Row],[Réf matériel]],Tableau3[],3,FALSE)</f>
        <v>20.5</v>
      </c>
      <c r="E66" t="s">
        <v>313</v>
      </c>
      <c r="F66" s="90" t="str">
        <f>VLOOKUP(Tableau4[[#This Row],[Matricule]],Tableau1[],2,FALSE)</f>
        <v>BENAMROUCHE</v>
      </c>
      <c r="G66" s="90" t="str">
        <f>VLOOKUP(Tableau4[[#This Row],[Matricule]],Tableau1[],3,FALSE)</f>
        <v>Ali</v>
      </c>
      <c r="H66" s="90" t="str">
        <f>VLOOKUP(Tableau4[[#This Row],[Matricule]],Tableau1[],4,FALSE)</f>
        <v>ELEC</v>
      </c>
      <c r="I66" s="88">
        <v>43510</v>
      </c>
      <c r="J66" t="s">
        <v>380</v>
      </c>
      <c r="K66" s="90">
        <f>IF(Tableau4[[#This Row],[État]]="Remis",1,0)</f>
        <v>1</v>
      </c>
    </row>
    <row r="67" spans="2:11" x14ac:dyDescent="0.25">
      <c r="B67" t="s">
        <v>439</v>
      </c>
      <c r="C67" s="90" t="str">
        <f>VLOOKUP(Tableau4[[#This Row],[Réf matériel]],Tableau3[],2,FALSE)</f>
        <v>Pince à Sertir</v>
      </c>
      <c r="D67" s="90">
        <f>VLOOKUP(Tableau4[[#This Row],[Réf matériel]],Tableau3[],3,FALSE)</f>
        <v>78.400000000000006</v>
      </c>
      <c r="E67" t="s">
        <v>313</v>
      </c>
      <c r="F67" s="90" t="str">
        <f>VLOOKUP(Tableau4[[#This Row],[Matricule]],Tableau1[],2,FALSE)</f>
        <v>BENAMROUCHE</v>
      </c>
      <c r="G67" s="90" t="str">
        <f>VLOOKUP(Tableau4[[#This Row],[Matricule]],Tableau1[],3,FALSE)</f>
        <v>Ali</v>
      </c>
      <c r="H67" s="90" t="str">
        <f>VLOOKUP(Tableau4[[#This Row],[Matricule]],Tableau1[],4,FALSE)</f>
        <v>ELEC</v>
      </c>
      <c r="I67" s="88">
        <v>43638</v>
      </c>
      <c r="J67" t="s">
        <v>380</v>
      </c>
      <c r="K67" s="90">
        <f>IF(Tableau4[[#This Row],[État]]="Remis",1,0)</f>
        <v>1</v>
      </c>
    </row>
    <row r="68" spans="2:11" x14ac:dyDescent="0.25">
      <c r="B68" t="s">
        <v>440</v>
      </c>
      <c r="C68" s="90" t="str">
        <f>VLOOKUP(Tableau4[[#This Row],[Réf matériel]],Tableau3[],2,FALSE)</f>
        <v>Testeur Fluke</v>
      </c>
      <c r="D68" s="90">
        <f>VLOOKUP(Tableau4[[#This Row],[Réf matériel]],Tableau3[],3,FALSE)</f>
        <v>0</v>
      </c>
      <c r="E68" t="s">
        <v>313</v>
      </c>
      <c r="F68" s="90" t="str">
        <f>VLOOKUP(Tableau4[[#This Row],[Matricule]],Tableau1[],2,FALSE)</f>
        <v>BENAMROUCHE</v>
      </c>
      <c r="G68" s="90" t="str">
        <f>VLOOKUP(Tableau4[[#This Row],[Matricule]],Tableau1[],3,FALSE)</f>
        <v>Ali</v>
      </c>
      <c r="H68" s="90" t="str">
        <f>VLOOKUP(Tableau4[[#This Row],[Matricule]],Tableau1[],4,FALSE)</f>
        <v>ELEC</v>
      </c>
      <c r="I68" s="88">
        <v>43627</v>
      </c>
      <c r="J68" t="s">
        <v>380</v>
      </c>
      <c r="K68" s="90">
        <f>IF(Tableau4[[#This Row],[État]]="Remis",1,0)</f>
        <v>1</v>
      </c>
    </row>
    <row r="69" spans="2:11" x14ac:dyDescent="0.25">
      <c r="B69" t="s">
        <v>399</v>
      </c>
      <c r="C69" s="90" t="str">
        <f>VLOOKUP(Tableau4[[#This Row],[Réf matériel]],Tableau3[],2,FALSE)</f>
        <v>Boite embouts</v>
      </c>
      <c r="D69" s="90">
        <f>VLOOKUP(Tableau4[[#This Row],[Réf matériel]],Tableau3[],3,FALSE)</f>
        <v>27.61</v>
      </c>
      <c r="E69" t="s">
        <v>313</v>
      </c>
      <c r="F69" s="90" t="str">
        <f>VLOOKUP(Tableau4[[#This Row],[Matricule]],Tableau1[],2,FALSE)</f>
        <v>BENAMROUCHE</v>
      </c>
      <c r="G69" s="90" t="str">
        <f>VLOOKUP(Tableau4[[#This Row],[Matricule]],Tableau1[],3,FALSE)</f>
        <v>Ali</v>
      </c>
      <c r="H69" s="90" t="str">
        <f>VLOOKUP(Tableau4[[#This Row],[Matricule]],Tableau1[],4,FALSE)</f>
        <v>ELEC</v>
      </c>
      <c r="I69" s="88">
        <v>43510</v>
      </c>
      <c r="J69" t="s">
        <v>380</v>
      </c>
      <c r="K69" s="90">
        <f>IF(Tableau4[[#This Row],[État]]="Remis",1,0)</f>
        <v>1</v>
      </c>
    </row>
    <row r="70" spans="2:11" x14ac:dyDescent="0.25">
      <c r="B70" t="s">
        <v>441</v>
      </c>
      <c r="C70" s="90" t="str">
        <f>VLOOKUP(Tableau4[[#This Row],[Réf matériel]],Tableau3[],2,FALSE)</f>
        <v>Lunette de protection</v>
      </c>
      <c r="D70" s="90">
        <f>VLOOKUP(Tableau4[[#This Row],[Réf matériel]],Tableau3[],3,FALSE)</f>
        <v>2.38</v>
      </c>
      <c r="E70" t="s">
        <v>313</v>
      </c>
      <c r="F70" s="90" t="str">
        <f>VLOOKUP(Tableau4[[#This Row],[Matricule]],Tableau1[],2,FALSE)</f>
        <v>BENAMROUCHE</v>
      </c>
      <c r="G70" s="90" t="str">
        <f>VLOOKUP(Tableau4[[#This Row],[Matricule]],Tableau1[],3,FALSE)</f>
        <v>Ali</v>
      </c>
      <c r="H70" s="90" t="str">
        <f>VLOOKUP(Tableau4[[#This Row],[Matricule]],Tableau1[],4,FALSE)</f>
        <v>ELEC</v>
      </c>
      <c r="I70" s="88">
        <v>44020</v>
      </c>
      <c r="J70" t="s">
        <v>380</v>
      </c>
      <c r="K70" s="90">
        <f>IF(Tableau4[[#This Row],[État]]="Remis",1,0)</f>
        <v>1</v>
      </c>
    </row>
    <row r="71" spans="2:11" x14ac:dyDescent="0.25">
      <c r="B71" t="s">
        <v>74</v>
      </c>
      <c r="C71" s="90" t="str">
        <f>VLOOKUP(Tableau4[[#This Row],[Réf matériel]],Tableau3[],2,FALSE)</f>
        <v>Casque chantier</v>
      </c>
      <c r="D71" s="90">
        <f>VLOOKUP(Tableau4[[#This Row],[Réf matériel]],Tableau3[],3,FALSE)</f>
        <v>29.05</v>
      </c>
      <c r="E71" t="s">
        <v>313</v>
      </c>
      <c r="F71" s="90" t="str">
        <f>VLOOKUP(Tableau4[[#This Row],[Matricule]],Tableau1[],2,FALSE)</f>
        <v>BENAMROUCHE</v>
      </c>
      <c r="G71" s="90" t="str">
        <f>VLOOKUP(Tableau4[[#This Row],[Matricule]],Tableau1[],3,FALSE)</f>
        <v>Ali</v>
      </c>
      <c r="H71" s="90" t="str">
        <f>VLOOKUP(Tableau4[[#This Row],[Matricule]],Tableau1[],4,FALSE)</f>
        <v>ELEC</v>
      </c>
      <c r="I71" s="88">
        <v>43445</v>
      </c>
      <c r="J71" t="s">
        <v>380</v>
      </c>
      <c r="K71" s="90">
        <f>IF(Tableau4[[#This Row],[État]]="Remis",1,0)</f>
        <v>1</v>
      </c>
    </row>
    <row r="72" spans="2:11" x14ac:dyDescent="0.25">
      <c r="B72" t="s">
        <v>75</v>
      </c>
      <c r="C72" s="90" t="str">
        <f>VLOOKUP(Tableau4[[#This Row],[Réf matériel]],Tableau3[],2,FALSE)</f>
        <v>Lampe frontale</v>
      </c>
      <c r="D72" s="90">
        <f>VLOOKUP(Tableau4[[#This Row],[Réf matériel]],Tableau3[],3,FALSE)</f>
        <v>42.5</v>
      </c>
      <c r="E72" t="s">
        <v>313</v>
      </c>
      <c r="F72" s="90" t="str">
        <f>VLOOKUP(Tableau4[[#This Row],[Matricule]],Tableau1[],2,FALSE)</f>
        <v>BENAMROUCHE</v>
      </c>
      <c r="G72" s="90" t="str">
        <f>VLOOKUP(Tableau4[[#This Row],[Matricule]],Tableau1[],3,FALSE)</f>
        <v>Ali</v>
      </c>
      <c r="H72" s="90" t="str">
        <f>VLOOKUP(Tableau4[[#This Row],[Matricule]],Tableau1[],4,FALSE)</f>
        <v>ELEC</v>
      </c>
      <c r="I72" s="88">
        <v>43817</v>
      </c>
      <c r="J72" t="s">
        <v>380</v>
      </c>
      <c r="K72" s="90">
        <f>IF(Tableau4[[#This Row],[État]]="Remis",1,0)</f>
        <v>1</v>
      </c>
    </row>
    <row r="73" spans="2:11" x14ac:dyDescent="0.25">
      <c r="B73" t="s">
        <v>430</v>
      </c>
      <c r="C73" s="90" t="str">
        <f>VLOOKUP(Tableau4[[#This Row],[Réf matériel]],Tableau3[],2,FALSE)</f>
        <v>Couteau électricien</v>
      </c>
      <c r="D73" s="90">
        <f>VLOOKUP(Tableau4[[#This Row],[Réf matériel]],Tableau3[],3,FALSE)</f>
        <v>17.149999999999999</v>
      </c>
      <c r="E73" t="s">
        <v>313</v>
      </c>
      <c r="F73" s="90" t="str">
        <f>VLOOKUP(Tableau4[[#This Row],[Matricule]],Tableau1[],2,FALSE)</f>
        <v>BENAMROUCHE</v>
      </c>
      <c r="G73" s="90" t="str">
        <f>VLOOKUP(Tableau4[[#This Row],[Matricule]],Tableau1[],3,FALSE)</f>
        <v>Ali</v>
      </c>
      <c r="H73" s="90" t="str">
        <f>VLOOKUP(Tableau4[[#This Row],[Matricule]],Tableau1[],4,FALSE)</f>
        <v>ELEC</v>
      </c>
      <c r="I73" s="88">
        <v>43746</v>
      </c>
      <c r="J73" t="s">
        <v>380</v>
      </c>
      <c r="K73" s="90">
        <f>IF(Tableau4[[#This Row],[État]]="Remis",1,0)</f>
        <v>1</v>
      </c>
    </row>
    <row r="74" spans="2:11" x14ac:dyDescent="0.25">
      <c r="B74" t="s">
        <v>448</v>
      </c>
      <c r="C74" s="90" t="str">
        <f>VLOOKUP(Tableau4[[#This Row],[Réf matériel]],Tableau3[],2,FALSE)</f>
        <v>Genouillère</v>
      </c>
      <c r="D74" s="90">
        <f>VLOOKUP(Tableau4[[#This Row],[Réf matériel]],Tableau3[],3,FALSE)</f>
        <v>0</v>
      </c>
      <c r="E74" t="s">
        <v>313</v>
      </c>
      <c r="F74" s="90" t="str">
        <f>VLOOKUP(Tableau4[[#This Row],[Matricule]],Tableau1[],2,FALSE)</f>
        <v>BENAMROUCHE</v>
      </c>
      <c r="G74" s="90" t="str">
        <f>VLOOKUP(Tableau4[[#This Row],[Matricule]],Tableau1[],3,FALSE)</f>
        <v>Ali</v>
      </c>
      <c r="H74" s="90" t="str">
        <f>VLOOKUP(Tableau4[[#This Row],[Matricule]],Tableau1[],4,FALSE)</f>
        <v>ELEC</v>
      </c>
      <c r="I74" s="88">
        <v>44019</v>
      </c>
      <c r="J74" t="s">
        <v>380</v>
      </c>
      <c r="K74" s="90">
        <f>IF(Tableau4[[#This Row],[État]]="Remis",1,0)</f>
        <v>1</v>
      </c>
    </row>
    <row r="75" spans="2:11" x14ac:dyDescent="0.25">
      <c r="B75" t="s">
        <v>74</v>
      </c>
      <c r="C75" s="90" t="str">
        <f>VLOOKUP(Tableau4[[#This Row],[Réf matériel]],Tableau3[],2,FALSE)</f>
        <v>Casque chantier</v>
      </c>
      <c r="D75" s="90">
        <f>VLOOKUP(Tableau4[[#This Row],[Réf matériel]],Tableau3[],3,FALSE)</f>
        <v>29.05</v>
      </c>
      <c r="E75" t="s">
        <v>316</v>
      </c>
      <c r="F75" s="90" t="str">
        <f>VLOOKUP(Tableau4[[#This Row],[Matricule]],Tableau1[],2,FALSE)</f>
        <v>BIAUDET</v>
      </c>
      <c r="G75" s="90" t="str">
        <f>VLOOKUP(Tableau4[[#This Row],[Matricule]],Tableau1[],3,FALSE)</f>
        <v>Hugo</v>
      </c>
      <c r="H75" s="90" t="str">
        <f>VLOOKUP(Tableau4[[#This Row],[Matricule]],Tableau1[],4,FALSE)</f>
        <v>GC</v>
      </c>
      <c r="I75" s="88">
        <v>43674</v>
      </c>
      <c r="J75" t="s">
        <v>380</v>
      </c>
      <c r="K75" s="90">
        <f>IF(Tableau4[[#This Row],[État]]="Remis",1,0)</f>
        <v>1</v>
      </c>
    </row>
    <row r="76" spans="2:11" x14ac:dyDescent="0.25">
      <c r="B76" t="s">
        <v>75</v>
      </c>
      <c r="C76" s="90" t="str">
        <f>VLOOKUP(Tableau4[[#This Row],[Réf matériel]],Tableau3[],2,FALSE)</f>
        <v>Lampe frontale</v>
      </c>
      <c r="D76" s="90">
        <f>VLOOKUP(Tableau4[[#This Row],[Réf matériel]],Tableau3[],3,FALSE)</f>
        <v>42.5</v>
      </c>
      <c r="E76" t="s">
        <v>316</v>
      </c>
      <c r="F76" s="90" t="str">
        <f>VLOOKUP(Tableau4[[#This Row],[Matricule]],Tableau1[],2,FALSE)</f>
        <v>BIAUDET</v>
      </c>
      <c r="G76" s="90" t="str">
        <f>VLOOKUP(Tableau4[[#This Row],[Matricule]],Tableau1[],3,FALSE)</f>
        <v>Hugo</v>
      </c>
      <c r="H76" s="90" t="str">
        <f>VLOOKUP(Tableau4[[#This Row],[Matricule]],Tableau1[],4,FALSE)</f>
        <v>GC</v>
      </c>
      <c r="I76" s="88">
        <v>43476</v>
      </c>
      <c r="J76" t="s">
        <v>380</v>
      </c>
      <c r="K76" s="90">
        <f>IF(Tableau4[[#This Row],[État]]="Remis",1,0)</f>
        <v>1</v>
      </c>
    </row>
    <row r="77" spans="2:11" x14ac:dyDescent="0.25">
      <c r="B77" t="s">
        <v>56</v>
      </c>
      <c r="C77" s="90" t="str">
        <f>VLOOKUP(Tableau4[[#This Row],[Réf matériel]],Tableau3[],2,FALSE)</f>
        <v>Jeu tournevis</v>
      </c>
      <c r="D77" s="90">
        <f>VLOOKUP(Tableau4[[#This Row],[Réf matériel]],Tableau3[],3,FALSE)</f>
        <v>37.57</v>
      </c>
      <c r="E77" t="s">
        <v>314</v>
      </c>
      <c r="F77" s="90" t="str">
        <f>VLOOKUP(Tableau4[[#This Row],[Matricule]],Tableau1[],2,FALSE)</f>
        <v>BIAUDET</v>
      </c>
      <c r="G77" s="90" t="str">
        <f>VLOOKUP(Tableau4[[#This Row],[Matricule]],Tableau1[],3,FALSE)</f>
        <v>Stéphane</v>
      </c>
      <c r="H77" s="90" t="str">
        <f>VLOOKUP(Tableau4[[#This Row],[Matricule]],Tableau1[],4,FALSE)</f>
        <v>GC</v>
      </c>
      <c r="I77" s="88">
        <v>43892</v>
      </c>
      <c r="J77" t="s">
        <v>380</v>
      </c>
      <c r="K77" s="90">
        <f>IF(Tableau4[[#This Row],[État]]="Remis",1,0)</f>
        <v>1</v>
      </c>
    </row>
    <row r="78" spans="2:11" x14ac:dyDescent="0.25">
      <c r="B78" t="s">
        <v>422</v>
      </c>
      <c r="C78" s="90" t="str">
        <f>VLOOKUP(Tableau4[[#This Row],[Réf matériel]],Tableau3[],2,FALSE)</f>
        <v>Clé à griffe 18p</v>
      </c>
      <c r="D78" s="90">
        <f>VLOOKUP(Tableau4[[#This Row],[Réf matériel]],Tableau3[],3,FALSE)</f>
        <v>54</v>
      </c>
      <c r="E78" t="s">
        <v>314</v>
      </c>
      <c r="F78" s="90" t="str">
        <f>VLOOKUP(Tableau4[[#This Row],[Matricule]],Tableau1[],2,FALSE)</f>
        <v>BIAUDET</v>
      </c>
      <c r="G78" s="90" t="str">
        <f>VLOOKUP(Tableau4[[#This Row],[Matricule]],Tableau1[],3,FALSE)</f>
        <v>Stéphane</v>
      </c>
      <c r="H78" s="90" t="str">
        <f>VLOOKUP(Tableau4[[#This Row],[Matricule]],Tableau1[],4,FALSE)</f>
        <v>GC</v>
      </c>
      <c r="I78" s="88">
        <v>43511</v>
      </c>
      <c r="J78" t="s">
        <v>380</v>
      </c>
      <c r="K78" s="90">
        <f>IF(Tableau4[[#This Row],[État]]="Remis",1,0)</f>
        <v>1</v>
      </c>
    </row>
    <row r="79" spans="2:11" x14ac:dyDescent="0.25">
      <c r="B79" t="s">
        <v>75</v>
      </c>
      <c r="C79" s="90" t="str">
        <f>VLOOKUP(Tableau4[[#This Row],[Réf matériel]],Tableau3[],2,FALSE)</f>
        <v>Lampe frontale</v>
      </c>
      <c r="D79" s="90">
        <f>VLOOKUP(Tableau4[[#This Row],[Réf matériel]],Tableau3[],3,FALSE)</f>
        <v>42.5</v>
      </c>
      <c r="E79" t="s">
        <v>314</v>
      </c>
      <c r="F79" s="90" t="str">
        <f>VLOOKUP(Tableau4[[#This Row],[Matricule]],Tableau1[],2,FALSE)</f>
        <v>BIAUDET</v>
      </c>
      <c r="G79" s="90" t="str">
        <f>VLOOKUP(Tableau4[[#This Row],[Matricule]],Tableau1[],3,FALSE)</f>
        <v>Stéphane</v>
      </c>
      <c r="H79" s="90" t="str">
        <f>VLOOKUP(Tableau4[[#This Row],[Matricule]],Tableau1[],4,FALSE)</f>
        <v>GC</v>
      </c>
      <c r="I79" s="88">
        <v>43435</v>
      </c>
      <c r="J79" t="s">
        <v>380</v>
      </c>
      <c r="K79" s="90">
        <f>IF(Tableau4[[#This Row],[État]]="Remis",1,0)</f>
        <v>1</v>
      </c>
    </row>
    <row r="80" spans="2:11" x14ac:dyDescent="0.25">
      <c r="B80" s="98" t="s">
        <v>392</v>
      </c>
      <c r="C80" s="100" t="str">
        <f>VLOOKUP(Tableau4[[#This Row],[Réf matériel]],Tableau3[],2,FALSE)</f>
        <v>Coffre</v>
      </c>
      <c r="D80" s="100">
        <f>VLOOKUP(Tableau4[[#This Row],[Réf matériel]],Tableau3[],3,FALSE)</f>
        <v>54.54</v>
      </c>
      <c r="E80" s="97" t="s">
        <v>317</v>
      </c>
      <c r="F80" s="100" t="str">
        <f>VLOOKUP(Tableau4[[#This Row],[Matricule]],Tableau1[],2,FALSE)</f>
        <v xml:space="preserve">BIDAULT </v>
      </c>
      <c r="G80" s="100" t="str">
        <f>VLOOKUP(Tableau4[[#This Row],[Matricule]],Tableau1[],3,FALSE)</f>
        <v>Arnaud</v>
      </c>
      <c r="H80" s="100" t="str">
        <f>VLOOKUP(Tableau4[[#This Row],[Matricule]],Tableau1[],4,FALSE)</f>
        <v>ELEC</v>
      </c>
      <c r="I80" s="99">
        <v>43448</v>
      </c>
      <c r="J80" s="98" t="s">
        <v>380</v>
      </c>
      <c r="K80" s="90">
        <f>IF(Tableau4[[#This Row],[État]]="Remis",1,0)</f>
        <v>1</v>
      </c>
    </row>
    <row r="81" spans="2:11" x14ac:dyDescent="0.25">
      <c r="B81" t="s">
        <v>393</v>
      </c>
      <c r="C81" s="90" t="str">
        <f>VLOOKUP(Tableau4[[#This Row],[Réf matériel]],Tableau3[],2,FALSE)</f>
        <v>Clé à molette</v>
      </c>
      <c r="D81" s="90">
        <f>VLOOKUP(Tableau4[[#This Row],[Réf matériel]],Tableau3[],3,FALSE)</f>
        <v>16.12</v>
      </c>
      <c r="E81" t="s">
        <v>317</v>
      </c>
      <c r="F81" s="90" t="str">
        <f>VLOOKUP(Tableau4[[#This Row],[Matricule]],Tableau1[],2,FALSE)</f>
        <v xml:space="preserve">BIDAULT </v>
      </c>
      <c r="G81" s="90" t="str">
        <f>VLOOKUP(Tableau4[[#This Row],[Matricule]],Tableau1[],3,FALSE)</f>
        <v>Arnaud</v>
      </c>
      <c r="H81" s="90" t="str">
        <f>VLOOKUP(Tableau4[[#This Row],[Matricule]],Tableau1[],4,FALSE)</f>
        <v>ELEC</v>
      </c>
      <c r="I81" s="88">
        <v>43511</v>
      </c>
      <c r="J81" s="98" t="s">
        <v>380</v>
      </c>
      <c r="K81" s="90">
        <f>IF(Tableau4[[#This Row],[État]]="Remis",1,0)</f>
        <v>1</v>
      </c>
    </row>
    <row r="82" spans="2:11" x14ac:dyDescent="0.25">
      <c r="B82" t="s">
        <v>278</v>
      </c>
      <c r="C82" s="90" t="str">
        <f>VLOOKUP(Tableau4[[#This Row],[Réf matériel]],Tableau3[],2,FALSE)</f>
        <v>Pince à dénuder</v>
      </c>
      <c r="D82" s="90">
        <f>VLOOKUP(Tableau4[[#This Row],[Réf matériel]],Tableau3[],3,FALSE)</f>
        <v>24.55</v>
      </c>
      <c r="E82" t="s">
        <v>317</v>
      </c>
      <c r="F82" s="90" t="str">
        <f>VLOOKUP(Tableau4[[#This Row],[Matricule]],Tableau1[],2,FALSE)</f>
        <v xml:space="preserve">BIDAULT </v>
      </c>
      <c r="G82" s="90" t="str">
        <f>VLOOKUP(Tableau4[[#This Row],[Matricule]],Tableau1[],3,FALSE)</f>
        <v>Arnaud</v>
      </c>
      <c r="H82" s="90" t="str">
        <f>VLOOKUP(Tableau4[[#This Row],[Matricule]],Tableau1[],4,FALSE)</f>
        <v>ELEC</v>
      </c>
      <c r="I82" s="88">
        <v>43511</v>
      </c>
      <c r="J82" s="98" t="s">
        <v>380</v>
      </c>
      <c r="K82" s="90">
        <f>IF(Tableau4[[#This Row],[État]]="Remis",1,0)</f>
        <v>1</v>
      </c>
    </row>
    <row r="83" spans="2:11" x14ac:dyDescent="0.25">
      <c r="B83" t="s">
        <v>279</v>
      </c>
      <c r="C83" s="90" t="str">
        <f>VLOOKUP(Tableau4[[#This Row],[Réf matériel]],Tableau3[],2,FALSE)</f>
        <v>lime demi ronde</v>
      </c>
      <c r="D83" s="90">
        <f>VLOOKUP(Tableau4[[#This Row],[Réf matériel]],Tableau3[],3,FALSE)</f>
        <v>7.59</v>
      </c>
      <c r="E83" t="s">
        <v>317</v>
      </c>
      <c r="F83" s="90" t="str">
        <f>VLOOKUP(Tableau4[[#This Row],[Matricule]],Tableau1[],2,FALSE)</f>
        <v xml:space="preserve">BIDAULT </v>
      </c>
      <c r="G83" s="90" t="str">
        <f>VLOOKUP(Tableau4[[#This Row],[Matricule]],Tableau1[],3,FALSE)</f>
        <v>Arnaud</v>
      </c>
      <c r="H83" s="90" t="str">
        <f>VLOOKUP(Tableau4[[#This Row],[Matricule]],Tableau1[],4,FALSE)</f>
        <v>ELEC</v>
      </c>
      <c r="I83" s="88">
        <v>43511</v>
      </c>
      <c r="J83" s="98" t="s">
        <v>380</v>
      </c>
      <c r="K83" s="90">
        <f>IF(Tableau4[[#This Row],[État]]="Remis",1,0)</f>
        <v>1</v>
      </c>
    </row>
    <row r="84" spans="2:11" x14ac:dyDescent="0.25">
      <c r="B84" t="s">
        <v>280</v>
      </c>
      <c r="C84" s="90" t="str">
        <f>VLOOKUP(Tableau4[[#This Row],[Réf matériel]],Tableau3[],2,FALSE)</f>
        <v>Pince coupante 1000v</v>
      </c>
      <c r="D84" s="90">
        <f>VLOOKUP(Tableau4[[#This Row],[Réf matériel]],Tableau3[],3,FALSE)</f>
        <v>20.87</v>
      </c>
      <c r="E84" t="s">
        <v>317</v>
      </c>
      <c r="F84" s="90" t="str">
        <f>VLOOKUP(Tableau4[[#This Row],[Matricule]],Tableau1[],2,FALSE)</f>
        <v xml:space="preserve">BIDAULT </v>
      </c>
      <c r="G84" s="90" t="str">
        <f>VLOOKUP(Tableau4[[#This Row],[Matricule]],Tableau1[],3,FALSE)</f>
        <v>Arnaud</v>
      </c>
      <c r="H84" s="90" t="str">
        <f>VLOOKUP(Tableau4[[#This Row],[Matricule]],Tableau1[],4,FALSE)</f>
        <v>ELEC</v>
      </c>
      <c r="I84" s="88">
        <v>43511</v>
      </c>
      <c r="J84" s="98" t="s">
        <v>380</v>
      </c>
      <c r="K84" s="90">
        <f>IF(Tableau4[[#This Row],[État]]="Remis",1,0)</f>
        <v>1</v>
      </c>
    </row>
    <row r="85" spans="2:11" x14ac:dyDescent="0.25">
      <c r="B85" t="s">
        <v>49</v>
      </c>
      <c r="C85" s="90" t="str">
        <f>VLOOKUP(Tableau4[[#This Row],[Réf matériel]],Tableau3[],2,FALSE)</f>
        <v>Coupe câble</v>
      </c>
      <c r="D85" s="90">
        <f>VLOOKUP(Tableau4[[#This Row],[Réf matériel]],Tableau3[],3,FALSE)</f>
        <v>41.88</v>
      </c>
      <c r="E85" t="s">
        <v>317</v>
      </c>
      <c r="F85" s="90" t="str">
        <f>VLOOKUP(Tableau4[[#This Row],[Matricule]],Tableau1[],2,FALSE)</f>
        <v xml:space="preserve">BIDAULT </v>
      </c>
      <c r="G85" s="90" t="str">
        <f>VLOOKUP(Tableau4[[#This Row],[Matricule]],Tableau1[],3,FALSE)</f>
        <v>Arnaud</v>
      </c>
      <c r="H85" s="90" t="str">
        <f>VLOOKUP(Tableau4[[#This Row],[Matricule]],Tableau1[],4,FALSE)</f>
        <v>ELEC</v>
      </c>
      <c r="I85" s="88">
        <v>43448</v>
      </c>
      <c r="J85" t="s">
        <v>380</v>
      </c>
      <c r="K85" s="90">
        <f>IF(Tableau4[[#This Row],[État]]="Remis",1,0)</f>
        <v>1</v>
      </c>
    </row>
    <row r="86" spans="2:11" x14ac:dyDescent="0.25">
      <c r="B86" t="s">
        <v>281</v>
      </c>
      <c r="C86" s="90" t="str">
        <f>VLOOKUP(Tableau4[[#This Row],[Réf matériel]],Tableau3[],2,FALSE)</f>
        <v>Scie à métaux</v>
      </c>
      <c r="D86" s="90">
        <f>VLOOKUP(Tableau4[[#This Row],[Réf matériel]],Tableau3[],3,FALSE)</f>
        <v>11.26</v>
      </c>
      <c r="E86" t="s">
        <v>317</v>
      </c>
      <c r="F86" s="90" t="str">
        <f>VLOOKUP(Tableau4[[#This Row],[Matricule]],Tableau1[],2,FALSE)</f>
        <v xml:space="preserve">BIDAULT </v>
      </c>
      <c r="G86" s="90" t="str">
        <f>VLOOKUP(Tableau4[[#This Row],[Matricule]],Tableau1[],3,FALSE)</f>
        <v>Arnaud</v>
      </c>
      <c r="H86" s="90" t="str">
        <f>VLOOKUP(Tableau4[[#This Row],[Matricule]],Tableau1[],4,FALSE)</f>
        <v>ELEC</v>
      </c>
      <c r="I86" s="88">
        <v>43511</v>
      </c>
      <c r="J86" t="s">
        <v>380</v>
      </c>
      <c r="K86" s="90">
        <f>IF(Tableau4[[#This Row],[État]]="Remis",1,0)</f>
        <v>1</v>
      </c>
    </row>
    <row r="87" spans="2:11" x14ac:dyDescent="0.25">
      <c r="B87" t="s">
        <v>51</v>
      </c>
      <c r="C87" s="90" t="str">
        <f>VLOOKUP(Tableau4[[#This Row],[Réf matériel]],Tableau3[],2,FALSE)</f>
        <v>Mètre pliant</v>
      </c>
      <c r="D87" s="90">
        <f>VLOOKUP(Tableau4[[#This Row],[Réf matériel]],Tableau3[],3,FALSE)</f>
        <v>3.2</v>
      </c>
      <c r="E87" t="s">
        <v>317</v>
      </c>
      <c r="F87" s="90" t="str">
        <f>VLOOKUP(Tableau4[[#This Row],[Matricule]],Tableau1[],2,FALSE)</f>
        <v xml:space="preserve">BIDAULT </v>
      </c>
      <c r="G87" s="90" t="str">
        <f>VLOOKUP(Tableau4[[#This Row],[Matricule]],Tableau1[],3,FALSE)</f>
        <v>Arnaud</v>
      </c>
      <c r="H87" s="90" t="str">
        <f>VLOOKUP(Tableau4[[#This Row],[Matricule]],Tableau1[],4,FALSE)</f>
        <v>ELEC</v>
      </c>
      <c r="I87" s="88">
        <v>43511</v>
      </c>
      <c r="J87" t="s">
        <v>380</v>
      </c>
      <c r="K87" s="90">
        <f>IF(Tableau4[[#This Row],[État]]="Remis",1,0)</f>
        <v>1</v>
      </c>
    </row>
    <row r="88" spans="2:11" x14ac:dyDescent="0.25">
      <c r="B88" t="s">
        <v>395</v>
      </c>
      <c r="C88" s="90" t="str">
        <f>VLOOKUP(Tableau4[[#This Row],[Réf matériel]],Tableau3[],2,FALSE)</f>
        <v>Burin plat</v>
      </c>
      <c r="D88" s="90">
        <f>VLOOKUP(Tableau4[[#This Row],[Réf matériel]],Tableau3[],3,FALSE)</f>
        <v>11.89</v>
      </c>
      <c r="E88" t="s">
        <v>317</v>
      </c>
      <c r="F88" s="90" t="str">
        <f>VLOOKUP(Tableau4[[#This Row],[Matricule]],Tableau1[],2,FALSE)</f>
        <v xml:space="preserve">BIDAULT </v>
      </c>
      <c r="G88" s="90" t="str">
        <f>VLOOKUP(Tableau4[[#This Row],[Matricule]],Tableau1[],3,FALSE)</f>
        <v>Arnaud</v>
      </c>
      <c r="H88" s="90" t="str">
        <f>VLOOKUP(Tableau4[[#This Row],[Matricule]],Tableau1[],4,FALSE)</f>
        <v>ELEC</v>
      </c>
      <c r="I88" s="88">
        <v>43511</v>
      </c>
      <c r="J88" t="s">
        <v>380</v>
      </c>
      <c r="K88" s="90">
        <f>IF(Tableau4[[#This Row],[État]]="Remis",1,0)</f>
        <v>1</v>
      </c>
    </row>
    <row r="89" spans="2:11" x14ac:dyDescent="0.25">
      <c r="B89" t="s">
        <v>401</v>
      </c>
      <c r="C89" s="90" t="str">
        <f>VLOOKUP(Tableau4[[#This Row],[Réf matériel]],Tableau3[],2,FALSE)</f>
        <v>Burin pointu</v>
      </c>
      <c r="D89" s="90">
        <f>VLOOKUP(Tableau4[[#This Row],[Réf matériel]],Tableau3[],3,FALSE)</f>
        <v>8.7200000000000006</v>
      </c>
      <c r="E89" t="s">
        <v>317</v>
      </c>
      <c r="F89" s="90" t="str">
        <f>VLOOKUP(Tableau4[[#This Row],[Matricule]],Tableau1[],2,FALSE)</f>
        <v xml:space="preserve">BIDAULT </v>
      </c>
      <c r="G89" s="90" t="str">
        <f>VLOOKUP(Tableau4[[#This Row],[Matricule]],Tableau1[],3,FALSE)</f>
        <v>Arnaud</v>
      </c>
      <c r="H89" s="90" t="str">
        <f>VLOOKUP(Tableau4[[#This Row],[Matricule]],Tableau1[],4,FALSE)</f>
        <v>ELEC</v>
      </c>
      <c r="I89" s="88">
        <v>43511</v>
      </c>
      <c r="J89" t="s">
        <v>380</v>
      </c>
      <c r="K89" s="90">
        <f>IF(Tableau4[[#This Row],[État]]="Remis",1,0)</f>
        <v>1</v>
      </c>
    </row>
    <row r="90" spans="2:11" x14ac:dyDescent="0.25">
      <c r="B90" t="s">
        <v>396</v>
      </c>
      <c r="C90" s="90" t="str">
        <f>VLOOKUP(Tableau4[[#This Row],[Réf matériel]],Tableau3[],2,FALSE)</f>
        <v>Massette</v>
      </c>
      <c r="D90" s="90">
        <f>VLOOKUP(Tableau4[[#This Row],[Réf matériel]],Tableau3[],3,FALSE)</f>
        <v>15.14</v>
      </c>
      <c r="E90" t="s">
        <v>317</v>
      </c>
      <c r="F90" s="90" t="str">
        <f>VLOOKUP(Tableau4[[#This Row],[Matricule]],Tableau1[],2,FALSE)</f>
        <v xml:space="preserve">BIDAULT </v>
      </c>
      <c r="G90" s="90" t="str">
        <f>VLOOKUP(Tableau4[[#This Row],[Matricule]],Tableau1[],3,FALSE)</f>
        <v>Arnaud</v>
      </c>
      <c r="H90" s="90" t="str">
        <f>VLOOKUP(Tableau4[[#This Row],[Matricule]],Tableau1[],4,FALSE)</f>
        <v>ELEC</v>
      </c>
      <c r="I90" s="88">
        <v>43511</v>
      </c>
      <c r="J90" t="s">
        <v>380</v>
      </c>
      <c r="K90" s="90">
        <f>IF(Tableau4[[#This Row],[État]]="Remis",1,0)</f>
        <v>1</v>
      </c>
    </row>
    <row r="91" spans="2:11" x14ac:dyDescent="0.25">
      <c r="B91" t="s">
        <v>55</v>
      </c>
      <c r="C91" s="90" t="str">
        <f>VLOOKUP(Tableau4[[#This Row],[Réf matériel]],Tableau3[],2,FALSE)</f>
        <v>Niveau</v>
      </c>
      <c r="D91" s="90">
        <f>VLOOKUP(Tableau4[[#This Row],[Réf matériel]],Tableau3[],3,FALSE)</f>
        <v>15</v>
      </c>
      <c r="E91" t="s">
        <v>317</v>
      </c>
      <c r="F91" s="90" t="str">
        <f>VLOOKUP(Tableau4[[#This Row],[Matricule]],Tableau1[],2,FALSE)</f>
        <v xml:space="preserve">BIDAULT </v>
      </c>
      <c r="G91" s="90" t="str">
        <f>VLOOKUP(Tableau4[[#This Row],[Matricule]],Tableau1[],3,FALSE)</f>
        <v>Arnaud</v>
      </c>
      <c r="H91" s="90" t="str">
        <f>VLOOKUP(Tableau4[[#This Row],[Matricule]],Tableau1[],4,FALSE)</f>
        <v>ELEC</v>
      </c>
      <c r="I91" s="88">
        <v>43511</v>
      </c>
      <c r="J91" t="s">
        <v>380</v>
      </c>
      <c r="K91" s="90">
        <f>IF(Tableau4[[#This Row],[État]]="Remis",1,0)</f>
        <v>1</v>
      </c>
    </row>
    <row r="92" spans="2:11" x14ac:dyDescent="0.25">
      <c r="B92" t="s">
        <v>56</v>
      </c>
      <c r="C92" s="90" t="str">
        <f>VLOOKUP(Tableau4[[#This Row],[Réf matériel]],Tableau3[],2,FALSE)</f>
        <v>Jeu tournevis</v>
      </c>
      <c r="D92" s="90">
        <f>VLOOKUP(Tableau4[[#This Row],[Réf matériel]],Tableau3[],3,FALSE)</f>
        <v>37.57</v>
      </c>
      <c r="E92" t="s">
        <v>317</v>
      </c>
      <c r="F92" s="90" t="str">
        <f>VLOOKUP(Tableau4[[#This Row],[Matricule]],Tableau1[],2,FALSE)</f>
        <v xml:space="preserve">BIDAULT </v>
      </c>
      <c r="G92" s="90" t="str">
        <f>VLOOKUP(Tableau4[[#This Row],[Matricule]],Tableau1[],3,FALSE)</f>
        <v>Arnaud</v>
      </c>
      <c r="H92" s="90" t="str">
        <f>VLOOKUP(Tableau4[[#This Row],[Matricule]],Tableau1[],4,FALSE)</f>
        <v>ELEC</v>
      </c>
      <c r="I92" s="88">
        <v>43511</v>
      </c>
      <c r="J92" t="s">
        <v>380</v>
      </c>
      <c r="K92" s="90">
        <f>IF(Tableau4[[#This Row],[État]]="Remis",1,0)</f>
        <v>1</v>
      </c>
    </row>
    <row r="93" spans="2:11" x14ac:dyDescent="0.25">
      <c r="B93" t="s">
        <v>397</v>
      </c>
      <c r="C93" s="90" t="str">
        <f>VLOOKUP(Tableau4[[#This Row],[Réf matériel]],Tableau3[],2,FALSE)</f>
        <v>Pince étau</v>
      </c>
      <c r="D93" s="90">
        <f>VLOOKUP(Tableau4[[#This Row],[Réf matériel]],Tableau3[],3,FALSE)</f>
        <v>16.02</v>
      </c>
      <c r="E93" t="s">
        <v>317</v>
      </c>
      <c r="F93" s="90" t="str">
        <f>VLOOKUP(Tableau4[[#This Row],[Matricule]],Tableau1[],2,FALSE)</f>
        <v xml:space="preserve">BIDAULT </v>
      </c>
      <c r="G93" s="90" t="str">
        <f>VLOOKUP(Tableau4[[#This Row],[Matricule]],Tableau1[],3,FALSE)</f>
        <v>Arnaud</v>
      </c>
      <c r="H93" s="90" t="str">
        <f>VLOOKUP(Tableau4[[#This Row],[Matricule]],Tableau1[],4,FALSE)</f>
        <v>ELEC</v>
      </c>
      <c r="I93" s="88">
        <v>43511</v>
      </c>
      <c r="J93" t="s">
        <v>380</v>
      </c>
      <c r="K93" s="90">
        <f>IF(Tableau4[[#This Row],[État]]="Remis",1,0)</f>
        <v>1</v>
      </c>
    </row>
    <row r="94" spans="2:11" x14ac:dyDescent="0.25">
      <c r="B94" t="s">
        <v>398</v>
      </c>
      <c r="C94" s="90" t="str">
        <f>VLOOKUP(Tableau4[[#This Row],[Réf matériel]],Tableau3[],2,FALSE)</f>
        <v>Coffret douilles</v>
      </c>
      <c r="D94" s="90">
        <f>VLOOKUP(Tableau4[[#This Row],[Réf matériel]],Tableau3[],3,FALSE)</f>
        <v>103.22</v>
      </c>
      <c r="E94" t="s">
        <v>317</v>
      </c>
      <c r="F94" s="90" t="str">
        <f>VLOOKUP(Tableau4[[#This Row],[Matricule]],Tableau1[],2,FALSE)</f>
        <v xml:space="preserve">BIDAULT </v>
      </c>
      <c r="G94" s="90" t="str">
        <f>VLOOKUP(Tableau4[[#This Row],[Matricule]],Tableau1[],3,FALSE)</f>
        <v>Arnaud</v>
      </c>
      <c r="H94" s="90" t="str">
        <f>VLOOKUP(Tableau4[[#This Row],[Matricule]],Tableau1[],4,FALSE)</f>
        <v>ELEC</v>
      </c>
      <c r="I94" s="88">
        <v>43511</v>
      </c>
      <c r="J94" t="s">
        <v>380</v>
      </c>
      <c r="K94" s="90">
        <f>IF(Tableau4[[#This Row],[État]]="Remis",1,0)</f>
        <v>1</v>
      </c>
    </row>
    <row r="95" spans="2:11" x14ac:dyDescent="0.25">
      <c r="B95" t="s">
        <v>403</v>
      </c>
      <c r="C95" s="90" t="str">
        <f>VLOOKUP(Tableau4[[#This Row],[Réf matériel]],Tableau3[],2,FALSE)</f>
        <v>Clé à pipe 10</v>
      </c>
      <c r="D95" s="90">
        <f>VLOOKUP(Tableau4[[#This Row],[Réf matériel]],Tableau3[],3,FALSE)</f>
        <v>5.41</v>
      </c>
      <c r="E95" t="s">
        <v>317</v>
      </c>
      <c r="F95" s="90" t="str">
        <f>VLOOKUP(Tableau4[[#This Row],[Matricule]],Tableau1[],2,FALSE)</f>
        <v xml:space="preserve">BIDAULT </v>
      </c>
      <c r="G95" s="90" t="str">
        <f>VLOOKUP(Tableau4[[#This Row],[Matricule]],Tableau1[],3,FALSE)</f>
        <v>Arnaud</v>
      </c>
      <c r="H95" s="90" t="str">
        <f>VLOOKUP(Tableau4[[#This Row],[Matricule]],Tableau1[],4,FALSE)</f>
        <v>ELEC</v>
      </c>
      <c r="I95" s="88">
        <v>43511</v>
      </c>
      <c r="J95" t="s">
        <v>380</v>
      </c>
      <c r="K95" s="90">
        <f>IF(Tableau4[[#This Row],[État]]="Remis",1,0)</f>
        <v>1</v>
      </c>
    </row>
    <row r="96" spans="2:11" x14ac:dyDescent="0.25">
      <c r="B96" t="s">
        <v>405</v>
      </c>
      <c r="C96" s="90" t="str">
        <f>VLOOKUP(Tableau4[[#This Row],[Réf matériel]],Tableau3[],2,FALSE)</f>
        <v>Clé à pipe 13</v>
      </c>
      <c r="D96" s="90">
        <f>VLOOKUP(Tableau4[[#This Row],[Réf matériel]],Tableau3[],3,FALSE)</f>
        <v>6.23</v>
      </c>
      <c r="E96" t="s">
        <v>317</v>
      </c>
      <c r="F96" s="90" t="str">
        <f>VLOOKUP(Tableau4[[#This Row],[Matricule]],Tableau1[],2,FALSE)</f>
        <v xml:space="preserve">BIDAULT </v>
      </c>
      <c r="G96" s="90" t="str">
        <f>VLOOKUP(Tableau4[[#This Row],[Matricule]],Tableau1[],3,FALSE)</f>
        <v>Arnaud</v>
      </c>
      <c r="H96" s="90" t="str">
        <f>VLOOKUP(Tableau4[[#This Row],[Matricule]],Tableau1[],4,FALSE)</f>
        <v>ELEC</v>
      </c>
      <c r="I96" s="88">
        <v>43511</v>
      </c>
      <c r="J96" t="s">
        <v>380</v>
      </c>
      <c r="K96" s="90">
        <f>IF(Tableau4[[#This Row],[État]]="Remis",1,0)</f>
        <v>1</v>
      </c>
    </row>
    <row r="97" spans="2:11" x14ac:dyDescent="0.25">
      <c r="B97" t="s">
        <v>408</v>
      </c>
      <c r="C97" s="90" t="str">
        <f>VLOOKUP(Tableau4[[#This Row],[Réf matériel]],Tableau3[],2,FALSE)</f>
        <v>Clé à pipe 17</v>
      </c>
      <c r="D97" s="90">
        <f>VLOOKUP(Tableau4[[#This Row],[Réf matériel]],Tableau3[],3,FALSE)</f>
        <v>9.36</v>
      </c>
      <c r="E97" t="s">
        <v>317</v>
      </c>
      <c r="F97" s="90" t="str">
        <f>VLOOKUP(Tableau4[[#This Row],[Matricule]],Tableau1[],2,FALSE)</f>
        <v xml:space="preserve">BIDAULT </v>
      </c>
      <c r="G97" s="90" t="str">
        <f>VLOOKUP(Tableau4[[#This Row],[Matricule]],Tableau1[],3,FALSE)</f>
        <v>Arnaud</v>
      </c>
      <c r="H97" s="90" t="str">
        <f>VLOOKUP(Tableau4[[#This Row],[Matricule]],Tableau1[],4,FALSE)</f>
        <v>ELEC</v>
      </c>
      <c r="I97" s="88">
        <v>43511</v>
      </c>
      <c r="J97" t="s">
        <v>380</v>
      </c>
      <c r="K97" s="90">
        <f>IF(Tableau4[[#This Row],[État]]="Remis",1,0)</f>
        <v>1</v>
      </c>
    </row>
    <row r="98" spans="2:11" x14ac:dyDescent="0.25">
      <c r="B98" t="s">
        <v>409</v>
      </c>
      <c r="C98" s="90" t="str">
        <f>VLOOKUP(Tableau4[[#This Row],[Réf matériel]],Tableau3[],2,FALSE)</f>
        <v>Clé à pipe 19</v>
      </c>
      <c r="D98" s="90">
        <f>VLOOKUP(Tableau4[[#This Row],[Réf matériel]],Tableau3[],3,FALSE)</f>
        <v>10.4</v>
      </c>
      <c r="E98" t="s">
        <v>317</v>
      </c>
      <c r="F98" s="90" t="str">
        <f>VLOOKUP(Tableau4[[#This Row],[Matricule]],Tableau1[],2,FALSE)</f>
        <v xml:space="preserve">BIDAULT </v>
      </c>
      <c r="G98" s="90" t="str">
        <f>VLOOKUP(Tableau4[[#This Row],[Matricule]],Tableau1[],3,FALSE)</f>
        <v>Arnaud</v>
      </c>
      <c r="H98" s="90" t="str">
        <f>VLOOKUP(Tableau4[[#This Row],[Matricule]],Tableau1[],4,FALSE)</f>
        <v>ELEC</v>
      </c>
      <c r="I98" s="88">
        <v>43511</v>
      </c>
      <c r="J98" t="s">
        <v>380</v>
      </c>
      <c r="K98" s="90">
        <f>IF(Tableau4[[#This Row],[État]]="Remis",1,0)</f>
        <v>1</v>
      </c>
    </row>
    <row r="99" spans="2:11" x14ac:dyDescent="0.25">
      <c r="B99" t="s">
        <v>410</v>
      </c>
      <c r="C99" s="90" t="str">
        <f>VLOOKUP(Tableau4[[#This Row],[Réf matériel]],Tableau3[],2,FALSE)</f>
        <v>Clé plate 10</v>
      </c>
      <c r="D99" s="90">
        <f>VLOOKUP(Tableau4[[#This Row],[Réf matériel]],Tableau3[],3,FALSE)</f>
        <v>3.32</v>
      </c>
      <c r="E99" t="s">
        <v>317</v>
      </c>
      <c r="F99" s="90" t="str">
        <f>VLOOKUP(Tableau4[[#This Row],[Matricule]],Tableau1[],2,FALSE)</f>
        <v xml:space="preserve">BIDAULT </v>
      </c>
      <c r="G99" s="90" t="str">
        <f>VLOOKUP(Tableau4[[#This Row],[Matricule]],Tableau1[],3,FALSE)</f>
        <v>Arnaud</v>
      </c>
      <c r="H99" s="90" t="str">
        <f>VLOOKUP(Tableau4[[#This Row],[Matricule]],Tableau1[],4,FALSE)</f>
        <v>ELEC</v>
      </c>
      <c r="I99" s="88">
        <v>43448</v>
      </c>
      <c r="J99" t="s">
        <v>380</v>
      </c>
      <c r="K99" s="90">
        <f>IF(Tableau4[[#This Row],[État]]="Remis",1,0)</f>
        <v>1</v>
      </c>
    </row>
    <row r="100" spans="2:11" x14ac:dyDescent="0.25">
      <c r="B100" t="s">
        <v>412</v>
      </c>
      <c r="C100" s="90" t="str">
        <f>VLOOKUP(Tableau4[[#This Row],[Réf matériel]],Tableau3[],2,FALSE)</f>
        <v>Clé plate 13</v>
      </c>
      <c r="D100" s="90">
        <f>VLOOKUP(Tableau4[[#This Row],[Réf matériel]],Tableau3[],3,FALSE)</f>
        <v>3.91</v>
      </c>
      <c r="E100" t="s">
        <v>317</v>
      </c>
      <c r="F100" s="90" t="str">
        <f>VLOOKUP(Tableau4[[#This Row],[Matricule]],Tableau1[],2,FALSE)</f>
        <v xml:space="preserve">BIDAULT </v>
      </c>
      <c r="G100" s="90" t="str">
        <f>VLOOKUP(Tableau4[[#This Row],[Matricule]],Tableau1[],3,FALSE)</f>
        <v>Arnaud</v>
      </c>
      <c r="H100" s="90" t="str">
        <f>VLOOKUP(Tableau4[[#This Row],[Matricule]],Tableau1[],4,FALSE)</f>
        <v>ELEC</v>
      </c>
      <c r="I100" s="88">
        <v>43511</v>
      </c>
      <c r="J100" t="s">
        <v>380</v>
      </c>
      <c r="K100" s="90">
        <f>IF(Tableau4[[#This Row],[État]]="Remis",1,0)</f>
        <v>1</v>
      </c>
    </row>
    <row r="101" spans="2:11" x14ac:dyDescent="0.25">
      <c r="B101" t="s">
        <v>414</v>
      </c>
      <c r="C101" s="90" t="str">
        <f>VLOOKUP(Tableau4[[#This Row],[Réf matériel]],Tableau3[],2,FALSE)</f>
        <v>Clé plate 17</v>
      </c>
      <c r="D101" s="90">
        <f>VLOOKUP(Tableau4[[#This Row],[Réf matériel]],Tableau3[],3,FALSE)</f>
        <v>5.5</v>
      </c>
      <c r="E101" t="s">
        <v>317</v>
      </c>
      <c r="F101" s="90" t="str">
        <f>VLOOKUP(Tableau4[[#This Row],[Matricule]],Tableau1[],2,FALSE)</f>
        <v xml:space="preserve">BIDAULT </v>
      </c>
      <c r="G101" s="90" t="str">
        <f>VLOOKUP(Tableau4[[#This Row],[Matricule]],Tableau1[],3,FALSE)</f>
        <v>Arnaud</v>
      </c>
      <c r="H101" s="90" t="str">
        <f>VLOOKUP(Tableau4[[#This Row],[Matricule]],Tableau1[],4,FALSE)</f>
        <v>ELEC</v>
      </c>
      <c r="I101" s="88">
        <v>43511</v>
      </c>
      <c r="J101" t="s">
        <v>380</v>
      </c>
      <c r="K101" s="90">
        <f>IF(Tableau4[[#This Row],[État]]="Remis",1,0)</f>
        <v>1</v>
      </c>
    </row>
    <row r="102" spans="2:11" x14ac:dyDescent="0.25">
      <c r="B102" t="s">
        <v>415</v>
      </c>
      <c r="C102" s="90" t="str">
        <f>VLOOKUP(Tableau4[[#This Row],[Réf matériel]],Tableau3[],2,FALSE)</f>
        <v>Clé plate 19</v>
      </c>
      <c r="D102" s="90">
        <f>VLOOKUP(Tableau4[[#This Row],[Réf matériel]],Tableau3[],3,FALSE)</f>
        <v>6.07</v>
      </c>
      <c r="E102" t="s">
        <v>317</v>
      </c>
      <c r="F102" s="90" t="str">
        <f>VLOOKUP(Tableau4[[#This Row],[Matricule]],Tableau1[],2,FALSE)</f>
        <v xml:space="preserve">BIDAULT </v>
      </c>
      <c r="G102" s="90" t="str">
        <f>VLOOKUP(Tableau4[[#This Row],[Matricule]],Tableau1[],3,FALSE)</f>
        <v>Arnaud</v>
      </c>
      <c r="H102" s="90" t="str">
        <f>VLOOKUP(Tableau4[[#This Row],[Matricule]],Tableau1[],4,FALSE)</f>
        <v>ELEC</v>
      </c>
      <c r="I102" s="88">
        <v>43511</v>
      </c>
      <c r="J102" t="s">
        <v>380</v>
      </c>
      <c r="K102" s="90">
        <f>IF(Tableau4[[#This Row],[État]]="Remis",1,0)</f>
        <v>1</v>
      </c>
    </row>
    <row r="103" spans="2:11" x14ac:dyDescent="0.25">
      <c r="B103" t="s">
        <v>67</v>
      </c>
      <c r="C103" s="90" t="str">
        <f>VLOOKUP(Tableau4[[#This Row],[Réf matériel]],Tableau3[],2,FALSE)</f>
        <v>Cutter</v>
      </c>
      <c r="D103" s="90">
        <f>VLOOKUP(Tableau4[[#This Row],[Réf matériel]],Tableau3[],3,FALSE)</f>
        <v>4.8499999999999996</v>
      </c>
      <c r="E103" t="s">
        <v>317</v>
      </c>
      <c r="F103" s="90" t="str">
        <f>VLOOKUP(Tableau4[[#This Row],[Matricule]],Tableau1[],2,FALSE)</f>
        <v xml:space="preserve">BIDAULT </v>
      </c>
      <c r="G103" s="90" t="str">
        <f>VLOOKUP(Tableau4[[#This Row],[Matricule]],Tableau1[],3,FALSE)</f>
        <v>Arnaud</v>
      </c>
      <c r="H103" s="90" t="str">
        <f>VLOOKUP(Tableau4[[#This Row],[Matricule]],Tableau1[],4,FALSE)</f>
        <v>ELEC</v>
      </c>
      <c r="I103" s="88">
        <v>43448</v>
      </c>
      <c r="J103" t="s">
        <v>380</v>
      </c>
      <c r="K103" s="90">
        <f>IF(Tableau4[[#This Row],[État]]="Remis",1,0)</f>
        <v>1</v>
      </c>
    </row>
    <row r="104" spans="2:11" x14ac:dyDescent="0.25">
      <c r="B104" t="s">
        <v>420</v>
      </c>
      <c r="C104" s="90" t="str">
        <f>VLOOKUP(Tableau4[[#This Row],[Réf matériel]],Tableau3[],2,FALSE)</f>
        <v>Clé allen</v>
      </c>
      <c r="D104" s="90">
        <f>VLOOKUP(Tableau4[[#This Row],[Réf matériel]],Tableau3[],3,FALSE)</f>
        <v>27.5</v>
      </c>
      <c r="E104" t="s">
        <v>317</v>
      </c>
      <c r="F104" s="90" t="str">
        <f>VLOOKUP(Tableau4[[#This Row],[Matricule]],Tableau1[],2,FALSE)</f>
        <v xml:space="preserve">BIDAULT </v>
      </c>
      <c r="G104" s="90" t="str">
        <f>VLOOKUP(Tableau4[[#This Row],[Matricule]],Tableau1[],3,FALSE)</f>
        <v>Arnaud</v>
      </c>
      <c r="H104" s="90" t="str">
        <f>VLOOKUP(Tableau4[[#This Row],[Matricule]],Tableau1[],4,FALSE)</f>
        <v>ELEC</v>
      </c>
      <c r="I104" s="88">
        <v>43448</v>
      </c>
      <c r="J104" t="s">
        <v>380</v>
      </c>
      <c r="K104" s="90">
        <f>IF(Tableau4[[#This Row],[État]]="Remis",1,0)</f>
        <v>1</v>
      </c>
    </row>
    <row r="105" spans="2:11" x14ac:dyDescent="0.25">
      <c r="B105" t="s">
        <v>438</v>
      </c>
      <c r="C105" s="90" t="str">
        <f>VLOOKUP(Tableau4[[#This Row],[Réf matériel]],Tableau3[],2,FALSE)</f>
        <v>Outil à dégainer</v>
      </c>
      <c r="D105" s="90">
        <f>VLOOKUP(Tableau4[[#This Row],[Réf matériel]],Tableau3[],3,FALSE)</f>
        <v>20.5</v>
      </c>
      <c r="E105" t="s">
        <v>317</v>
      </c>
      <c r="F105" s="90" t="str">
        <f>VLOOKUP(Tableau4[[#This Row],[Matricule]],Tableau1[],2,FALSE)</f>
        <v xml:space="preserve">BIDAULT </v>
      </c>
      <c r="G105" s="90" t="str">
        <f>VLOOKUP(Tableau4[[#This Row],[Matricule]],Tableau1[],3,FALSE)</f>
        <v>Arnaud</v>
      </c>
      <c r="H105" s="90" t="str">
        <f>VLOOKUP(Tableau4[[#This Row],[Matricule]],Tableau1[],4,FALSE)</f>
        <v>ELEC</v>
      </c>
      <c r="I105" s="88">
        <v>43448</v>
      </c>
      <c r="J105" t="s">
        <v>380</v>
      </c>
      <c r="K105" s="90">
        <f>IF(Tableau4[[#This Row],[État]]="Remis",1,0)</f>
        <v>1</v>
      </c>
    </row>
    <row r="106" spans="2:11" x14ac:dyDescent="0.25">
      <c r="B106" t="s">
        <v>439</v>
      </c>
      <c r="C106" s="90" t="str">
        <f>VLOOKUP(Tableau4[[#This Row],[Réf matériel]],Tableau3[],2,FALSE)</f>
        <v>Pince à Sertir</v>
      </c>
      <c r="D106" s="90">
        <f>VLOOKUP(Tableau4[[#This Row],[Réf matériel]],Tableau3[],3,FALSE)</f>
        <v>78.400000000000006</v>
      </c>
      <c r="E106" t="s">
        <v>317</v>
      </c>
      <c r="F106" s="90" t="str">
        <f>VLOOKUP(Tableau4[[#This Row],[Matricule]],Tableau1[],2,FALSE)</f>
        <v xml:space="preserve">BIDAULT </v>
      </c>
      <c r="G106" s="90" t="str">
        <f>VLOOKUP(Tableau4[[#This Row],[Matricule]],Tableau1[],3,FALSE)</f>
        <v>Arnaud</v>
      </c>
      <c r="H106" s="90" t="str">
        <f>VLOOKUP(Tableau4[[#This Row],[Matricule]],Tableau1[],4,FALSE)</f>
        <v>ELEC</v>
      </c>
      <c r="I106" s="88">
        <v>43448</v>
      </c>
      <c r="J106" t="s">
        <v>380</v>
      </c>
      <c r="K106" s="90">
        <f>IF(Tableau4[[#This Row],[État]]="Remis",1,0)</f>
        <v>1</v>
      </c>
    </row>
    <row r="107" spans="2:11" x14ac:dyDescent="0.25">
      <c r="B107" t="s">
        <v>440</v>
      </c>
      <c r="C107" s="90" t="str">
        <f>VLOOKUP(Tableau4[[#This Row],[Réf matériel]],Tableau3[],2,FALSE)</f>
        <v>Testeur Fluke</v>
      </c>
      <c r="D107" s="90">
        <f>VLOOKUP(Tableau4[[#This Row],[Réf matériel]],Tableau3[],3,FALSE)</f>
        <v>0</v>
      </c>
      <c r="E107" t="s">
        <v>317</v>
      </c>
      <c r="F107" s="90" t="str">
        <f>VLOOKUP(Tableau4[[#This Row],[Matricule]],Tableau1[],2,FALSE)</f>
        <v xml:space="preserve">BIDAULT </v>
      </c>
      <c r="G107" s="90" t="str">
        <f>VLOOKUP(Tableau4[[#This Row],[Matricule]],Tableau1[],3,FALSE)</f>
        <v>Arnaud</v>
      </c>
      <c r="H107" s="90" t="str">
        <f>VLOOKUP(Tableau4[[#This Row],[Matricule]],Tableau1[],4,FALSE)</f>
        <v>ELEC</v>
      </c>
      <c r="I107" s="88">
        <v>43469</v>
      </c>
      <c r="J107" t="s">
        <v>380</v>
      </c>
      <c r="K107" s="90">
        <f>IF(Tableau4[[#This Row],[État]]="Remis",1,0)</f>
        <v>1</v>
      </c>
    </row>
    <row r="108" spans="2:11" x14ac:dyDescent="0.25">
      <c r="B108" t="s">
        <v>399</v>
      </c>
      <c r="C108" s="90" t="str">
        <f>VLOOKUP(Tableau4[[#This Row],[Réf matériel]],Tableau3[],2,FALSE)</f>
        <v>Boite embouts</v>
      </c>
      <c r="D108" s="90">
        <f>VLOOKUP(Tableau4[[#This Row],[Réf matériel]],Tableau3[],3,FALSE)</f>
        <v>27.61</v>
      </c>
      <c r="E108" t="s">
        <v>317</v>
      </c>
      <c r="F108" s="90" t="str">
        <f>VLOOKUP(Tableau4[[#This Row],[Matricule]],Tableau1[],2,FALSE)</f>
        <v xml:space="preserve">BIDAULT </v>
      </c>
      <c r="G108" s="90" t="str">
        <f>VLOOKUP(Tableau4[[#This Row],[Matricule]],Tableau1[],3,FALSE)</f>
        <v>Arnaud</v>
      </c>
      <c r="H108" s="90" t="str">
        <f>VLOOKUP(Tableau4[[#This Row],[Matricule]],Tableau1[],4,FALSE)</f>
        <v>ELEC</v>
      </c>
      <c r="I108" s="88">
        <v>43511</v>
      </c>
      <c r="J108" t="s">
        <v>380</v>
      </c>
      <c r="K108" s="90">
        <f>IF(Tableau4[[#This Row],[État]]="Remis",1,0)</f>
        <v>1</v>
      </c>
    </row>
    <row r="109" spans="2:11" x14ac:dyDescent="0.25">
      <c r="B109" t="s">
        <v>74</v>
      </c>
      <c r="C109" s="90" t="str">
        <f>VLOOKUP(Tableau4[[#This Row],[Réf matériel]],Tableau3[],2,FALSE)</f>
        <v>Casque chantier</v>
      </c>
      <c r="D109" s="90">
        <f>VLOOKUP(Tableau4[[#This Row],[Réf matériel]],Tableau3[],3,FALSE)</f>
        <v>29.05</v>
      </c>
      <c r="E109" t="s">
        <v>317</v>
      </c>
      <c r="F109" s="90" t="str">
        <f>VLOOKUP(Tableau4[[#This Row],[Matricule]],Tableau1[],2,FALSE)</f>
        <v xml:space="preserve">BIDAULT </v>
      </c>
      <c r="G109" s="90" t="str">
        <f>VLOOKUP(Tableau4[[#This Row],[Matricule]],Tableau1[],3,FALSE)</f>
        <v>Arnaud</v>
      </c>
      <c r="H109" s="90" t="str">
        <f>VLOOKUP(Tableau4[[#This Row],[Matricule]],Tableau1[],4,FALSE)</f>
        <v>ELEC</v>
      </c>
      <c r="I109" s="88">
        <v>43674</v>
      </c>
      <c r="J109" t="s">
        <v>380</v>
      </c>
      <c r="K109" s="90">
        <f>IF(Tableau4[[#This Row],[État]]="Remis",1,0)</f>
        <v>1</v>
      </c>
    </row>
    <row r="110" spans="2:11" x14ac:dyDescent="0.25">
      <c r="B110" t="s">
        <v>75</v>
      </c>
      <c r="C110" s="90" t="str">
        <f>VLOOKUP(Tableau4[[#This Row],[Réf matériel]],Tableau3[],2,FALSE)</f>
        <v>Lampe frontale</v>
      </c>
      <c r="D110" s="90">
        <f>VLOOKUP(Tableau4[[#This Row],[Réf matériel]],Tableau3[],3,FALSE)</f>
        <v>42.5</v>
      </c>
      <c r="E110" t="s">
        <v>317</v>
      </c>
      <c r="F110" s="90" t="str">
        <f>VLOOKUP(Tableau4[[#This Row],[Matricule]],Tableau1[],2,FALSE)</f>
        <v xml:space="preserve">BIDAULT </v>
      </c>
      <c r="G110" s="90" t="str">
        <f>VLOOKUP(Tableau4[[#This Row],[Matricule]],Tableau1[],3,FALSE)</f>
        <v>Arnaud</v>
      </c>
      <c r="H110" s="90" t="str">
        <f>VLOOKUP(Tableau4[[#This Row],[Matricule]],Tableau1[],4,FALSE)</f>
        <v>ELEC</v>
      </c>
      <c r="I110" s="88">
        <v>43511</v>
      </c>
      <c r="J110" t="s">
        <v>380</v>
      </c>
      <c r="K110" s="90">
        <f>IF(Tableau4[[#This Row],[État]]="Remis",1,0)</f>
        <v>1</v>
      </c>
    </row>
    <row r="111" spans="2:11" x14ac:dyDescent="0.25">
      <c r="B111" t="s">
        <v>432</v>
      </c>
      <c r="C111" s="90" t="str">
        <f>VLOOKUP(Tableau4[[#This Row],[Réf matériel]],Tableau3[],2,FALSE)</f>
        <v>Augmentateur 1/2 à 3/4</v>
      </c>
      <c r="D111" s="90">
        <f>VLOOKUP(Tableau4[[#This Row],[Réf matériel]],Tableau3[],3,FALSE)</f>
        <v>20.29</v>
      </c>
      <c r="E111" t="s">
        <v>330</v>
      </c>
      <c r="F111" s="90" t="str">
        <f>VLOOKUP(Tableau4[[#This Row],[Matricule]],Tableau1[],2,FALSE)</f>
        <v>DEPOORTER</v>
      </c>
      <c r="G111" s="90" t="str">
        <f>VLOOKUP(Tableau4[[#This Row],[Matricule]],Tableau1[],3,FALSE)</f>
        <v>Jonathan</v>
      </c>
      <c r="H111" s="90" t="str">
        <f>VLOOKUP(Tableau4[[#This Row],[Matricule]],Tableau1[],4,FALSE)</f>
        <v>ELEC</v>
      </c>
      <c r="I111" s="88">
        <v>43524</v>
      </c>
      <c r="J111" t="s">
        <v>380</v>
      </c>
      <c r="K111" s="90">
        <f>IF(Tableau4[[#This Row],[État]]="Remis",1,0)</f>
        <v>1</v>
      </c>
    </row>
    <row r="112" spans="2:11" x14ac:dyDescent="0.25">
      <c r="B112" t="s">
        <v>399</v>
      </c>
      <c r="C112" s="90" t="str">
        <f>VLOOKUP(Tableau4[[#This Row],[Réf matériel]],Tableau3[],2,FALSE)</f>
        <v>Boite embouts</v>
      </c>
      <c r="D112" s="90">
        <f>VLOOKUP(Tableau4[[#This Row],[Réf matériel]],Tableau3[],3,FALSE)</f>
        <v>27.61</v>
      </c>
      <c r="E112" t="s">
        <v>330</v>
      </c>
      <c r="F112" s="90" t="str">
        <f>VLOOKUP(Tableau4[[#This Row],[Matricule]],Tableau1[],2,FALSE)</f>
        <v>DEPOORTER</v>
      </c>
      <c r="G112" s="90" t="str">
        <f>VLOOKUP(Tableau4[[#This Row],[Matricule]],Tableau1[],3,FALSE)</f>
        <v>Jonathan</v>
      </c>
      <c r="H112" s="90" t="str">
        <f>VLOOKUP(Tableau4[[#This Row],[Matricule]],Tableau1[],4,FALSE)</f>
        <v>ELEC</v>
      </c>
      <c r="I112" s="88">
        <v>43510</v>
      </c>
      <c r="J112" t="s">
        <v>380</v>
      </c>
      <c r="K112" s="90">
        <f>IF(Tableau4[[#This Row],[État]]="Remis",1,0)</f>
        <v>1</v>
      </c>
    </row>
    <row r="113" spans="2:11" x14ac:dyDescent="0.25">
      <c r="B113" t="s">
        <v>395</v>
      </c>
      <c r="C113" s="90" t="str">
        <f>VLOOKUP(Tableau4[[#This Row],[Réf matériel]],Tableau3[],2,FALSE)</f>
        <v>Burin plat</v>
      </c>
      <c r="D113" s="90">
        <f>VLOOKUP(Tableau4[[#This Row],[Réf matériel]],Tableau3[],3,FALSE)</f>
        <v>11.89</v>
      </c>
      <c r="E113" t="s">
        <v>330</v>
      </c>
      <c r="F113" s="90" t="str">
        <f>VLOOKUP(Tableau4[[#This Row],[Matricule]],Tableau1[],2,FALSE)</f>
        <v>DEPOORTER</v>
      </c>
      <c r="G113" s="90" t="str">
        <f>VLOOKUP(Tableau4[[#This Row],[Matricule]],Tableau1[],3,FALSE)</f>
        <v>Jonathan</v>
      </c>
      <c r="H113" s="90" t="str">
        <f>VLOOKUP(Tableau4[[#This Row],[Matricule]],Tableau1[],4,FALSE)</f>
        <v>ELEC</v>
      </c>
      <c r="I113" s="88">
        <v>43472</v>
      </c>
      <c r="J113" t="s">
        <v>380</v>
      </c>
      <c r="K113" s="90">
        <f>IF(Tableau4[[#This Row],[État]]="Remis",1,0)</f>
        <v>1</v>
      </c>
    </row>
    <row r="114" spans="2:11" x14ac:dyDescent="0.25">
      <c r="B114" t="s">
        <v>401</v>
      </c>
      <c r="C114" s="90" t="str">
        <f>VLOOKUP(Tableau4[[#This Row],[Réf matériel]],Tableau3[],2,FALSE)</f>
        <v>Burin pointu</v>
      </c>
      <c r="D114" s="90">
        <f>VLOOKUP(Tableau4[[#This Row],[Réf matériel]],Tableau3[],3,FALSE)</f>
        <v>8.7200000000000006</v>
      </c>
      <c r="E114" t="s">
        <v>330</v>
      </c>
      <c r="F114" s="90" t="str">
        <f>VLOOKUP(Tableau4[[#This Row],[Matricule]],Tableau1[],2,FALSE)</f>
        <v>DEPOORTER</v>
      </c>
      <c r="G114" s="90" t="str">
        <f>VLOOKUP(Tableau4[[#This Row],[Matricule]],Tableau1[],3,FALSE)</f>
        <v>Jonathan</v>
      </c>
      <c r="H114" s="90" t="str">
        <f>VLOOKUP(Tableau4[[#This Row],[Matricule]],Tableau1[],4,FALSE)</f>
        <v>ELEC</v>
      </c>
      <c r="I114" s="88">
        <v>43472</v>
      </c>
      <c r="J114" t="s">
        <v>380</v>
      </c>
      <c r="K114" s="90">
        <f>IF(Tableau4[[#This Row],[État]]="Remis",1,0)</f>
        <v>1</v>
      </c>
    </row>
    <row r="115" spans="2:11" x14ac:dyDescent="0.25">
      <c r="B115" s="98" t="s">
        <v>391</v>
      </c>
      <c r="C115" s="98" t="str">
        <f>VLOOKUP(Tableau4[[#This Row],[Réf matériel]],Tableau3[],2,FALSE)</f>
        <v>Cadena</v>
      </c>
      <c r="D115" s="98">
        <f>VLOOKUP(Tableau4[[#This Row],[Réf matériel]],Tableau3[],3,FALSE)</f>
        <v>13</v>
      </c>
      <c r="E115" s="98" t="s">
        <v>330</v>
      </c>
      <c r="F115" s="98" t="str">
        <f>VLOOKUP(Tableau4[[#This Row],[Matricule]],Tableau1[],2,FALSE)</f>
        <v>DEPOORTER</v>
      </c>
      <c r="G115" s="98" t="str">
        <f>VLOOKUP(Tableau4[[#This Row],[Matricule]],Tableau1[],3,FALSE)</f>
        <v>Jonathan</v>
      </c>
      <c r="H115" s="98" t="str">
        <f>VLOOKUP(Tableau4[[#This Row],[Matricule]],Tableau1[],4,FALSE)</f>
        <v>ELEC</v>
      </c>
      <c r="I115" s="99">
        <v>43472</v>
      </c>
      <c r="J115" s="98" t="s">
        <v>380</v>
      </c>
      <c r="K115" s="90">
        <f>IF(Tableau4[[#This Row],[État]]="Remis",1,0)</f>
        <v>1</v>
      </c>
    </row>
    <row r="116" spans="2:11" x14ac:dyDescent="0.25">
      <c r="B116" t="s">
        <v>74</v>
      </c>
      <c r="C116" s="90" t="str">
        <f>VLOOKUP(Tableau4[[#This Row],[Réf matériel]],Tableau3[],2,FALSE)</f>
        <v>Casque chantier</v>
      </c>
      <c r="D116" s="90">
        <f>VLOOKUP(Tableau4[[#This Row],[Réf matériel]],Tableau3[],3,FALSE)</f>
        <v>29.05</v>
      </c>
      <c r="E116" t="s">
        <v>330</v>
      </c>
      <c r="F116" s="90" t="str">
        <f>VLOOKUP(Tableau4[[#This Row],[Matricule]],Tableau1[],2,FALSE)</f>
        <v>DEPOORTER</v>
      </c>
      <c r="G116" s="90" t="str">
        <f>VLOOKUP(Tableau4[[#This Row],[Matricule]],Tableau1[],3,FALSE)</f>
        <v>Jonathan</v>
      </c>
      <c r="H116" s="90" t="str">
        <f>VLOOKUP(Tableau4[[#This Row],[Matricule]],Tableau1[],4,FALSE)</f>
        <v>ELEC</v>
      </c>
      <c r="I116" s="88">
        <v>43634</v>
      </c>
      <c r="J116" t="s">
        <v>380</v>
      </c>
      <c r="K116" s="90">
        <f>IF(Tableau4[[#This Row],[État]]="Remis",1,0)</f>
        <v>1</v>
      </c>
    </row>
    <row r="117" spans="2:11" x14ac:dyDescent="0.25">
      <c r="B117" t="s">
        <v>393</v>
      </c>
      <c r="C117" s="90" t="str">
        <f>VLOOKUP(Tableau4[[#This Row],[Réf matériel]],Tableau3[],2,FALSE)</f>
        <v>Clé à molette</v>
      </c>
      <c r="D117" s="90">
        <f>VLOOKUP(Tableau4[[#This Row],[Réf matériel]],Tableau3[],3,FALSE)</f>
        <v>16.12</v>
      </c>
      <c r="E117" t="s">
        <v>330</v>
      </c>
      <c r="F117" s="90" t="str">
        <f>VLOOKUP(Tableau4[[#This Row],[Matricule]],Tableau1[],2,FALSE)</f>
        <v>DEPOORTER</v>
      </c>
      <c r="G117" s="90" t="str">
        <f>VLOOKUP(Tableau4[[#This Row],[Matricule]],Tableau1[],3,FALSE)</f>
        <v>Jonathan</v>
      </c>
      <c r="H117" s="90" t="str">
        <f>VLOOKUP(Tableau4[[#This Row],[Matricule]],Tableau1[],4,FALSE)</f>
        <v>ELEC</v>
      </c>
      <c r="I117" s="88">
        <v>43472</v>
      </c>
      <c r="J117" s="98" t="s">
        <v>380</v>
      </c>
      <c r="K117" s="90">
        <f>IF(Tableau4[[#This Row],[État]]="Remis",1,0)</f>
        <v>1</v>
      </c>
    </row>
    <row r="118" spans="2:11" x14ac:dyDescent="0.25">
      <c r="B118" t="s">
        <v>403</v>
      </c>
      <c r="C118" s="90" t="str">
        <f>VLOOKUP(Tableau4[[#This Row],[Réf matériel]],Tableau3[],2,FALSE)</f>
        <v>Clé à pipe 10</v>
      </c>
      <c r="D118" s="90">
        <f>VLOOKUP(Tableau4[[#This Row],[Réf matériel]],Tableau3[],3,FALSE)</f>
        <v>5.41</v>
      </c>
      <c r="E118" t="s">
        <v>330</v>
      </c>
      <c r="F118" s="90" t="str">
        <f>VLOOKUP(Tableau4[[#This Row],[Matricule]],Tableau1[],2,FALSE)</f>
        <v>DEPOORTER</v>
      </c>
      <c r="G118" s="90" t="str">
        <f>VLOOKUP(Tableau4[[#This Row],[Matricule]],Tableau1[],3,FALSE)</f>
        <v>Jonathan</v>
      </c>
      <c r="H118" s="90" t="str">
        <f>VLOOKUP(Tableau4[[#This Row],[Matricule]],Tableau1[],4,FALSE)</f>
        <v>ELEC</v>
      </c>
      <c r="I118" s="88">
        <v>43472</v>
      </c>
      <c r="J118" t="s">
        <v>380</v>
      </c>
      <c r="K118" s="90">
        <f>IF(Tableau4[[#This Row],[État]]="Remis",1,0)</f>
        <v>1</v>
      </c>
    </row>
    <row r="119" spans="2:11" x14ac:dyDescent="0.25">
      <c r="B119" t="s">
        <v>405</v>
      </c>
      <c r="C119" s="90" t="str">
        <f>VLOOKUP(Tableau4[[#This Row],[Réf matériel]],Tableau3[],2,FALSE)</f>
        <v>Clé à pipe 13</v>
      </c>
      <c r="D119" s="90">
        <f>VLOOKUP(Tableau4[[#This Row],[Réf matériel]],Tableau3[],3,FALSE)</f>
        <v>6.23</v>
      </c>
      <c r="E119" t="s">
        <v>330</v>
      </c>
      <c r="F119" s="90" t="str">
        <f>VLOOKUP(Tableau4[[#This Row],[Matricule]],Tableau1[],2,FALSE)</f>
        <v>DEPOORTER</v>
      </c>
      <c r="G119" s="90" t="str">
        <f>VLOOKUP(Tableau4[[#This Row],[Matricule]],Tableau1[],3,FALSE)</f>
        <v>Jonathan</v>
      </c>
      <c r="H119" s="90" t="str">
        <f>VLOOKUP(Tableau4[[#This Row],[Matricule]],Tableau1[],4,FALSE)</f>
        <v>ELEC</v>
      </c>
      <c r="I119" s="88">
        <v>43472</v>
      </c>
      <c r="J119" t="s">
        <v>380</v>
      </c>
      <c r="K119" s="90">
        <f>IF(Tableau4[[#This Row],[État]]="Remis",1,0)</f>
        <v>1</v>
      </c>
    </row>
    <row r="120" spans="2:11" x14ac:dyDescent="0.25">
      <c r="B120" t="s">
        <v>407</v>
      </c>
      <c r="C120" s="90" t="str">
        <f>VLOOKUP(Tableau4[[#This Row],[Réf matériel]],Tableau3[],2,FALSE)</f>
        <v>Clé à pipe 16</v>
      </c>
      <c r="D120" s="90">
        <f>VLOOKUP(Tableau4[[#This Row],[Réf matériel]],Tableau3[],3,FALSE)</f>
        <v>9.1999999999999993</v>
      </c>
      <c r="E120" t="s">
        <v>330</v>
      </c>
      <c r="F120" s="90" t="str">
        <f>VLOOKUP(Tableau4[[#This Row],[Matricule]],Tableau1[],2,FALSE)</f>
        <v>DEPOORTER</v>
      </c>
      <c r="G120" s="90" t="str">
        <f>VLOOKUP(Tableau4[[#This Row],[Matricule]],Tableau1[],3,FALSE)</f>
        <v>Jonathan</v>
      </c>
      <c r="H120" s="90" t="str">
        <f>VLOOKUP(Tableau4[[#This Row],[Matricule]],Tableau1[],4,FALSE)</f>
        <v>ELEC</v>
      </c>
      <c r="I120" s="88">
        <v>44040</v>
      </c>
      <c r="J120" t="s">
        <v>380</v>
      </c>
      <c r="K120" s="90">
        <f>IF(Tableau4[[#This Row],[État]]="Remis",1,0)</f>
        <v>1</v>
      </c>
    </row>
    <row r="121" spans="2:11" x14ac:dyDescent="0.25">
      <c r="B121" t="s">
        <v>408</v>
      </c>
      <c r="C121" s="90" t="str">
        <f>VLOOKUP(Tableau4[[#This Row],[Réf matériel]],Tableau3[],2,FALSE)</f>
        <v>Clé à pipe 17</v>
      </c>
      <c r="D121" s="90">
        <f>VLOOKUP(Tableau4[[#This Row],[Réf matériel]],Tableau3[],3,FALSE)</f>
        <v>9.36</v>
      </c>
      <c r="E121" t="s">
        <v>330</v>
      </c>
      <c r="F121" s="90" t="str">
        <f>VLOOKUP(Tableau4[[#This Row],[Matricule]],Tableau1[],2,FALSE)</f>
        <v>DEPOORTER</v>
      </c>
      <c r="G121" s="90" t="str">
        <f>VLOOKUP(Tableau4[[#This Row],[Matricule]],Tableau1[],3,FALSE)</f>
        <v>Jonathan</v>
      </c>
      <c r="H121" s="90" t="str">
        <f>VLOOKUP(Tableau4[[#This Row],[Matricule]],Tableau1[],4,FALSE)</f>
        <v>ELEC</v>
      </c>
      <c r="I121" s="88">
        <v>43472</v>
      </c>
      <c r="J121" t="s">
        <v>380</v>
      </c>
      <c r="K121" s="90">
        <f>IF(Tableau4[[#This Row],[État]]="Remis",1,0)</f>
        <v>1</v>
      </c>
    </row>
    <row r="122" spans="2:11" x14ac:dyDescent="0.25">
      <c r="B122" t="s">
        <v>409</v>
      </c>
      <c r="C122" s="90" t="str">
        <f>VLOOKUP(Tableau4[[#This Row],[Réf matériel]],Tableau3[],2,FALSE)</f>
        <v>Clé à pipe 19</v>
      </c>
      <c r="D122" s="90">
        <f>VLOOKUP(Tableau4[[#This Row],[Réf matériel]],Tableau3[],3,FALSE)</f>
        <v>10.4</v>
      </c>
      <c r="E122" t="s">
        <v>330</v>
      </c>
      <c r="F122" s="90" t="str">
        <f>VLOOKUP(Tableau4[[#This Row],[Matricule]],Tableau1[],2,FALSE)</f>
        <v>DEPOORTER</v>
      </c>
      <c r="G122" s="90" t="str">
        <f>VLOOKUP(Tableau4[[#This Row],[Matricule]],Tableau1[],3,FALSE)</f>
        <v>Jonathan</v>
      </c>
      <c r="H122" s="90" t="str">
        <f>VLOOKUP(Tableau4[[#This Row],[Matricule]],Tableau1[],4,FALSE)</f>
        <v>ELEC</v>
      </c>
      <c r="I122" s="88">
        <v>43472</v>
      </c>
      <c r="J122" t="s">
        <v>380</v>
      </c>
      <c r="K122" s="90">
        <f>IF(Tableau4[[#This Row],[État]]="Remis",1,0)</f>
        <v>1</v>
      </c>
    </row>
    <row r="123" spans="2:11" x14ac:dyDescent="0.25">
      <c r="B123" t="s">
        <v>402</v>
      </c>
      <c r="C123" s="90" t="str">
        <f>VLOOKUP(Tableau4[[#This Row],[Réf matériel]],Tableau3[],2,FALSE)</f>
        <v>Clé à pipe 8</v>
      </c>
      <c r="D123" s="90">
        <f>VLOOKUP(Tableau4[[#This Row],[Réf matériel]],Tableau3[],3,FALSE)</f>
        <v>4.8499999999999996</v>
      </c>
      <c r="E123" t="s">
        <v>330</v>
      </c>
      <c r="F123" s="90" t="str">
        <f>VLOOKUP(Tableau4[[#This Row],[Matricule]],Tableau1[],2,FALSE)</f>
        <v>DEPOORTER</v>
      </c>
      <c r="G123" s="90" t="str">
        <f>VLOOKUP(Tableau4[[#This Row],[Matricule]],Tableau1[],3,FALSE)</f>
        <v>Jonathan</v>
      </c>
      <c r="H123" s="90" t="str">
        <f>VLOOKUP(Tableau4[[#This Row],[Matricule]],Tableau1[],4,FALSE)</f>
        <v>ELEC</v>
      </c>
      <c r="I123" s="88">
        <v>43634</v>
      </c>
      <c r="J123" t="s">
        <v>380</v>
      </c>
      <c r="K123" s="90">
        <f>IF(Tableau4[[#This Row],[État]]="Remis",1,0)</f>
        <v>1</v>
      </c>
    </row>
    <row r="124" spans="2:11" x14ac:dyDescent="0.25">
      <c r="B124" t="s">
        <v>420</v>
      </c>
      <c r="C124" s="90" t="str">
        <f>VLOOKUP(Tableau4[[#This Row],[Réf matériel]],Tableau3[],2,FALSE)</f>
        <v>Clé allen</v>
      </c>
      <c r="D124" s="90">
        <f>VLOOKUP(Tableau4[[#This Row],[Réf matériel]],Tableau3[],3,FALSE)</f>
        <v>27.5</v>
      </c>
      <c r="E124" t="s">
        <v>330</v>
      </c>
      <c r="F124" s="90" t="str">
        <f>VLOOKUP(Tableau4[[#This Row],[Matricule]],Tableau1[],2,FALSE)</f>
        <v>DEPOORTER</v>
      </c>
      <c r="G124" s="90" t="str">
        <f>VLOOKUP(Tableau4[[#This Row],[Matricule]],Tableau1[],3,FALSE)</f>
        <v>Jonathan</v>
      </c>
      <c r="H124" s="90" t="str">
        <f>VLOOKUP(Tableau4[[#This Row],[Matricule]],Tableau1[],4,FALSE)</f>
        <v>ELEC</v>
      </c>
      <c r="I124" s="88">
        <v>43892</v>
      </c>
      <c r="J124" t="s">
        <v>380</v>
      </c>
      <c r="K124" s="90">
        <f>IF(Tableau4[[#This Row],[État]]="Remis",1,0)</f>
        <v>1</v>
      </c>
    </row>
    <row r="125" spans="2:11" x14ac:dyDescent="0.25">
      <c r="B125" t="s">
        <v>421</v>
      </c>
      <c r="C125" s="90" t="str">
        <f>VLOOKUP(Tableau4[[#This Row],[Réf matériel]],Tableau3[],2,FALSE)</f>
        <v>Clé mixte 8</v>
      </c>
      <c r="D125" s="90">
        <f>VLOOKUP(Tableau4[[#This Row],[Réf matériel]],Tableau3[],3,FALSE)</f>
        <v>3.05</v>
      </c>
      <c r="E125" t="s">
        <v>330</v>
      </c>
      <c r="F125" s="90" t="str">
        <f>VLOOKUP(Tableau4[[#This Row],[Matricule]],Tableau1[],2,FALSE)</f>
        <v>DEPOORTER</v>
      </c>
      <c r="G125" s="90" t="str">
        <f>VLOOKUP(Tableau4[[#This Row],[Matricule]],Tableau1[],3,FALSE)</f>
        <v>Jonathan</v>
      </c>
      <c r="H125" s="90" t="str">
        <f>VLOOKUP(Tableau4[[#This Row],[Matricule]],Tableau1[],4,FALSE)</f>
        <v>ELEC</v>
      </c>
      <c r="I125" s="88">
        <v>43634</v>
      </c>
      <c r="J125" t="s">
        <v>380</v>
      </c>
      <c r="K125" s="90">
        <f>IF(Tableau4[[#This Row],[État]]="Remis",1,0)</f>
        <v>1</v>
      </c>
    </row>
    <row r="126" spans="2:11" x14ac:dyDescent="0.25">
      <c r="B126" t="s">
        <v>410</v>
      </c>
      <c r="C126" s="90" t="str">
        <f>VLOOKUP(Tableau4[[#This Row],[Réf matériel]],Tableau3[],2,FALSE)</f>
        <v>Clé plate 10</v>
      </c>
      <c r="D126" s="90">
        <f>VLOOKUP(Tableau4[[#This Row],[Réf matériel]],Tableau3[],3,FALSE)</f>
        <v>3.32</v>
      </c>
      <c r="E126" t="s">
        <v>330</v>
      </c>
      <c r="F126" s="90" t="str">
        <f>VLOOKUP(Tableau4[[#This Row],[Matricule]],Tableau1[],2,FALSE)</f>
        <v>DEPOORTER</v>
      </c>
      <c r="G126" s="90" t="str">
        <f>VLOOKUP(Tableau4[[#This Row],[Matricule]],Tableau1[],3,FALSE)</f>
        <v>Jonathan</v>
      </c>
      <c r="H126" s="90" t="str">
        <f>VLOOKUP(Tableau4[[#This Row],[Matricule]],Tableau1[],4,FALSE)</f>
        <v>ELEC</v>
      </c>
      <c r="I126" s="88">
        <v>43472</v>
      </c>
      <c r="J126" t="s">
        <v>380</v>
      </c>
      <c r="K126" s="90">
        <f>IF(Tableau4[[#This Row],[État]]="Remis",1,0)</f>
        <v>1</v>
      </c>
    </row>
    <row r="127" spans="2:11" x14ac:dyDescent="0.25">
      <c r="B127" t="s">
        <v>412</v>
      </c>
      <c r="C127" s="90" t="str">
        <f>VLOOKUP(Tableau4[[#This Row],[Réf matériel]],Tableau3[],2,FALSE)</f>
        <v>Clé plate 13</v>
      </c>
      <c r="D127" s="90">
        <f>VLOOKUP(Tableau4[[#This Row],[Réf matériel]],Tableau3[],3,FALSE)</f>
        <v>3.91</v>
      </c>
      <c r="E127" t="s">
        <v>330</v>
      </c>
      <c r="F127" s="90" t="str">
        <f>VLOOKUP(Tableau4[[#This Row],[Matricule]],Tableau1[],2,FALSE)</f>
        <v>DEPOORTER</v>
      </c>
      <c r="G127" s="90" t="str">
        <f>VLOOKUP(Tableau4[[#This Row],[Matricule]],Tableau1[],3,FALSE)</f>
        <v>Jonathan</v>
      </c>
      <c r="H127" s="90" t="str">
        <f>VLOOKUP(Tableau4[[#This Row],[Matricule]],Tableau1[],4,FALSE)</f>
        <v>ELEC</v>
      </c>
      <c r="I127" s="88">
        <v>43472</v>
      </c>
      <c r="J127" t="s">
        <v>380</v>
      </c>
      <c r="K127" s="90">
        <f>IF(Tableau4[[#This Row],[État]]="Remis",1,0)</f>
        <v>1</v>
      </c>
    </row>
    <row r="128" spans="2:11" x14ac:dyDescent="0.25">
      <c r="B128" t="s">
        <v>414</v>
      </c>
      <c r="C128" s="90" t="str">
        <f>VLOOKUP(Tableau4[[#This Row],[Réf matériel]],Tableau3[],2,FALSE)</f>
        <v>Clé plate 17</v>
      </c>
      <c r="D128" s="90">
        <f>VLOOKUP(Tableau4[[#This Row],[Réf matériel]],Tableau3[],3,FALSE)</f>
        <v>5.5</v>
      </c>
      <c r="E128" t="s">
        <v>330</v>
      </c>
      <c r="F128" s="90" t="str">
        <f>VLOOKUP(Tableau4[[#This Row],[Matricule]],Tableau1[],2,FALSE)</f>
        <v>DEPOORTER</v>
      </c>
      <c r="G128" s="90" t="str">
        <f>VLOOKUP(Tableau4[[#This Row],[Matricule]],Tableau1[],3,FALSE)</f>
        <v>Jonathan</v>
      </c>
      <c r="H128" s="90" t="str">
        <f>VLOOKUP(Tableau4[[#This Row],[Matricule]],Tableau1[],4,FALSE)</f>
        <v>ELEC</v>
      </c>
      <c r="I128" s="88">
        <v>43472</v>
      </c>
      <c r="J128" t="s">
        <v>380</v>
      </c>
      <c r="K128" s="90">
        <f>IF(Tableau4[[#This Row],[État]]="Remis",1,0)</f>
        <v>1</v>
      </c>
    </row>
    <row r="129" spans="2:11" x14ac:dyDescent="0.25">
      <c r="B129" t="s">
        <v>415</v>
      </c>
      <c r="C129" s="90" t="str">
        <f>VLOOKUP(Tableau4[[#This Row],[Réf matériel]],Tableau3[],2,FALSE)</f>
        <v>Clé plate 19</v>
      </c>
      <c r="D129" s="90">
        <f>VLOOKUP(Tableau4[[#This Row],[Réf matériel]],Tableau3[],3,FALSE)</f>
        <v>6.07</v>
      </c>
      <c r="E129" t="s">
        <v>330</v>
      </c>
      <c r="F129" s="90" t="str">
        <f>VLOOKUP(Tableau4[[#This Row],[Matricule]],Tableau1[],2,FALSE)</f>
        <v>DEPOORTER</v>
      </c>
      <c r="G129" s="90" t="str">
        <f>VLOOKUP(Tableau4[[#This Row],[Matricule]],Tableau1[],3,FALSE)</f>
        <v>Jonathan</v>
      </c>
      <c r="H129" s="90" t="str">
        <f>VLOOKUP(Tableau4[[#This Row],[Matricule]],Tableau1[],4,FALSE)</f>
        <v>ELEC</v>
      </c>
      <c r="I129" s="88">
        <v>43472</v>
      </c>
      <c r="J129" t="s">
        <v>380</v>
      </c>
      <c r="K129" s="90">
        <f>IF(Tableau4[[#This Row],[État]]="Remis",1,0)</f>
        <v>1</v>
      </c>
    </row>
    <row r="130" spans="2:11" x14ac:dyDescent="0.25">
      <c r="B130" t="s">
        <v>453</v>
      </c>
      <c r="C130" s="90" t="str">
        <f>VLOOKUP(Tableau4[[#This Row],[Réf matériel]],Tableau3[],2,FALSE)</f>
        <v>Clé plate cliquet 22</v>
      </c>
      <c r="D130" s="90">
        <f>VLOOKUP(Tableau4[[#This Row],[Réf matériel]],Tableau3[],3,FALSE)</f>
        <v>23.67</v>
      </c>
      <c r="E130" t="s">
        <v>330</v>
      </c>
      <c r="F130" s="90" t="str">
        <f>VLOOKUP(Tableau4[[#This Row],[Matricule]],Tableau1[],2,FALSE)</f>
        <v>DEPOORTER</v>
      </c>
      <c r="G130" s="90" t="str">
        <f>VLOOKUP(Tableau4[[#This Row],[Matricule]],Tableau1[],3,FALSE)</f>
        <v>Jonathan</v>
      </c>
      <c r="H130" s="90" t="str">
        <f>VLOOKUP(Tableau4[[#This Row],[Matricule]],Tableau1[],4,FALSE)</f>
        <v>ELEC</v>
      </c>
      <c r="I130" s="88">
        <v>43634</v>
      </c>
      <c r="J130" t="s">
        <v>380</v>
      </c>
      <c r="K130" s="90">
        <f>IF(Tableau4[[#This Row],[État]]="Remis",1,0)</f>
        <v>1</v>
      </c>
    </row>
    <row r="131" spans="2:11" x14ac:dyDescent="0.25">
      <c r="B131" s="98" t="s">
        <v>392</v>
      </c>
      <c r="C131" s="90" t="str">
        <f>VLOOKUP(Tableau4[[#This Row],[Réf matériel]],Tableau3[],2,FALSE)</f>
        <v>Coffre</v>
      </c>
      <c r="D131" s="90">
        <f>VLOOKUP(Tableau4[[#This Row],[Réf matériel]],Tableau3[],3,FALSE)</f>
        <v>54.54</v>
      </c>
      <c r="E131" t="s">
        <v>330</v>
      </c>
      <c r="F131" s="90" t="str">
        <f>VLOOKUP(Tableau4[[#This Row],[Matricule]],Tableau1[],2,FALSE)</f>
        <v>DEPOORTER</v>
      </c>
      <c r="G131" s="90" t="str">
        <f>VLOOKUP(Tableau4[[#This Row],[Matricule]],Tableau1[],3,FALSE)</f>
        <v>Jonathan</v>
      </c>
      <c r="H131" s="90" t="str">
        <f>VLOOKUP(Tableau4[[#This Row],[Matricule]],Tableau1[],4,FALSE)</f>
        <v>ELEC</v>
      </c>
      <c r="I131" s="88">
        <v>43472</v>
      </c>
      <c r="J131" t="s">
        <v>380</v>
      </c>
      <c r="K131" s="90">
        <f>IF(Tableau4[[#This Row],[État]]="Remis",1,0)</f>
        <v>1</v>
      </c>
    </row>
    <row r="132" spans="2:11" x14ac:dyDescent="0.25">
      <c r="B132" s="98" t="s">
        <v>392</v>
      </c>
      <c r="C132" s="90" t="str">
        <f>VLOOKUP(Tableau4[[#This Row],[Réf matériel]],Tableau3[],2,FALSE)</f>
        <v>Coffre</v>
      </c>
      <c r="D132" s="90">
        <f>VLOOKUP(Tableau4[[#This Row],[Réf matériel]],Tableau3[],3,FALSE)</f>
        <v>54.54</v>
      </c>
      <c r="E132" t="s">
        <v>330</v>
      </c>
      <c r="F132" s="90" t="str">
        <f>VLOOKUP(Tableau4[[#This Row],[Matricule]],Tableau1[],2,FALSE)</f>
        <v>DEPOORTER</v>
      </c>
      <c r="G132" s="90" t="str">
        <f>VLOOKUP(Tableau4[[#This Row],[Matricule]],Tableau1[],3,FALSE)</f>
        <v>Jonathan</v>
      </c>
      <c r="H132" s="90" t="str">
        <f>VLOOKUP(Tableau4[[#This Row],[Matricule]],Tableau1[],4,FALSE)</f>
        <v>ELEC</v>
      </c>
      <c r="I132" s="88">
        <v>43472</v>
      </c>
      <c r="J132" t="s">
        <v>447</v>
      </c>
      <c r="K132" s="90">
        <f>IF(Tableau4[[#This Row],[État]]="Remis",1,0)</f>
        <v>0</v>
      </c>
    </row>
    <row r="133" spans="2:11" x14ac:dyDescent="0.25">
      <c r="B133" s="98" t="s">
        <v>392</v>
      </c>
      <c r="C133" s="100" t="str">
        <f>VLOOKUP(Tableau4[[#This Row],[Réf matériel]],Tableau3[],2,FALSE)</f>
        <v>Coffre</v>
      </c>
      <c r="D133" s="100">
        <f>VLOOKUP(Tableau4[[#This Row],[Réf matériel]],Tableau3[],3,FALSE)</f>
        <v>54.54</v>
      </c>
      <c r="E133" s="97" t="s">
        <v>330</v>
      </c>
      <c r="F133" s="100" t="str">
        <f>VLOOKUP(Tableau4[[#This Row],[Matricule]],Tableau1[],2,FALSE)</f>
        <v>DEPOORTER</v>
      </c>
      <c r="G133" s="100" t="str">
        <f>VLOOKUP(Tableau4[[#This Row],[Matricule]],Tableau1[],3,FALSE)</f>
        <v>Jonathan</v>
      </c>
      <c r="H133" s="100" t="str">
        <f>VLOOKUP(Tableau4[[#This Row],[Matricule]],Tableau1[],4,FALSE)</f>
        <v>ELEC</v>
      </c>
      <c r="I133" s="99">
        <v>43840</v>
      </c>
      <c r="J133" s="98" t="s">
        <v>380</v>
      </c>
      <c r="K133" s="90">
        <f>IF(Tableau4[[#This Row],[État]]="Remis",1,0)</f>
        <v>1</v>
      </c>
    </row>
    <row r="134" spans="2:11" x14ac:dyDescent="0.25">
      <c r="B134" t="s">
        <v>398</v>
      </c>
      <c r="C134" s="90" t="str">
        <f>VLOOKUP(Tableau4[[#This Row],[Réf matériel]],Tableau3[],2,FALSE)</f>
        <v>Coffret douilles</v>
      </c>
      <c r="D134" s="90">
        <f>VLOOKUP(Tableau4[[#This Row],[Réf matériel]],Tableau3[],3,FALSE)</f>
        <v>103.22</v>
      </c>
      <c r="E134" t="s">
        <v>330</v>
      </c>
      <c r="F134" s="90" t="str">
        <f>VLOOKUP(Tableau4[[#This Row],[Matricule]],Tableau1[],2,FALSE)</f>
        <v>DEPOORTER</v>
      </c>
      <c r="G134" s="90" t="str">
        <f>VLOOKUP(Tableau4[[#This Row],[Matricule]],Tableau1[],3,FALSE)</f>
        <v>Jonathan</v>
      </c>
      <c r="H134" s="90" t="str">
        <f>VLOOKUP(Tableau4[[#This Row],[Matricule]],Tableau1[],4,FALSE)</f>
        <v>ELEC</v>
      </c>
      <c r="I134" s="88">
        <v>43510</v>
      </c>
      <c r="J134" t="s">
        <v>380</v>
      </c>
      <c r="K134" s="90">
        <f>IF(Tableau4[[#This Row],[État]]="Remis",1,0)</f>
        <v>1</v>
      </c>
    </row>
    <row r="135" spans="2:11" x14ac:dyDescent="0.25">
      <c r="B135" t="s">
        <v>49</v>
      </c>
      <c r="C135" s="90" t="str">
        <f>VLOOKUP(Tableau4[[#This Row],[Réf matériel]],Tableau3[],2,FALSE)</f>
        <v>Coupe câble</v>
      </c>
      <c r="D135" s="90">
        <f>VLOOKUP(Tableau4[[#This Row],[Réf matériel]],Tableau3[],3,FALSE)</f>
        <v>41.88</v>
      </c>
      <c r="E135" t="s">
        <v>330</v>
      </c>
      <c r="F135" s="90" t="str">
        <f>VLOOKUP(Tableau4[[#This Row],[Matricule]],Tableau1[],2,FALSE)</f>
        <v>DEPOORTER</v>
      </c>
      <c r="G135" s="90" t="str">
        <f>VLOOKUP(Tableau4[[#This Row],[Matricule]],Tableau1[],3,FALSE)</f>
        <v>Jonathan</v>
      </c>
      <c r="H135" s="90" t="str">
        <f>VLOOKUP(Tableau4[[#This Row],[Matricule]],Tableau1[],4,FALSE)</f>
        <v>ELEC</v>
      </c>
      <c r="I135" s="88">
        <v>43686</v>
      </c>
      <c r="J135" t="s">
        <v>380</v>
      </c>
      <c r="K135" s="90">
        <f>IF(Tableau4[[#This Row],[État]]="Remis",1,0)</f>
        <v>1</v>
      </c>
    </row>
    <row r="136" spans="2:11" x14ac:dyDescent="0.25">
      <c r="B136" t="s">
        <v>49</v>
      </c>
      <c r="C136" s="90" t="str">
        <f>VLOOKUP(Tableau4[[#This Row],[Réf matériel]],Tableau3[],2,FALSE)</f>
        <v>Coupe câble</v>
      </c>
      <c r="D136" s="90">
        <f>VLOOKUP(Tableau4[[#This Row],[Réf matériel]],Tableau3[],3,FALSE)</f>
        <v>41.88</v>
      </c>
      <c r="E136" t="s">
        <v>330</v>
      </c>
      <c r="F136" s="90" t="str">
        <f>VLOOKUP(Tableau4[[#This Row],[Matricule]],Tableau1[],2,FALSE)</f>
        <v>DEPOORTER</v>
      </c>
      <c r="G136" s="90" t="str">
        <f>VLOOKUP(Tableau4[[#This Row],[Matricule]],Tableau1[],3,FALSE)</f>
        <v>Jonathan</v>
      </c>
      <c r="H136" s="90" t="str">
        <f>VLOOKUP(Tableau4[[#This Row],[Matricule]],Tableau1[],4,FALSE)</f>
        <v>ELEC</v>
      </c>
      <c r="I136" s="88">
        <v>43472</v>
      </c>
      <c r="J136" t="s">
        <v>381</v>
      </c>
      <c r="K136" s="90">
        <f>IF(Tableau4[[#This Row],[État]]="Remis",1,0)</f>
        <v>0</v>
      </c>
    </row>
    <row r="137" spans="2:11" x14ac:dyDescent="0.25">
      <c r="B137" t="s">
        <v>430</v>
      </c>
      <c r="C137" s="90" t="str">
        <f>VLOOKUP(Tableau4[[#This Row],[Réf matériel]],Tableau3[],2,FALSE)</f>
        <v>Couteau électricien</v>
      </c>
      <c r="D137" s="90">
        <f>VLOOKUP(Tableau4[[#This Row],[Réf matériel]],Tableau3[],3,FALSE)</f>
        <v>17.149999999999999</v>
      </c>
      <c r="E137" t="s">
        <v>330</v>
      </c>
      <c r="F137" s="90" t="str">
        <f>VLOOKUP(Tableau4[[#This Row],[Matricule]],Tableau1[],2,FALSE)</f>
        <v>DEPOORTER</v>
      </c>
      <c r="G137" s="90" t="str">
        <f>VLOOKUP(Tableau4[[#This Row],[Matricule]],Tableau1[],3,FALSE)</f>
        <v>Jonathan</v>
      </c>
      <c r="H137" s="90" t="str">
        <f>VLOOKUP(Tableau4[[#This Row],[Matricule]],Tableau1[],4,FALSE)</f>
        <v>ELEC</v>
      </c>
      <c r="I137" s="88">
        <v>43686</v>
      </c>
      <c r="J137" t="s">
        <v>380</v>
      </c>
      <c r="K137" s="90">
        <f>IF(Tableau4[[#This Row],[État]]="Remis",1,0)</f>
        <v>1</v>
      </c>
    </row>
    <row r="138" spans="2:11" x14ac:dyDescent="0.25">
      <c r="B138" t="s">
        <v>430</v>
      </c>
      <c r="C138" s="90" t="str">
        <f>VLOOKUP(Tableau4[[#This Row],[Réf matériel]],Tableau3[],2,FALSE)</f>
        <v>Couteau électricien</v>
      </c>
      <c r="D138" s="90">
        <f>VLOOKUP(Tableau4[[#This Row],[Réf matériel]],Tableau3[],3,FALSE)</f>
        <v>17.149999999999999</v>
      </c>
      <c r="E138" t="s">
        <v>330</v>
      </c>
      <c r="F138" s="90" t="str">
        <f>VLOOKUP(Tableau4[[#This Row],[Matricule]],Tableau1[],2,FALSE)</f>
        <v>DEPOORTER</v>
      </c>
      <c r="G138" s="90" t="str">
        <f>VLOOKUP(Tableau4[[#This Row],[Matricule]],Tableau1[],3,FALSE)</f>
        <v>Jonathan</v>
      </c>
      <c r="H138" s="90" t="str">
        <f>VLOOKUP(Tableau4[[#This Row],[Matricule]],Tableau1[],4,FALSE)</f>
        <v>ELEC</v>
      </c>
      <c r="I138" s="88">
        <v>43686</v>
      </c>
      <c r="J138" t="s">
        <v>447</v>
      </c>
      <c r="K138" s="90">
        <f>IF(Tableau4[[#This Row],[État]]="Remis",1,0)</f>
        <v>0</v>
      </c>
    </row>
    <row r="139" spans="2:11" x14ac:dyDescent="0.25">
      <c r="B139" t="s">
        <v>430</v>
      </c>
      <c r="C139" s="90" t="str">
        <f>VLOOKUP(Tableau4[[#This Row],[Réf matériel]],Tableau3[],2,FALSE)</f>
        <v>Couteau électricien</v>
      </c>
      <c r="D139" s="90">
        <f>VLOOKUP(Tableau4[[#This Row],[Réf matériel]],Tableau3[],3,FALSE)</f>
        <v>17.149999999999999</v>
      </c>
      <c r="E139" t="s">
        <v>330</v>
      </c>
      <c r="F139" s="90" t="str">
        <f>VLOOKUP(Tableau4[[#This Row],[Matricule]],Tableau1[],2,FALSE)</f>
        <v>DEPOORTER</v>
      </c>
      <c r="G139" s="90" t="str">
        <f>VLOOKUP(Tableau4[[#This Row],[Matricule]],Tableau1[],3,FALSE)</f>
        <v>Jonathan</v>
      </c>
      <c r="H139" s="90" t="str">
        <f>VLOOKUP(Tableau4[[#This Row],[Matricule]],Tableau1[],4,FALSE)</f>
        <v>ELEC</v>
      </c>
      <c r="I139" s="88">
        <v>43777</v>
      </c>
      <c r="J139" t="s">
        <v>380</v>
      </c>
      <c r="K139" s="90">
        <f>IF(Tableau4[[#This Row],[État]]="Remis",1,0)</f>
        <v>1</v>
      </c>
    </row>
    <row r="140" spans="2:11" x14ac:dyDescent="0.25">
      <c r="B140" t="s">
        <v>67</v>
      </c>
      <c r="C140" s="90" t="str">
        <f>VLOOKUP(Tableau4[[#This Row],[Réf matériel]],Tableau3[],2,FALSE)</f>
        <v>Cutter</v>
      </c>
      <c r="D140" s="90">
        <f>VLOOKUP(Tableau4[[#This Row],[Réf matériel]],Tableau3[],3,FALSE)</f>
        <v>4.8499999999999996</v>
      </c>
      <c r="E140" t="s">
        <v>330</v>
      </c>
      <c r="F140" s="90" t="str">
        <f>VLOOKUP(Tableau4[[#This Row],[Matricule]],Tableau1[],2,FALSE)</f>
        <v>DEPOORTER</v>
      </c>
      <c r="G140" s="90" t="str">
        <f>VLOOKUP(Tableau4[[#This Row],[Matricule]],Tableau1[],3,FALSE)</f>
        <v>Jonathan</v>
      </c>
      <c r="H140" s="90" t="str">
        <f>VLOOKUP(Tableau4[[#This Row],[Matricule]],Tableau1[],4,FALSE)</f>
        <v>ELEC</v>
      </c>
      <c r="I140" s="88">
        <v>43472</v>
      </c>
      <c r="J140" t="s">
        <v>380</v>
      </c>
      <c r="K140" s="90">
        <f>IF(Tableau4[[#This Row],[État]]="Remis",1,0)</f>
        <v>1</v>
      </c>
    </row>
    <row r="141" spans="2:11" x14ac:dyDescent="0.25">
      <c r="B141" t="s">
        <v>400</v>
      </c>
      <c r="C141" s="90" t="str">
        <f>VLOOKUP(Tableau4[[#This Row],[Réf matériel]],Tableau3[],2,FALSE)</f>
        <v>Douille impact 3/4 longueur 36mm</v>
      </c>
      <c r="D141" s="90">
        <f>VLOOKUP(Tableau4[[#This Row],[Réf matériel]],Tableau3[],3,FALSE)</f>
        <v>0</v>
      </c>
      <c r="E141" t="s">
        <v>330</v>
      </c>
      <c r="F141" s="90" t="str">
        <f>VLOOKUP(Tableau4[[#This Row],[Matricule]],Tableau1[],2,FALSE)</f>
        <v>DEPOORTER</v>
      </c>
      <c r="G141" s="90" t="str">
        <f>VLOOKUP(Tableau4[[#This Row],[Matricule]],Tableau1[],3,FALSE)</f>
        <v>Jonathan</v>
      </c>
      <c r="H141" s="90" t="str">
        <f>VLOOKUP(Tableau4[[#This Row],[Matricule]],Tableau1[],4,FALSE)</f>
        <v>ELEC</v>
      </c>
      <c r="I141" s="88">
        <v>43524</v>
      </c>
      <c r="J141" t="s">
        <v>380</v>
      </c>
      <c r="K141" s="90">
        <f>IF(Tableau4[[#This Row],[État]]="Remis",1,0)</f>
        <v>1</v>
      </c>
    </row>
    <row r="142" spans="2:11" x14ac:dyDescent="0.25">
      <c r="B142" t="s">
        <v>513</v>
      </c>
      <c r="C142" s="90" t="str">
        <f>VLOOKUP(Tableau4[[#This Row],[Réf matériel]],Tableau3[],2,FALSE)</f>
        <v>Jeu de Clés mixte à cliquet</v>
      </c>
      <c r="D142" s="90">
        <f>VLOOKUP(Tableau4[[#This Row],[Réf matériel]],Tableau3[],3,FALSE)</f>
        <v>176</v>
      </c>
      <c r="E142" t="s">
        <v>330</v>
      </c>
      <c r="F142" s="90" t="str">
        <f>VLOOKUP(Tableau4[[#This Row],[Matricule]],Tableau1[],2,FALSE)</f>
        <v>DEPOORTER</v>
      </c>
      <c r="G142" s="90" t="str">
        <f>VLOOKUP(Tableau4[[#This Row],[Matricule]],Tableau1[],3,FALSE)</f>
        <v>Jonathan</v>
      </c>
      <c r="H142" s="90" t="str">
        <f>VLOOKUP(Tableau4[[#This Row],[Matricule]],Tableau1[],4,FALSE)</f>
        <v>ELEC</v>
      </c>
      <c r="I142" s="88">
        <v>44041</v>
      </c>
      <c r="J142" t="s">
        <v>380</v>
      </c>
      <c r="K142" s="90">
        <f>IF(Tableau4[[#This Row],[État]]="Remis",1,0)</f>
        <v>1</v>
      </c>
    </row>
    <row r="143" spans="2:11" x14ac:dyDescent="0.25">
      <c r="B143" t="s">
        <v>124</v>
      </c>
      <c r="C143" s="90" t="str">
        <f>VLOOKUP(Tableau4[[#This Row],[Réf matériel]],Tableau3[],2,FALSE)</f>
        <v>Jeu de tournevis pro avec embouts de vissage 1/4 ref 438-008</v>
      </c>
      <c r="D143" s="90">
        <f>VLOOKUP(Tableau4[[#This Row],[Réf matériel]],Tableau3[],3,FALSE)</f>
        <v>0</v>
      </c>
      <c r="E143" t="s">
        <v>330</v>
      </c>
      <c r="F143" s="90" t="str">
        <f>VLOOKUP(Tableau4[[#This Row],[Matricule]],Tableau1[],2,FALSE)</f>
        <v>DEPOORTER</v>
      </c>
      <c r="G143" s="90" t="str">
        <f>VLOOKUP(Tableau4[[#This Row],[Matricule]],Tableau1[],3,FALSE)</f>
        <v>Jonathan</v>
      </c>
      <c r="H143" s="90" t="str">
        <f>VLOOKUP(Tableau4[[#This Row],[Matricule]],Tableau1[],4,FALSE)</f>
        <v>ELEC</v>
      </c>
      <c r="I143" s="88">
        <v>43521</v>
      </c>
      <c r="J143" t="s">
        <v>380</v>
      </c>
      <c r="K143" s="90">
        <f>IF(Tableau4[[#This Row],[État]]="Remis",1,0)</f>
        <v>1</v>
      </c>
    </row>
    <row r="144" spans="2:11" x14ac:dyDescent="0.25">
      <c r="B144" t="s">
        <v>56</v>
      </c>
      <c r="C144" s="90" t="str">
        <f>VLOOKUP(Tableau4[[#This Row],[Réf matériel]],Tableau3[],2,FALSE)</f>
        <v>Jeu tournevis</v>
      </c>
      <c r="D144" s="90">
        <f>VLOOKUP(Tableau4[[#This Row],[Réf matériel]],Tableau3[],3,FALSE)</f>
        <v>37.57</v>
      </c>
      <c r="E144" t="s">
        <v>330</v>
      </c>
      <c r="F144" s="90" t="str">
        <f>VLOOKUP(Tableau4[[#This Row],[Matricule]],Tableau1[],2,FALSE)</f>
        <v>DEPOORTER</v>
      </c>
      <c r="G144" s="90" t="str">
        <f>VLOOKUP(Tableau4[[#This Row],[Matricule]],Tableau1[],3,FALSE)</f>
        <v>Jonathan</v>
      </c>
      <c r="H144" s="90" t="str">
        <f>VLOOKUP(Tableau4[[#This Row],[Matricule]],Tableau1[],4,FALSE)</f>
        <v>ELEC</v>
      </c>
      <c r="I144" s="88">
        <v>43727</v>
      </c>
      <c r="J144" t="s">
        <v>380</v>
      </c>
      <c r="K144" s="90">
        <f>IF(Tableau4[[#This Row],[État]]="Remis",1,0)</f>
        <v>1</v>
      </c>
    </row>
    <row r="145" spans="2:11" x14ac:dyDescent="0.25">
      <c r="B145" t="s">
        <v>75</v>
      </c>
      <c r="C145" s="90" t="str">
        <f>VLOOKUP(Tableau4[[#This Row],[Réf matériel]],Tableau3[],2,FALSE)</f>
        <v>Lampe frontale</v>
      </c>
      <c r="D145" s="90">
        <f>VLOOKUP(Tableau4[[#This Row],[Réf matériel]],Tableau3[],3,FALSE)</f>
        <v>42.5</v>
      </c>
      <c r="E145" t="s">
        <v>330</v>
      </c>
      <c r="F145" s="90" t="str">
        <f>VLOOKUP(Tableau4[[#This Row],[Matricule]],Tableau1[],2,FALSE)</f>
        <v>DEPOORTER</v>
      </c>
      <c r="G145" s="90" t="str">
        <f>VLOOKUP(Tableau4[[#This Row],[Matricule]],Tableau1[],3,FALSE)</f>
        <v>Jonathan</v>
      </c>
      <c r="H145" s="90" t="str">
        <f>VLOOKUP(Tableau4[[#This Row],[Matricule]],Tableau1[],4,FALSE)</f>
        <v>ELEC</v>
      </c>
      <c r="I145" s="88">
        <v>43510</v>
      </c>
      <c r="J145" t="s">
        <v>380</v>
      </c>
      <c r="K145" s="90">
        <f>IF(Tableau4[[#This Row],[État]]="Remis",1,0)</f>
        <v>1</v>
      </c>
    </row>
    <row r="146" spans="2:11" x14ac:dyDescent="0.25">
      <c r="B146" t="s">
        <v>279</v>
      </c>
      <c r="C146" s="90" t="str">
        <f>VLOOKUP(Tableau4[[#This Row],[Réf matériel]],Tableau3[],2,FALSE)</f>
        <v>lime demi ronde</v>
      </c>
      <c r="D146" s="90">
        <f>VLOOKUP(Tableau4[[#This Row],[Réf matériel]],Tableau3[],3,FALSE)</f>
        <v>7.59</v>
      </c>
      <c r="E146" t="s">
        <v>330</v>
      </c>
      <c r="F146" s="90" t="str">
        <f>VLOOKUP(Tableau4[[#This Row],[Matricule]],Tableau1[],2,FALSE)</f>
        <v>DEPOORTER</v>
      </c>
      <c r="G146" s="90" t="str">
        <f>VLOOKUP(Tableau4[[#This Row],[Matricule]],Tableau1[],3,FALSE)</f>
        <v>Jonathan</v>
      </c>
      <c r="H146" s="90" t="str">
        <f>VLOOKUP(Tableau4[[#This Row],[Matricule]],Tableau1[],4,FALSE)</f>
        <v>ELEC</v>
      </c>
      <c r="I146" s="88">
        <v>43634</v>
      </c>
      <c r="J146" s="98" t="s">
        <v>380</v>
      </c>
      <c r="K146" s="90">
        <f>IF(Tableau4[[#This Row],[État]]="Remis",1,0)</f>
        <v>1</v>
      </c>
    </row>
    <row r="147" spans="2:11" x14ac:dyDescent="0.25">
      <c r="B147" t="s">
        <v>279</v>
      </c>
      <c r="C147" s="90" t="str">
        <f>VLOOKUP(Tableau4[[#This Row],[Réf matériel]],Tableau3[],2,FALSE)</f>
        <v>lime demi ronde</v>
      </c>
      <c r="D147" s="90">
        <f>VLOOKUP(Tableau4[[#This Row],[Réf matériel]],Tableau3[],3,FALSE)</f>
        <v>7.59</v>
      </c>
      <c r="E147" t="s">
        <v>330</v>
      </c>
      <c r="F147" s="90" t="str">
        <f>VLOOKUP(Tableau4[[#This Row],[Matricule]],Tableau1[],2,FALSE)</f>
        <v>DEPOORTER</v>
      </c>
      <c r="G147" s="90" t="str">
        <f>VLOOKUP(Tableau4[[#This Row],[Matricule]],Tableau1[],3,FALSE)</f>
        <v>Jonathan</v>
      </c>
      <c r="H147" s="90" t="str">
        <f>VLOOKUP(Tableau4[[#This Row],[Matricule]],Tableau1[],4,FALSE)</f>
        <v>ELEC</v>
      </c>
      <c r="I147" s="88">
        <v>43634</v>
      </c>
      <c r="J147" s="98" t="s">
        <v>381</v>
      </c>
      <c r="K147" s="90">
        <f>IF(Tableau4[[#This Row],[État]]="Remis",1,0)</f>
        <v>0</v>
      </c>
    </row>
    <row r="148" spans="2:11" x14ac:dyDescent="0.25">
      <c r="B148" t="s">
        <v>279</v>
      </c>
      <c r="C148" s="90" t="str">
        <f>VLOOKUP(Tableau4[[#This Row],[Réf matériel]],Tableau3[],2,FALSE)</f>
        <v>lime demi ronde</v>
      </c>
      <c r="D148" s="90">
        <f>VLOOKUP(Tableau4[[#This Row],[Réf matériel]],Tableau3[],3,FALSE)</f>
        <v>7.59</v>
      </c>
      <c r="E148" t="s">
        <v>330</v>
      </c>
      <c r="F148" s="90" t="str">
        <f>VLOOKUP(Tableau4[[#This Row],[Matricule]],Tableau1[],2,FALSE)</f>
        <v>DEPOORTER</v>
      </c>
      <c r="G148" s="90" t="str">
        <f>VLOOKUP(Tableau4[[#This Row],[Matricule]],Tableau1[],3,FALSE)</f>
        <v>Jonathan</v>
      </c>
      <c r="H148" s="90" t="str">
        <f>VLOOKUP(Tableau4[[#This Row],[Matricule]],Tableau1[],4,FALSE)</f>
        <v>ELEC</v>
      </c>
      <c r="I148" s="88">
        <v>43892</v>
      </c>
      <c r="J148" t="s">
        <v>380</v>
      </c>
      <c r="K148" s="90">
        <f>IF(Tableau4[[#This Row],[État]]="Remis",1,0)</f>
        <v>1</v>
      </c>
    </row>
    <row r="149" spans="2:11" x14ac:dyDescent="0.25">
      <c r="B149" t="s">
        <v>441</v>
      </c>
      <c r="C149" s="90" t="str">
        <f>VLOOKUP(Tableau4[[#This Row],[Réf matériel]],Tableau3[],2,FALSE)</f>
        <v>Lunette de protection</v>
      </c>
      <c r="D149" s="90">
        <f>VLOOKUP(Tableau4[[#This Row],[Réf matériel]],Tableau3[],3,FALSE)</f>
        <v>2.38</v>
      </c>
      <c r="E149" t="s">
        <v>330</v>
      </c>
      <c r="F149" s="90" t="str">
        <f>VLOOKUP(Tableau4[[#This Row],[Matricule]],Tableau1[],2,FALSE)</f>
        <v>DEPOORTER</v>
      </c>
      <c r="G149" s="90" t="str">
        <f>VLOOKUP(Tableau4[[#This Row],[Matricule]],Tableau1[],3,FALSE)</f>
        <v>Jonathan</v>
      </c>
      <c r="H149" s="90" t="str">
        <f>VLOOKUP(Tableau4[[#This Row],[Matricule]],Tableau1[],4,FALSE)</f>
        <v>ELEC</v>
      </c>
      <c r="I149" s="88">
        <v>43472</v>
      </c>
      <c r="J149" t="s">
        <v>380</v>
      </c>
      <c r="K149" s="90">
        <f>IF(Tableau4[[#This Row],[État]]="Remis",1,0)</f>
        <v>1</v>
      </c>
    </row>
    <row r="150" spans="2:11" x14ac:dyDescent="0.25">
      <c r="B150" t="s">
        <v>396</v>
      </c>
      <c r="C150" s="90" t="str">
        <f>VLOOKUP(Tableau4[[#This Row],[Réf matériel]],Tableau3[],2,FALSE)</f>
        <v>Massette</v>
      </c>
      <c r="D150" s="90">
        <f>VLOOKUP(Tableau4[[#This Row],[Réf matériel]],Tableau3[],3,FALSE)</f>
        <v>15.14</v>
      </c>
      <c r="E150" t="s">
        <v>330</v>
      </c>
      <c r="F150" s="90" t="str">
        <f>VLOOKUP(Tableau4[[#This Row],[Matricule]],Tableau1[],2,FALSE)</f>
        <v>DEPOORTER</v>
      </c>
      <c r="G150" s="90" t="str">
        <f>VLOOKUP(Tableau4[[#This Row],[Matricule]],Tableau1[],3,FALSE)</f>
        <v>Jonathan</v>
      </c>
      <c r="H150" s="90" t="str">
        <f>VLOOKUP(Tableau4[[#This Row],[Matricule]],Tableau1[],4,FALSE)</f>
        <v>ELEC</v>
      </c>
      <c r="I150" s="88">
        <v>43472</v>
      </c>
      <c r="J150" t="s">
        <v>380</v>
      </c>
      <c r="K150" s="90">
        <f>IF(Tableau4[[#This Row],[État]]="Remis",1,0)</f>
        <v>1</v>
      </c>
    </row>
    <row r="151" spans="2:11" x14ac:dyDescent="0.25">
      <c r="B151" t="s">
        <v>51</v>
      </c>
      <c r="C151" s="90" t="str">
        <f>VLOOKUP(Tableau4[[#This Row],[Réf matériel]],Tableau3[],2,FALSE)</f>
        <v>Mètre pliant</v>
      </c>
      <c r="D151" s="90">
        <f>VLOOKUP(Tableau4[[#This Row],[Réf matériel]],Tableau3[],3,FALSE)</f>
        <v>3.2</v>
      </c>
      <c r="E151" t="s">
        <v>330</v>
      </c>
      <c r="F151" s="90" t="str">
        <f>VLOOKUP(Tableau4[[#This Row],[Matricule]],Tableau1[],2,FALSE)</f>
        <v>DEPOORTER</v>
      </c>
      <c r="G151" s="90" t="str">
        <f>VLOOKUP(Tableau4[[#This Row],[Matricule]],Tableau1[],3,FALSE)</f>
        <v>Jonathan</v>
      </c>
      <c r="H151" s="90" t="str">
        <f>VLOOKUP(Tableau4[[#This Row],[Matricule]],Tableau1[],4,FALSE)</f>
        <v>ELEC</v>
      </c>
      <c r="I151" s="88">
        <v>43472</v>
      </c>
      <c r="J151" t="s">
        <v>380</v>
      </c>
      <c r="K151" s="90">
        <f>IF(Tableau4[[#This Row],[État]]="Remis",1,0)</f>
        <v>1</v>
      </c>
    </row>
    <row r="152" spans="2:11" x14ac:dyDescent="0.25">
      <c r="B152" t="s">
        <v>55</v>
      </c>
      <c r="C152" s="90" t="str">
        <f>VLOOKUP(Tableau4[[#This Row],[Réf matériel]],Tableau3[],2,FALSE)</f>
        <v>Niveau</v>
      </c>
      <c r="D152" s="90">
        <f>VLOOKUP(Tableau4[[#This Row],[Réf matériel]],Tableau3[],3,FALSE)</f>
        <v>15</v>
      </c>
      <c r="E152" t="s">
        <v>330</v>
      </c>
      <c r="F152" s="90" t="str">
        <f>VLOOKUP(Tableau4[[#This Row],[Matricule]],Tableau1[],2,FALSE)</f>
        <v>DEPOORTER</v>
      </c>
      <c r="G152" s="90" t="str">
        <f>VLOOKUP(Tableau4[[#This Row],[Matricule]],Tableau1[],3,FALSE)</f>
        <v>Jonathan</v>
      </c>
      <c r="H152" s="90" t="str">
        <f>VLOOKUP(Tableau4[[#This Row],[Matricule]],Tableau1[],4,FALSE)</f>
        <v>ELEC</v>
      </c>
      <c r="I152" s="88">
        <v>43510</v>
      </c>
      <c r="J152" t="s">
        <v>380</v>
      </c>
      <c r="K152" s="90">
        <f>IF(Tableau4[[#This Row],[État]]="Remis",1,0)</f>
        <v>1</v>
      </c>
    </row>
    <row r="153" spans="2:11" x14ac:dyDescent="0.25">
      <c r="B153" t="s">
        <v>438</v>
      </c>
      <c r="C153" s="90" t="str">
        <f>VLOOKUP(Tableau4[[#This Row],[Réf matériel]],Tableau3[],2,FALSE)</f>
        <v>Outil à dégainer</v>
      </c>
      <c r="D153" s="90">
        <f>VLOOKUP(Tableau4[[#This Row],[Réf matériel]],Tableau3[],3,FALSE)</f>
        <v>20.5</v>
      </c>
      <c r="E153" t="s">
        <v>330</v>
      </c>
      <c r="F153" s="90" t="str">
        <f>VLOOKUP(Tableau4[[#This Row],[Matricule]],Tableau1[],2,FALSE)</f>
        <v>DEPOORTER</v>
      </c>
      <c r="G153" s="90" t="str">
        <f>VLOOKUP(Tableau4[[#This Row],[Matricule]],Tableau1[],3,FALSE)</f>
        <v>Jonathan</v>
      </c>
      <c r="H153" s="90" t="str">
        <f>VLOOKUP(Tableau4[[#This Row],[Matricule]],Tableau1[],4,FALSE)</f>
        <v>ELEC</v>
      </c>
      <c r="I153" s="88">
        <v>43510</v>
      </c>
      <c r="J153" t="s">
        <v>380</v>
      </c>
      <c r="K153" s="90">
        <f>IF(Tableau4[[#This Row],[État]]="Remis",1,0)</f>
        <v>1</v>
      </c>
    </row>
    <row r="154" spans="2:11" x14ac:dyDescent="0.25">
      <c r="B154" t="s">
        <v>446</v>
      </c>
      <c r="C154" s="90" t="str">
        <f>VLOOKUP(Tableau4[[#This Row],[Réf matériel]],Tableau3[],2,FALSE)</f>
        <v>Pince à bec plat</v>
      </c>
      <c r="D154" s="90">
        <f>VLOOKUP(Tableau4[[#This Row],[Réf matériel]],Tableau3[],3,FALSE)</f>
        <v>20.8</v>
      </c>
      <c r="E154" t="s">
        <v>330</v>
      </c>
      <c r="F154" s="90" t="str">
        <f>VLOOKUP(Tableau4[[#This Row],[Matricule]],Tableau1[],2,FALSE)</f>
        <v>DEPOORTER</v>
      </c>
      <c r="G154" s="90" t="str">
        <f>VLOOKUP(Tableau4[[#This Row],[Matricule]],Tableau1[],3,FALSE)</f>
        <v>Jonathan</v>
      </c>
      <c r="H154" s="90" t="str">
        <f>VLOOKUP(Tableau4[[#This Row],[Matricule]],Tableau1[],4,FALSE)</f>
        <v>ELEC</v>
      </c>
      <c r="I154" s="88">
        <v>44006</v>
      </c>
      <c r="J154" t="s">
        <v>380</v>
      </c>
      <c r="K154" s="90">
        <f>IF(Tableau4[[#This Row],[État]]="Remis",1,0)</f>
        <v>1</v>
      </c>
    </row>
    <row r="155" spans="2:11" x14ac:dyDescent="0.25">
      <c r="B155" t="s">
        <v>278</v>
      </c>
      <c r="C155" s="90" t="str">
        <f>VLOOKUP(Tableau4[[#This Row],[Réf matériel]],Tableau3[],2,FALSE)</f>
        <v>Pince à dénuder</v>
      </c>
      <c r="D155" s="90">
        <f>VLOOKUP(Tableau4[[#This Row],[Réf matériel]],Tableau3[],3,FALSE)</f>
        <v>24.55</v>
      </c>
      <c r="E155" t="s">
        <v>330</v>
      </c>
      <c r="F155" s="90" t="str">
        <f>VLOOKUP(Tableau4[[#This Row],[Matricule]],Tableau1[],2,FALSE)</f>
        <v>DEPOORTER</v>
      </c>
      <c r="G155" s="90" t="str">
        <f>VLOOKUP(Tableau4[[#This Row],[Matricule]],Tableau1[],3,FALSE)</f>
        <v>Jonathan</v>
      </c>
      <c r="H155" s="90" t="str">
        <f>VLOOKUP(Tableau4[[#This Row],[Matricule]],Tableau1[],4,FALSE)</f>
        <v>ELEC</v>
      </c>
      <c r="I155" s="88">
        <v>43472</v>
      </c>
      <c r="J155" s="98" t="s">
        <v>380</v>
      </c>
      <c r="K155" s="90">
        <f>IF(Tableau4[[#This Row],[État]]="Remis",1,0)</f>
        <v>1</v>
      </c>
    </row>
    <row r="156" spans="2:11" x14ac:dyDescent="0.25">
      <c r="B156" t="s">
        <v>145</v>
      </c>
      <c r="C156" s="90" t="str">
        <f>VLOOKUP(Tableau4[[#This Row],[Réf matériel]],Tableau3[],2,FALSE)</f>
        <v>Pince à long bec</v>
      </c>
      <c r="D156" s="90">
        <f>VLOOKUP(Tableau4[[#This Row],[Réf matériel]],Tableau3[],3,FALSE)</f>
        <v>0</v>
      </c>
      <c r="E156" t="s">
        <v>330</v>
      </c>
      <c r="F156" s="90" t="str">
        <f>VLOOKUP(Tableau4[[#This Row],[Matricule]],Tableau1[],2,FALSE)</f>
        <v>DEPOORTER</v>
      </c>
      <c r="G156" s="90" t="str">
        <f>VLOOKUP(Tableau4[[#This Row],[Matricule]],Tableau1[],3,FALSE)</f>
        <v>Jonathan</v>
      </c>
      <c r="H156" s="90" t="str">
        <f>VLOOKUP(Tableau4[[#This Row],[Matricule]],Tableau1[],4,FALSE)</f>
        <v>ELEC</v>
      </c>
      <c r="I156" s="88">
        <v>43472</v>
      </c>
      <c r="J156" t="s">
        <v>380</v>
      </c>
      <c r="K156" s="90">
        <f>IF(Tableau4[[#This Row],[État]]="Remis",1,0)</f>
        <v>1</v>
      </c>
    </row>
    <row r="157" spans="2:11" x14ac:dyDescent="0.25">
      <c r="B157" t="s">
        <v>439</v>
      </c>
      <c r="C157" s="90" t="str">
        <f>VLOOKUP(Tableau4[[#This Row],[Réf matériel]],Tableau3[],2,FALSE)</f>
        <v>Pince à Sertir</v>
      </c>
      <c r="D157" s="90">
        <f>VLOOKUP(Tableau4[[#This Row],[Réf matériel]],Tableau3[],3,FALSE)</f>
        <v>78.400000000000006</v>
      </c>
      <c r="E157" t="s">
        <v>330</v>
      </c>
      <c r="F157" s="90" t="str">
        <f>VLOOKUP(Tableau4[[#This Row],[Matricule]],Tableau1[],2,FALSE)</f>
        <v>DEPOORTER</v>
      </c>
      <c r="G157" s="90" t="str">
        <f>VLOOKUP(Tableau4[[#This Row],[Matricule]],Tableau1[],3,FALSE)</f>
        <v>Jonathan</v>
      </c>
      <c r="H157" s="90" t="str">
        <f>VLOOKUP(Tableau4[[#This Row],[Matricule]],Tableau1[],4,FALSE)</f>
        <v>ELEC</v>
      </c>
      <c r="I157" s="88">
        <v>43472</v>
      </c>
      <c r="J157" t="s">
        <v>380</v>
      </c>
      <c r="K157" s="90">
        <f>IF(Tableau4[[#This Row],[État]]="Remis",1,0)</f>
        <v>1</v>
      </c>
    </row>
    <row r="158" spans="2:11" x14ac:dyDescent="0.25">
      <c r="B158" t="s">
        <v>72</v>
      </c>
      <c r="C158" s="90" t="str">
        <f>VLOOKUP(Tableau4[[#This Row],[Réf matériel]],Tableau3[],2,FALSE)</f>
        <v>Pince colson</v>
      </c>
      <c r="D158" s="90">
        <f>VLOOKUP(Tableau4[[#This Row],[Réf matériel]],Tableau3[],3,FALSE)</f>
        <v>46.91</v>
      </c>
      <c r="E158" t="s">
        <v>330</v>
      </c>
      <c r="F158" s="90" t="str">
        <f>VLOOKUP(Tableau4[[#This Row],[Matricule]],Tableau1[],2,FALSE)</f>
        <v>DEPOORTER</v>
      </c>
      <c r="G158" s="90" t="str">
        <f>VLOOKUP(Tableau4[[#This Row],[Matricule]],Tableau1[],3,FALSE)</f>
        <v>Jonathan</v>
      </c>
      <c r="H158" s="90" t="str">
        <f>VLOOKUP(Tableau4[[#This Row],[Matricule]],Tableau1[],4,FALSE)</f>
        <v>ELEC</v>
      </c>
      <c r="I158" s="88">
        <v>43510</v>
      </c>
      <c r="J158" t="s">
        <v>380</v>
      </c>
      <c r="K158" s="90">
        <f>IF(Tableau4[[#This Row],[État]]="Remis",1,0)</f>
        <v>1</v>
      </c>
    </row>
    <row r="159" spans="2:11" x14ac:dyDescent="0.25">
      <c r="B159" s="98" t="s">
        <v>393</v>
      </c>
      <c r="C159" s="100" t="str">
        <f>VLOOKUP(Tableau4[[#This Row],[Réf matériel]],Tableau3[],2,FALSE)</f>
        <v>Clé à molette</v>
      </c>
      <c r="D159" s="100">
        <f>VLOOKUP(Tableau4[[#This Row],[Réf matériel]],Tableau3[],3,FALSE)</f>
        <v>16.12</v>
      </c>
      <c r="E159" s="98" t="s">
        <v>331</v>
      </c>
      <c r="F159" s="100" t="str">
        <f>VLOOKUP(Tableau4[[#This Row],[Matricule]],Tableau1[],2,FALSE)</f>
        <v>DIALLO</v>
      </c>
      <c r="G159" s="100" t="str">
        <f>VLOOKUP(Tableau4[[#This Row],[Matricule]],Tableau1[],3,FALSE)</f>
        <v>Oumar</v>
      </c>
      <c r="H159" s="90" t="str">
        <f>VLOOKUP(Tableau4[[#This Row],[Matricule]],Tableau1[],4,FALSE)</f>
        <v>ELEC</v>
      </c>
      <c r="I159" s="99">
        <v>43061</v>
      </c>
      <c r="J159" t="s">
        <v>380</v>
      </c>
      <c r="K159" s="90">
        <f>IF(Tableau4[[#This Row],[État]]="Remis",1,0)</f>
        <v>1</v>
      </c>
    </row>
    <row r="160" spans="2:11" x14ac:dyDescent="0.25">
      <c r="B160" s="98" t="s">
        <v>393</v>
      </c>
      <c r="C160" s="100" t="str">
        <f>VLOOKUP(Tableau4[[#This Row],[Réf matériel]],Tableau3[],2,FALSE)</f>
        <v>Clé à molette</v>
      </c>
      <c r="D160" s="100">
        <f>VLOOKUP(Tableau4[[#This Row],[Réf matériel]],Tableau3[],3,FALSE)</f>
        <v>16.12</v>
      </c>
      <c r="E160" s="98" t="s">
        <v>331</v>
      </c>
      <c r="F160" s="100" t="str">
        <f>VLOOKUP(Tableau4[[#This Row],[Matricule]],Tableau1[],2,FALSE)</f>
        <v>DIALLO</v>
      </c>
      <c r="G160" s="100" t="str">
        <f>VLOOKUP(Tableau4[[#This Row],[Matricule]],Tableau1[],3,FALSE)</f>
        <v>Oumar</v>
      </c>
      <c r="H160" s="90" t="str">
        <f>VLOOKUP(Tableau4[[#This Row],[Matricule]],Tableau1[],4,FALSE)</f>
        <v>ELEC</v>
      </c>
      <c r="I160" s="99">
        <v>43061</v>
      </c>
      <c r="J160" t="s">
        <v>381</v>
      </c>
      <c r="K160" s="90">
        <f>IF(Tableau4[[#This Row],[État]]="Remis",1,0)</f>
        <v>0</v>
      </c>
    </row>
    <row r="161" spans="2:11" x14ac:dyDescent="0.25">
      <c r="B161" s="98" t="s">
        <v>278</v>
      </c>
      <c r="C161" s="100" t="str">
        <f>VLOOKUP(Tableau4[[#This Row],[Réf matériel]],Tableau3[],2,FALSE)</f>
        <v>Pince à dénuder</v>
      </c>
      <c r="D161" s="100">
        <f>VLOOKUP(Tableau4[[#This Row],[Réf matériel]],Tableau3[],3,FALSE)</f>
        <v>24.55</v>
      </c>
      <c r="E161" s="98" t="s">
        <v>331</v>
      </c>
      <c r="F161" s="100" t="str">
        <f>VLOOKUP(Tableau4[[#This Row],[Matricule]],Tableau1[],2,FALSE)</f>
        <v>DIALLO</v>
      </c>
      <c r="G161" s="100" t="str">
        <f>VLOOKUP(Tableau4[[#This Row],[Matricule]],Tableau1[],3,FALSE)</f>
        <v>Oumar</v>
      </c>
      <c r="H161" s="90" t="str">
        <f>VLOOKUP(Tableau4[[#This Row],[Matricule]],Tableau1[],4,FALSE)</f>
        <v>ELEC</v>
      </c>
      <c r="I161" s="99">
        <v>43061</v>
      </c>
      <c r="J161" t="s">
        <v>380</v>
      </c>
      <c r="K161" s="90">
        <f>IF(Tableau4[[#This Row],[État]]="Remis",1,0)</f>
        <v>1</v>
      </c>
    </row>
    <row r="162" spans="2:11" x14ac:dyDescent="0.25">
      <c r="B162" s="98" t="s">
        <v>278</v>
      </c>
      <c r="C162" s="100" t="str">
        <f>VLOOKUP(Tableau4[[#This Row],[Réf matériel]],Tableau3[],2,FALSE)</f>
        <v>Pince à dénuder</v>
      </c>
      <c r="D162" s="100">
        <f>VLOOKUP(Tableau4[[#This Row],[Réf matériel]],Tableau3[],3,FALSE)</f>
        <v>24.55</v>
      </c>
      <c r="E162" s="98" t="s">
        <v>331</v>
      </c>
      <c r="F162" s="100" t="str">
        <f>VLOOKUP(Tableau4[[#This Row],[Matricule]],Tableau1[],2,FALSE)</f>
        <v>DIALLO</v>
      </c>
      <c r="G162" s="100" t="str">
        <f>VLOOKUP(Tableau4[[#This Row],[Matricule]],Tableau1[],3,FALSE)</f>
        <v>Oumar</v>
      </c>
      <c r="H162" s="90" t="str">
        <f>VLOOKUP(Tableau4[[#This Row],[Matricule]],Tableau1[],4,FALSE)</f>
        <v>ELEC</v>
      </c>
      <c r="I162" s="99">
        <v>43061</v>
      </c>
      <c r="J162" t="s">
        <v>381</v>
      </c>
      <c r="K162" s="90">
        <f>IF(Tableau4[[#This Row],[État]]="Remis",1,0)</f>
        <v>0</v>
      </c>
    </row>
    <row r="163" spans="2:11" x14ac:dyDescent="0.25">
      <c r="B163" t="s">
        <v>279</v>
      </c>
      <c r="C163" s="90" t="str">
        <f>VLOOKUP(Tableau4[[#This Row],[Réf matériel]],Tableau3[],2,FALSE)</f>
        <v>lime demi ronde</v>
      </c>
      <c r="D163" s="90">
        <f>VLOOKUP(Tableau4[[#This Row],[Réf matériel]],Tableau3[],3,FALSE)</f>
        <v>7.59</v>
      </c>
      <c r="E163" t="s">
        <v>331</v>
      </c>
      <c r="F163" s="90" t="str">
        <f>VLOOKUP(Tableau4[[#This Row],[Matricule]],Tableau1[],2,FALSE)</f>
        <v>DIALLO</v>
      </c>
      <c r="G163" s="90" t="str">
        <f>VLOOKUP(Tableau4[[#This Row],[Matricule]],Tableau1[],3,FALSE)</f>
        <v>Oumar</v>
      </c>
      <c r="H163" s="90" t="str">
        <f>VLOOKUP(Tableau4[[#This Row],[Matricule]],Tableau1[],4,FALSE)</f>
        <v>ELEC</v>
      </c>
      <c r="I163" s="99">
        <v>43061</v>
      </c>
      <c r="J163" t="s">
        <v>380</v>
      </c>
      <c r="K163" s="90">
        <f>IF(Tableau4[[#This Row],[État]]="Remis",1,0)</f>
        <v>1</v>
      </c>
    </row>
    <row r="164" spans="2:11" x14ac:dyDescent="0.25">
      <c r="B164" t="s">
        <v>279</v>
      </c>
      <c r="C164" s="90" t="str">
        <f>VLOOKUP(Tableau4[[#This Row],[Réf matériel]],Tableau3[],2,FALSE)</f>
        <v>lime demi ronde</v>
      </c>
      <c r="D164" s="90">
        <f>VLOOKUP(Tableau4[[#This Row],[Réf matériel]],Tableau3[],3,FALSE)</f>
        <v>7.59</v>
      </c>
      <c r="E164" t="s">
        <v>331</v>
      </c>
      <c r="F164" s="90" t="str">
        <f>VLOOKUP(Tableau4[[#This Row],[Matricule]],Tableau1[],2,FALSE)</f>
        <v>DIALLO</v>
      </c>
      <c r="G164" s="90" t="str">
        <f>VLOOKUP(Tableau4[[#This Row],[Matricule]],Tableau1[],3,FALSE)</f>
        <v>Oumar</v>
      </c>
      <c r="H164" s="90" t="str">
        <f>VLOOKUP(Tableau4[[#This Row],[Matricule]],Tableau1[],4,FALSE)</f>
        <v>ELEC</v>
      </c>
      <c r="I164" s="99">
        <v>43061</v>
      </c>
      <c r="J164" t="s">
        <v>381</v>
      </c>
      <c r="K164" s="90">
        <f>IF(Tableau4[[#This Row],[État]]="Remis",1,0)</f>
        <v>0</v>
      </c>
    </row>
    <row r="165" spans="2:11" x14ac:dyDescent="0.25">
      <c r="B165" t="s">
        <v>280</v>
      </c>
      <c r="C165" s="90" t="str">
        <f>VLOOKUP(Tableau4[[#This Row],[Réf matériel]],Tableau3[],2,FALSE)</f>
        <v>Pince coupante 1000v</v>
      </c>
      <c r="D165" s="90">
        <f>VLOOKUP(Tableau4[[#This Row],[Réf matériel]],Tableau3[],3,FALSE)</f>
        <v>20.87</v>
      </c>
      <c r="E165" t="s">
        <v>331</v>
      </c>
      <c r="F165" s="90" t="str">
        <f>VLOOKUP(Tableau4[[#This Row],[Matricule]],Tableau1[],2,FALSE)</f>
        <v>DIALLO</v>
      </c>
      <c r="G165" s="90" t="str">
        <f>VLOOKUP(Tableau4[[#This Row],[Matricule]],Tableau1[],3,FALSE)</f>
        <v>Oumar</v>
      </c>
      <c r="H165" s="90" t="str">
        <f>VLOOKUP(Tableau4[[#This Row],[Matricule]],Tableau1[],4,FALSE)</f>
        <v>ELEC</v>
      </c>
      <c r="I165" s="99">
        <v>43061</v>
      </c>
      <c r="J165" t="s">
        <v>380</v>
      </c>
      <c r="K165" s="90">
        <f>IF(Tableau4[[#This Row],[État]]="Remis",1,0)</f>
        <v>1</v>
      </c>
    </row>
    <row r="166" spans="2:11" x14ac:dyDescent="0.25">
      <c r="B166" t="s">
        <v>280</v>
      </c>
      <c r="C166" s="90" t="str">
        <f>VLOOKUP(Tableau4[[#This Row],[Réf matériel]],Tableau3[],2,FALSE)</f>
        <v>Pince coupante 1000v</v>
      </c>
      <c r="D166" s="90">
        <f>VLOOKUP(Tableau4[[#This Row],[Réf matériel]],Tableau3[],3,FALSE)</f>
        <v>20.87</v>
      </c>
      <c r="E166" t="s">
        <v>331</v>
      </c>
      <c r="F166" s="90" t="str">
        <f>VLOOKUP(Tableau4[[#This Row],[Matricule]],Tableau1[],2,FALSE)</f>
        <v>DIALLO</v>
      </c>
      <c r="G166" s="90" t="str">
        <f>VLOOKUP(Tableau4[[#This Row],[Matricule]],Tableau1[],3,FALSE)</f>
        <v>Oumar</v>
      </c>
      <c r="H166" s="90" t="str">
        <f>VLOOKUP(Tableau4[[#This Row],[Matricule]],Tableau1[],4,FALSE)</f>
        <v>ELEC</v>
      </c>
      <c r="I166" s="99">
        <v>43061</v>
      </c>
      <c r="J166" t="s">
        <v>381</v>
      </c>
      <c r="K166" s="90">
        <f>IF(Tableau4[[#This Row],[État]]="Remis",1,0)</f>
        <v>0</v>
      </c>
    </row>
    <row r="167" spans="2:11" x14ac:dyDescent="0.25">
      <c r="B167" t="s">
        <v>49</v>
      </c>
      <c r="C167" s="90" t="str">
        <f>VLOOKUP(Tableau4[[#This Row],[Réf matériel]],Tableau3[],2,FALSE)</f>
        <v>Coupe câble</v>
      </c>
      <c r="D167" s="90">
        <f>VLOOKUP(Tableau4[[#This Row],[Réf matériel]],Tableau3[],3,FALSE)</f>
        <v>41.88</v>
      </c>
      <c r="E167" t="s">
        <v>331</v>
      </c>
      <c r="F167" s="90" t="str">
        <f>VLOOKUP(Tableau4[[#This Row],[Matricule]],Tableau1[],2,FALSE)</f>
        <v>DIALLO</v>
      </c>
      <c r="G167" s="90" t="str">
        <f>VLOOKUP(Tableau4[[#This Row],[Matricule]],Tableau1[],3,FALSE)</f>
        <v>Oumar</v>
      </c>
      <c r="H167" s="90" t="str">
        <f>VLOOKUP(Tableau4[[#This Row],[Matricule]],Tableau1[],4,FALSE)</f>
        <v>ELEC</v>
      </c>
      <c r="I167" s="99">
        <v>43061</v>
      </c>
      <c r="J167" t="s">
        <v>380</v>
      </c>
      <c r="K167" s="90">
        <f>IF(Tableau4[[#This Row],[État]]="Remis",1,0)</f>
        <v>1</v>
      </c>
    </row>
    <row r="168" spans="2:11" x14ac:dyDescent="0.25">
      <c r="B168" t="s">
        <v>49</v>
      </c>
      <c r="C168" s="90" t="str">
        <f>VLOOKUP(Tableau4[[#This Row],[Réf matériel]],Tableau3[],2,FALSE)</f>
        <v>Coupe câble</v>
      </c>
      <c r="D168" s="90">
        <f>VLOOKUP(Tableau4[[#This Row],[Réf matériel]],Tableau3[],3,FALSE)</f>
        <v>41.88</v>
      </c>
      <c r="E168" t="s">
        <v>331</v>
      </c>
      <c r="F168" s="90" t="str">
        <f>VLOOKUP(Tableau4[[#This Row],[Matricule]],Tableau1[],2,FALSE)</f>
        <v>DIALLO</v>
      </c>
      <c r="G168" s="90" t="str">
        <f>VLOOKUP(Tableau4[[#This Row],[Matricule]],Tableau1[],3,FALSE)</f>
        <v>Oumar</v>
      </c>
      <c r="H168" s="90" t="str">
        <f>VLOOKUP(Tableau4[[#This Row],[Matricule]],Tableau1[],4,FALSE)</f>
        <v>ELEC</v>
      </c>
      <c r="I168" s="99">
        <v>43061</v>
      </c>
      <c r="J168" t="s">
        <v>381</v>
      </c>
      <c r="K168" s="90">
        <f>IF(Tableau4[[#This Row],[État]]="Remis",1,0)</f>
        <v>0</v>
      </c>
    </row>
    <row r="169" spans="2:11" x14ac:dyDescent="0.25">
      <c r="B169" t="s">
        <v>51</v>
      </c>
      <c r="C169" s="90" t="str">
        <f>VLOOKUP(Tableau4[[#This Row],[Réf matériel]],Tableau3[],2,FALSE)</f>
        <v>Mètre pliant</v>
      </c>
      <c r="D169" s="90">
        <f>VLOOKUP(Tableau4[[#This Row],[Réf matériel]],Tableau3[],3,FALSE)</f>
        <v>3.2</v>
      </c>
      <c r="E169" t="s">
        <v>331</v>
      </c>
      <c r="F169" s="90" t="str">
        <f>VLOOKUP(Tableau4[[#This Row],[Matricule]],Tableau1[],2,FALSE)</f>
        <v>DIALLO</v>
      </c>
      <c r="G169" s="90" t="str">
        <f>VLOOKUP(Tableau4[[#This Row],[Matricule]],Tableau1[],3,FALSE)</f>
        <v>Oumar</v>
      </c>
      <c r="H169" s="90" t="str">
        <f>VLOOKUP(Tableau4[[#This Row],[Matricule]],Tableau1[],4,FALSE)</f>
        <v>ELEC</v>
      </c>
      <c r="I169" s="88">
        <v>43061</v>
      </c>
      <c r="J169" t="s">
        <v>380</v>
      </c>
      <c r="K169" s="90">
        <f>IF(Tableau4[[#This Row],[État]]="Remis",1,0)</f>
        <v>1</v>
      </c>
    </row>
    <row r="170" spans="2:11" x14ac:dyDescent="0.25">
      <c r="B170" t="s">
        <v>51</v>
      </c>
      <c r="C170" s="90" t="str">
        <f>VLOOKUP(Tableau4[[#This Row],[Réf matériel]],Tableau3[],2,FALSE)</f>
        <v>Mètre pliant</v>
      </c>
      <c r="D170" s="90">
        <f>VLOOKUP(Tableau4[[#This Row],[Réf matériel]],Tableau3[],3,FALSE)</f>
        <v>3.2</v>
      </c>
      <c r="E170" t="s">
        <v>331</v>
      </c>
      <c r="F170" s="90" t="str">
        <f>VLOOKUP(Tableau4[[#This Row],[Matricule]],Tableau1[],2,FALSE)</f>
        <v>DIALLO</v>
      </c>
      <c r="G170" s="90" t="str">
        <f>VLOOKUP(Tableau4[[#This Row],[Matricule]],Tableau1[],3,FALSE)</f>
        <v>Oumar</v>
      </c>
      <c r="H170" s="90" t="str">
        <f>VLOOKUP(Tableau4[[#This Row],[Matricule]],Tableau1[],4,FALSE)</f>
        <v>ELEC</v>
      </c>
      <c r="I170" s="88">
        <v>43061</v>
      </c>
      <c r="J170" t="s">
        <v>381</v>
      </c>
      <c r="K170" s="90">
        <f>IF(Tableau4[[#This Row],[État]]="Remis",1,0)</f>
        <v>0</v>
      </c>
    </row>
    <row r="171" spans="2:11" x14ac:dyDescent="0.25">
      <c r="B171" t="s">
        <v>396</v>
      </c>
      <c r="C171" s="90" t="str">
        <f>VLOOKUP(Tableau4[[#This Row],[Réf matériel]],Tableau3[],2,FALSE)</f>
        <v>Massette</v>
      </c>
      <c r="D171" s="90">
        <f>VLOOKUP(Tableau4[[#This Row],[Réf matériel]],Tableau3[],3,FALSE)</f>
        <v>15.14</v>
      </c>
      <c r="E171" t="s">
        <v>331</v>
      </c>
      <c r="F171" s="90" t="str">
        <f>VLOOKUP(Tableau4[[#This Row],[Matricule]],Tableau1[],2,FALSE)</f>
        <v>DIALLO</v>
      </c>
      <c r="G171" s="90" t="str">
        <f>VLOOKUP(Tableau4[[#This Row],[Matricule]],Tableau1[],3,FALSE)</f>
        <v>Oumar</v>
      </c>
      <c r="H171" s="90" t="str">
        <f>VLOOKUP(Tableau4[[#This Row],[Matricule]],Tableau1[],4,FALSE)</f>
        <v>ELEC</v>
      </c>
      <c r="I171" s="88">
        <v>43061</v>
      </c>
      <c r="J171" t="s">
        <v>380</v>
      </c>
      <c r="K171" s="90">
        <f>IF(Tableau4[[#This Row],[État]]="Remis",1,0)</f>
        <v>1</v>
      </c>
    </row>
    <row r="172" spans="2:11" x14ac:dyDescent="0.25">
      <c r="B172" t="s">
        <v>396</v>
      </c>
      <c r="C172" s="90" t="str">
        <f>VLOOKUP(Tableau4[[#This Row],[Réf matériel]],Tableau3[],2,FALSE)</f>
        <v>Massette</v>
      </c>
      <c r="D172" s="90">
        <f>VLOOKUP(Tableau4[[#This Row],[Réf matériel]],Tableau3[],3,FALSE)</f>
        <v>15.14</v>
      </c>
      <c r="E172" t="s">
        <v>331</v>
      </c>
      <c r="F172" s="90" t="str">
        <f>VLOOKUP(Tableau4[[#This Row],[Matricule]],Tableau1[],2,FALSE)</f>
        <v>DIALLO</v>
      </c>
      <c r="G172" s="90" t="str">
        <f>VLOOKUP(Tableau4[[#This Row],[Matricule]],Tableau1[],3,FALSE)</f>
        <v>Oumar</v>
      </c>
      <c r="H172" s="90" t="str">
        <f>VLOOKUP(Tableau4[[#This Row],[Matricule]],Tableau1[],4,FALSE)</f>
        <v>ELEC</v>
      </c>
      <c r="I172" s="88">
        <v>43061</v>
      </c>
      <c r="J172" t="s">
        <v>381</v>
      </c>
      <c r="K172" s="90">
        <f>IF(Tableau4[[#This Row],[État]]="Remis",1,0)</f>
        <v>0</v>
      </c>
    </row>
    <row r="173" spans="2:11" x14ac:dyDescent="0.25">
      <c r="B173" t="s">
        <v>55</v>
      </c>
      <c r="C173" s="90" t="str">
        <f>VLOOKUP(Tableau4[[#This Row],[Réf matériel]],Tableau3[],2,FALSE)</f>
        <v>Niveau</v>
      </c>
      <c r="D173" s="90">
        <f>VLOOKUP(Tableau4[[#This Row],[Réf matériel]],Tableau3[],3,FALSE)</f>
        <v>15</v>
      </c>
      <c r="E173" t="s">
        <v>331</v>
      </c>
      <c r="F173" s="90" t="str">
        <f>VLOOKUP(Tableau4[[#This Row],[Matricule]],Tableau1[],2,FALSE)</f>
        <v>DIALLO</v>
      </c>
      <c r="G173" s="90" t="str">
        <f>VLOOKUP(Tableau4[[#This Row],[Matricule]],Tableau1[],3,FALSE)</f>
        <v>Oumar</v>
      </c>
      <c r="H173" s="90" t="str">
        <f>VLOOKUP(Tableau4[[#This Row],[Matricule]],Tableau1[],4,FALSE)</f>
        <v>ELEC</v>
      </c>
      <c r="I173" s="88">
        <v>43061</v>
      </c>
      <c r="J173" t="s">
        <v>380</v>
      </c>
      <c r="K173" s="90">
        <f>IF(Tableau4[[#This Row],[État]]="Remis",1,0)</f>
        <v>1</v>
      </c>
    </row>
    <row r="174" spans="2:11" x14ac:dyDescent="0.25">
      <c r="B174" t="s">
        <v>55</v>
      </c>
      <c r="C174" s="90" t="str">
        <f>VLOOKUP(Tableau4[[#This Row],[Réf matériel]],Tableau3[],2,FALSE)</f>
        <v>Niveau</v>
      </c>
      <c r="D174" s="90">
        <f>VLOOKUP(Tableau4[[#This Row],[Réf matériel]],Tableau3[],3,FALSE)</f>
        <v>15</v>
      </c>
      <c r="E174" t="s">
        <v>331</v>
      </c>
      <c r="F174" s="90" t="str">
        <f>VLOOKUP(Tableau4[[#This Row],[Matricule]],Tableau1[],2,FALSE)</f>
        <v>DIALLO</v>
      </c>
      <c r="G174" s="90" t="str">
        <f>VLOOKUP(Tableau4[[#This Row],[Matricule]],Tableau1[],3,FALSE)</f>
        <v>Oumar</v>
      </c>
      <c r="H174" s="90" t="str">
        <f>VLOOKUP(Tableau4[[#This Row],[Matricule]],Tableau1[],4,FALSE)</f>
        <v>ELEC</v>
      </c>
      <c r="I174" s="88">
        <v>43061</v>
      </c>
      <c r="J174" t="s">
        <v>381</v>
      </c>
      <c r="K174" s="90">
        <f>IF(Tableau4[[#This Row],[État]]="Remis",1,0)</f>
        <v>0</v>
      </c>
    </row>
    <row r="175" spans="2:11" x14ac:dyDescent="0.25">
      <c r="B175" t="s">
        <v>56</v>
      </c>
      <c r="C175" s="90" t="str">
        <f>VLOOKUP(Tableau4[[#This Row],[Réf matériel]],Tableau3[],2,FALSE)</f>
        <v>Jeu tournevis</v>
      </c>
      <c r="D175" s="90">
        <f>VLOOKUP(Tableau4[[#This Row],[Réf matériel]],Tableau3[],3,FALSE)</f>
        <v>37.57</v>
      </c>
      <c r="E175" t="s">
        <v>331</v>
      </c>
      <c r="F175" s="90" t="str">
        <f>VLOOKUP(Tableau4[[#This Row],[Matricule]],Tableau1[],2,FALSE)</f>
        <v>DIALLO</v>
      </c>
      <c r="G175" s="90" t="str">
        <f>VLOOKUP(Tableau4[[#This Row],[Matricule]],Tableau1[],3,FALSE)</f>
        <v>Oumar</v>
      </c>
      <c r="H175" s="90" t="str">
        <f>VLOOKUP(Tableau4[[#This Row],[Matricule]],Tableau1[],4,FALSE)</f>
        <v>ELEC</v>
      </c>
      <c r="I175" s="88">
        <v>43061</v>
      </c>
      <c r="J175" t="s">
        <v>380</v>
      </c>
      <c r="K175" s="90">
        <f>IF(Tableau4[[#This Row],[État]]="Remis",1,0)</f>
        <v>1</v>
      </c>
    </row>
    <row r="176" spans="2:11" x14ac:dyDescent="0.25">
      <c r="B176" t="s">
        <v>420</v>
      </c>
      <c r="C176" s="90" t="str">
        <f>VLOOKUP(Tableau4[[#This Row],[Réf matériel]],Tableau3[],2,FALSE)</f>
        <v>Clé allen</v>
      </c>
      <c r="D176" s="90">
        <f>VLOOKUP(Tableau4[[#This Row],[Réf matériel]],Tableau3[],3,FALSE)</f>
        <v>27.5</v>
      </c>
      <c r="E176" t="s">
        <v>331</v>
      </c>
      <c r="F176" s="90" t="str">
        <f>VLOOKUP(Tableau4[[#This Row],[Matricule]],Tableau1[],2,FALSE)</f>
        <v>DIALLO</v>
      </c>
      <c r="G176" s="90" t="str">
        <f>VLOOKUP(Tableau4[[#This Row],[Matricule]],Tableau1[],3,FALSE)</f>
        <v>Oumar</v>
      </c>
      <c r="H176" s="90" t="str">
        <f>VLOOKUP(Tableau4[[#This Row],[Matricule]],Tableau1[],4,FALSE)</f>
        <v>ELEC</v>
      </c>
      <c r="I176" s="88">
        <v>43061</v>
      </c>
      <c r="J176" t="s">
        <v>380</v>
      </c>
      <c r="K176" s="90">
        <f>IF(Tableau4[[#This Row],[État]]="Remis",1,0)</f>
        <v>1</v>
      </c>
    </row>
    <row r="177" spans="2:11" x14ac:dyDescent="0.25">
      <c r="B177" t="s">
        <v>420</v>
      </c>
      <c r="C177" s="90" t="str">
        <f>VLOOKUP(Tableau4[[#This Row],[Réf matériel]],Tableau3[],2,FALSE)</f>
        <v>Clé allen</v>
      </c>
      <c r="D177" s="90">
        <f>VLOOKUP(Tableau4[[#This Row],[Réf matériel]],Tableau3[],3,FALSE)</f>
        <v>27.5</v>
      </c>
      <c r="E177" t="s">
        <v>331</v>
      </c>
      <c r="F177" s="90" t="str">
        <f>VLOOKUP(Tableau4[[#This Row],[Matricule]],Tableau1[],2,FALSE)</f>
        <v>DIALLO</v>
      </c>
      <c r="G177" s="90" t="str">
        <f>VLOOKUP(Tableau4[[#This Row],[Matricule]],Tableau1[],3,FALSE)</f>
        <v>Oumar</v>
      </c>
      <c r="H177" s="90" t="str">
        <f>VLOOKUP(Tableau4[[#This Row],[Matricule]],Tableau1[],4,FALSE)</f>
        <v>ELEC</v>
      </c>
      <c r="I177" s="88">
        <v>43061</v>
      </c>
      <c r="J177" t="s">
        <v>381</v>
      </c>
      <c r="K177" s="90">
        <f>IF(Tableau4[[#This Row],[État]]="Remis",1,0)</f>
        <v>0</v>
      </c>
    </row>
    <row r="178" spans="2:11" x14ac:dyDescent="0.25">
      <c r="B178" t="s">
        <v>439</v>
      </c>
      <c r="C178" s="90" t="str">
        <f>VLOOKUP(Tableau4[[#This Row],[Réf matériel]],Tableau3[],2,FALSE)</f>
        <v>Pince à Sertir</v>
      </c>
      <c r="D178" s="90">
        <f>VLOOKUP(Tableau4[[#This Row],[Réf matériel]],Tableau3[],3,FALSE)</f>
        <v>78.400000000000006</v>
      </c>
      <c r="E178" t="s">
        <v>331</v>
      </c>
      <c r="F178" s="90" t="str">
        <f>VLOOKUP(Tableau4[[#This Row],[Matricule]],Tableau1[],2,FALSE)</f>
        <v>DIALLO</v>
      </c>
      <c r="G178" s="90" t="str">
        <f>VLOOKUP(Tableau4[[#This Row],[Matricule]],Tableau1[],3,FALSE)</f>
        <v>Oumar</v>
      </c>
      <c r="H178" s="90" t="str">
        <f>VLOOKUP(Tableau4[[#This Row],[Matricule]],Tableau1[],4,FALSE)</f>
        <v>ELEC</v>
      </c>
      <c r="I178" s="88">
        <v>43061</v>
      </c>
      <c r="J178" t="s">
        <v>380</v>
      </c>
      <c r="K178" s="90">
        <f>IF(Tableau4[[#This Row],[État]]="Remis",1,0)</f>
        <v>1</v>
      </c>
    </row>
    <row r="179" spans="2:11" x14ac:dyDescent="0.25">
      <c r="B179" t="s">
        <v>439</v>
      </c>
      <c r="C179" s="90" t="str">
        <f>VLOOKUP(Tableau4[[#This Row],[Réf matériel]],Tableau3[],2,FALSE)</f>
        <v>Pince à Sertir</v>
      </c>
      <c r="D179" s="90">
        <f>VLOOKUP(Tableau4[[#This Row],[Réf matériel]],Tableau3[],3,FALSE)</f>
        <v>78.400000000000006</v>
      </c>
      <c r="E179" t="s">
        <v>331</v>
      </c>
      <c r="F179" s="90" t="str">
        <f>VLOOKUP(Tableau4[[#This Row],[Matricule]],Tableau1[],2,FALSE)</f>
        <v>DIALLO</v>
      </c>
      <c r="G179" s="90" t="str">
        <f>VLOOKUP(Tableau4[[#This Row],[Matricule]],Tableau1[],3,FALSE)</f>
        <v>Oumar</v>
      </c>
      <c r="H179" s="90" t="str">
        <f>VLOOKUP(Tableau4[[#This Row],[Matricule]],Tableau1[],4,FALSE)</f>
        <v>ELEC</v>
      </c>
      <c r="I179" s="88">
        <v>43061</v>
      </c>
      <c r="J179" t="s">
        <v>381</v>
      </c>
      <c r="K179" s="90">
        <f>IF(Tableau4[[#This Row],[État]]="Remis",1,0)</f>
        <v>0</v>
      </c>
    </row>
    <row r="180" spans="2:11" x14ac:dyDescent="0.25">
      <c r="B180" t="s">
        <v>399</v>
      </c>
      <c r="C180" s="90" t="str">
        <f>VLOOKUP(Tableau4[[#This Row],[Réf matériel]],Tableau3[],2,FALSE)</f>
        <v>Boite embouts</v>
      </c>
      <c r="D180" s="90">
        <f>VLOOKUP(Tableau4[[#This Row],[Réf matériel]],Tableau3[],3,FALSE)</f>
        <v>27.61</v>
      </c>
      <c r="E180" t="s">
        <v>331</v>
      </c>
      <c r="F180" s="90" t="str">
        <f>VLOOKUP(Tableau4[[#This Row],[Matricule]],Tableau1[],2,FALSE)</f>
        <v>DIALLO</v>
      </c>
      <c r="G180" s="90" t="str">
        <f>VLOOKUP(Tableau4[[#This Row],[Matricule]],Tableau1[],3,FALSE)</f>
        <v>Oumar</v>
      </c>
      <c r="H180" s="90" t="str">
        <f>VLOOKUP(Tableau4[[#This Row],[Matricule]],Tableau1[],4,FALSE)</f>
        <v>ELEC</v>
      </c>
      <c r="I180" s="88">
        <v>43061</v>
      </c>
      <c r="J180" t="s">
        <v>380</v>
      </c>
      <c r="K180" s="90">
        <f>IF(Tableau4[[#This Row],[État]]="Remis",1,0)</f>
        <v>1</v>
      </c>
    </row>
    <row r="181" spans="2:11" x14ac:dyDescent="0.25">
      <c r="B181" t="s">
        <v>399</v>
      </c>
      <c r="C181" s="90" t="str">
        <f>VLOOKUP(Tableau4[[#This Row],[Réf matériel]],Tableau3[],2,FALSE)</f>
        <v>Boite embouts</v>
      </c>
      <c r="D181" s="90">
        <f>VLOOKUP(Tableau4[[#This Row],[Réf matériel]],Tableau3[],3,FALSE)</f>
        <v>27.61</v>
      </c>
      <c r="E181" t="s">
        <v>331</v>
      </c>
      <c r="F181" s="90" t="str">
        <f>VLOOKUP(Tableau4[[#This Row],[Matricule]],Tableau1[],2,FALSE)</f>
        <v>DIALLO</v>
      </c>
      <c r="G181" s="90" t="str">
        <f>VLOOKUP(Tableau4[[#This Row],[Matricule]],Tableau1[],3,FALSE)</f>
        <v>Oumar</v>
      </c>
      <c r="H181" s="90" t="str">
        <f>VLOOKUP(Tableau4[[#This Row],[Matricule]],Tableau1[],4,FALSE)</f>
        <v>ELEC</v>
      </c>
      <c r="I181" s="88">
        <v>43061</v>
      </c>
      <c r="J181" t="s">
        <v>381</v>
      </c>
      <c r="K181" s="90">
        <f>IF(Tableau4[[#This Row],[État]]="Remis",1,0)</f>
        <v>0</v>
      </c>
    </row>
    <row r="182" spans="2:11" x14ac:dyDescent="0.25">
      <c r="B182" s="98" t="s">
        <v>391</v>
      </c>
      <c r="C182" s="98" t="str">
        <f>VLOOKUP(Tableau4[[#This Row],[Réf matériel]],Tableau3[],2,FALSE)</f>
        <v>Cadena</v>
      </c>
      <c r="D182" s="98">
        <f>VLOOKUP(Tableau4[[#This Row],[Réf matériel]],Tableau3[],3,FALSE)</f>
        <v>13</v>
      </c>
      <c r="E182" s="98" t="s">
        <v>331</v>
      </c>
      <c r="F182" s="98" t="str">
        <f>VLOOKUP(Tableau4[[#This Row],[Matricule]],Tableau1[],2,FALSE)</f>
        <v>DIALLO</v>
      </c>
      <c r="G182" s="98" t="str">
        <f>VLOOKUP(Tableau4[[#This Row],[Matricule]],Tableau1[],3,FALSE)</f>
        <v>Oumar</v>
      </c>
      <c r="H182" s="98" t="str">
        <f>VLOOKUP(Tableau4[[#This Row],[Matricule]],Tableau1[],4,FALSE)</f>
        <v>ELEC</v>
      </c>
      <c r="I182" s="99">
        <v>43061</v>
      </c>
      <c r="J182" s="98" t="s">
        <v>380</v>
      </c>
      <c r="K182" s="90">
        <f>IF(Tableau4[[#This Row],[État]]="Remis",1,0)</f>
        <v>1</v>
      </c>
    </row>
    <row r="183" spans="2:11" x14ac:dyDescent="0.25">
      <c r="B183" s="98" t="s">
        <v>392</v>
      </c>
      <c r="C183" s="100" t="str">
        <f>VLOOKUP(Tableau4[[#This Row],[Réf matériel]],Tableau3[],2,FALSE)</f>
        <v>Coffre</v>
      </c>
      <c r="D183" s="100">
        <f>VLOOKUP(Tableau4[[#This Row],[Réf matériel]],Tableau3[],3,FALSE)</f>
        <v>54.54</v>
      </c>
      <c r="E183" s="97" t="s">
        <v>331</v>
      </c>
      <c r="F183" s="100" t="str">
        <f>VLOOKUP(Tableau4[[#This Row],[Matricule]],Tableau1[],2,FALSE)</f>
        <v>DIALLO</v>
      </c>
      <c r="G183" s="100" t="str">
        <f>VLOOKUP(Tableau4[[#This Row],[Matricule]],Tableau1[],3,FALSE)</f>
        <v>Oumar</v>
      </c>
      <c r="H183" s="100" t="str">
        <f>VLOOKUP(Tableau4[[#This Row],[Matricule]],Tableau1[],4,FALSE)</f>
        <v>ELEC</v>
      </c>
      <c r="I183" s="99">
        <v>43061</v>
      </c>
      <c r="J183" s="98" t="s">
        <v>380</v>
      </c>
      <c r="K183" s="90">
        <f>IF(Tableau4[[#This Row],[État]]="Remis",1,0)</f>
        <v>1</v>
      </c>
    </row>
    <row r="184" spans="2:11" x14ac:dyDescent="0.25">
      <c r="B184" t="s">
        <v>281</v>
      </c>
      <c r="C184" s="90" t="str">
        <f>VLOOKUP(Tableau4[[#This Row],[Réf matériel]],Tableau3[],2,FALSE)</f>
        <v>Scie à métaux</v>
      </c>
      <c r="D184" s="90">
        <f>VLOOKUP(Tableau4[[#This Row],[Réf matériel]],Tableau3[],3,FALSE)</f>
        <v>11.26</v>
      </c>
      <c r="E184" t="s">
        <v>331</v>
      </c>
      <c r="F184" s="90" t="str">
        <f>VLOOKUP(Tableau4[[#This Row],[Matricule]],Tableau1[],2,FALSE)</f>
        <v>DIALLO</v>
      </c>
      <c r="G184" s="90" t="str">
        <f>VLOOKUP(Tableau4[[#This Row],[Matricule]],Tableau1[],3,FALSE)</f>
        <v>Oumar</v>
      </c>
      <c r="H184" s="90" t="str">
        <f>VLOOKUP(Tableau4[[#This Row],[Matricule]],Tableau1[],4,FALSE)</f>
        <v>ELEC</v>
      </c>
      <c r="I184" s="88">
        <v>43061</v>
      </c>
      <c r="J184" t="s">
        <v>380</v>
      </c>
      <c r="K184" s="90">
        <f>IF(Tableau4[[#This Row],[État]]="Remis",1,0)</f>
        <v>1</v>
      </c>
    </row>
    <row r="185" spans="2:11" x14ac:dyDescent="0.25">
      <c r="B185" t="s">
        <v>395</v>
      </c>
      <c r="C185" s="90" t="str">
        <f>VLOOKUP(Tableau4[[#This Row],[Réf matériel]],Tableau3[],2,FALSE)</f>
        <v>Burin plat</v>
      </c>
      <c r="D185" s="90">
        <f>VLOOKUP(Tableau4[[#This Row],[Réf matériel]],Tableau3[],3,FALSE)</f>
        <v>11.89</v>
      </c>
      <c r="E185" t="s">
        <v>331</v>
      </c>
      <c r="F185" s="90" t="str">
        <f>VLOOKUP(Tableau4[[#This Row],[Matricule]],Tableau1[],2,FALSE)</f>
        <v>DIALLO</v>
      </c>
      <c r="G185" s="90" t="str">
        <f>VLOOKUP(Tableau4[[#This Row],[Matricule]],Tableau1[],3,FALSE)</f>
        <v>Oumar</v>
      </c>
      <c r="H185" s="90" t="str">
        <f>VLOOKUP(Tableau4[[#This Row],[Matricule]],Tableau1[],4,FALSE)</f>
        <v>ELEC</v>
      </c>
      <c r="I185" s="88">
        <v>43061</v>
      </c>
      <c r="J185" t="s">
        <v>380</v>
      </c>
      <c r="K185" s="90">
        <f>IF(Tableau4[[#This Row],[État]]="Remis",1,0)</f>
        <v>1</v>
      </c>
    </row>
    <row r="186" spans="2:11" x14ac:dyDescent="0.25">
      <c r="B186" t="s">
        <v>401</v>
      </c>
      <c r="C186" s="90" t="str">
        <f>VLOOKUP(Tableau4[[#This Row],[Réf matériel]],Tableau3[],2,FALSE)</f>
        <v>Burin pointu</v>
      </c>
      <c r="D186" s="90">
        <f>VLOOKUP(Tableau4[[#This Row],[Réf matériel]],Tableau3[],3,FALSE)</f>
        <v>8.7200000000000006</v>
      </c>
      <c r="E186" t="s">
        <v>331</v>
      </c>
      <c r="F186" s="90" t="str">
        <f>VLOOKUP(Tableau4[[#This Row],[Matricule]],Tableau1[],2,FALSE)</f>
        <v>DIALLO</v>
      </c>
      <c r="G186" s="90" t="str">
        <f>VLOOKUP(Tableau4[[#This Row],[Matricule]],Tableau1[],3,FALSE)</f>
        <v>Oumar</v>
      </c>
      <c r="H186" s="90" t="str">
        <f>VLOOKUP(Tableau4[[#This Row],[Matricule]],Tableau1[],4,FALSE)</f>
        <v>ELEC</v>
      </c>
      <c r="I186" s="88">
        <v>43061</v>
      </c>
      <c r="J186" t="s">
        <v>380</v>
      </c>
      <c r="K186" s="90">
        <f>IF(Tableau4[[#This Row],[État]]="Remis",1,0)</f>
        <v>1</v>
      </c>
    </row>
    <row r="187" spans="2:11" x14ac:dyDescent="0.25">
      <c r="B187" t="s">
        <v>397</v>
      </c>
      <c r="C187" s="90" t="str">
        <f>VLOOKUP(Tableau4[[#This Row],[Réf matériel]],Tableau3[],2,FALSE)</f>
        <v>Pince étau</v>
      </c>
      <c r="D187" s="90">
        <f>VLOOKUP(Tableau4[[#This Row],[Réf matériel]],Tableau3[],3,FALSE)</f>
        <v>16.02</v>
      </c>
      <c r="E187" t="s">
        <v>331</v>
      </c>
      <c r="F187" s="90" t="str">
        <f>VLOOKUP(Tableau4[[#This Row],[Matricule]],Tableau1[],2,FALSE)</f>
        <v>DIALLO</v>
      </c>
      <c r="G187" s="90" t="str">
        <f>VLOOKUP(Tableau4[[#This Row],[Matricule]],Tableau1[],3,FALSE)</f>
        <v>Oumar</v>
      </c>
      <c r="H187" s="90" t="str">
        <f>VLOOKUP(Tableau4[[#This Row],[Matricule]],Tableau1[],4,FALSE)</f>
        <v>ELEC</v>
      </c>
      <c r="I187" s="88">
        <v>43061</v>
      </c>
      <c r="J187" t="s">
        <v>380</v>
      </c>
      <c r="K187" s="90">
        <f>IF(Tableau4[[#This Row],[État]]="Remis",1,0)</f>
        <v>1</v>
      </c>
    </row>
    <row r="188" spans="2:11" x14ac:dyDescent="0.25">
      <c r="B188" t="s">
        <v>398</v>
      </c>
      <c r="C188" s="90" t="str">
        <f>VLOOKUP(Tableau4[[#This Row],[Réf matériel]],Tableau3[],2,FALSE)</f>
        <v>Coffret douilles</v>
      </c>
      <c r="D188" s="90">
        <f>VLOOKUP(Tableau4[[#This Row],[Réf matériel]],Tableau3[],3,FALSE)</f>
        <v>103.22</v>
      </c>
      <c r="E188" t="s">
        <v>331</v>
      </c>
      <c r="F188" s="90" t="str">
        <f>VLOOKUP(Tableau4[[#This Row],[Matricule]],Tableau1[],2,FALSE)</f>
        <v>DIALLO</v>
      </c>
      <c r="G188" s="90" t="str">
        <f>VLOOKUP(Tableau4[[#This Row],[Matricule]],Tableau1[],3,FALSE)</f>
        <v>Oumar</v>
      </c>
      <c r="H188" s="90" t="str">
        <f>VLOOKUP(Tableau4[[#This Row],[Matricule]],Tableau1[],4,FALSE)</f>
        <v>ELEC</v>
      </c>
      <c r="I188" s="88">
        <v>43061</v>
      </c>
      <c r="J188" t="s">
        <v>380</v>
      </c>
      <c r="K188" s="90">
        <f>IF(Tableau4[[#This Row],[État]]="Remis",1,0)</f>
        <v>1</v>
      </c>
    </row>
    <row r="189" spans="2:11" x14ac:dyDescent="0.25">
      <c r="B189" t="s">
        <v>403</v>
      </c>
      <c r="C189" s="90" t="str">
        <f>VLOOKUP(Tableau4[[#This Row],[Réf matériel]],Tableau3[],2,FALSE)</f>
        <v>Clé à pipe 10</v>
      </c>
      <c r="D189" s="90">
        <f>VLOOKUP(Tableau4[[#This Row],[Réf matériel]],Tableau3[],3,FALSE)</f>
        <v>5.41</v>
      </c>
      <c r="E189" t="s">
        <v>331</v>
      </c>
      <c r="F189" s="90" t="str">
        <f>VLOOKUP(Tableau4[[#This Row],[Matricule]],Tableau1[],2,FALSE)</f>
        <v>DIALLO</v>
      </c>
      <c r="G189" s="90" t="str">
        <f>VLOOKUP(Tableau4[[#This Row],[Matricule]],Tableau1[],3,FALSE)</f>
        <v>Oumar</v>
      </c>
      <c r="H189" s="90" t="str">
        <f>VLOOKUP(Tableau4[[#This Row],[Matricule]],Tableau1[],4,FALSE)</f>
        <v>ELEC</v>
      </c>
      <c r="I189" s="88">
        <v>43061</v>
      </c>
      <c r="J189" t="s">
        <v>380</v>
      </c>
      <c r="K189" s="90">
        <f>IF(Tableau4[[#This Row],[État]]="Remis",1,0)</f>
        <v>1</v>
      </c>
    </row>
    <row r="190" spans="2:11" x14ac:dyDescent="0.25">
      <c r="B190" t="s">
        <v>405</v>
      </c>
      <c r="C190" s="90" t="str">
        <f>VLOOKUP(Tableau4[[#This Row],[Réf matériel]],Tableau3[],2,FALSE)</f>
        <v>Clé à pipe 13</v>
      </c>
      <c r="D190" s="90">
        <f>VLOOKUP(Tableau4[[#This Row],[Réf matériel]],Tableau3[],3,FALSE)</f>
        <v>6.23</v>
      </c>
      <c r="E190" t="s">
        <v>331</v>
      </c>
      <c r="F190" s="90" t="str">
        <f>VLOOKUP(Tableau4[[#This Row],[Matricule]],Tableau1[],2,FALSE)</f>
        <v>DIALLO</v>
      </c>
      <c r="G190" s="90" t="str">
        <f>VLOOKUP(Tableau4[[#This Row],[Matricule]],Tableau1[],3,FALSE)</f>
        <v>Oumar</v>
      </c>
      <c r="H190" s="90" t="str">
        <f>VLOOKUP(Tableau4[[#This Row],[Matricule]],Tableau1[],4,FALSE)</f>
        <v>ELEC</v>
      </c>
      <c r="I190" s="88">
        <v>43061</v>
      </c>
      <c r="J190" t="s">
        <v>380</v>
      </c>
      <c r="K190" s="90">
        <f>IF(Tableau4[[#This Row],[État]]="Remis",1,0)</f>
        <v>1</v>
      </c>
    </row>
    <row r="191" spans="2:11" x14ac:dyDescent="0.25">
      <c r="B191" t="s">
        <v>408</v>
      </c>
      <c r="C191" s="90" t="str">
        <f>VLOOKUP(Tableau4[[#This Row],[Réf matériel]],Tableau3[],2,FALSE)</f>
        <v>Clé à pipe 17</v>
      </c>
      <c r="D191" s="90">
        <f>VLOOKUP(Tableau4[[#This Row],[Réf matériel]],Tableau3[],3,FALSE)</f>
        <v>9.36</v>
      </c>
      <c r="E191" t="s">
        <v>331</v>
      </c>
      <c r="F191" s="90" t="str">
        <f>VLOOKUP(Tableau4[[#This Row],[Matricule]],Tableau1[],2,FALSE)</f>
        <v>DIALLO</v>
      </c>
      <c r="G191" s="90" t="str">
        <f>VLOOKUP(Tableau4[[#This Row],[Matricule]],Tableau1[],3,FALSE)</f>
        <v>Oumar</v>
      </c>
      <c r="H191" s="90" t="str">
        <f>VLOOKUP(Tableau4[[#This Row],[Matricule]],Tableau1[],4,FALSE)</f>
        <v>ELEC</v>
      </c>
      <c r="I191" s="88">
        <v>43061</v>
      </c>
      <c r="J191" t="s">
        <v>380</v>
      </c>
      <c r="K191" s="90">
        <f>IF(Tableau4[[#This Row],[État]]="Remis",1,0)</f>
        <v>1</v>
      </c>
    </row>
    <row r="192" spans="2:11" x14ac:dyDescent="0.25">
      <c r="B192" t="s">
        <v>409</v>
      </c>
      <c r="C192" s="90" t="str">
        <f>VLOOKUP(Tableau4[[#This Row],[Réf matériel]],Tableau3[],2,FALSE)</f>
        <v>Clé à pipe 19</v>
      </c>
      <c r="D192" s="90">
        <f>VLOOKUP(Tableau4[[#This Row],[Réf matériel]],Tableau3[],3,FALSE)</f>
        <v>10.4</v>
      </c>
      <c r="E192" t="s">
        <v>331</v>
      </c>
      <c r="F192" s="90" t="str">
        <f>VLOOKUP(Tableau4[[#This Row],[Matricule]],Tableau1[],2,FALSE)</f>
        <v>DIALLO</v>
      </c>
      <c r="G192" s="90" t="str">
        <f>VLOOKUP(Tableau4[[#This Row],[Matricule]],Tableau1[],3,FALSE)</f>
        <v>Oumar</v>
      </c>
      <c r="H192" s="90" t="str">
        <f>VLOOKUP(Tableau4[[#This Row],[Matricule]],Tableau1[],4,FALSE)</f>
        <v>ELEC</v>
      </c>
      <c r="I192" s="88">
        <v>43061</v>
      </c>
      <c r="J192" t="s">
        <v>380</v>
      </c>
      <c r="K192" s="90">
        <f>IF(Tableau4[[#This Row],[État]]="Remis",1,0)</f>
        <v>1</v>
      </c>
    </row>
    <row r="193" spans="2:11" x14ac:dyDescent="0.25">
      <c r="B193" t="s">
        <v>410</v>
      </c>
      <c r="C193" s="90" t="str">
        <f>VLOOKUP(Tableau4[[#This Row],[Réf matériel]],Tableau3[],2,FALSE)</f>
        <v>Clé plate 10</v>
      </c>
      <c r="D193" s="90">
        <f>VLOOKUP(Tableau4[[#This Row],[Réf matériel]],Tableau3[],3,FALSE)</f>
        <v>3.32</v>
      </c>
      <c r="E193" t="s">
        <v>331</v>
      </c>
      <c r="F193" s="90" t="str">
        <f>VLOOKUP(Tableau4[[#This Row],[Matricule]],Tableau1[],2,FALSE)</f>
        <v>DIALLO</v>
      </c>
      <c r="G193" s="90" t="str">
        <f>VLOOKUP(Tableau4[[#This Row],[Matricule]],Tableau1[],3,FALSE)</f>
        <v>Oumar</v>
      </c>
      <c r="H193" s="90" t="str">
        <f>VLOOKUP(Tableau4[[#This Row],[Matricule]],Tableau1[],4,FALSE)</f>
        <v>ELEC</v>
      </c>
      <c r="I193" s="88">
        <v>43061</v>
      </c>
      <c r="J193" t="s">
        <v>380</v>
      </c>
      <c r="K193" s="90">
        <f>IF(Tableau4[[#This Row],[État]]="Remis",1,0)</f>
        <v>1</v>
      </c>
    </row>
    <row r="194" spans="2:11" x14ac:dyDescent="0.25">
      <c r="B194" t="s">
        <v>412</v>
      </c>
      <c r="C194" s="90" t="str">
        <f>VLOOKUP(Tableau4[[#This Row],[Réf matériel]],Tableau3[],2,FALSE)</f>
        <v>Clé plate 13</v>
      </c>
      <c r="D194" s="90">
        <f>VLOOKUP(Tableau4[[#This Row],[Réf matériel]],Tableau3[],3,FALSE)</f>
        <v>3.91</v>
      </c>
      <c r="E194" t="s">
        <v>331</v>
      </c>
      <c r="F194" s="90" t="str">
        <f>VLOOKUP(Tableau4[[#This Row],[Matricule]],Tableau1[],2,FALSE)</f>
        <v>DIALLO</v>
      </c>
      <c r="G194" s="90" t="str">
        <f>VLOOKUP(Tableau4[[#This Row],[Matricule]],Tableau1[],3,FALSE)</f>
        <v>Oumar</v>
      </c>
      <c r="H194" s="90" t="str">
        <f>VLOOKUP(Tableau4[[#This Row],[Matricule]],Tableau1[],4,FALSE)</f>
        <v>ELEC</v>
      </c>
      <c r="I194" s="88">
        <v>43061</v>
      </c>
      <c r="J194" t="s">
        <v>380</v>
      </c>
      <c r="K194" s="90">
        <f>IF(Tableau4[[#This Row],[État]]="Remis",1,0)</f>
        <v>1</v>
      </c>
    </row>
    <row r="195" spans="2:11" x14ac:dyDescent="0.25">
      <c r="B195" t="s">
        <v>414</v>
      </c>
      <c r="C195" s="90" t="str">
        <f>VLOOKUP(Tableau4[[#This Row],[Réf matériel]],Tableau3[],2,FALSE)</f>
        <v>Clé plate 17</v>
      </c>
      <c r="D195" s="90">
        <f>VLOOKUP(Tableau4[[#This Row],[Réf matériel]],Tableau3[],3,FALSE)</f>
        <v>5.5</v>
      </c>
      <c r="E195" t="s">
        <v>331</v>
      </c>
      <c r="F195" s="90" t="str">
        <f>VLOOKUP(Tableau4[[#This Row],[Matricule]],Tableau1[],2,FALSE)</f>
        <v>DIALLO</v>
      </c>
      <c r="G195" s="90" t="str">
        <f>VLOOKUP(Tableau4[[#This Row],[Matricule]],Tableau1[],3,FALSE)</f>
        <v>Oumar</v>
      </c>
      <c r="H195" s="90" t="str">
        <f>VLOOKUP(Tableau4[[#This Row],[Matricule]],Tableau1[],4,FALSE)</f>
        <v>ELEC</v>
      </c>
      <c r="I195" s="88">
        <v>43061</v>
      </c>
      <c r="J195" t="s">
        <v>380</v>
      </c>
      <c r="K195" s="90">
        <f>IF(Tableau4[[#This Row],[État]]="Remis",1,0)</f>
        <v>1</v>
      </c>
    </row>
    <row r="196" spans="2:11" x14ac:dyDescent="0.25">
      <c r="B196" t="s">
        <v>415</v>
      </c>
      <c r="C196" s="90" t="str">
        <f>VLOOKUP(Tableau4[[#This Row],[Réf matériel]],Tableau3[],2,FALSE)</f>
        <v>Clé plate 19</v>
      </c>
      <c r="D196" s="90">
        <f>VLOOKUP(Tableau4[[#This Row],[Réf matériel]],Tableau3[],3,FALSE)</f>
        <v>6.07</v>
      </c>
      <c r="E196" t="s">
        <v>331</v>
      </c>
      <c r="F196" s="90" t="str">
        <f>VLOOKUP(Tableau4[[#This Row],[Matricule]],Tableau1[],2,FALSE)</f>
        <v>DIALLO</v>
      </c>
      <c r="G196" s="90" t="str">
        <f>VLOOKUP(Tableau4[[#This Row],[Matricule]],Tableau1[],3,FALSE)</f>
        <v>Oumar</v>
      </c>
      <c r="H196" s="90" t="str">
        <f>VLOOKUP(Tableau4[[#This Row],[Matricule]],Tableau1[],4,FALSE)</f>
        <v>ELEC</v>
      </c>
      <c r="I196" s="88">
        <v>43061</v>
      </c>
      <c r="J196" t="s">
        <v>380</v>
      </c>
      <c r="K196" s="90">
        <f>IF(Tableau4[[#This Row],[État]]="Remis",1,0)</f>
        <v>1</v>
      </c>
    </row>
    <row r="197" spans="2:11" x14ac:dyDescent="0.25">
      <c r="B197" t="s">
        <v>67</v>
      </c>
      <c r="C197" s="90" t="str">
        <f>VLOOKUP(Tableau4[[#This Row],[Réf matériel]],Tableau3[],2,FALSE)</f>
        <v>Cutter</v>
      </c>
      <c r="D197" s="90">
        <f>VLOOKUP(Tableau4[[#This Row],[Réf matériel]],Tableau3[],3,FALSE)</f>
        <v>4.8499999999999996</v>
      </c>
      <c r="E197" t="s">
        <v>331</v>
      </c>
      <c r="F197" s="90" t="str">
        <f>VLOOKUP(Tableau4[[#This Row],[Matricule]],Tableau1[],2,FALSE)</f>
        <v>DIALLO</v>
      </c>
      <c r="G197" s="90" t="str">
        <f>VLOOKUP(Tableau4[[#This Row],[Matricule]],Tableau1[],3,FALSE)</f>
        <v>Oumar</v>
      </c>
      <c r="H197" s="90" t="str">
        <f>VLOOKUP(Tableau4[[#This Row],[Matricule]],Tableau1[],4,FALSE)</f>
        <v>ELEC</v>
      </c>
      <c r="I197" s="88">
        <v>43061</v>
      </c>
      <c r="J197" t="s">
        <v>380</v>
      </c>
      <c r="K197" s="90">
        <f>IF(Tableau4[[#This Row],[État]]="Remis",1,0)</f>
        <v>1</v>
      </c>
    </row>
    <row r="198" spans="2:11" x14ac:dyDescent="0.25">
      <c r="B198" t="s">
        <v>438</v>
      </c>
      <c r="C198" s="90" t="str">
        <f>VLOOKUP(Tableau4[[#This Row],[Réf matériel]],Tableau3[],2,FALSE)</f>
        <v>Outil à dégainer</v>
      </c>
      <c r="D198" s="90">
        <f>VLOOKUP(Tableau4[[#This Row],[Réf matériel]],Tableau3[],3,FALSE)</f>
        <v>20.5</v>
      </c>
      <c r="E198" t="s">
        <v>331</v>
      </c>
      <c r="F198" s="90" t="str">
        <f>VLOOKUP(Tableau4[[#This Row],[Matricule]],Tableau1[],2,FALSE)</f>
        <v>DIALLO</v>
      </c>
      <c r="G198" s="90" t="str">
        <f>VLOOKUP(Tableau4[[#This Row],[Matricule]],Tableau1[],3,FALSE)</f>
        <v>Oumar</v>
      </c>
      <c r="H198" s="90" t="str">
        <f>VLOOKUP(Tableau4[[#This Row],[Matricule]],Tableau1[],4,FALSE)</f>
        <v>ELEC</v>
      </c>
      <c r="I198" s="88">
        <v>43061</v>
      </c>
      <c r="J198" t="s">
        <v>380</v>
      </c>
      <c r="K198" s="90">
        <f>IF(Tableau4[[#This Row],[État]]="Remis",1,0)</f>
        <v>1</v>
      </c>
    </row>
    <row r="199" spans="2:11" x14ac:dyDescent="0.25">
      <c r="B199" t="s">
        <v>74</v>
      </c>
      <c r="C199" s="90" t="str">
        <f>VLOOKUP(Tableau4[[#This Row],[Réf matériel]],Tableau3[],2,FALSE)</f>
        <v>Casque chantier</v>
      </c>
      <c r="D199" s="90">
        <f>VLOOKUP(Tableau4[[#This Row],[Réf matériel]],Tableau3[],3,FALSE)</f>
        <v>29.05</v>
      </c>
      <c r="E199" t="s">
        <v>331</v>
      </c>
      <c r="F199" s="90" t="str">
        <f>VLOOKUP(Tableau4[[#This Row],[Matricule]],Tableau1[],2,FALSE)</f>
        <v>DIALLO</v>
      </c>
      <c r="G199" s="90" t="str">
        <f>VLOOKUP(Tableau4[[#This Row],[Matricule]],Tableau1[],3,FALSE)</f>
        <v>Oumar</v>
      </c>
      <c r="H199" s="90" t="str">
        <f>VLOOKUP(Tableau4[[#This Row],[Matricule]],Tableau1[],4,FALSE)</f>
        <v>ELEC</v>
      </c>
      <c r="I199" s="88">
        <v>43061</v>
      </c>
      <c r="J199" t="s">
        <v>380</v>
      </c>
      <c r="K199" s="90">
        <f>IF(Tableau4[[#This Row],[État]]="Remis",1,0)</f>
        <v>1</v>
      </c>
    </row>
    <row r="200" spans="2:11" x14ac:dyDescent="0.25">
      <c r="B200" t="s">
        <v>75</v>
      </c>
      <c r="C200" s="90" t="str">
        <f>VLOOKUP(Tableau4[[#This Row],[Réf matériel]],Tableau3[],2,FALSE)</f>
        <v>Lampe frontale</v>
      </c>
      <c r="D200" s="90">
        <f>VLOOKUP(Tableau4[[#This Row],[Réf matériel]],Tableau3[],3,FALSE)</f>
        <v>42.5</v>
      </c>
      <c r="E200" t="s">
        <v>331</v>
      </c>
      <c r="F200" s="90" t="str">
        <f>VLOOKUP(Tableau4[[#This Row],[Matricule]],Tableau1[],2,FALSE)</f>
        <v>DIALLO</v>
      </c>
      <c r="G200" s="90" t="str">
        <f>VLOOKUP(Tableau4[[#This Row],[Matricule]],Tableau1[],3,FALSE)</f>
        <v>Oumar</v>
      </c>
      <c r="H200" s="90" t="str">
        <f>VLOOKUP(Tableau4[[#This Row],[Matricule]],Tableau1[],4,FALSE)</f>
        <v>ELEC</v>
      </c>
      <c r="I200" s="88">
        <v>43061</v>
      </c>
      <c r="J200" t="s">
        <v>380</v>
      </c>
      <c r="K200" s="90">
        <f>IF(Tableau4[[#This Row],[État]]="Remis",1,0)</f>
        <v>1</v>
      </c>
    </row>
    <row r="201" spans="2:11" x14ac:dyDescent="0.25">
      <c r="B201" t="s">
        <v>75</v>
      </c>
      <c r="C201" s="90" t="str">
        <f>VLOOKUP(Tableau4[[#This Row],[Réf matériel]],Tableau3[],2,FALSE)</f>
        <v>Lampe frontale</v>
      </c>
      <c r="D201" s="90">
        <f>VLOOKUP(Tableau4[[#This Row],[Réf matériel]],Tableau3[],3,FALSE)</f>
        <v>42.5</v>
      </c>
      <c r="E201" t="s">
        <v>333</v>
      </c>
      <c r="F201" s="90" t="str">
        <f>VLOOKUP(Tableau4[[#This Row],[Matricule]],Tableau1[],2,FALSE)</f>
        <v>FOURAR</v>
      </c>
      <c r="G201" s="90" t="str">
        <f>VLOOKUP(Tableau4[[#This Row],[Matricule]],Tableau1[],3,FALSE)</f>
        <v>Mohamed</v>
      </c>
      <c r="H201" s="90" t="str">
        <f>VLOOKUP(Tableau4[[#This Row],[Matricule]],Tableau1[],4,FALSE)</f>
        <v>RA</v>
      </c>
      <c r="I201" s="88">
        <v>43866</v>
      </c>
      <c r="J201" t="s">
        <v>380</v>
      </c>
      <c r="K201" s="90">
        <f>IF(Tableau4[[#This Row],[État]]="Remis",1,0)</f>
        <v>1</v>
      </c>
    </row>
    <row r="202" spans="2:11" x14ac:dyDescent="0.25">
      <c r="B202" s="98" t="s">
        <v>392</v>
      </c>
      <c r="C202" s="100" t="str">
        <f>VLOOKUP(Tableau4[[#This Row],[Réf matériel]],Tableau3[],2,FALSE)</f>
        <v>Coffre</v>
      </c>
      <c r="D202" s="100">
        <f>VLOOKUP(Tableau4[[#This Row],[Réf matériel]],Tableau3[],3,FALSE)</f>
        <v>54.54</v>
      </c>
      <c r="E202" s="97" t="s">
        <v>335</v>
      </c>
      <c r="F202" s="100" t="str">
        <f>VLOOKUP(Tableau4[[#This Row],[Matricule]],Tableau1[],2,FALSE)</f>
        <v>GALLE</v>
      </c>
      <c r="G202" s="100" t="str">
        <f>VLOOKUP(Tableau4[[#This Row],[Matricule]],Tableau1[],3,FALSE)</f>
        <v>Gérard</v>
      </c>
      <c r="H202" s="100" t="str">
        <f>VLOOKUP(Tableau4[[#This Row],[Matricule]],Tableau1[],4,FALSE)</f>
        <v>GC</v>
      </c>
      <c r="I202" s="99">
        <v>43546</v>
      </c>
      <c r="J202" s="98" t="s">
        <v>380</v>
      </c>
      <c r="K202" s="90">
        <f>IF(Tableau4[[#This Row],[État]]="Remis",1,0)</f>
        <v>1</v>
      </c>
    </row>
    <row r="203" spans="2:11" x14ac:dyDescent="0.25">
      <c r="B203" t="s">
        <v>55</v>
      </c>
      <c r="C203" s="90" t="str">
        <f>VLOOKUP(Tableau4[[#This Row],[Réf matériel]],Tableau3[],2,FALSE)</f>
        <v>Niveau</v>
      </c>
      <c r="D203" s="90">
        <f>VLOOKUP(Tableau4[[#This Row],[Réf matériel]],Tableau3[],3,FALSE)</f>
        <v>15</v>
      </c>
      <c r="E203" t="s">
        <v>335</v>
      </c>
      <c r="F203" s="90" t="str">
        <f>VLOOKUP(Tableau4[[#This Row],[Matricule]],Tableau1[],2,FALSE)</f>
        <v>GALLE</v>
      </c>
      <c r="G203" s="90" t="str">
        <f>VLOOKUP(Tableau4[[#This Row],[Matricule]],Tableau1[],3,FALSE)</f>
        <v>Gérard</v>
      </c>
      <c r="H203" s="90" t="str">
        <f>VLOOKUP(Tableau4[[#This Row],[Matricule]],Tableau1[],4,FALSE)</f>
        <v>GC</v>
      </c>
      <c r="I203" s="88">
        <v>43511</v>
      </c>
      <c r="J203" t="s">
        <v>380</v>
      </c>
      <c r="K203" s="90">
        <f>IF(Tableau4[[#This Row],[État]]="Remis",1,0)</f>
        <v>1</v>
      </c>
    </row>
    <row r="204" spans="2:11" x14ac:dyDescent="0.25">
      <c r="B204" t="s">
        <v>419</v>
      </c>
      <c r="C204" s="90" t="str">
        <f>VLOOKUP(Tableau4[[#This Row],[Réf matériel]],Tableau3[],2,FALSE)</f>
        <v>Jeu de Clés torx</v>
      </c>
      <c r="D204" s="90">
        <f>VLOOKUP(Tableau4[[#This Row],[Réf matériel]],Tableau3[],3,FALSE)</f>
        <v>45</v>
      </c>
      <c r="E204" t="s">
        <v>335</v>
      </c>
      <c r="F204" s="90" t="str">
        <f>VLOOKUP(Tableau4[[#This Row],[Matricule]],Tableau1[],2,FALSE)</f>
        <v>GALLE</v>
      </c>
      <c r="G204" s="90" t="str">
        <f>VLOOKUP(Tableau4[[#This Row],[Matricule]],Tableau1[],3,FALSE)</f>
        <v>Gérard</v>
      </c>
      <c r="H204" s="90" t="str">
        <f>VLOOKUP(Tableau4[[#This Row],[Matricule]],Tableau1[],4,FALSE)</f>
        <v>GC</v>
      </c>
      <c r="I204" s="88">
        <v>43892</v>
      </c>
      <c r="J204" t="s">
        <v>380</v>
      </c>
      <c r="K204" s="90">
        <f>IF(Tableau4[[#This Row],[État]]="Remis",1,0)</f>
        <v>1</v>
      </c>
    </row>
    <row r="205" spans="2:11" x14ac:dyDescent="0.25">
      <c r="B205" t="s">
        <v>439</v>
      </c>
      <c r="C205" s="90" t="str">
        <f>VLOOKUP(Tableau4[[#This Row],[Réf matériel]],Tableau3[],2,FALSE)</f>
        <v>Pince à Sertir</v>
      </c>
      <c r="D205" s="90">
        <f>VLOOKUP(Tableau4[[#This Row],[Réf matériel]],Tableau3[],3,FALSE)</f>
        <v>78.400000000000006</v>
      </c>
      <c r="E205" t="s">
        <v>335</v>
      </c>
      <c r="F205" s="90" t="str">
        <f>VLOOKUP(Tableau4[[#This Row],[Matricule]],Tableau1[],2,FALSE)</f>
        <v>GALLE</v>
      </c>
      <c r="G205" s="90" t="str">
        <f>VLOOKUP(Tableau4[[#This Row],[Matricule]],Tableau1[],3,FALSE)</f>
        <v>Gérard</v>
      </c>
      <c r="H205" s="90" t="str">
        <f>VLOOKUP(Tableau4[[#This Row],[Matricule]],Tableau1[],4,FALSE)</f>
        <v>GC</v>
      </c>
      <c r="I205" s="88">
        <v>43573</v>
      </c>
      <c r="J205" t="s">
        <v>380</v>
      </c>
      <c r="K205" s="90">
        <f>IF(Tableau4[[#This Row],[État]]="Remis",1,0)</f>
        <v>1</v>
      </c>
    </row>
    <row r="206" spans="2:11" x14ac:dyDescent="0.25">
      <c r="B206" t="s">
        <v>441</v>
      </c>
      <c r="C206" s="90" t="str">
        <f>VLOOKUP(Tableau4[[#This Row],[Réf matériel]],Tableau3[],2,FALSE)</f>
        <v>Lunette de protection</v>
      </c>
      <c r="D206" s="90">
        <f>VLOOKUP(Tableau4[[#This Row],[Réf matériel]],Tableau3[],3,FALSE)</f>
        <v>2.38</v>
      </c>
      <c r="E206" t="s">
        <v>335</v>
      </c>
      <c r="F206" s="90" t="str">
        <f>VLOOKUP(Tableau4[[#This Row],[Matricule]],Tableau1[],2,FALSE)</f>
        <v>GALLE</v>
      </c>
      <c r="G206" s="90" t="str">
        <f>VLOOKUP(Tableau4[[#This Row],[Matricule]],Tableau1[],3,FALSE)</f>
        <v>Gérard</v>
      </c>
      <c r="H206" s="90" t="str">
        <f>VLOOKUP(Tableau4[[#This Row],[Matricule]],Tableau1[],4,FALSE)</f>
        <v>GC</v>
      </c>
      <c r="I206" s="88">
        <v>43511</v>
      </c>
      <c r="J206" t="s">
        <v>380</v>
      </c>
      <c r="K206" s="90">
        <f>IF(Tableau4[[#This Row],[État]]="Remis",1,0)</f>
        <v>1</v>
      </c>
    </row>
    <row r="207" spans="2:11" x14ac:dyDescent="0.25">
      <c r="B207" t="s">
        <v>75</v>
      </c>
      <c r="C207" s="90" t="str">
        <f>VLOOKUP(Tableau4[[#This Row],[Réf matériel]],Tableau3[],2,FALSE)</f>
        <v>Lampe frontale</v>
      </c>
      <c r="D207" s="90">
        <f>VLOOKUP(Tableau4[[#This Row],[Réf matériel]],Tableau3[],3,FALSE)</f>
        <v>42.5</v>
      </c>
      <c r="E207" t="s">
        <v>335</v>
      </c>
      <c r="F207" s="90" t="str">
        <f>VLOOKUP(Tableau4[[#This Row],[Matricule]],Tableau1[],2,FALSE)</f>
        <v>GALLE</v>
      </c>
      <c r="G207" s="90" t="str">
        <f>VLOOKUP(Tableau4[[#This Row],[Matricule]],Tableau1[],3,FALSE)</f>
        <v>Gérard</v>
      </c>
      <c r="H207" s="90" t="str">
        <f>VLOOKUP(Tableau4[[#This Row],[Matricule]],Tableau1[],4,FALSE)</f>
        <v>GC</v>
      </c>
      <c r="I207" s="88">
        <v>43070</v>
      </c>
      <c r="J207" t="s">
        <v>380</v>
      </c>
      <c r="K207" s="90">
        <f>IF(Tableau4[[#This Row],[État]]="Remis",1,0)</f>
        <v>1</v>
      </c>
    </row>
    <row r="208" spans="2:11" x14ac:dyDescent="0.25">
      <c r="B208" t="s">
        <v>428</v>
      </c>
      <c r="C208" s="90" t="str">
        <f>VLOOKUP(Tableau4[[#This Row],[Réf matériel]],Tableau3[],2,FALSE)</f>
        <v>Pince multiprise</v>
      </c>
      <c r="D208" s="90">
        <f>VLOOKUP(Tableau4[[#This Row],[Réf matériel]],Tableau3[],3,FALSE)</f>
        <v>27.2</v>
      </c>
      <c r="E208" t="s">
        <v>335</v>
      </c>
      <c r="F208" s="90" t="str">
        <f>VLOOKUP(Tableau4[[#This Row],[Matricule]],Tableau1[],2,FALSE)</f>
        <v>GALLE</v>
      </c>
      <c r="G208" s="90" t="str">
        <f>VLOOKUP(Tableau4[[#This Row],[Matricule]],Tableau1[],3,FALSE)</f>
        <v>Gérard</v>
      </c>
      <c r="H208" s="90" t="str">
        <f>VLOOKUP(Tableau4[[#This Row],[Matricule]],Tableau1[],4,FALSE)</f>
        <v>GC</v>
      </c>
      <c r="I208" s="88">
        <v>43511</v>
      </c>
      <c r="J208" t="s">
        <v>380</v>
      </c>
      <c r="K208" s="90">
        <f>IF(Tableau4[[#This Row],[État]]="Remis",1,0)</f>
        <v>1</v>
      </c>
    </row>
    <row r="209" spans="2:11" x14ac:dyDescent="0.25">
      <c r="B209" t="s">
        <v>119</v>
      </c>
      <c r="C209" s="90" t="str">
        <f>VLOOKUP(Tableau4[[#This Row],[Réf matériel]],Tableau3[],2,FALSE)</f>
        <v>Douille de 17</v>
      </c>
      <c r="D209" s="90">
        <f>VLOOKUP(Tableau4[[#This Row],[Réf matériel]],Tableau3[],3,FALSE)</f>
        <v>2.91</v>
      </c>
      <c r="E209" t="s">
        <v>335</v>
      </c>
      <c r="F209" s="90" t="str">
        <f>VLOOKUP(Tableau4[[#This Row],[Matricule]],Tableau1[],2,FALSE)</f>
        <v>GALLE</v>
      </c>
      <c r="G209" s="90" t="str">
        <f>VLOOKUP(Tableau4[[#This Row],[Matricule]],Tableau1[],3,FALSE)</f>
        <v>Gérard</v>
      </c>
      <c r="H209" s="90" t="str">
        <f>VLOOKUP(Tableau4[[#This Row],[Matricule]],Tableau1[],4,FALSE)</f>
        <v>GC</v>
      </c>
      <c r="I209" s="88">
        <v>43511</v>
      </c>
      <c r="J209" t="s">
        <v>380</v>
      </c>
      <c r="K209" s="90">
        <f>IF(Tableau4[[#This Row],[État]]="Remis",1,0)</f>
        <v>1</v>
      </c>
    </row>
    <row r="210" spans="2:11" x14ac:dyDescent="0.25">
      <c r="B210" s="98" t="s">
        <v>392</v>
      </c>
      <c r="C210" s="100" t="str">
        <f>VLOOKUP(Tableau4[[#This Row],[Réf matériel]],Tableau3[],2,FALSE)</f>
        <v>Coffre</v>
      </c>
      <c r="D210" s="100">
        <f>VLOOKUP(Tableau4[[#This Row],[Réf matériel]],Tableau3[],3,FALSE)</f>
        <v>54.54</v>
      </c>
      <c r="E210" s="97" t="s">
        <v>336</v>
      </c>
      <c r="F210" s="100" t="str">
        <f>VLOOKUP(Tableau4[[#This Row],[Matricule]],Tableau1[],2,FALSE)</f>
        <v>GERMAIN</v>
      </c>
      <c r="G210" s="100" t="str">
        <f>VLOOKUP(Tableau4[[#This Row],[Matricule]],Tableau1[],3,FALSE)</f>
        <v>Rudy</v>
      </c>
      <c r="H210" s="100" t="str">
        <f>VLOOKUP(Tableau4[[#This Row],[Matricule]],Tableau1[],4,FALSE)</f>
        <v>ELEC</v>
      </c>
      <c r="I210" s="99">
        <v>43060</v>
      </c>
      <c r="J210" s="98" t="s">
        <v>515</v>
      </c>
      <c r="K210" s="90">
        <f>IF(Tableau4[[#This Row],[État]]="Remis",1,0)</f>
        <v>1</v>
      </c>
    </row>
    <row r="211" spans="2:11" x14ac:dyDescent="0.25">
      <c r="B211" t="s">
        <v>393</v>
      </c>
      <c r="C211" s="90" t="str">
        <f>VLOOKUP(Tableau4[[#This Row],[Réf matériel]],Tableau3[],2,FALSE)</f>
        <v>Clé à molette</v>
      </c>
      <c r="D211" s="90">
        <f>VLOOKUP(Tableau4[[#This Row],[Réf matériel]],Tableau3[],3,FALSE)</f>
        <v>16.12</v>
      </c>
      <c r="E211" t="s">
        <v>336</v>
      </c>
      <c r="F211" s="90" t="str">
        <f>VLOOKUP(Tableau4[[#This Row],[Matricule]],Tableau1[],2,FALSE)</f>
        <v>GERMAIN</v>
      </c>
      <c r="G211" s="90" t="str">
        <f>VLOOKUP(Tableau4[[#This Row],[Matricule]],Tableau1[],3,FALSE)</f>
        <v>Rudy</v>
      </c>
      <c r="H211" s="90" t="str">
        <f>VLOOKUP(Tableau4[[#This Row],[Matricule]],Tableau1[],4,FALSE)</f>
        <v>ELEC</v>
      </c>
      <c r="I211" s="99">
        <v>43060</v>
      </c>
      <c r="J211" s="98" t="s">
        <v>515</v>
      </c>
      <c r="K211" s="90">
        <f>IF(Tableau4[[#This Row],[État]]="Remis",1,0)</f>
        <v>1</v>
      </c>
    </row>
    <row r="212" spans="2:11" x14ac:dyDescent="0.25">
      <c r="B212" t="s">
        <v>278</v>
      </c>
      <c r="C212" s="90" t="str">
        <f>VLOOKUP(Tableau4[[#This Row],[Réf matériel]],Tableau3[],2,FALSE)</f>
        <v>Pince à dénuder</v>
      </c>
      <c r="D212" s="90">
        <f>VLOOKUP(Tableau4[[#This Row],[Réf matériel]],Tableau3[],3,FALSE)</f>
        <v>24.55</v>
      </c>
      <c r="E212" t="s">
        <v>336</v>
      </c>
      <c r="F212" s="90" t="str">
        <f>VLOOKUP(Tableau4[[#This Row],[Matricule]],Tableau1[],2,FALSE)</f>
        <v>GERMAIN</v>
      </c>
      <c r="G212" s="90" t="str">
        <f>VLOOKUP(Tableau4[[#This Row],[Matricule]],Tableau1[],3,FALSE)</f>
        <v>Rudy</v>
      </c>
      <c r="H212" s="90" t="str">
        <f>VLOOKUP(Tableau4[[#This Row],[Matricule]],Tableau1[],4,FALSE)</f>
        <v>ELEC</v>
      </c>
      <c r="I212" s="99">
        <v>43060</v>
      </c>
      <c r="J212" s="98" t="s">
        <v>515</v>
      </c>
      <c r="K212" s="90">
        <f>IF(Tableau4[[#This Row],[État]]="Remis",1,0)</f>
        <v>1</v>
      </c>
    </row>
    <row r="213" spans="2:11" x14ac:dyDescent="0.25">
      <c r="B213" t="s">
        <v>280</v>
      </c>
      <c r="C213" s="90" t="str">
        <f>VLOOKUP(Tableau4[[#This Row],[Réf matériel]],Tableau3[],2,FALSE)</f>
        <v>Pince coupante 1000v</v>
      </c>
      <c r="D213" s="90">
        <f>VLOOKUP(Tableau4[[#This Row],[Réf matériel]],Tableau3[],3,FALSE)</f>
        <v>20.87</v>
      </c>
      <c r="E213" t="s">
        <v>336</v>
      </c>
      <c r="F213" s="90" t="str">
        <f>VLOOKUP(Tableau4[[#This Row],[Matricule]],Tableau1[],2,FALSE)</f>
        <v>GERMAIN</v>
      </c>
      <c r="G213" s="90" t="str">
        <f>VLOOKUP(Tableau4[[#This Row],[Matricule]],Tableau1[],3,FALSE)</f>
        <v>Rudy</v>
      </c>
      <c r="H213" s="90" t="str">
        <f>VLOOKUP(Tableau4[[#This Row],[Matricule]],Tableau1[],4,FALSE)</f>
        <v>ELEC</v>
      </c>
      <c r="I213" s="99">
        <v>43060</v>
      </c>
      <c r="J213" s="98" t="s">
        <v>515</v>
      </c>
      <c r="K213" s="90">
        <f>IF(Tableau4[[#This Row],[État]]="Remis",1,0)</f>
        <v>1</v>
      </c>
    </row>
    <row r="214" spans="2:11" x14ac:dyDescent="0.25">
      <c r="B214" t="s">
        <v>281</v>
      </c>
      <c r="C214" s="90" t="str">
        <f>VLOOKUP(Tableau4[[#This Row],[Réf matériel]],Tableau3[],2,FALSE)</f>
        <v>Scie à métaux</v>
      </c>
      <c r="D214" s="90">
        <f>VLOOKUP(Tableau4[[#This Row],[Réf matériel]],Tableau3[],3,FALSE)</f>
        <v>11.26</v>
      </c>
      <c r="E214" t="s">
        <v>336</v>
      </c>
      <c r="F214" s="90" t="str">
        <f>VLOOKUP(Tableau4[[#This Row],[Matricule]],Tableau1[],2,FALSE)</f>
        <v>GERMAIN</v>
      </c>
      <c r="G214" s="90" t="str">
        <f>VLOOKUP(Tableau4[[#This Row],[Matricule]],Tableau1[],3,FALSE)</f>
        <v>Rudy</v>
      </c>
      <c r="H214" s="90" t="str">
        <f>VLOOKUP(Tableau4[[#This Row],[Matricule]],Tableau1[],4,FALSE)</f>
        <v>ELEC</v>
      </c>
      <c r="I214" s="99">
        <v>43060</v>
      </c>
      <c r="J214" s="98" t="s">
        <v>515</v>
      </c>
      <c r="K214" s="90">
        <f>IF(Tableau4[[#This Row],[État]]="Remis",1,0)</f>
        <v>1</v>
      </c>
    </row>
    <row r="215" spans="2:11" x14ac:dyDescent="0.25">
      <c r="B215" t="s">
        <v>51</v>
      </c>
      <c r="C215" s="90" t="str">
        <f>VLOOKUP(Tableau4[[#This Row],[Réf matériel]],Tableau3[],2,FALSE)</f>
        <v>Mètre pliant</v>
      </c>
      <c r="D215" s="90">
        <f>VLOOKUP(Tableau4[[#This Row],[Réf matériel]],Tableau3[],3,FALSE)</f>
        <v>3.2</v>
      </c>
      <c r="E215" t="s">
        <v>336</v>
      </c>
      <c r="F215" s="90" t="str">
        <f>VLOOKUP(Tableau4[[#This Row],[Matricule]],Tableau1[],2,FALSE)</f>
        <v>GERMAIN</v>
      </c>
      <c r="G215" s="90" t="str">
        <f>VLOOKUP(Tableau4[[#This Row],[Matricule]],Tableau1[],3,FALSE)</f>
        <v>Rudy</v>
      </c>
      <c r="H215" s="90" t="str">
        <f>VLOOKUP(Tableau4[[#This Row],[Matricule]],Tableau1[],4,FALSE)</f>
        <v>ELEC</v>
      </c>
      <c r="I215" s="99">
        <v>43060</v>
      </c>
      <c r="J215" s="98" t="s">
        <v>515</v>
      </c>
      <c r="K215" s="90">
        <f>IF(Tableau4[[#This Row],[État]]="Remis",1,0)</f>
        <v>1</v>
      </c>
    </row>
    <row r="216" spans="2:11" x14ac:dyDescent="0.25">
      <c r="B216" t="s">
        <v>398</v>
      </c>
      <c r="C216" s="90" t="str">
        <f>VLOOKUP(Tableau4[[#This Row],[Réf matériel]],Tableau3[],2,FALSE)</f>
        <v>Coffret douilles</v>
      </c>
      <c r="D216" s="90">
        <f>VLOOKUP(Tableau4[[#This Row],[Réf matériel]],Tableau3[],3,FALSE)</f>
        <v>103.22</v>
      </c>
      <c r="E216" t="s">
        <v>336</v>
      </c>
      <c r="F216" s="90" t="str">
        <f>VLOOKUP(Tableau4[[#This Row],[Matricule]],Tableau1[],2,FALSE)</f>
        <v>GERMAIN</v>
      </c>
      <c r="G216" s="90" t="str">
        <f>VLOOKUP(Tableau4[[#This Row],[Matricule]],Tableau1[],3,FALSE)</f>
        <v>Rudy</v>
      </c>
      <c r="H216" s="90" t="str">
        <f>VLOOKUP(Tableau4[[#This Row],[Matricule]],Tableau1[],4,FALSE)</f>
        <v>ELEC</v>
      </c>
      <c r="I216" s="99">
        <v>43060</v>
      </c>
      <c r="J216" s="98" t="s">
        <v>515</v>
      </c>
      <c r="K216" s="90">
        <f>IF(Tableau4[[#This Row],[État]]="Remis",1,0)</f>
        <v>1</v>
      </c>
    </row>
    <row r="217" spans="2:11" x14ac:dyDescent="0.25">
      <c r="B217" t="s">
        <v>410</v>
      </c>
      <c r="C217" s="90" t="str">
        <f>VLOOKUP(Tableau4[[#This Row],[Réf matériel]],Tableau3[],2,FALSE)</f>
        <v>Clé plate 10</v>
      </c>
      <c r="D217" s="90">
        <f>VLOOKUP(Tableau4[[#This Row],[Réf matériel]],Tableau3[],3,FALSE)</f>
        <v>3.32</v>
      </c>
      <c r="E217" t="s">
        <v>336</v>
      </c>
      <c r="F217" s="90" t="str">
        <f>VLOOKUP(Tableau4[[#This Row],[Matricule]],Tableau1[],2,FALSE)</f>
        <v>GERMAIN</v>
      </c>
      <c r="G217" s="90" t="str">
        <f>VLOOKUP(Tableau4[[#This Row],[Matricule]],Tableau1[],3,FALSE)</f>
        <v>Rudy</v>
      </c>
      <c r="H217" s="90" t="str">
        <f>VLOOKUP(Tableau4[[#This Row],[Matricule]],Tableau1[],4,FALSE)</f>
        <v>ELEC</v>
      </c>
      <c r="I217" s="99">
        <v>43060</v>
      </c>
      <c r="J217" s="98" t="s">
        <v>515</v>
      </c>
      <c r="K217" s="90">
        <f>IF(Tableau4[[#This Row],[État]]="Remis",1,0)</f>
        <v>1</v>
      </c>
    </row>
    <row r="218" spans="2:11" x14ac:dyDescent="0.25">
      <c r="B218" t="s">
        <v>412</v>
      </c>
      <c r="C218" s="90" t="str">
        <f>VLOOKUP(Tableau4[[#This Row],[Réf matériel]],Tableau3[],2,FALSE)</f>
        <v>Clé plate 13</v>
      </c>
      <c r="D218" s="90">
        <f>VLOOKUP(Tableau4[[#This Row],[Réf matériel]],Tableau3[],3,FALSE)</f>
        <v>3.91</v>
      </c>
      <c r="E218" t="s">
        <v>336</v>
      </c>
      <c r="F218" s="90" t="str">
        <f>VLOOKUP(Tableau4[[#This Row],[Matricule]],Tableau1[],2,FALSE)</f>
        <v>GERMAIN</v>
      </c>
      <c r="G218" s="90" t="str">
        <f>VLOOKUP(Tableau4[[#This Row],[Matricule]],Tableau1[],3,FALSE)</f>
        <v>Rudy</v>
      </c>
      <c r="H218" s="90" t="str">
        <f>VLOOKUP(Tableau4[[#This Row],[Matricule]],Tableau1[],4,FALSE)</f>
        <v>ELEC</v>
      </c>
      <c r="I218" s="99">
        <v>43060</v>
      </c>
      <c r="J218" s="98" t="s">
        <v>515</v>
      </c>
      <c r="K218" s="90">
        <f>IF(Tableau4[[#This Row],[État]]="Remis",1,0)</f>
        <v>1</v>
      </c>
    </row>
    <row r="219" spans="2:11" x14ac:dyDescent="0.25">
      <c r="B219" t="s">
        <v>414</v>
      </c>
      <c r="C219" s="90" t="str">
        <f>VLOOKUP(Tableau4[[#This Row],[Réf matériel]],Tableau3[],2,FALSE)</f>
        <v>Clé plate 17</v>
      </c>
      <c r="D219" s="90">
        <f>VLOOKUP(Tableau4[[#This Row],[Réf matériel]],Tableau3[],3,FALSE)</f>
        <v>5.5</v>
      </c>
      <c r="E219" t="s">
        <v>336</v>
      </c>
      <c r="F219" s="90" t="str">
        <f>VLOOKUP(Tableau4[[#This Row],[Matricule]],Tableau1[],2,FALSE)</f>
        <v>GERMAIN</v>
      </c>
      <c r="G219" s="90" t="str">
        <f>VLOOKUP(Tableau4[[#This Row],[Matricule]],Tableau1[],3,FALSE)</f>
        <v>Rudy</v>
      </c>
      <c r="H219" s="90" t="str">
        <f>VLOOKUP(Tableau4[[#This Row],[Matricule]],Tableau1[],4,FALSE)</f>
        <v>ELEC</v>
      </c>
      <c r="I219" s="99">
        <v>43060</v>
      </c>
      <c r="J219" s="98" t="s">
        <v>515</v>
      </c>
      <c r="K219" s="90">
        <f>IF(Tableau4[[#This Row],[État]]="Remis",1,0)</f>
        <v>1</v>
      </c>
    </row>
    <row r="220" spans="2:11" x14ac:dyDescent="0.25">
      <c r="B220" t="s">
        <v>415</v>
      </c>
      <c r="C220" s="90" t="str">
        <f>VLOOKUP(Tableau4[[#This Row],[Réf matériel]],Tableau3[],2,FALSE)</f>
        <v>Clé plate 19</v>
      </c>
      <c r="D220" s="90">
        <f>VLOOKUP(Tableau4[[#This Row],[Réf matériel]],Tableau3[],3,FALSE)</f>
        <v>6.07</v>
      </c>
      <c r="E220" t="s">
        <v>336</v>
      </c>
      <c r="F220" s="90" t="str">
        <f>VLOOKUP(Tableau4[[#This Row],[Matricule]],Tableau1[],2,FALSE)</f>
        <v>GERMAIN</v>
      </c>
      <c r="G220" s="90" t="str">
        <f>VLOOKUP(Tableau4[[#This Row],[Matricule]],Tableau1[],3,FALSE)</f>
        <v>Rudy</v>
      </c>
      <c r="H220" s="90" t="str">
        <f>VLOOKUP(Tableau4[[#This Row],[Matricule]],Tableau1[],4,FALSE)</f>
        <v>ELEC</v>
      </c>
      <c r="I220" s="99">
        <v>43060</v>
      </c>
      <c r="J220" s="98" t="s">
        <v>515</v>
      </c>
      <c r="K220" s="90">
        <f>IF(Tableau4[[#This Row],[État]]="Remis",1,0)</f>
        <v>1</v>
      </c>
    </row>
    <row r="221" spans="2:11" x14ac:dyDescent="0.25">
      <c r="B221" t="s">
        <v>420</v>
      </c>
      <c r="C221" s="90" t="str">
        <f>VLOOKUP(Tableau4[[#This Row],[Réf matériel]],Tableau3[],2,FALSE)</f>
        <v>Clé allen</v>
      </c>
      <c r="D221" s="90">
        <f>VLOOKUP(Tableau4[[#This Row],[Réf matériel]],Tableau3[],3,FALSE)</f>
        <v>27.5</v>
      </c>
      <c r="E221" t="s">
        <v>336</v>
      </c>
      <c r="F221" s="90" t="str">
        <f>VLOOKUP(Tableau4[[#This Row],[Matricule]],Tableau1[],2,FALSE)</f>
        <v>GERMAIN</v>
      </c>
      <c r="G221" s="90" t="str">
        <f>VLOOKUP(Tableau4[[#This Row],[Matricule]],Tableau1[],3,FALSE)</f>
        <v>Rudy</v>
      </c>
      <c r="H221" s="90" t="str">
        <f>VLOOKUP(Tableau4[[#This Row],[Matricule]],Tableau1[],4,FALSE)</f>
        <v>ELEC</v>
      </c>
      <c r="I221" s="99">
        <v>43060</v>
      </c>
      <c r="J221" s="98" t="s">
        <v>515</v>
      </c>
      <c r="K221" s="90">
        <f>IF(Tableau4[[#This Row],[État]]="Remis",1,0)</f>
        <v>1</v>
      </c>
    </row>
    <row r="222" spans="2:11" x14ac:dyDescent="0.25">
      <c r="B222" t="s">
        <v>439</v>
      </c>
      <c r="C222" s="90" t="str">
        <f>VLOOKUP(Tableau4[[#This Row],[Réf matériel]],Tableau3[],2,FALSE)</f>
        <v>Pince à Sertir</v>
      </c>
      <c r="D222" s="90">
        <f>VLOOKUP(Tableau4[[#This Row],[Réf matériel]],Tableau3[],3,FALSE)</f>
        <v>78.400000000000006</v>
      </c>
      <c r="E222" t="s">
        <v>336</v>
      </c>
      <c r="F222" s="90" t="str">
        <f>VLOOKUP(Tableau4[[#This Row],[Matricule]],Tableau1[],2,FALSE)</f>
        <v>GERMAIN</v>
      </c>
      <c r="G222" s="90" t="str">
        <f>VLOOKUP(Tableau4[[#This Row],[Matricule]],Tableau1[],3,FALSE)</f>
        <v>Rudy</v>
      </c>
      <c r="H222" s="90" t="str">
        <f>VLOOKUP(Tableau4[[#This Row],[Matricule]],Tableau1[],4,FALSE)</f>
        <v>ELEC</v>
      </c>
      <c r="I222" s="99">
        <v>43060</v>
      </c>
      <c r="J222" s="98" t="s">
        <v>515</v>
      </c>
      <c r="K222" s="90">
        <f>IF(Tableau4[[#This Row],[État]]="Remis",1,0)</f>
        <v>1</v>
      </c>
    </row>
    <row r="223" spans="2:11" x14ac:dyDescent="0.25">
      <c r="B223" t="s">
        <v>440</v>
      </c>
      <c r="C223" s="90" t="str">
        <f>VLOOKUP(Tableau4[[#This Row],[Réf matériel]],Tableau3[],2,FALSE)</f>
        <v>Testeur Fluke</v>
      </c>
      <c r="D223" s="90">
        <f>VLOOKUP(Tableau4[[#This Row],[Réf matériel]],Tableau3[],3,FALSE)</f>
        <v>0</v>
      </c>
      <c r="E223" t="s">
        <v>336</v>
      </c>
      <c r="F223" s="90" t="str">
        <f>VLOOKUP(Tableau4[[#This Row],[Matricule]],Tableau1[],2,FALSE)</f>
        <v>GERMAIN</v>
      </c>
      <c r="G223" s="90" t="str">
        <f>VLOOKUP(Tableau4[[#This Row],[Matricule]],Tableau1[],3,FALSE)</f>
        <v>Rudy</v>
      </c>
      <c r="H223" s="90" t="str">
        <f>VLOOKUP(Tableau4[[#This Row],[Matricule]],Tableau1[],4,FALSE)</f>
        <v>ELEC</v>
      </c>
      <c r="I223" s="99">
        <v>43060</v>
      </c>
      <c r="J223" s="98" t="s">
        <v>515</v>
      </c>
      <c r="K223" s="90">
        <f>IF(Tableau4[[#This Row],[État]]="Remis",1,0)</f>
        <v>1</v>
      </c>
    </row>
    <row r="224" spans="2:11" x14ac:dyDescent="0.25">
      <c r="B224" t="s">
        <v>399</v>
      </c>
      <c r="C224" s="90" t="str">
        <f>VLOOKUP(Tableau4[[#This Row],[Réf matériel]],Tableau3[],2,FALSE)</f>
        <v>Boite embouts</v>
      </c>
      <c r="D224" s="90">
        <f>VLOOKUP(Tableau4[[#This Row],[Réf matériel]],Tableau3[],3,FALSE)</f>
        <v>27.61</v>
      </c>
      <c r="E224" t="s">
        <v>336</v>
      </c>
      <c r="F224" s="90" t="str">
        <f>VLOOKUP(Tableau4[[#This Row],[Matricule]],Tableau1[],2,FALSE)</f>
        <v>GERMAIN</v>
      </c>
      <c r="G224" s="90" t="str">
        <f>VLOOKUP(Tableau4[[#This Row],[Matricule]],Tableau1[],3,FALSE)</f>
        <v>Rudy</v>
      </c>
      <c r="H224" s="90" t="str">
        <f>VLOOKUP(Tableau4[[#This Row],[Matricule]],Tableau1[],4,FALSE)</f>
        <v>ELEC</v>
      </c>
      <c r="I224" s="99">
        <v>43060</v>
      </c>
      <c r="J224" s="98" t="s">
        <v>515</v>
      </c>
      <c r="K224" s="90">
        <f>IF(Tableau4[[#This Row],[État]]="Remis",1,0)</f>
        <v>1</v>
      </c>
    </row>
    <row r="225" spans="2:11" x14ac:dyDescent="0.25">
      <c r="B225" t="s">
        <v>72</v>
      </c>
      <c r="C225" s="90" t="str">
        <f>VLOOKUP(Tableau4[[#This Row],[Réf matériel]],Tableau3[],2,FALSE)</f>
        <v>Pince colson</v>
      </c>
      <c r="D225" s="90">
        <f>VLOOKUP(Tableau4[[#This Row],[Réf matériel]],Tableau3[],3,FALSE)</f>
        <v>46.91</v>
      </c>
      <c r="E225" t="s">
        <v>336</v>
      </c>
      <c r="F225" s="90" t="str">
        <f>VLOOKUP(Tableau4[[#This Row],[Matricule]],Tableau1[],2,FALSE)</f>
        <v>GERMAIN</v>
      </c>
      <c r="G225" s="90" t="str">
        <f>VLOOKUP(Tableau4[[#This Row],[Matricule]],Tableau1[],3,FALSE)</f>
        <v>Rudy</v>
      </c>
      <c r="H225" s="90" t="str">
        <f>VLOOKUP(Tableau4[[#This Row],[Matricule]],Tableau1[],4,FALSE)</f>
        <v>ELEC</v>
      </c>
      <c r="I225" s="99">
        <v>43060</v>
      </c>
      <c r="J225" s="98" t="s">
        <v>515</v>
      </c>
      <c r="K225" s="90">
        <f>IF(Tableau4[[#This Row],[État]]="Remis",1,0)</f>
        <v>1</v>
      </c>
    </row>
    <row r="226" spans="2:11" x14ac:dyDescent="0.25">
      <c r="B226" t="s">
        <v>441</v>
      </c>
      <c r="C226" s="90" t="str">
        <f>VLOOKUP(Tableau4[[#This Row],[Réf matériel]],Tableau3[],2,FALSE)</f>
        <v>Lunette de protection</v>
      </c>
      <c r="D226" s="90">
        <f>VLOOKUP(Tableau4[[#This Row],[Réf matériel]],Tableau3[],3,FALSE)</f>
        <v>2.38</v>
      </c>
      <c r="E226" t="s">
        <v>336</v>
      </c>
      <c r="F226" s="90" t="str">
        <f>VLOOKUP(Tableau4[[#This Row],[Matricule]],Tableau1[],2,FALSE)</f>
        <v>GERMAIN</v>
      </c>
      <c r="G226" s="90" t="str">
        <f>VLOOKUP(Tableau4[[#This Row],[Matricule]],Tableau1[],3,FALSE)</f>
        <v>Rudy</v>
      </c>
      <c r="H226" s="90" t="str">
        <f>VLOOKUP(Tableau4[[#This Row],[Matricule]],Tableau1[],4,FALSE)</f>
        <v>ELEC</v>
      </c>
      <c r="I226" s="99">
        <v>43060</v>
      </c>
      <c r="J226" s="98" t="s">
        <v>515</v>
      </c>
      <c r="K226" s="90">
        <f>IF(Tableau4[[#This Row],[État]]="Remis",1,0)</f>
        <v>1</v>
      </c>
    </row>
    <row r="227" spans="2:11" x14ac:dyDescent="0.25">
      <c r="B227" t="s">
        <v>74</v>
      </c>
      <c r="C227" s="90" t="str">
        <f>VLOOKUP(Tableau4[[#This Row],[Réf matériel]],Tableau3[],2,FALSE)</f>
        <v>Casque chantier</v>
      </c>
      <c r="D227" s="90">
        <f>VLOOKUP(Tableau4[[#This Row],[Réf matériel]],Tableau3[],3,FALSE)</f>
        <v>29.05</v>
      </c>
      <c r="E227" t="s">
        <v>336</v>
      </c>
      <c r="F227" s="90" t="str">
        <f>VLOOKUP(Tableau4[[#This Row],[Matricule]],Tableau1[],2,FALSE)</f>
        <v>GERMAIN</v>
      </c>
      <c r="G227" s="90" t="str">
        <f>VLOOKUP(Tableau4[[#This Row],[Matricule]],Tableau1[],3,FALSE)</f>
        <v>Rudy</v>
      </c>
      <c r="H227" s="90" t="str">
        <f>VLOOKUP(Tableau4[[#This Row],[Matricule]],Tableau1[],4,FALSE)</f>
        <v>ELEC</v>
      </c>
      <c r="I227" s="99">
        <v>43060</v>
      </c>
      <c r="J227" s="98" t="s">
        <v>515</v>
      </c>
      <c r="K227" s="90">
        <f>IF(Tableau4[[#This Row],[État]]="Remis",1,0)</f>
        <v>1</v>
      </c>
    </row>
    <row r="228" spans="2:11" x14ac:dyDescent="0.25">
      <c r="B228" t="s">
        <v>56</v>
      </c>
      <c r="C228" s="90" t="str">
        <f>VLOOKUP(Tableau4[[#This Row],[Réf matériel]],Tableau3[],2,FALSE)</f>
        <v>Jeu tournevis</v>
      </c>
      <c r="D228" s="90">
        <f>VLOOKUP(Tableau4[[#This Row],[Réf matériel]],Tableau3[],3,FALSE)</f>
        <v>37.57</v>
      </c>
      <c r="E228" t="s">
        <v>336</v>
      </c>
      <c r="F228" s="90" t="str">
        <f>VLOOKUP(Tableau4[[#This Row],[Matricule]],Tableau1[],2,FALSE)</f>
        <v>GERMAIN</v>
      </c>
      <c r="G228" s="90" t="str">
        <f>VLOOKUP(Tableau4[[#This Row],[Matricule]],Tableau1[],3,FALSE)</f>
        <v>Rudy</v>
      </c>
      <c r="H228" s="90" t="str">
        <f>VLOOKUP(Tableau4[[#This Row],[Matricule]],Tableau1[],4,FALSE)</f>
        <v>ELEC</v>
      </c>
      <c r="I228" s="88">
        <v>43501</v>
      </c>
      <c r="J228" s="98" t="s">
        <v>515</v>
      </c>
      <c r="K228" s="90">
        <f>IF(Tableau4[[#This Row],[État]]="Remis",1,0)</f>
        <v>1</v>
      </c>
    </row>
    <row r="229" spans="2:11" x14ac:dyDescent="0.25">
      <c r="B229" s="98" t="s">
        <v>391</v>
      </c>
      <c r="C229" s="100" t="str">
        <f>VLOOKUP(Tableau4[[#This Row],[Réf matériel]],Tableau3[],2,FALSE)</f>
        <v>Cadena</v>
      </c>
      <c r="D229" s="100">
        <f>VLOOKUP(Tableau4[[#This Row],[Réf matériel]],Tableau3[],3,FALSE)</f>
        <v>13</v>
      </c>
      <c r="E229" s="98" t="s">
        <v>336</v>
      </c>
      <c r="F229" s="100" t="str">
        <f>VLOOKUP(Tableau4[[#This Row],[Matricule]],Tableau1[],2,FALSE)</f>
        <v>GERMAIN</v>
      </c>
      <c r="G229" s="100" t="str">
        <f>VLOOKUP(Tableau4[[#This Row],[Matricule]],Tableau1[],3,FALSE)</f>
        <v>Rudy</v>
      </c>
      <c r="H229" s="100" t="str">
        <f>VLOOKUP(Tableau4[[#This Row],[Matricule]],Tableau1[],4,FALSE)</f>
        <v>ELEC</v>
      </c>
      <c r="I229" s="88">
        <v>43510</v>
      </c>
      <c r="J229" s="98" t="s">
        <v>515</v>
      </c>
      <c r="K229" s="90">
        <f>IF(Tableau4[[#This Row],[État]]="Remis",1,0)</f>
        <v>1</v>
      </c>
    </row>
    <row r="230" spans="2:11" x14ac:dyDescent="0.25">
      <c r="B230" t="s">
        <v>49</v>
      </c>
      <c r="C230" s="90" t="str">
        <f>VLOOKUP(Tableau4[[#This Row],[Réf matériel]],Tableau3[],2,FALSE)</f>
        <v>Coupe câble</v>
      </c>
      <c r="D230" s="90">
        <f>VLOOKUP(Tableau4[[#This Row],[Réf matériel]],Tableau3[],3,FALSE)</f>
        <v>41.88</v>
      </c>
      <c r="E230" t="s">
        <v>336</v>
      </c>
      <c r="F230" s="90" t="str">
        <f>VLOOKUP(Tableau4[[#This Row],[Matricule]],Tableau1[],2,FALSE)</f>
        <v>GERMAIN</v>
      </c>
      <c r="G230" s="90" t="str">
        <f>VLOOKUP(Tableau4[[#This Row],[Matricule]],Tableau1[],3,FALSE)</f>
        <v>Rudy</v>
      </c>
      <c r="H230" s="90" t="str">
        <f>VLOOKUP(Tableau4[[#This Row],[Matricule]],Tableau1[],4,FALSE)</f>
        <v>ELEC</v>
      </c>
      <c r="I230" s="88">
        <v>43510</v>
      </c>
      <c r="J230" s="98" t="s">
        <v>515</v>
      </c>
      <c r="K230" s="90">
        <f>IF(Tableau4[[#This Row],[État]]="Remis",1,0)</f>
        <v>1</v>
      </c>
    </row>
    <row r="231" spans="2:11" x14ac:dyDescent="0.25">
      <c r="B231" t="s">
        <v>395</v>
      </c>
      <c r="C231" s="90" t="str">
        <f>VLOOKUP(Tableau4[[#This Row],[Réf matériel]],Tableau3[],2,FALSE)</f>
        <v>Burin plat</v>
      </c>
      <c r="D231" s="90">
        <f>VLOOKUP(Tableau4[[#This Row],[Réf matériel]],Tableau3[],3,FALSE)</f>
        <v>11.89</v>
      </c>
      <c r="E231" t="s">
        <v>336</v>
      </c>
      <c r="F231" s="90" t="str">
        <f>VLOOKUP(Tableau4[[#This Row],[Matricule]],Tableau1[],2,FALSE)</f>
        <v>GERMAIN</v>
      </c>
      <c r="G231" s="90" t="str">
        <f>VLOOKUP(Tableau4[[#This Row],[Matricule]],Tableau1[],3,FALSE)</f>
        <v>Rudy</v>
      </c>
      <c r="H231" s="90" t="str">
        <f>VLOOKUP(Tableau4[[#This Row],[Matricule]],Tableau1[],4,FALSE)</f>
        <v>ELEC</v>
      </c>
      <c r="I231" s="88">
        <v>43510</v>
      </c>
      <c r="J231" s="98" t="s">
        <v>515</v>
      </c>
      <c r="K231" s="90">
        <f>IF(Tableau4[[#This Row],[État]]="Remis",1,0)</f>
        <v>1</v>
      </c>
    </row>
    <row r="232" spans="2:11" x14ac:dyDescent="0.25">
      <c r="B232" t="s">
        <v>401</v>
      </c>
      <c r="C232" s="90" t="str">
        <f>VLOOKUP(Tableau4[[#This Row],[Réf matériel]],Tableau3[],2,FALSE)</f>
        <v>Burin pointu</v>
      </c>
      <c r="D232" s="90">
        <f>VLOOKUP(Tableau4[[#This Row],[Réf matériel]],Tableau3[],3,FALSE)</f>
        <v>8.7200000000000006</v>
      </c>
      <c r="E232" t="s">
        <v>336</v>
      </c>
      <c r="F232" s="90" t="str">
        <f>VLOOKUP(Tableau4[[#This Row],[Matricule]],Tableau1[],2,FALSE)</f>
        <v>GERMAIN</v>
      </c>
      <c r="G232" s="90" t="str">
        <f>VLOOKUP(Tableau4[[#This Row],[Matricule]],Tableau1[],3,FALSE)</f>
        <v>Rudy</v>
      </c>
      <c r="H232" s="90" t="str">
        <f>VLOOKUP(Tableau4[[#This Row],[Matricule]],Tableau1[],4,FALSE)</f>
        <v>ELEC</v>
      </c>
      <c r="I232" s="88">
        <v>43510</v>
      </c>
      <c r="J232" s="98" t="s">
        <v>515</v>
      </c>
      <c r="K232" s="90">
        <f>IF(Tableau4[[#This Row],[État]]="Remis",1,0)</f>
        <v>1</v>
      </c>
    </row>
    <row r="233" spans="2:11" x14ac:dyDescent="0.25">
      <c r="B233" t="s">
        <v>396</v>
      </c>
      <c r="C233" s="90" t="str">
        <f>VLOOKUP(Tableau4[[#This Row],[Réf matériel]],Tableau3[],2,FALSE)</f>
        <v>Massette</v>
      </c>
      <c r="D233" s="90">
        <f>VLOOKUP(Tableau4[[#This Row],[Réf matériel]],Tableau3[],3,FALSE)</f>
        <v>15.14</v>
      </c>
      <c r="E233" t="s">
        <v>336</v>
      </c>
      <c r="F233" s="90" t="str">
        <f>VLOOKUP(Tableau4[[#This Row],[Matricule]],Tableau1[],2,FALSE)</f>
        <v>GERMAIN</v>
      </c>
      <c r="G233" s="90" t="str">
        <f>VLOOKUP(Tableau4[[#This Row],[Matricule]],Tableau1[],3,FALSE)</f>
        <v>Rudy</v>
      </c>
      <c r="H233" s="90" t="str">
        <f>VLOOKUP(Tableau4[[#This Row],[Matricule]],Tableau1[],4,FALSE)</f>
        <v>ELEC</v>
      </c>
      <c r="I233" s="88">
        <v>43510</v>
      </c>
      <c r="J233" s="98" t="s">
        <v>515</v>
      </c>
      <c r="K233" s="90">
        <f>IF(Tableau4[[#This Row],[État]]="Remis",1,0)</f>
        <v>1</v>
      </c>
    </row>
    <row r="234" spans="2:11" x14ac:dyDescent="0.25">
      <c r="B234" t="s">
        <v>55</v>
      </c>
      <c r="C234" s="90" t="str">
        <f>VLOOKUP(Tableau4[[#This Row],[Réf matériel]],Tableau3[],2,FALSE)</f>
        <v>Niveau</v>
      </c>
      <c r="D234" s="90">
        <f>VLOOKUP(Tableau4[[#This Row],[Réf matériel]],Tableau3[],3,FALSE)</f>
        <v>15</v>
      </c>
      <c r="E234" t="s">
        <v>336</v>
      </c>
      <c r="F234" s="90" t="str">
        <f>VLOOKUP(Tableau4[[#This Row],[Matricule]],Tableau1[],2,FALSE)</f>
        <v>GERMAIN</v>
      </c>
      <c r="G234" s="90" t="str">
        <f>VLOOKUP(Tableau4[[#This Row],[Matricule]],Tableau1[],3,FALSE)</f>
        <v>Rudy</v>
      </c>
      <c r="H234" s="90" t="str">
        <f>VLOOKUP(Tableau4[[#This Row],[Matricule]],Tableau1[],4,FALSE)</f>
        <v>ELEC</v>
      </c>
      <c r="I234" s="88">
        <v>43510</v>
      </c>
      <c r="J234" s="98" t="s">
        <v>515</v>
      </c>
      <c r="K234" s="90">
        <f>IF(Tableau4[[#This Row],[État]]="Remis",1,0)</f>
        <v>1</v>
      </c>
    </row>
    <row r="235" spans="2:11" x14ac:dyDescent="0.25">
      <c r="B235" t="s">
        <v>397</v>
      </c>
      <c r="C235" s="90" t="str">
        <f>VLOOKUP(Tableau4[[#This Row],[Réf matériel]],Tableau3[],2,FALSE)</f>
        <v>Pince étau</v>
      </c>
      <c r="D235" s="90">
        <f>VLOOKUP(Tableau4[[#This Row],[Réf matériel]],Tableau3[],3,FALSE)</f>
        <v>16.02</v>
      </c>
      <c r="E235" t="s">
        <v>336</v>
      </c>
      <c r="F235" s="90" t="str">
        <f>VLOOKUP(Tableau4[[#This Row],[Matricule]],Tableau1[],2,FALSE)</f>
        <v>GERMAIN</v>
      </c>
      <c r="G235" s="90" t="str">
        <f>VLOOKUP(Tableau4[[#This Row],[Matricule]],Tableau1[],3,FALSE)</f>
        <v>Rudy</v>
      </c>
      <c r="H235" s="90" t="str">
        <f>VLOOKUP(Tableau4[[#This Row],[Matricule]],Tableau1[],4,FALSE)</f>
        <v>ELEC</v>
      </c>
      <c r="I235" s="88">
        <v>43510</v>
      </c>
      <c r="J235" s="98" t="s">
        <v>515</v>
      </c>
      <c r="K235" s="90">
        <f>IF(Tableau4[[#This Row],[État]]="Remis",1,0)</f>
        <v>1</v>
      </c>
    </row>
    <row r="236" spans="2:11" x14ac:dyDescent="0.25">
      <c r="B236" t="s">
        <v>403</v>
      </c>
      <c r="C236" s="90" t="str">
        <f>VLOOKUP(Tableau4[[#This Row],[Réf matériel]],Tableau3[],2,FALSE)</f>
        <v>Clé à pipe 10</v>
      </c>
      <c r="D236" s="90">
        <f>VLOOKUP(Tableau4[[#This Row],[Réf matériel]],Tableau3[],3,FALSE)</f>
        <v>5.41</v>
      </c>
      <c r="E236" t="s">
        <v>336</v>
      </c>
      <c r="F236" s="90" t="str">
        <f>VLOOKUP(Tableau4[[#This Row],[Matricule]],Tableau1[],2,FALSE)</f>
        <v>GERMAIN</v>
      </c>
      <c r="G236" s="90" t="str">
        <f>VLOOKUP(Tableau4[[#This Row],[Matricule]],Tableau1[],3,FALSE)</f>
        <v>Rudy</v>
      </c>
      <c r="H236" s="90" t="str">
        <f>VLOOKUP(Tableau4[[#This Row],[Matricule]],Tableau1[],4,FALSE)</f>
        <v>ELEC</v>
      </c>
      <c r="I236" s="88">
        <v>43510</v>
      </c>
      <c r="J236" s="98" t="s">
        <v>515</v>
      </c>
      <c r="K236" s="90">
        <f>IF(Tableau4[[#This Row],[État]]="Remis",1,0)</f>
        <v>1</v>
      </c>
    </row>
    <row r="237" spans="2:11" x14ac:dyDescent="0.25">
      <c r="B237" t="s">
        <v>405</v>
      </c>
      <c r="C237" s="90" t="str">
        <f>VLOOKUP(Tableau4[[#This Row],[Réf matériel]],Tableau3[],2,FALSE)</f>
        <v>Clé à pipe 13</v>
      </c>
      <c r="D237" s="90">
        <f>VLOOKUP(Tableau4[[#This Row],[Réf matériel]],Tableau3[],3,FALSE)</f>
        <v>6.23</v>
      </c>
      <c r="E237" t="s">
        <v>336</v>
      </c>
      <c r="F237" s="90" t="str">
        <f>VLOOKUP(Tableau4[[#This Row],[Matricule]],Tableau1[],2,FALSE)</f>
        <v>GERMAIN</v>
      </c>
      <c r="G237" s="90" t="str">
        <f>VLOOKUP(Tableau4[[#This Row],[Matricule]],Tableau1[],3,FALSE)</f>
        <v>Rudy</v>
      </c>
      <c r="H237" s="90" t="str">
        <f>VLOOKUP(Tableau4[[#This Row],[Matricule]],Tableau1[],4,FALSE)</f>
        <v>ELEC</v>
      </c>
      <c r="I237" s="88">
        <v>43510</v>
      </c>
      <c r="J237" s="98" t="s">
        <v>515</v>
      </c>
      <c r="K237" s="90">
        <f>IF(Tableau4[[#This Row],[État]]="Remis",1,0)</f>
        <v>1</v>
      </c>
    </row>
    <row r="238" spans="2:11" x14ac:dyDescent="0.25">
      <c r="B238" t="s">
        <v>408</v>
      </c>
      <c r="C238" s="90" t="str">
        <f>VLOOKUP(Tableau4[[#This Row],[Réf matériel]],Tableau3[],2,FALSE)</f>
        <v>Clé à pipe 17</v>
      </c>
      <c r="D238" s="90">
        <f>VLOOKUP(Tableau4[[#This Row],[Réf matériel]],Tableau3[],3,FALSE)</f>
        <v>9.36</v>
      </c>
      <c r="E238" t="s">
        <v>336</v>
      </c>
      <c r="F238" s="90" t="str">
        <f>VLOOKUP(Tableau4[[#This Row],[Matricule]],Tableau1[],2,FALSE)</f>
        <v>GERMAIN</v>
      </c>
      <c r="G238" s="90" t="str">
        <f>VLOOKUP(Tableau4[[#This Row],[Matricule]],Tableau1[],3,FALSE)</f>
        <v>Rudy</v>
      </c>
      <c r="H238" s="90" t="str">
        <f>VLOOKUP(Tableau4[[#This Row],[Matricule]],Tableau1[],4,FALSE)</f>
        <v>ELEC</v>
      </c>
      <c r="I238" s="88">
        <v>43510</v>
      </c>
      <c r="J238" s="98" t="s">
        <v>515</v>
      </c>
      <c r="K238" s="90">
        <f>IF(Tableau4[[#This Row],[État]]="Remis",1,0)</f>
        <v>1</v>
      </c>
    </row>
    <row r="239" spans="2:11" x14ac:dyDescent="0.25">
      <c r="B239" t="s">
        <v>409</v>
      </c>
      <c r="C239" s="90" t="str">
        <f>VLOOKUP(Tableau4[[#This Row],[Réf matériel]],Tableau3[],2,FALSE)</f>
        <v>Clé à pipe 19</v>
      </c>
      <c r="D239" s="90">
        <f>VLOOKUP(Tableau4[[#This Row],[Réf matériel]],Tableau3[],3,FALSE)</f>
        <v>10.4</v>
      </c>
      <c r="E239" t="s">
        <v>336</v>
      </c>
      <c r="F239" s="90" t="str">
        <f>VLOOKUP(Tableau4[[#This Row],[Matricule]],Tableau1[],2,FALSE)</f>
        <v>GERMAIN</v>
      </c>
      <c r="G239" s="90" t="str">
        <f>VLOOKUP(Tableau4[[#This Row],[Matricule]],Tableau1[],3,FALSE)</f>
        <v>Rudy</v>
      </c>
      <c r="H239" s="90" t="str">
        <f>VLOOKUP(Tableau4[[#This Row],[Matricule]],Tableau1[],4,FALSE)</f>
        <v>ELEC</v>
      </c>
      <c r="I239" s="88">
        <v>43510</v>
      </c>
      <c r="J239" s="98" t="s">
        <v>515</v>
      </c>
      <c r="K239" s="90">
        <f>IF(Tableau4[[#This Row],[État]]="Remis",1,0)</f>
        <v>1</v>
      </c>
    </row>
    <row r="240" spans="2:11" x14ac:dyDescent="0.25">
      <c r="B240" t="s">
        <v>67</v>
      </c>
      <c r="C240" s="90" t="str">
        <f>VLOOKUP(Tableau4[[#This Row],[Réf matériel]],Tableau3[],2,FALSE)</f>
        <v>Cutter</v>
      </c>
      <c r="D240" s="90">
        <f>VLOOKUP(Tableau4[[#This Row],[Réf matériel]],Tableau3[],3,FALSE)</f>
        <v>4.8499999999999996</v>
      </c>
      <c r="E240" t="s">
        <v>336</v>
      </c>
      <c r="F240" s="90" t="str">
        <f>VLOOKUP(Tableau4[[#This Row],[Matricule]],Tableau1[],2,FALSE)</f>
        <v>GERMAIN</v>
      </c>
      <c r="G240" s="90" t="str">
        <f>VLOOKUP(Tableau4[[#This Row],[Matricule]],Tableau1[],3,FALSE)</f>
        <v>Rudy</v>
      </c>
      <c r="H240" s="90" t="str">
        <f>VLOOKUP(Tableau4[[#This Row],[Matricule]],Tableau1[],4,FALSE)</f>
        <v>ELEC</v>
      </c>
      <c r="I240" s="88">
        <v>43510</v>
      </c>
      <c r="J240" s="98" t="s">
        <v>515</v>
      </c>
      <c r="K240" s="90">
        <f>IF(Tableau4[[#This Row],[État]]="Remis",1,0)</f>
        <v>1</v>
      </c>
    </row>
    <row r="241" spans="2:11" x14ac:dyDescent="0.25">
      <c r="B241" t="s">
        <v>438</v>
      </c>
      <c r="C241" s="90" t="str">
        <f>VLOOKUP(Tableau4[[#This Row],[Réf matériel]],Tableau3[],2,FALSE)</f>
        <v>Outil à dégainer</v>
      </c>
      <c r="D241" s="90">
        <f>VLOOKUP(Tableau4[[#This Row],[Réf matériel]],Tableau3[],3,FALSE)</f>
        <v>20.5</v>
      </c>
      <c r="E241" t="s">
        <v>336</v>
      </c>
      <c r="F241" s="90" t="str">
        <f>VLOOKUP(Tableau4[[#This Row],[Matricule]],Tableau1[],2,FALSE)</f>
        <v>GERMAIN</v>
      </c>
      <c r="G241" s="90" t="str">
        <f>VLOOKUP(Tableau4[[#This Row],[Matricule]],Tableau1[],3,FALSE)</f>
        <v>Rudy</v>
      </c>
      <c r="H241" s="90" t="str">
        <f>VLOOKUP(Tableau4[[#This Row],[Matricule]],Tableau1[],4,FALSE)</f>
        <v>ELEC</v>
      </c>
      <c r="I241" s="88">
        <v>43510</v>
      </c>
      <c r="J241" s="98" t="s">
        <v>515</v>
      </c>
      <c r="K241" s="90">
        <f>IF(Tableau4[[#This Row],[État]]="Remis",1,0)</f>
        <v>1</v>
      </c>
    </row>
    <row r="242" spans="2:11" x14ac:dyDescent="0.25">
      <c r="B242" t="s">
        <v>75</v>
      </c>
      <c r="C242" s="90" t="str">
        <f>VLOOKUP(Tableau4[[#This Row],[Réf matériel]],Tableau3[],2,FALSE)</f>
        <v>Lampe frontale</v>
      </c>
      <c r="D242" s="90">
        <f>VLOOKUP(Tableau4[[#This Row],[Réf matériel]],Tableau3[],3,FALSE)</f>
        <v>42.5</v>
      </c>
      <c r="E242" t="s">
        <v>336</v>
      </c>
      <c r="F242" s="90" t="str">
        <f>VLOOKUP(Tableau4[[#This Row],[Matricule]],Tableau1[],2,FALSE)</f>
        <v>GERMAIN</v>
      </c>
      <c r="G242" s="90" t="str">
        <f>VLOOKUP(Tableau4[[#This Row],[Matricule]],Tableau1[],3,FALSE)</f>
        <v>Rudy</v>
      </c>
      <c r="H242" s="90" t="str">
        <f>VLOOKUP(Tableau4[[#This Row],[Matricule]],Tableau1[],4,FALSE)</f>
        <v>ELEC</v>
      </c>
      <c r="I242" s="88">
        <v>43619</v>
      </c>
      <c r="J242" s="98" t="s">
        <v>380</v>
      </c>
      <c r="K242" s="90">
        <f>IF(Tableau4[[#This Row],[État]]="Remis",1,0)</f>
        <v>1</v>
      </c>
    </row>
    <row r="243" spans="2:11" x14ac:dyDescent="0.25">
      <c r="B243" t="s">
        <v>279</v>
      </c>
      <c r="C243" s="90" t="str">
        <f>VLOOKUP(Tableau4[[#This Row],[Réf matériel]],Tableau3[],2,FALSE)</f>
        <v>lime demi ronde</v>
      </c>
      <c r="D243" s="90">
        <f>VLOOKUP(Tableau4[[#This Row],[Réf matériel]],Tableau3[],3,FALSE)</f>
        <v>7.59</v>
      </c>
      <c r="E243" t="s">
        <v>336</v>
      </c>
      <c r="F243" s="90" t="str">
        <f>VLOOKUP(Tableau4[[#This Row],[Matricule]],Tableau1[],2,FALSE)</f>
        <v>GERMAIN</v>
      </c>
      <c r="G243" s="90" t="str">
        <f>VLOOKUP(Tableau4[[#This Row],[Matricule]],Tableau1[],3,FALSE)</f>
        <v>Rudy</v>
      </c>
      <c r="H243" s="90" t="str">
        <f>VLOOKUP(Tableau4[[#This Row],[Matricule]],Tableau1[],4,FALSE)</f>
        <v>ELEC</v>
      </c>
      <c r="I243" s="88">
        <v>43644</v>
      </c>
      <c r="J243" s="98" t="s">
        <v>515</v>
      </c>
      <c r="K243" s="90">
        <f>IF(Tableau4[[#This Row],[État]]="Remis",1,0)</f>
        <v>1</v>
      </c>
    </row>
    <row r="244" spans="2:11" x14ac:dyDescent="0.25">
      <c r="B244" s="98" t="s">
        <v>391</v>
      </c>
      <c r="C244" s="100" t="str">
        <f>VLOOKUP(Tableau4[[#This Row],[Réf matériel]],Tableau3[],2,FALSE)</f>
        <v>Cadena</v>
      </c>
      <c r="D244" s="100">
        <f>VLOOKUP(Tableau4[[#This Row],[Réf matériel]],Tableau3[],3,FALSE)</f>
        <v>13</v>
      </c>
      <c r="E244" s="98" t="s">
        <v>338</v>
      </c>
      <c r="F244" s="100" t="str">
        <f>VLOOKUP(Tableau4[[#This Row],[Matricule]],Tableau1[],2,FALSE)</f>
        <v>KEITA</v>
      </c>
      <c r="G244" s="100" t="str">
        <f>VLOOKUP(Tableau4[[#This Row],[Matricule]],Tableau1[],3,FALSE)</f>
        <v>Cheickne</v>
      </c>
      <c r="H244" s="100" t="str">
        <f>VLOOKUP(Tableau4[[#This Row],[Matricule]],Tableau1[],4,FALSE)</f>
        <v>ELEC</v>
      </c>
      <c r="I244" s="99">
        <v>42531</v>
      </c>
      <c r="J244" s="98" t="s">
        <v>380</v>
      </c>
      <c r="K244" s="90">
        <f>IF(Tableau4[[#This Row],[État]]="Remis",1,0)</f>
        <v>1</v>
      </c>
    </row>
    <row r="245" spans="2:11" x14ac:dyDescent="0.25">
      <c r="B245" s="98" t="s">
        <v>392</v>
      </c>
      <c r="C245" s="100" t="str">
        <f>VLOOKUP(Tableau4[[#This Row],[Réf matériel]],Tableau3[],2,FALSE)</f>
        <v>Coffre</v>
      </c>
      <c r="D245" s="100">
        <f>VLOOKUP(Tableau4[[#This Row],[Réf matériel]],Tableau3[],3,FALSE)</f>
        <v>54.54</v>
      </c>
      <c r="E245" s="97" t="s">
        <v>338</v>
      </c>
      <c r="F245" s="100" t="str">
        <f>VLOOKUP(Tableau4[[#This Row],[Matricule]],Tableau1[],2,FALSE)</f>
        <v>KEITA</v>
      </c>
      <c r="G245" s="100" t="str">
        <f>VLOOKUP(Tableau4[[#This Row],[Matricule]],Tableau1[],3,FALSE)</f>
        <v>Cheickne</v>
      </c>
      <c r="H245" s="100" t="str">
        <f>VLOOKUP(Tableau4[[#This Row],[Matricule]],Tableau1[],4,FALSE)</f>
        <v>ELEC</v>
      </c>
      <c r="I245" s="99">
        <v>42531</v>
      </c>
      <c r="J245" s="98" t="s">
        <v>380</v>
      </c>
      <c r="K245" s="90">
        <f>IF(Tableau4[[#This Row],[État]]="Remis",1,0)</f>
        <v>1</v>
      </c>
    </row>
    <row r="246" spans="2:11" x14ac:dyDescent="0.25">
      <c r="B246" t="s">
        <v>393</v>
      </c>
      <c r="C246" s="90" t="str">
        <f>VLOOKUP(Tableau4[[#This Row],[Réf matériel]],Tableau3[],2,FALSE)</f>
        <v>Clé à molette</v>
      </c>
      <c r="D246" s="90">
        <f>VLOOKUP(Tableau4[[#This Row],[Réf matériel]],Tableau3[],3,FALSE)</f>
        <v>16.12</v>
      </c>
      <c r="E246" t="s">
        <v>338</v>
      </c>
      <c r="F246" s="90" t="str">
        <f>VLOOKUP(Tableau4[[#This Row],[Matricule]],Tableau1[],2,FALSE)</f>
        <v>KEITA</v>
      </c>
      <c r="G246" s="90" t="str">
        <f>VLOOKUP(Tableau4[[#This Row],[Matricule]],Tableau1[],3,FALSE)</f>
        <v>Cheickne</v>
      </c>
      <c r="H246" s="90" t="str">
        <f>VLOOKUP(Tableau4[[#This Row],[Matricule]],Tableau1[],4,FALSE)</f>
        <v>ELEC</v>
      </c>
      <c r="I246" s="88">
        <v>43510</v>
      </c>
      <c r="J246" s="98" t="s">
        <v>380</v>
      </c>
      <c r="K246" s="90">
        <f>IF(Tableau4[[#This Row],[État]]="Remis",1,0)</f>
        <v>1</v>
      </c>
    </row>
    <row r="247" spans="2:11" x14ac:dyDescent="0.25">
      <c r="B247" t="s">
        <v>278</v>
      </c>
      <c r="C247" s="90" t="str">
        <f>VLOOKUP(Tableau4[[#This Row],[Réf matériel]],Tableau3[],2,FALSE)</f>
        <v>Pince à dénuder</v>
      </c>
      <c r="D247" s="90">
        <f>VLOOKUP(Tableau4[[#This Row],[Réf matériel]],Tableau3[],3,FALSE)</f>
        <v>24.55</v>
      </c>
      <c r="E247" t="s">
        <v>338</v>
      </c>
      <c r="F247" s="90" t="str">
        <f>VLOOKUP(Tableau4[[#This Row],[Matricule]],Tableau1[],2,FALSE)</f>
        <v>KEITA</v>
      </c>
      <c r="G247" s="90" t="str">
        <f>VLOOKUP(Tableau4[[#This Row],[Matricule]],Tableau1[],3,FALSE)</f>
        <v>Cheickne</v>
      </c>
      <c r="H247" s="90" t="str">
        <f>VLOOKUP(Tableau4[[#This Row],[Matricule]],Tableau1[],4,FALSE)</f>
        <v>ELEC</v>
      </c>
      <c r="I247" s="99">
        <v>42531</v>
      </c>
      <c r="J247" s="98" t="s">
        <v>380</v>
      </c>
      <c r="K247" s="90">
        <f>IF(Tableau4[[#This Row],[État]]="Remis",1,0)</f>
        <v>1</v>
      </c>
    </row>
    <row r="248" spans="2:11" x14ac:dyDescent="0.25">
      <c r="B248" t="s">
        <v>278</v>
      </c>
      <c r="C248" s="90" t="str">
        <f>VLOOKUP(Tableau4[[#This Row],[Réf matériel]],Tableau3[],2,FALSE)</f>
        <v>Pince à dénuder</v>
      </c>
      <c r="D248" s="90">
        <f>VLOOKUP(Tableau4[[#This Row],[Réf matériel]],Tableau3[],3,FALSE)</f>
        <v>24.55</v>
      </c>
      <c r="E248" t="s">
        <v>338</v>
      </c>
      <c r="F248" s="90" t="str">
        <f>VLOOKUP(Tableau4[[#This Row],[Matricule]],Tableau1[],2,FALSE)</f>
        <v>KEITA</v>
      </c>
      <c r="G248" s="90" t="str">
        <f>VLOOKUP(Tableau4[[#This Row],[Matricule]],Tableau1[],3,FALSE)</f>
        <v>Cheickne</v>
      </c>
      <c r="H248" s="90" t="str">
        <f>VLOOKUP(Tableau4[[#This Row],[Matricule]],Tableau1[],4,FALSE)</f>
        <v>ELEC</v>
      </c>
      <c r="I248" s="99">
        <v>44068</v>
      </c>
      <c r="J248" s="98" t="s">
        <v>447</v>
      </c>
      <c r="K248" s="90">
        <f>IF(Tableau4[[#This Row],[État]]="Remis",1,0)</f>
        <v>0</v>
      </c>
    </row>
    <row r="249" spans="2:11" x14ac:dyDescent="0.25">
      <c r="B249" t="s">
        <v>278</v>
      </c>
      <c r="C249" s="90" t="str">
        <f>VLOOKUP(Tableau4[[#This Row],[Réf matériel]],Tableau3[],2,FALSE)</f>
        <v>Pince à dénuder</v>
      </c>
      <c r="D249" s="90">
        <f>VLOOKUP(Tableau4[[#This Row],[Réf matériel]],Tableau3[],3,FALSE)</f>
        <v>24.55</v>
      </c>
      <c r="E249" t="s">
        <v>338</v>
      </c>
      <c r="F249" s="90" t="str">
        <f>VLOOKUP(Tableau4[[#This Row],[Matricule]],Tableau1[],2,FALSE)</f>
        <v>KEITA</v>
      </c>
      <c r="G249" s="90" t="str">
        <f>VLOOKUP(Tableau4[[#This Row],[Matricule]],Tableau1[],3,FALSE)</f>
        <v>Cheickne</v>
      </c>
      <c r="H249" s="90" t="str">
        <f>VLOOKUP(Tableau4[[#This Row],[Matricule]],Tableau1[],4,FALSE)</f>
        <v>ELEC</v>
      </c>
      <c r="I249" s="99">
        <v>44069</v>
      </c>
      <c r="J249" s="98" t="s">
        <v>380</v>
      </c>
      <c r="K249" s="90">
        <f>IF(Tableau4[[#This Row],[État]]="Remis",1,0)</f>
        <v>1</v>
      </c>
    </row>
    <row r="250" spans="2:11" x14ac:dyDescent="0.25">
      <c r="B250" t="s">
        <v>279</v>
      </c>
      <c r="C250" s="90" t="str">
        <f>VLOOKUP(Tableau4[[#This Row],[Réf matériel]],Tableau3[],2,FALSE)</f>
        <v>lime demi ronde</v>
      </c>
      <c r="D250" s="90">
        <f>VLOOKUP(Tableau4[[#This Row],[Réf matériel]],Tableau3[],3,FALSE)</f>
        <v>7.59</v>
      </c>
      <c r="E250" t="s">
        <v>338</v>
      </c>
      <c r="F250" s="90" t="str">
        <f>VLOOKUP(Tableau4[[#This Row],[Matricule]],Tableau1[],2,FALSE)</f>
        <v>KEITA</v>
      </c>
      <c r="G250" s="90" t="str">
        <f>VLOOKUP(Tableau4[[#This Row],[Matricule]],Tableau1[],3,FALSE)</f>
        <v>Cheickne</v>
      </c>
      <c r="H250" s="90" t="str">
        <f>VLOOKUP(Tableau4[[#This Row],[Matricule]],Tableau1[],4,FALSE)</f>
        <v>ELEC</v>
      </c>
      <c r="I250" s="99">
        <v>42531</v>
      </c>
      <c r="J250" s="98" t="s">
        <v>380</v>
      </c>
      <c r="K250" s="90">
        <f>IF(Tableau4[[#This Row],[État]]="Remis",1,0)</f>
        <v>1</v>
      </c>
    </row>
    <row r="251" spans="2:11" x14ac:dyDescent="0.25">
      <c r="B251" t="s">
        <v>280</v>
      </c>
      <c r="C251" s="90" t="str">
        <f>VLOOKUP(Tableau4[[#This Row],[Réf matériel]],Tableau3[],2,FALSE)</f>
        <v>Pince coupante 1000v</v>
      </c>
      <c r="D251" s="90">
        <f>VLOOKUP(Tableau4[[#This Row],[Réf matériel]],Tableau3[],3,FALSE)</f>
        <v>20.87</v>
      </c>
      <c r="E251" t="s">
        <v>338</v>
      </c>
      <c r="F251" s="90" t="str">
        <f>VLOOKUP(Tableau4[[#This Row],[Matricule]],Tableau1[],2,FALSE)</f>
        <v>KEITA</v>
      </c>
      <c r="G251" s="90" t="str">
        <f>VLOOKUP(Tableau4[[#This Row],[Matricule]],Tableau1[],3,FALSE)</f>
        <v>Cheickne</v>
      </c>
      <c r="H251" s="90" t="str">
        <f>VLOOKUP(Tableau4[[#This Row],[Matricule]],Tableau1[],4,FALSE)</f>
        <v>ELEC</v>
      </c>
      <c r="I251" s="99">
        <v>42531</v>
      </c>
      <c r="J251" s="98" t="s">
        <v>380</v>
      </c>
      <c r="K251" s="90">
        <f>IF(Tableau4[[#This Row],[État]]="Remis",1,0)</f>
        <v>1</v>
      </c>
    </row>
    <row r="252" spans="2:11" x14ac:dyDescent="0.25">
      <c r="B252" t="s">
        <v>49</v>
      </c>
      <c r="C252" s="90" t="str">
        <f>VLOOKUP(Tableau4[[#This Row],[Réf matériel]],Tableau3[],2,FALSE)</f>
        <v>Coupe câble</v>
      </c>
      <c r="D252" s="90">
        <f>VLOOKUP(Tableau4[[#This Row],[Réf matériel]],Tableau3[],3,FALSE)</f>
        <v>41.88</v>
      </c>
      <c r="E252" t="s">
        <v>338</v>
      </c>
      <c r="F252" s="90" t="str">
        <f>VLOOKUP(Tableau4[[#This Row],[Matricule]],Tableau1[],2,FALSE)</f>
        <v>KEITA</v>
      </c>
      <c r="G252" s="90" t="str">
        <f>VLOOKUP(Tableau4[[#This Row],[Matricule]],Tableau1[],3,FALSE)</f>
        <v>Cheickne</v>
      </c>
      <c r="H252" s="90" t="str">
        <f>VLOOKUP(Tableau4[[#This Row],[Matricule]],Tableau1[],4,FALSE)</f>
        <v>ELEC</v>
      </c>
      <c r="I252" s="99">
        <v>42531</v>
      </c>
      <c r="J252" t="s">
        <v>380</v>
      </c>
      <c r="K252" s="90">
        <f>IF(Tableau4[[#This Row],[État]]="Remis",1,0)</f>
        <v>1</v>
      </c>
    </row>
    <row r="253" spans="2:11" x14ac:dyDescent="0.25">
      <c r="B253" t="s">
        <v>281</v>
      </c>
      <c r="C253" s="90" t="str">
        <f>VLOOKUP(Tableau4[[#This Row],[Réf matériel]],Tableau3[],2,FALSE)</f>
        <v>Scie à métaux</v>
      </c>
      <c r="D253" s="90">
        <f>VLOOKUP(Tableau4[[#This Row],[Réf matériel]],Tableau3[],3,FALSE)</f>
        <v>11.26</v>
      </c>
      <c r="E253" t="s">
        <v>338</v>
      </c>
      <c r="F253" s="90" t="str">
        <f>VLOOKUP(Tableau4[[#This Row],[Matricule]],Tableau1[],2,FALSE)</f>
        <v>KEITA</v>
      </c>
      <c r="G253" s="90" t="str">
        <f>VLOOKUP(Tableau4[[#This Row],[Matricule]],Tableau1[],3,FALSE)</f>
        <v>Cheickne</v>
      </c>
      <c r="H253" s="90" t="str">
        <f>VLOOKUP(Tableau4[[#This Row],[Matricule]],Tableau1[],4,FALSE)</f>
        <v>ELEC</v>
      </c>
      <c r="I253" s="99">
        <v>42531</v>
      </c>
      <c r="J253" t="s">
        <v>380</v>
      </c>
      <c r="K253" s="90">
        <f>IF(Tableau4[[#This Row],[État]]="Remis",1,0)</f>
        <v>1</v>
      </c>
    </row>
    <row r="254" spans="2:11" x14ac:dyDescent="0.25">
      <c r="B254" t="s">
        <v>51</v>
      </c>
      <c r="C254" s="90" t="str">
        <f>VLOOKUP(Tableau4[[#This Row],[Réf matériel]],Tableau3[],2,FALSE)</f>
        <v>Mètre pliant</v>
      </c>
      <c r="D254" s="90">
        <f>VLOOKUP(Tableau4[[#This Row],[Réf matériel]],Tableau3[],3,FALSE)</f>
        <v>3.2</v>
      </c>
      <c r="E254" t="s">
        <v>338</v>
      </c>
      <c r="F254" s="90" t="str">
        <f>VLOOKUP(Tableau4[[#This Row],[Matricule]],Tableau1[],2,FALSE)</f>
        <v>KEITA</v>
      </c>
      <c r="G254" s="90" t="str">
        <f>VLOOKUP(Tableau4[[#This Row],[Matricule]],Tableau1[],3,FALSE)</f>
        <v>Cheickne</v>
      </c>
      <c r="H254" s="90" t="str">
        <f>VLOOKUP(Tableau4[[#This Row],[Matricule]],Tableau1[],4,FALSE)</f>
        <v>ELEC</v>
      </c>
      <c r="I254" s="88">
        <v>43510</v>
      </c>
      <c r="J254" t="s">
        <v>380</v>
      </c>
      <c r="K254" s="90">
        <f>IF(Tableau4[[#This Row],[État]]="Remis",1,0)</f>
        <v>1</v>
      </c>
    </row>
    <row r="255" spans="2:11" x14ac:dyDescent="0.25">
      <c r="B255" t="s">
        <v>395</v>
      </c>
      <c r="C255" s="90" t="str">
        <f>VLOOKUP(Tableau4[[#This Row],[Réf matériel]],Tableau3[],2,FALSE)</f>
        <v>Burin plat</v>
      </c>
      <c r="D255" s="90">
        <f>VLOOKUP(Tableau4[[#This Row],[Réf matériel]],Tableau3[],3,FALSE)</f>
        <v>11.89</v>
      </c>
      <c r="E255" t="s">
        <v>338</v>
      </c>
      <c r="F255" s="90" t="str">
        <f>VLOOKUP(Tableau4[[#This Row],[Matricule]],Tableau1[],2,FALSE)</f>
        <v>KEITA</v>
      </c>
      <c r="G255" s="90" t="str">
        <f>VLOOKUP(Tableau4[[#This Row],[Matricule]],Tableau1[],3,FALSE)</f>
        <v>Cheickne</v>
      </c>
      <c r="H255" s="90" t="str">
        <f>VLOOKUP(Tableau4[[#This Row],[Matricule]],Tableau1[],4,FALSE)</f>
        <v>ELEC</v>
      </c>
      <c r="I255" s="99">
        <v>42531</v>
      </c>
      <c r="J255" t="s">
        <v>380</v>
      </c>
      <c r="K255" s="90">
        <f>IF(Tableau4[[#This Row],[État]]="Remis",1,0)</f>
        <v>1</v>
      </c>
    </row>
    <row r="256" spans="2:11" x14ac:dyDescent="0.25">
      <c r="B256" t="s">
        <v>401</v>
      </c>
      <c r="C256" s="90" t="str">
        <f>VLOOKUP(Tableau4[[#This Row],[Réf matériel]],Tableau3[],2,FALSE)</f>
        <v>Burin pointu</v>
      </c>
      <c r="D256" s="90">
        <f>VLOOKUP(Tableau4[[#This Row],[Réf matériel]],Tableau3[],3,FALSE)</f>
        <v>8.7200000000000006</v>
      </c>
      <c r="E256" t="s">
        <v>338</v>
      </c>
      <c r="F256" s="90" t="str">
        <f>VLOOKUP(Tableau4[[#This Row],[Matricule]],Tableau1[],2,FALSE)</f>
        <v>KEITA</v>
      </c>
      <c r="G256" s="90" t="str">
        <f>VLOOKUP(Tableau4[[#This Row],[Matricule]],Tableau1[],3,FALSE)</f>
        <v>Cheickne</v>
      </c>
      <c r="H256" s="90" t="str">
        <f>VLOOKUP(Tableau4[[#This Row],[Matricule]],Tableau1[],4,FALSE)</f>
        <v>ELEC</v>
      </c>
      <c r="I256" s="99">
        <v>42531</v>
      </c>
      <c r="J256" t="s">
        <v>380</v>
      </c>
      <c r="K256" s="90">
        <f>IF(Tableau4[[#This Row],[État]]="Remis",1,0)</f>
        <v>1</v>
      </c>
    </row>
    <row r="257" spans="2:11" x14ac:dyDescent="0.25">
      <c r="B257" t="s">
        <v>396</v>
      </c>
      <c r="C257" s="90" t="str">
        <f>VLOOKUP(Tableau4[[#This Row],[Réf matériel]],Tableau3[],2,FALSE)</f>
        <v>Massette</v>
      </c>
      <c r="D257" s="90">
        <f>VLOOKUP(Tableau4[[#This Row],[Réf matériel]],Tableau3[],3,FALSE)</f>
        <v>15.14</v>
      </c>
      <c r="E257" t="s">
        <v>338</v>
      </c>
      <c r="F257" s="90" t="str">
        <f>VLOOKUP(Tableau4[[#This Row],[Matricule]],Tableau1[],2,FALSE)</f>
        <v>KEITA</v>
      </c>
      <c r="G257" s="90" t="str">
        <f>VLOOKUP(Tableau4[[#This Row],[Matricule]],Tableau1[],3,FALSE)</f>
        <v>Cheickne</v>
      </c>
      <c r="H257" s="90" t="str">
        <f>VLOOKUP(Tableau4[[#This Row],[Matricule]],Tableau1[],4,FALSE)</f>
        <v>ELEC</v>
      </c>
      <c r="I257" s="99">
        <v>42531</v>
      </c>
      <c r="J257" t="s">
        <v>380</v>
      </c>
      <c r="K257" s="90">
        <f>IF(Tableau4[[#This Row],[État]]="Remis",1,0)</f>
        <v>1</v>
      </c>
    </row>
    <row r="258" spans="2:11" x14ac:dyDescent="0.25">
      <c r="B258" t="s">
        <v>55</v>
      </c>
      <c r="C258" s="90" t="str">
        <f>VLOOKUP(Tableau4[[#This Row],[Réf matériel]],Tableau3[],2,FALSE)</f>
        <v>Niveau</v>
      </c>
      <c r="D258" s="90">
        <f>VLOOKUP(Tableau4[[#This Row],[Réf matériel]],Tableau3[],3,FALSE)</f>
        <v>15</v>
      </c>
      <c r="E258" t="s">
        <v>338</v>
      </c>
      <c r="F258" s="90" t="str">
        <f>VLOOKUP(Tableau4[[#This Row],[Matricule]],Tableau1[],2,FALSE)</f>
        <v>KEITA</v>
      </c>
      <c r="G258" s="90" t="str">
        <f>VLOOKUP(Tableau4[[#This Row],[Matricule]],Tableau1[],3,FALSE)</f>
        <v>Cheickne</v>
      </c>
      <c r="H258" s="90" t="str">
        <f>VLOOKUP(Tableau4[[#This Row],[Matricule]],Tableau1[],4,FALSE)</f>
        <v>ELEC</v>
      </c>
      <c r="I258" s="88">
        <v>43510</v>
      </c>
      <c r="J258" t="s">
        <v>380</v>
      </c>
      <c r="K258" s="90">
        <f>IF(Tableau4[[#This Row],[État]]="Remis",1,0)</f>
        <v>1</v>
      </c>
    </row>
    <row r="259" spans="2:11" x14ac:dyDescent="0.25">
      <c r="B259" t="s">
        <v>56</v>
      </c>
      <c r="C259" s="90" t="str">
        <f>VLOOKUP(Tableau4[[#This Row],[Réf matériel]],Tableau3[],2,FALSE)</f>
        <v>Jeu tournevis</v>
      </c>
      <c r="D259" s="90">
        <f>VLOOKUP(Tableau4[[#This Row],[Réf matériel]],Tableau3[],3,FALSE)</f>
        <v>37.57</v>
      </c>
      <c r="E259" t="s">
        <v>338</v>
      </c>
      <c r="F259" s="90" t="str">
        <f>VLOOKUP(Tableau4[[#This Row],[Matricule]],Tableau1[],2,FALSE)</f>
        <v>KEITA</v>
      </c>
      <c r="G259" s="90" t="str">
        <f>VLOOKUP(Tableau4[[#This Row],[Matricule]],Tableau1[],3,FALSE)</f>
        <v>Cheickne</v>
      </c>
      <c r="H259" s="90" t="str">
        <f>VLOOKUP(Tableau4[[#This Row],[Matricule]],Tableau1[],4,FALSE)</f>
        <v>ELEC</v>
      </c>
      <c r="I259" s="88">
        <v>43510</v>
      </c>
      <c r="J259" t="s">
        <v>380</v>
      </c>
      <c r="K259" s="90">
        <f>IF(Tableau4[[#This Row],[État]]="Remis",1,0)</f>
        <v>1</v>
      </c>
    </row>
    <row r="260" spans="2:11" x14ac:dyDescent="0.25">
      <c r="B260" t="s">
        <v>397</v>
      </c>
      <c r="C260" s="90" t="str">
        <f>VLOOKUP(Tableau4[[#This Row],[Réf matériel]],Tableau3[],2,FALSE)</f>
        <v>Pince étau</v>
      </c>
      <c r="D260" s="90">
        <f>VLOOKUP(Tableau4[[#This Row],[Réf matériel]],Tableau3[],3,FALSE)</f>
        <v>16.02</v>
      </c>
      <c r="E260" t="s">
        <v>338</v>
      </c>
      <c r="F260" s="90" t="str">
        <f>VLOOKUP(Tableau4[[#This Row],[Matricule]],Tableau1[],2,FALSE)</f>
        <v>KEITA</v>
      </c>
      <c r="G260" s="90" t="str">
        <f>VLOOKUP(Tableau4[[#This Row],[Matricule]],Tableau1[],3,FALSE)</f>
        <v>Cheickne</v>
      </c>
      <c r="H260" s="90" t="str">
        <f>VLOOKUP(Tableau4[[#This Row],[Matricule]],Tableau1[],4,FALSE)</f>
        <v>ELEC</v>
      </c>
      <c r="I260" s="99">
        <v>42531</v>
      </c>
      <c r="J260" t="s">
        <v>380</v>
      </c>
      <c r="K260" s="90">
        <f>IF(Tableau4[[#This Row],[État]]="Remis",1,0)</f>
        <v>1</v>
      </c>
    </row>
    <row r="261" spans="2:11" x14ac:dyDescent="0.25">
      <c r="B261" t="s">
        <v>398</v>
      </c>
      <c r="C261" s="90" t="str">
        <f>VLOOKUP(Tableau4[[#This Row],[Réf matériel]],Tableau3[],2,FALSE)</f>
        <v>Coffret douilles</v>
      </c>
      <c r="D261" s="90">
        <f>VLOOKUP(Tableau4[[#This Row],[Réf matériel]],Tableau3[],3,FALSE)</f>
        <v>103.22</v>
      </c>
      <c r="E261" t="s">
        <v>338</v>
      </c>
      <c r="F261" s="90" t="str">
        <f>VLOOKUP(Tableau4[[#This Row],[Matricule]],Tableau1[],2,FALSE)</f>
        <v>KEITA</v>
      </c>
      <c r="G261" s="90" t="str">
        <f>VLOOKUP(Tableau4[[#This Row],[Matricule]],Tableau1[],3,FALSE)</f>
        <v>Cheickne</v>
      </c>
      <c r="H261" s="90" t="str">
        <f>VLOOKUP(Tableau4[[#This Row],[Matricule]],Tableau1[],4,FALSE)</f>
        <v>ELEC</v>
      </c>
      <c r="I261" s="99">
        <v>42531</v>
      </c>
      <c r="J261" t="s">
        <v>380</v>
      </c>
      <c r="K261" s="90">
        <f>IF(Tableau4[[#This Row],[État]]="Remis",1,0)</f>
        <v>1</v>
      </c>
    </row>
    <row r="262" spans="2:11" x14ac:dyDescent="0.25">
      <c r="B262" t="s">
        <v>403</v>
      </c>
      <c r="C262" s="90" t="str">
        <f>VLOOKUP(Tableau4[[#This Row],[Réf matériel]],Tableau3[],2,FALSE)</f>
        <v>Clé à pipe 10</v>
      </c>
      <c r="D262" s="90">
        <f>VLOOKUP(Tableau4[[#This Row],[Réf matériel]],Tableau3[],3,FALSE)</f>
        <v>5.41</v>
      </c>
      <c r="E262" t="s">
        <v>338</v>
      </c>
      <c r="F262" s="90" t="str">
        <f>VLOOKUP(Tableau4[[#This Row],[Matricule]],Tableau1[],2,FALSE)</f>
        <v>KEITA</v>
      </c>
      <c r="G262" s="90" t="str">
        <f>VLOOKUP(Tableau4[[#This Row],[Matricule]],Tableau1[],3,FALSE)</f>
        <v>Cheickne</v>
      </c>
      <c r="H262" s="90" t="str">
        <f>VLOOKUP(Tableau4[[#This Row],[Matricule]],Tableau1[],4,FALSE)</f>
        <v>ELEC</v>
      </c>
      <c r="I262" s="88">
        <v>43510</v>
      </c>
      <c r="J262" t="s">
        <v>380</v>
      </c>
      <c r="K262" s="90">
        <f>IF(Tableau4[[#This Row],[État]]="Remis",1,0)</f>
        <v>1</v>
      </c>
    </row>
    <row r="263" spans="2:11" x14ac:dyDescent="0.25">
      <c r="B263" t="s">
        <v>405</v>
      </c>
      <c r="C263" s="90" t="str">
        <f>VLOOKUP(Tableau4[[#This Row],[Réf matériel]],Tableau3[],2,FALSE)</f>
        <v>Clé à pipe 13</v>
      </c>
      <c r="D263" s="90">
        <f>VLOOKUP(Tableau4[[#This Row],[Réf matériel]],Tableau3[],3,FALSE)</f>
        <v>6.23</v>
      </c>
      <c r="E263" t="s">
        <v>338</v>
      </c>
      <c r="F263" s="90" t="str">
        <f>VLOOKUP(Tableau4[[#This Row],[Matricule]],Tableau1[],2,FALSE)</f>
        <v>KEITA</v>
      </c>
      <c r="G263" s="90" t="str">
        <f>VLOOKUP(Tableau4[[#This Row],[Matricule]],Tableau1[],3,FALSE)</f>
        <v>Cheickne</v>
      </c>
      <c r="H263" s="90" t="str">
        <f>VLOOKUP(Tableau4[[#This Row],[Matricule]],Tableau1[],4,FALSE)</f>
        <v>ELEC</v>
      </c>
      <c r="I263" s="99">
        <v>42531</v>
      </c>
      <c r="J263" t="s">
        <v>380</v>
      </c>
      <c r="K263" s="90">
        <f>IF(Tableau4[[#This Row],[État]]="Remis",1,0)</f>
        <v>1</v>
      </c>
    </row>
    <row r="264" spans="2:11" x14ac:dyDescent="0.25">
      <c r="B264" t="s">
        <v>408</v>
      </c>
      <c r="C264" s="90" t="str">
        <f>VLOOKUP(Tableau4[[#This Row],[Réf matériel]],Tableau3[],2,FALSE)</f>
        <v>Clé à pipe 17</v>
      </c>
      <c r="D264" s="90">
        <f>VLOOKUP(Tableau4[[#This Row],[Réf matériel]],Tableau3[],3,FALSE)</f>
        <v>9.36</v>
      </c>
      <c r="E264" t="s">
        <v>338</v>
      </c>
      <c r="F264" s="90" t="str">
        <f>VLOOKUP(Tableau4[[#This Row],[Matricule]],Tableau1[],2,FALSE)</f>
        <v>KEITA</v>
      </c>
      <c r="G264" s="90" t="str">
        <f>VLOOKUP(Tableau4[[#This Row],[Matricule]],Tableau1[],3,FALSE)</f>
        <v>Cheickne</v>
      </c>
      <c r="H264" s="90" t="str">
        <f>VLOOKUP(Tableau4[[#This Row],[Matricule]],Tableau1[],4,FALSE)</f>
        <v>ELEC</v>
      </c>
      <c r="I264" s="99">
        <v>42531</v>
      </c>
      <c r="J264" t="s">
        <v>380</v>
      </c>
      <c r="K264" s="90">
        <f>IF(Tableau4[[#This Row],[État]]="Remis",1,0)</f>
        <v>1</v>
      </c>
    </row>
    <row r="265" spans="2:11" x14ac:dyDescent="0.25">
      <c r="B265" t="s">
        <v>409</v>
      </c>
      <c r="C265" s="90" t="str">
        <f>VLOOKUP(Tableau4[[#This Row],[Réf matériel]],Tableau3[],2,FALSE)</f>
        <v>Clé à pipe 19</v>
      </c>
      <c r="D265" s="90">
        <f>VLOOKUP(Tableau4[[#This Row],[Réf matériel]],Tableau3[],3,FALSE)</f>
        <v>10.4</v>
      </c>
      <c r="E265" t="s">
        <v>338</v>
      </c>
      <c r="F265" s="90" t="str">
        <f>VLOOKUP(Tableau4[[#This Row],[Matricule]],Tableau1[],2,FALSE)</f>
        <v>KEITA</v>
      </c>
      <c r="G265" s="90" t="str">
        <f>VLOOKUP(Tableau4[[#This Row],[Matricule]],Tableau1[],3,FALSE)</f>
        <v>Cheickne</v>
      </c>
      <c r="H265" s="90" t="str">
        <f>VLOOKUP(Tableau4[[#This Row],[Matricule]],Tableau1[],4,FALSE)</f>
        <v>ELEC</v>
      </c>
      <c r="I265" s="99">
        <v>42531</v>
      </c>
      <c r="J265" t="s">
        <v>380</v>
      </c>
      <c r="K265" s="90">
        <f>IF(Tableau4[[#This Row],[État]]="Remis",1,0)</f>
        <v>1</v>
      </c>
    </row>
    <row r="266" spans="2:11" x14ac:dyDescent="0.25">
      <c r="B266" t="s">
        <v>410</v>
      </c>
      <c r="C266" s="90" t="str">
        <f>VLOOKUP(Tableau4[[#This Row],[Réf matériel]],Tableau3[],2,FALSE)</f>
        <v>Clé plate 10</v>
      </c>
      <c r="D266" s="90">
        <f>VLOOKUP(Tableau4[[#This Row],[Réf matériel]],Tableau3[],3,FALSE)</f>
        <v>3.32</v>
      </c>
      <c r="E266" t="s">
        <v>338</v>
      </c>
      <c r="F266" s="90" t="str">
        <f>VLOOKUP(Tableau4[[#This Row],[Matricule]],Tableau1[],2,FALSE)</f>
        <v>KEITA</v>
      </c>
      <c r="G266" s="90" t="str">
        <f>VLOOKUP(Tableau4[[#This Row],[Matricule]],Tableau1[],3,FALSE)</f>
        <v>Cheickne</v>
      </c>
      <c r="H266" s="90" t="str">
        <f>VLOOKUP(Tableau4[[#This Row],[Matricule]],Tableau1[],4,FALSE)</f>
        <v>ELEC</v>
      </c>
      <c r="I266" s="99">
        <v>42531</v>
      </c>
      <c r="J266" t="s">
        <v>380</v>
      </c>
      <c r="K266" s="90">
        <f>IF(Tableau4[[#This Row],[État]]="Remis",1,0)</f>
        <v>1</v>
      </c>
    </row>
    <row r="267" spans="2:11" x14ac:dyDescent="0.25">
      <c r="B267" t="s">
        <v>412</v>
      </c>
      <c r="C267" s="90" t="str">
        <f>VLOOKUP(Tableau4[[#This Row],[Réf matériel]],Tableau3[],2,FALSE)</f>
        <v>Clé plate 13</v>
      </c>
      <c r="D267" s="90">
        <f>VLOOKUP(Tableau4[[#This Row],[Réf matériel]],Tableau3[],3,FALSE)</f>
        <v>3.91</v>
      </c>
      <c r="E267" t="s">
        <v>338</v>
      </c>
      <c r="F267" s="90" t="str">
        <f>VLOOKUP(Tableau4[[#This Row],[Matricule]],Tableau1[],2,FALSE)</f>
        <v>KEITA</v>
      </c>
      <c r="G267" s="90" t="str">
        <f>VLOOKUP(Tableau4[[#This Row],[Matricule]],Tableau1[],3,FALSE)</f>
        <v>Cheickne</v>
      </c>
      <c r="H267" s="90" t="str">
        <f>VLOOKUP(Tableau4[[#This Row],[Matricule]],Tableau1[],4,FALSE)</f>
        <v>ELEC</v>
      </c>
      <c r="I267" s="99">
        <v>42531</v>
      </c>
      <c r="J267" t="s">
        <v>380</v>
      </c>
      <c r="K267" s="90">
        <f>IF(Tableau4[[#This Row],[État]]="Remis",1,0)</f>
        <v>1</v>
      </c>
    </row>
    <row r="268" spans="2:11" x14ac:dyDescent="0.25">
      <c r="B268" t="s">
        <v>414</v>
      </c>
      <c r="C268" s="90" t="str">
        <f>VLOOKUP(Tableau4[[#This Row],[Réf matériel]],Tableau3[],2,FALSE)</f>
        <v>Clé plate 17</v>
      </c>
      <c r="D268" s="90">
        <f>VLOOKUP(Tableau4[[#This Row],[Réf matériel]],Tableau3[],3,FALSE)</f>
        <v>5.5</v>
      </c>
      <c r="E268" t="s">
        <v>338</v>
      </c>
      <c r="F268" s="90" t="str">
        <f>VLOOKUP(Tableau4[[#This Row],[Matricule]],Tableau1[],2,FALSE)</f>
        <v>KEITA</v>
      </c>
      <c r="G268" s="90" t="str">
        <f>VLOOKUP(Tableau4[[#This Row],[Matricule]],Tableau1[],3,FALSE)</f>
        <v>Cheickne</v>
      </c>
      <c r="H268" s="90" t="str">
        <f>VLOOKUP(Tableau4[[#This Row],[Matricule]],Tableau1[],4,FALSE)</f>
        <v>ELEC</v>
      </c>
      <c r="I268" s="99">
        <v>42531</v>
      </c>
      <c r="J268" t="s">
        <v>380</v>
      </c>
      <c r="K268" s="90">
        <f>IF(Tableau4[[#This Row],[État]]="Remis",1,0)</f>
        <v>1</v>
      </c>
    </row>
    <row r="269" spans="2:11" x14ac:dyDescent="0.25">
      <c r="B269" t="s">
        <v>415</v>
      </c>
      <c r="C269" s="90" t="str">
        <f>VLOOKUP(Tableau4[[#This Row],[Réf matériel]],Tableau3[],2,FALSE)</f>
        <v>Clé plate 19</v>
      </c>
      <c r="D269" s="90">
        <f>VLOOKUP(Tableau4[[#This Row],[Réf matériel]],Tableau3[],3,FALSE)</f>
        <v>6.07</v>
      </c>
      <c r="E269" t="s">
        <v>338</v>
      </c>
      <c r="F269" s="90" t="str">
        <f>VLOOKUP(Tableau4[[#This Row],[Matricule]],Tableau1[],2,FALSE)</f>
        <v>KEITA</v>
      </c>
      <c r="G269" s="90" t="str">
        <f>VLOOKUP(Tableau4[[#This Row],[Matricule]],Tableau1[],3,FALSE)</f>
        <v>Cheickne</v>
      </c>
      <c r="H269" s="90" t="str">
        <f>VLOOKUP(Tableau4[[#This Row],[Matricule]],Tableau1[],4,FALSE)</f>
        <v>ELEC</v>
      </c>
      <c r="I269" s="99">
        <v>42531</v>
      </c>
      <c r="J269" t="s">
        <v>380</v>
      </c>
      <c r="K269" s="90">
        <f>IF(Tableau4[[#This Row],[État]]="Remis",1,0)</f>
        <v>1</v>
      </c>
    </row>
    <row r="270" spans="2:11" x14ac:dyDescent="0.25">
      <c r="B270" t="s">
        <v>67</v>
      </c>
      <c r="C270" s="90" t="str">
        <f>VLOOKUP(Tableau4[[#This Row],[Réf matériel]],Tableau3[],2,FALSE)</f>
        <v>Cutter</v>
      </c>
      <c r="D270" s="90">
        <f>VLOOKUP(Tableau4[[#This Row],[Réf matériel]],Tableau3[],3,FALSE)</f>
        <v>4.8499999999999996</v>
      </c>
      <c r="E270" t="s">
        <v>338</v>
      </c>
      <c r="F270" s="90" t="str">
        <f>VLOOKUP(Tableau4[[#This Row],[Matricule]],Tableau1[],2,FALSE)</f>
        <v>KEITA</v>
      </c>
      <c r="G270" s="90" t="str">
        <f>VLOOKUP(Tableau4[[#This Row],[Matricule]],Tableau1[],3,FALSE)</f>
        <v>Cheickne</v>
      </c>
      <c r="H270" s="90" t="str">
        <f>VLOOKUP(Tableau4[[#This Row],[Matricule]],Tableau1[],4,FALSE)</f>
        <v>ELEC</v>
      </c>
      <c r="I270" s="88">
        <v>43544</v>
      </c>
      <c r="J270" t="s">
        <v>380</v>
      </c>
      <c r="K270" s="90">
        <f>IF(Tableau4[[#This Row],[État]]="Remis",1,0)</f>
        <v>1</v>
      </c>
    </row>
    <row r="271" spans="2:11" x14ac:dyDescent="0.25">
      <c r="B271" t="s">
        <v>420</v>
      </c>
      <c r="C271" s="90" t="str">
        <f>VLOOKUP(Tableau4[[#This Row],[Réf matériel]],Tableau3[],2,FALSE)</f>
        <v>Clé allen</v>
      </c>
      <c r="D271" s="90">
        <f>VLOOKUP(Tableau4[[#This Row],[Réf matériel]],Tableau3[],3,FALSE)</f>
        <v>27.5</v>
      </c>
      <c r="E271" t="s">
        <v>338</v>
      </c>
      <c r="F271" s="90" t="str">
        <f>VLOOKUP(Tableau4[[#This Row],[Matricule]],Tableau1[],2,FALSE)</f>
        <v>KEITA</v>
      </c>
      <c r="G271" s="90" t="str">
        <f>VLOOKUP(Tableau4[[#This Row],[Matricule]],Tableau1[],3,FALSE)</f>
        <v>Cheickne</v>
      </c>
      <c r="H271" s="90" t="str">
        <f>VLOOKUP(Tableau4[[#This Row],[Matricule]],Tableau1[],4,FALSE)</f>
        <v>ELEC</v>
      </c>
      <c r="I271" s="99">
        <v>42531</v>
      </c>
      <c r="J271" t="s">
        <v>380</v>
      </c>
      <c r="K271" s="90">
        <f>IF(Tableau4[[#This Row],[État]]="Remis",1,0)</f>
        <v>1</v>
      </c>
    </row>
    <row r="272" spans="2:11" x14ac:dyDescent="0.25">
      <c r="B272" t="s">
        <v>438</v>
      </c>
      <c r="C272" s="90" t="str">
        <f>VLOOKUP(Tableau4[[#This Row],[Réf matériel]],Tableau3[],2,FALSE)</f>
        <v>Outil à dégainer</v>
      </c>
      <c r="D272" s="90">
        <f>VLOOKUP(Tableau4[[#This Row],[Réf matériel]],Tableau3[],3,FALSE)</f>
        <v>20.5</v>
      </c>
      <c r="E272" t="s">
        <v>338</v>
      </c>
      <c r="F272" s="90" t="str">
        <f>VLOOKUP(Tableau4[[#This Row],[Matricule]],Tableau1[],2,FALSE)</f>
        <v>KEITA</v>
      </c>
      <c r="G272" s="90" t="str">
        <f>VLOOKUP(Tableau4[[#This Row],[Matricule]],Tableau1[],3,FALSE)</f>
        <v>Cheickne</v>
      </c>
      <c r="H272" s="90" t="str">
        <f>VLOOKUP(Tableau4[[#This Row],[Matricule]],Tableau1[],4,FALSE)</f>
        <v>ELEC</v>
      </c>
      <c r="I272" s="99">
        <v>42531</v>
      </c>
      <c r="J272" t="s">
        <v>380</v>
      </c>
      <c r="K272" s="90">
        <f>IF(Tableau4[[#This Row],[État]]="Remis",1,0)</f>
        <v>1</v>
      </c>
    </row>
    <row r="273" spans="2:11" x14ac:dyDescent="0.25">
      <c r="B273" t="s">
        <v>439</v>
      </c>
      <c r="C273" s="90" t="str">
        <f>VLOOKUP(Tableau4[[#This Row],[Réf matériel]],Tableau3[],2,FALSE)</f>
        <v>Pince à Sertir</v>
      </c>
      <c r="D273" s="90">
        <f>VLOOKUP(Tableau4[[#This Row],[Réf matériel]],Tableau3[],3,FALSE)</f>
        <v>78.400000000000006</v>
      </c>
      <c r="E273" t="s">
        <v>338</v>
      </c>
      <c r="F273" s="90" t="str">
        <f>VLOOKUP(Tableau4[[#This Row],[Matricule]],Tableau1[],2,FALSE)</f>
        <v>KEITA</v>
      </c>
      <c r="G273" s="90" t="str">
        <f>VLOOKUP(Tableau4[[#This Row],[Matricule]],Tableau1[],3,FALSE)</f>
        <v>Cheickne</v>
      </c>
      <c r="H273" s="90" t="str">
        <f>VLOOKUP(Tableau4[[#This Row],[Matricule]],Tableau1[],4,FALSE)</f>
        <v>ELEC</v>
      </c>
      <c r="I273" s="99">
        <v>42531</v>
      </c>
      <c r="J273" t="s">
        <v>380</v>
      </c>
      <c r="K273" s="90">
        <f>IF(Tableau4[[#This Row],[État]]="Remis",1,0)</f>
        <v>1</v>
      </c>
    </row>
    <row r="274" spans="2:11" x14ac:dyDescent="0.25">
      <c r="B274" t="s">
        <v>440</v>
      </c>
      <c r="C274" s="90" t="str">
        <f>VLOOKUP(Tableau4[[#This Row],[Réf matériel]],Tableau3[],2,FALSE)</f>
        <v>Testeur Fluke</v>
      </c>
      <c r="D274" s="90">
        <f>VLOOKUP(Tableau4[[#This Row],[Réf matériel]],Tableau3[],3,FALSE)</f>
        <v>0</v>
      </c>
      <c r="E274" t="s">
        <v>338</v>
      </c>
      <c r="F274" s="90" t="str">
        <f>VLOOKUP(Tableau4[[#This Row],[Matricule]],Tableau1[],2,FALSE)</f>
        <v>KEITA</v>
      </c>
      <c r="G274" s="90" t="str">
        <f>VLOOKUP(Tableau4[[#This Row],[Matricule]],Tableau1[],3,FALSE)</f>
        <v>Cheickne</v>
      </c>
      <c r="H274" s="90" t="str">
        <f>VLOOKUP(Tableau4[[#This Row],[Matricule]],Tableau1[],4,FALSE)</f>
        <v>ELEC</v>
      </c>
      <c r="I274" s="88">
        <v>43510</v>
      </c>
      <c r="J274" t="s">
        <v>380</v>
      </c>
      <c r="K274" s="90">
        <f>IF(Tableau4[[#This Row],[État]]="Remis",1,0)</f>
        <v>1</v>
      </c>
    </row>
    <row r="275" spans="2:11" x14ac:dyDescent="0.25">
      <c r="B275" t="s">
        <v>399</v>
      </c>
      <c r="C275" s="90" t="str">
        <f>VLOOKUP(Tableau4[[#This Row],[Réf matériel]],Tableau3[],2,FALSE)</f>
        <v>Boite embouts</v>
      </c>
      <c r="D275" s="90">
        <f>VLOOKUP(Tableau4[[#This Row],[Réf matériel]],Tableau3[],3,FALSE)</f>
        <v>27.61</v>
      </c>
      <c r="E275" t="s">
        <v>338</v>
      </c>
      <c r="F275" s="90" t="str">
        <f>VLOOKUP(Tableau4[[#This Row],[Matricule]],Tableau1[],2,FALSE)</f>
        <v>KEITA</v>
      </c>
      <c r="G275" s="90" t="str">
        <f>VLOOKUP(Tableau4[[#This Row],[Matricule]],Tableau1[],3,FALSE)</f>
        <v>Cheickne</v>
      </c>
      <c r="H275" s="90" t="str">
        <f>VLOOKUP(Tableau4[[#This Row],[Matricule]],Tableau1[],4,FALSE)</f>
        <v>ELEC</v>
      </c>
      <c r="I275" s="99">
        <v>42531</v>
      </c>
      <c r="J275" t="s">
        <v>380</v>
      </c>
      <c r="K275" s="90">
        <f>IF(Tableau4[[#This Row],[État]]="Remis",1,0)</f>
        <v>1</v>
      </c>
    </row>
    <row r="276" spans="2:11" x14ac:dyDescent="0.25">
      <c r="B276" t="s">
        <v>72</v>
      </c>
      <c r="C276" s="90" t="str">
        <f>VLOOKUP(Tableau4[[#This Row],[Réf matériel]],Tableau3[],2,FALSE)</f>
        <v>Pince colson</v>
      </c>
      <c r="D276" s="90">
        <f>VLOOKUP(Tableau4[[#This Row],[Réf matériel]],Tableau3[],3,FALSE)</f>
        <v>46.91</v>
      </c>
      <c r="E276" t="s">
        <v>338</v>
      </c>
      <c r="F276" s="90" t="str">
        <f>VLOOKUP(Tableau4[[#This Row],[Matricule]],Tableau1[],2,FALSE)</f>
        <v>KEITA</v>
      </c>
      <c r="G276" s="90" t="str">
        <f>VLOOKUP(Tableau4[[#This Row],[Matricule]],Tableau1[],3,FALSE)</f>
        <v>Cheickne</v>
      </c>
      <c r="H276" s="90" t="str">
        <f>VLOOKUP(Tableau4[[#This Row],[Matricule]],Tableau1[],4,FALSE)</f>
        <v>ELEC</v>
      </c>
      <c r="I276" s="99">
        <v>42531</v>
      </c>
      <c r="J276" t="s">
        <v>380</v>
      </c>
      <c r="K276" s="90">
        <f>IF(Tableau4[[#This Row],[État]]="Remis",1,0)</f>
        <v>1</v>
      </c>
    </row>
    <row r="277" spans="2:11" x14ac:dyDescent="0.25">
      <c r="B277" t="s">
        <v>441</v>
      </c>
      <c r="C277" s="90" t="str">
        <f>VLOOKUP(Tableau4[[#This Row],[Réf matériel]],Tableau3[],2,FALSE)</f>
        <v>Lunette de protection</v>
      </c>
      <c r="D277" s="90">
        <f>VLOOKUP(Tableau4[[#This Row],[Réf matériel]],Tableau3[],3,FALSE)</f>
        <v>2.38</v>
      </c>
      <c r="E277" t="s">
        <v>338</v>
      </c>
      <c r="F277" s="90" t="str">
        <f>VLOOKUP(Tableau4[[#This Row],[Matricule]],Tableau1[],2,FALSE)</f>
        <v>KEITA</v>
      </c>
      <c r="G277" s="90" t="str">
        <f>VLOOKUP(Tableau4[[#This Row],[Matricule]],Tableau1[],3,FALSE)</f>
        <v>Cheickne</v>
      </c>
      <c r="H277" s="90" t="str">
        <f>VLOOKUP(Tableau4[[#This Row],[Matricule]],Tableau1[],4,FALSE)</f>
        <v>ELEC</v>
      </c>
      <c r="I277" s="99">
        <v>42531</v>
      </c>
      <c r="J277" t="s">
        <v>380</v>
      </c>
      <c r="K277" s="90">
        <f>IF(Tableau4[[#This Row],[État]]="Remis",1,0)</f>
        <v>1</v>
      </c>
    </row>
    <row r="278" spans="2:11" x14ac:dyDescent="0.25">
      <c r="B278" t="s">
        <v>74</v>
      </c>
      <c r="C278" s="90" t="str">
        <f>VLOOKUP(Tableau4[[#This Row],[Réf matériel]],Tableau3[],2,FALSE)</f>
        <v>Casque chantier</v>
      </c>
      <c r="D278" s="90">
        <f>VLOOKUP(Tableau4[[#This Row],[Réf matériel]],Tableau3[],3,FALSE)</f>
        <v>29.05</v>
      </c>
      <c r="E278" t="s">
        <v>338</v>
      </c>
      <c r="F278" s="90" t="str">
        <f>VLOOKUP(Tableau4[[#This Row],[Matricule]],Tableau1[],2,FALSE)</f>
        <v>KEITA</v>
      </c>
      <c r="G278" s="90" t="str">
        <f>VLOOKUP(Tableau4[[#This Row],[Matricule]],Tableau1[],3,FALSE)</f>
        <v>Cheickne</v>
      </c>
      <c r="H278" s="90" t="str">
        <f>VLOOKUP(Tableau4[[#This Row],[Matricule]],Tableau1[],4,FALSE)</f>
        <v>ELEC</v>
      </c>
      <c r="I278" s="88">
        <v>43675</v>
      </c>
      <c r="J278" t="s">
        <v>380</v>
      </c>
      <c r="K278" s="90">
        <f>IF(Tableau4[[#This Row],[État]]="Remis",1,0)</f>
        <v>1</v>
      </c>
    </row>
    <row r="279" spans="2:11" x14ac:dyDescent="0.25">
      <c r="B279" t="s">
        <v>75</v>
      </c>
      <c r="C279" s="90" t="str">
        <f>VLOOKUP(Tableau4[[#This Row],[Réf matériel]],Tableau3[],2,FALSE)</f>
        <v>Lampe frontale</v>
      </c>
      <c r="D279" s="90">
        <f>VLOOKUP(Tableau4[[#This Row],[Réf matériel]],Tableau3[],3,FALSE)</f>
        <v>42.5</v>
      </c>
      <c r="E279" t="s">
        <v>338</v>
      </c>
      <c r="F279" s="90" t="str">
        <f>VLOOKUP(Tableau4[[#This Row],[Matricule]],Tableau1[],2,FALSE)</f>
        <v>KEITA</v>
      </c>
      <c r="G279" s="90" t="str">
        <f>VLOOKUP(Tableau4[[#This Row],[Matricule]],Tableau1[],3,FALSE)</f>
        <v>Cheickne</v>
      </c>
      <c r="H279" s="90" t="str">
        <f>VLOOKUP(Tableau4[[#This Row],[Matricule]],Tableau1[],4,FALSE)</f>
        <v>ELEC</v>
      </c>
      <c r="I279" s="99">
        <v>42531</v>
      </c>
      <c r="J279" t="s">
        <v>380</v>
      </c>
      <c r="K279" s="90">
        <f>IF(Tableau4[[#This Row],[État]]="Remis",1,0)</f>
        <v>1</v>
      </c>
    </row>
    <row r="280" spans="2:11" x14ac:dyDescent="0.25">
      <c r="B280" t="s">
        <v>121</v>
      </c>
      <c r="C280" s="90" t="str">
        <f>VLOOKUP(Tableau4[[#This Row],[Réf matériel]],Tableau3[],2,FALSE)</f>
        <v>Tenaille</v>
      </c>
      <c r="D280" s="90">
        <f>VLOOKUP(Tableau4[[#This Row],[Réf matériel]],Tableau3[],3,FALSE)</f>
        <v>12.37</v>
      </c>
      <c r="E280" t="s">
        <v>338</v>
      </c>
      <c r="F280" s="90" t="str">
        <f>VLOOKUP(Tableau4[[#This Row],[Matricule]],Tableau1[],2,FALSE)</f>
        <v>KEITA</v>
      </c>
      <c r="G280" s="90" t="str">
        <f>VLOOKUP(Tableau4[[#This Row],[Matricule]],Tableau1[],3,FALSE)</f>
        <v>Cheickne</v>
      </c>
      <c r="H280" s="90" t="str">
        <f>VLOOKUP(Tableau4[[#This Row],[Matricule]],Tableau1[],4,FALSE)</f>
        <v>ELEC</v>
      </c>
      <c r="I280" s="88">
        <v>43510</v>
      </c>
      <c r="J280" t="s">
        <v>380</v>
      </c>
      <c r="K280" s="90">
        <f>IF(Tableau4[[#This Row],[État]]="Remis",1,0)</f>
        <v>1</v>
      </c>
    </row>
    <row r="281" spans="2:11" x14ac:dyDescent="0.25">
      <c r="B281" t="s">
        <v>448</v>
      </c>
      <c r="C281" s="90" t="str">
        <f>VLOOKUP(Tableau4[[#This Row],[Réf matériel]],Tableau3[],2,FALSE)</f>
        <v>Genouillère</v>
      </c>
      <c r="D281" s="90">
        <f>VLOOKUP(Tableau4[[#This Row],[Réf matériel]],Tableau3[],3,FALSE)</f>
        <v>0</v>
      </c>
      <c r="E281" t="s">
        <v>338</v>
      </c>
      <c r="F281" s="90" t="str">
        <f>VLOOKUP(Tableau4[[#This Row],[Matricule]],Tableau1[],2,FALSE)</f>
        <v>KEITA</v>
      </c>
      <c r="G281" s="90" t="str">
        <f>VLOOKUP(Tableau4[[#This Row],[Matricule]],Tableau1[],3,FALSE)</f>
        <v>Cheickne</v>
      </c>
      <c r="H281" s="90" t="str">
        <f>VLOOKUP(Tableau4[[#This Row],[Matricule]],Tableau1[],4,FALSE)</f>
        <v>ELEC</v>
      </c>
      <c r="I281" s="88">
        <v>43726</v>
      </c>
      <c r="J281" t="s">
        <v>380</v>
      </c>
      <c r="K281" s="90">
        <f>IF(Tableau4[[#This Row],[État]]="Remis",1,0)</f>
        <v>1</v>
      </c>
    </row>
    <row r="282" spans="2:11" x14ac:dyDescent="0.25">
      <c r="B282" t="s">
        <v>440</v>
      </c>
      <c r="C282" s="90" t="str">
        <f>VLOOKUP(Tableau4[[#This Row],[Réf matériel]],Tableau3[],2,FALSE)</f>
        <v>Testeur Fluke</v>
      </c>
      <c r="D282" s="90">
        <f>VLOOKUP(Tableau4[[#This Row],[Réf matériel]],Tableau3[],3,FALSE)</f>
        <v>0</v>
      </c>
      <c r="E282" t="s">
        <v>346</v>
      </c>
      <c r="F282" s="90" t="str">
        <f>VLOOKUP(Tableau4[[#This Row],[Matricule]],Tableau1[],2,FALSE)</f>
        <v>MARTINS</v>
      </c>
      <c r="G282" s="90" t="str">
        <f>VLOOKUP(Tableau4[[#This Row],[Matricule]],Tableau1[],3,FALSE)</f>
        <v>Dominique</v>
      </c>
      <c r="H282" s="90" t="str">
        <f>VLOOKUP(Tableau4[[#This Row],[Matricule]],Tableau1[],4,FALSE)</f>
        <v>RC</v>
      </c>
      <c r="I282" s="88">
        <v>43741</v>
      </c>
      <c r="J282" t="s">
        <v>380</v>
      </c>
      <c r="K282" s="90">
        <f>IF(Tableau4[[#This Row],[État]]="Remis",1,0)</f>
        <v>1</v>
      </c>
    </row>
    <row r="283" spans="2:11" x14ac:dyDescent="0.25">
      <c r="B283" t="s">
        <v>444</v>
      </c>
      <c r="C283" s="90" t="str">
        <f>VLOOKUP(Tableau4[[#This Row],[Réf matériel]],Tableau3[],2,FALSE)</f>
        <v>Brady BMP71</v>
      </c>
      <c r="D283" s="90">
        <f>VLOOKUP(Tableau4[[#This Row],[Réf matériel]],Tableau3[],3,FALSE)</f>
        <v>790</v>
      </c>
      <c r="E283" t="s">
        <v>346</v>
      </c>
      <c r="F283" s="90" t="str">
        <f>VLOOKUP(Tableau4[[#This Row],[Matricule]],Tableau1[],2,FALSE)</f>
        <v>MARTINS</v>
      </c>
      <c r="G283" s="90" t="str">
        <f>VLOOKUP(Tableau4[[#This Row],[Matricule]],Tableau1[],3,FALSE)</f>
        <v>Dominique</v>
      </c>
      <c r="H283" s="90" t="str">
        <f>VLOOKUP(Tableau4[[#This Row],[Matricule]],Tableau1[],4,FALSE)</f>
        <v>RC</v>
      </c>
      <c r="I283" s="88">
        <v>42738</v>
      </c>
      <c r="J283" t="s">
        <v>380</v>
      </c>
      <c r="K283" s="90">
        <f>IF(Tableau4[[#This Row],[État]]="Remis",1,0)</f>
        <v>1</v>
      </c>
    </row>
    <row r="284" spans="2:11" x14ac:dyDescent="0.25">
      <c r="B284" t="s">
        <v>279</v>
      </c>
      <c r="C284" s="90" t="str">
        <f>VLOOKUP(Tableau4[[#This Row],[Réf matériel]],Tableau3[],2,FALSE)</f>
        <v>lime demi ronde</v>
      </c>
      <c r="D284" s="90">
        <f>VLOOKUP(Tableau4[[#This Row],[Réf matériel]],Tableau3[],3,FALSE)</f>
        <v>7.59</v>
      </c>
      <c r="E284" t="s">
        <v>355</v>
      </c>
      <c r="F284" s="90" t="str">
        <f>VLOOKUP(Tableau4[[#This Row],[Matricule]],Tableau1[],2,FALSE)</f>
        <v>MONNATE</v>
      </c>
      <c r="G284" s="90" t="str">
        <f>VLOOKUP(Tableau4[[#This Row],[Matricule]],Tableau1[],3,FALSE)</f>
        <v>Ludowic</v>
      </c>
      <c r="H284" s="90" t="str">
        <f>VLOOKUP(Tableau4[[#This Row],[Matricule]],Tableau1[],4,FALSE)</f>
        <v>RE</v>
      </c>
      <c r="I284" s="88">
        <v>43514</v>
      </c>
      <c r="J284" s="98" t="s">
        <v>380</v>
      </c>
      <c r="K284" s="90">
        <f>IF(Tableau4[[#This Row],[État]]="Remis",1,0)</f>
        <v>1</v>
      </c>
    </row>
    <row r="285" spans="2:11" x14ac:dyDescent="0.25">
      <c r="B285" t="s">
        <v>49</v>
      </c>
      <c r="C285" s="90" t="str">
        <f>VLOOKUP(Tableau4[[#This Row],[Réf matériel]],Tableau3[],2,FALSE)</f>
        <v>Coupe câble</v>
      </c>
      <c r="D285" s="90">
        <f>VLOOKUP(Tableau4[[#This Row],[Réf matériel]],Tableau3[],3,FALSE)</f>
        <v>41.88</v>
      </c>
      <c r="E285" t="s">
        <v>355</v>
      </c>
      <c r="F285" s="90" t="str">
        <f>VLOOKUP(Tableau4[[#This Row],[Matricule]],Tableau1[],2,FALSE)</f>
        <v>MONNATE</v>
      </c>
      <c r="G285" s="90" t="str">
        <f>VLOOKUP(Tableau4[[#This Row],[Matricule]],Tableau1[],3,FALSE)</f>
        <v>Ludowic</v>
      </c>
      <c r="H285" s="90" t="str">
        <f>VLOOKUP(Tableau4[[#This Row],[Matricule]],Tableau1[],4,FALSE)</f>
        <v>RE</v>
      </c>
      <c r="I285" s="88">
        <v>43572</v>
      </c>
      <c r="J285" t="s">
        <v>380</v>
      </c>
      <c r="K285" s="90">
        <f>IF(Tableau4[[#This Row],[État]]="Remis",1,0)</f>
        <v>1</v>
      </c>
    </row>
    <row r="286" spans="2:11" x14ac:dyDescent="0.25">
      <c r="B286" t="s">
        <v>439</v>
      </c>
      <c r="C286" s="90" t="str">
        <f>VLOOKUP(Tableau4[[#This Row],[Réf matériel]],Tableau3[],2,FALSE)</f>
        <v>Pince à Sertir</v>
      </c>
      <c r="D286" s="90">
        <f>VLOOKUP(Tableau4[[#This Row],[Réf matériel]],Tableau3[],3,FALSE)</f>
        <v>78.400000000000006</v>
      </c>
      <c r="E286" t="s">
        <v>355</v>
      </c>
      <c r="F286" s="90" t="str">
        <f>VLOOKUP(Tableau4[[#This Row],[Matricule]],Tableau1[],2,FALSE)</f>
        <v>MONNATE</v>
      </c>
      <c r="G286" s="90" t="str">
        <f>VLOOKUP(Tableau4[[#This Row],[Matricule]],Tableau1[],3,FALSE)</f>
        <v>Ludowic</v>
      </c>
      <c r="H286" s="90" t="str">
        <f>VLOOKUP(Tableau4[[#This Row],[Matricule]],Tableau1[],4,FALSE)</f>
        <v>RE</v>
      </c>
      <c r="I286" s="88">
        <v>43514</v>
      </c>
      <c r="J286" t="s">
        <v>380</v>
      </c>
      <c r="K286" s="90">
        <f>IF(Tableau4[[#This Row],[État]]="Remis",1,0)</f>
        <v>1</v>
      </c>
    </row>
    <row r="287" spans="2:11" x14ac:dyDescent="0.25">
      <c r="B287" t="s">
        <v>440</v>
      </c>
      <c r="C287" s="90" t="str">
        <f>VLOOKUP(Tableau4[[#This Row],[Réf matériel]],Tableau3[],2,FALSE)</f>
        <v>Testeur Fluke</v>
      </c>
      <c r="D287" s="90">
        <f>VLOOKUP(Tableau4[[#This Row],[Réf matériel]],Tableau3[],3,FALSE)</f>
        <v>0</v>
      </c>
      <c r="E287" t="s">
        <v>355</v>
      </c>
      <c r="F287" s="90" t="str">
        <f>VLOOKUP(Tableau4[[#This Row],[Matricule]],Tableau1[],2,FALSE)</f>
        <v>MONNATE</v>
      </c>
      <c r="G287" s="90" t="str">
        <f>VLOOKUP(Tableau4[[#This Row],[Matricule]],Tableau1[],3,FALSE)</f>
        <v>Ludowic</v>
      </c>
      <c r="H287" s="90" t="str">
        <f>VLOOKUP(Tableau4[[#This Row],[Matricule]],Tableau1[],4,FALSE)</f>
        <v>RE</v>
      </c>
      <c r="I287" s="88">
        <v>43514</v>
      </c>
      <c r="J287" t="s">
        <v>380</v>
      </c>
      <c r="K287" s="90">
        <f>IF(Tableau4[[#This Row],[État]]="Remis",1,0)</f>
        <v>1</v>
      </c>
    </row>
    <row r="288" spans="2:11" x14ac:dyDescent="0.25">
      <c r="B288" t="s">
        <v>74</v>
      </c>
      <c r="C288" s="90" t="str">
        <f>VLOOKUP(Tableau4[[#This Row],[Réf matériel]],Tableau3[],2,FALSE)</f>
        <v>Casque chantier</v>
      </c>
      <c r="D288" s="90">
        <f>VLOOKUP(Tableau4[[#This Row],[Réf matériel]],Tableau3[],3,FALSE)</f>
        <v>29.05</v>
      </c>
      <c r="E288" t="s">
        <v>355</v>
      </c>
      <c r="F288" s="90" t="str">
        <f>VLOOKUP(Tableau4[[#This Row],[Matricule]],Tableau1[],2,FALSE)</f>
        <v>MONNATE</v>
      </c>
      <c r="G288" s="90" t="str">
        <f>VLOOKUP(Tableau4[[#This Row],[Matricule]],Tableau1[],3,FALSE)</f>
        <v>Ludowic</v>
      </c>
      <c r="H288" s="90" t="str">
        <f>VLOOKUP(Tableau4[[#This Row],[Matricule]],Tableau1[],4,FALSE)</f>
        <v>RE</v>
      </c>
      <c r="I288" s="88">
        <v>43674</v>
      </c>
      <c r="J288" t="s">
        <v>380</v>
      </c>
      <c r="K288" s="90">
        <f>IF(Tableau4[[#This Row],[État]]="Remis",1,0)</f>
        <v>1</v>
      </c>
    </row>
    <row r="289" spans="2:11" x14ac:dyDescent="0.25">
      <c r="B289" t="s">
        <v>75</v>
      </c>
      <c r="C289" s="90" t="str">
        <f>VLOOKUP(Tableau4[[#This Row],[Réf matériel]],Tableau3[],2,FALSE)</f>
        <v>Lampe frontale</v>
      </c>
      <c r="D289" s="90">
        <f>VLOOKUP(Tableau4[[#This Row],[Réf matériel]],Tableau3[],3,FALSE)</f>
        <v>42.5</v>
      </c>
      <c r="E289" t="s">
        <v>355</v>
      </c>
      <c r="F289" s="90" t="str">
        <f>VLOOKUP(Tableau4[[#This Row],[Matricule]],Tableau1[],2,FALSE)</f>
        <v>MONNATE</v>
      </c>
      <c r="G289" s="90" t="str">
        <f>VLOOKUP(Tableau4[[#This Row],[Matricule]],Tableau1[],3,FALSE)</f>
        <v>Ludowic</v>
      </c>
      <c r="H289" s="90" t="str">
        <f>VLOOKUP(Tableau4[[#This Row],[Matricule]],Tableau1[],4,FALSE)</f>
        <v>RE</v>
      </c>
      <c r="I289" s="88">
        <v>43732</v>
      </c>
      <c r="J289" t="s">
        <v>380</v>
      </c>
      <c r="K289" s="90">
        <f>IF(Tableau4[[#This Row],[État]]="Remis",1,0)</f>
        <v>1</v>
      </c>
    </row>
    <row r="290" spans="2:11" x14ac:dyDescent="0.25">
      <c r="B290" s="98" t="s">
        <v>391</v>
      </c>
      <c r="C290" s="100" t="str">
        <f>VLOOKUP(Tableau4[[#This Row],[Réf matériel]],Tableau3[],2,FALSE)</f>
        <v>Cadena</v>
      </c>
      <c r="D290" s="100">
        <f>VLOOKUP(Tableau4[[#This Row],[Réf matériel]],Tableau3[],3,FALSE)</f>
        <v>13</v>
      </c>
      <c r="E290" s="98" t="s">
        <v>357</v>
      </c>
      <c r="F290" s="100" t="str">
        <f>VLOOKUP(Tableau4[[#This Row],[Matricule]],Tableau1[],2,FALSE)</f>
        <v>MONNATE</v>
      </c>
      <c r="G290" s="100" t="str">
        <f>VLOOKUP(Tableau4[[#This Row],[Matricule]],Tableau1[],3,FALSE)</f>
        <v>Tony</v>
      </c>
      <c r="H290" s="100" t="str">
        <f>VLOOKUP(Tableau4[[#This Row],[Matricule]],Tableau1[],4,FALSE)</f>
        <v>GC</v>
      </c>
      <c r="I290" s="99">
        <v>43669</v>
      </c>
      <c r="J290" s="98" t="s">
        <v>380</v>
      </c>
      <c r="K290" s="90">
        <f>IF(Tableau4[[#This Row],[État]]="Remis",1,0)</f>
        <v>1</v>
      </c>
    </row>
    <row r="291" spans="2:11" x14ac:dyDescent="0.25">
      <c r="B291" s="98" t="s">
        <v>392</v>
      </c>
      <c r="C291" s="100" t="str">
        <f>VLOOKUP(Tableau4[[#This Row],[Réf matériel]],Tableau3[],2,FALSE)</f>
        <v>Coffre</v>
      </c>
      <c r="D291" s="100">
        <f>VLOOKUP(Tableau4[[#This Row],[Réf matériel]],Tableau3[],3,FALSE)</f>
        <v>54.54</v>
      </c>
      <c r="E291" s="97" t="s">
        <v>357</v>
      </c>
      <c r="F291" s="100" t="str">
        <f>VLOOKUP(Tableau4[[#This Row],[Matricule]],Tableau1[],2,FALSE)</f>
        <v>MONNATE</v>
      </c>
      <c r="G291" s="100" t="str">
        <f>VLOOKUP(Tableau4[[#This Row],[Matricule]],Tableau1[],3,FALSE)</f>
        <v>Tony</v>
      </c>
      <c r="H291" s="100" t="str">
        <f>VLOOKUP(Tableau4[[#This Row],[Matricule]],Tableau1[],4,FALSE)</f>
        <v>GC</v>
      </c>
      <c r="I291" s="99">
        <v>43669</v>
      </c>
      <c r="J291" s="98" t="s">
        <v>380</v>
      </c>
      <c r="K291" s="90">
        <f>IF(Tableau4[[#This Row],[État]]="Remis",1,0)</f>
        <v>1</v>
      </c>
    </row>
    <row r="292" spans="2:11" x14ac:dyDescent="0.25">
      <c r="B292" t="s">
        <v>393</v>
      </c>
      <c r="C292" s="90" t="str">
        <f>VLOOKUP(Tableau4[[#This Row],[Réf matériel]],Tableau3[],2,FALSE)</f>
        <v>Clé à molette</v>
      </c>
      <c r="D292" s="90">
        <f>VLOOKUP(Tableau4[[#This Row],[Réf matériel]],Tableau3[],3,FALSE)</f>
        <v>16.12</v>
      </c>
      <c r="E292" t="s">
        <v>357</v>
      </c>
      <c r="F292" s="90" t="str">
        <f>VLOOKUP(Tableau4[[#This Row],[Matricule]],Tableau1[],2,FALSE)</f>
        <v>MONNATE</v>
      </c>
      <c r="G292" s="90" t="str">
        <f>VLOOKUP(Tableau4[[#This Row],[Matricule]],Tableau1[],3,FALSE)</f>
        <v>Tony</v>
      </c>
      <c r="H292" s="90" t="str">
        <f>VLOOKUP(Tableau4[[#This Row],[Matricule]],Tableau1[],4,FALSE)</f>
        <v>GC</v>
      </c>
      <c r="I292" s="99">
        <v>43669</v>
      </c>
      <c r="J292" s="98" t="s">
        <v>380</v>
      </c>
      <c r="K292" s="90">
        <f>IF(Tableau4[[#This Row],[État]]="Remis",1,0)</f>
        <v>1</v>
      </c>
    </row>
    <row r="293" spans="2:11" x14ac:dyDescent="0.25">
      <c r="B293" t="s">
        <v>279</v>
      </c>
      <c r="C293" s="90" t="str">
        <f>VLOOKUP(Tableau4[[#This Row],[Réf matériel]],Tableau3[],2,FALSE)</f>
        <v>lime demi ronde</v>
      </c>
      <c r="D293" s="90">
        <f>VLOOKUP(Tableau4[[#This Row],[Réf matériel]],Tableau3[],3,FALSE)</f>
        <v>7.59</v>
      </c>
      <c r="E293" t="s">
        <v>357</v>
      </c>
      <c r="F293" s="90" t="str">
        <f>VLOOKUP(Tableau4[[#This Row],[Matricule]],Tableau1[],2,FALSE)</f>
        <v>MONNATE</v>
      </c>
      <c r="G293" s="90" t="str">
        <f>VLOOKUP(Tableau4[[#This Row],[Matricule]],Tableau1[],3,FALSE)</f>
        <v>Tony</v>
      </c>
      <c r="H293" s="90" t="str">
        <f>VLOOKUP(Tableau4[[#This Row],[Matricule]],Tableau1[],4,FALSE)</f>
        <v>GC</v>
      </c>
      <c r="I293" s="99">
        <v>43669</v>
      </c>
      <c r="J293" s="98" t="s">
        <v>380</v>
      </c>
      <c r="K293" s="90">
        <f>IF(Tableau4[[#This Row],[État]]="Remis",1,0)</f>
        <v>1</v>
      </c>
    </row>
    <row r="294" spans="2:11" x14ac:dyDescent="0.25">
      <c r="B294" t="s">
        <v>280</v>
      </c>
      <c r="C294" s="90" t="str">
        <f>VLOOKUP(Tableau4[[#This Row],[Réf matériel]],Tableau3[],2,FALSE)</f>
        <v>Pince coupante 1000v</v>
      </c>
      <c r="D294" s="90">
        <f>VLOOKUP(Tableau4[[#This Row],[Réf matériel]],Tableau3[],3,FALSE)</f>
        <v>20.87</v>
      </c>
      <c r="E294" t="s">
        <v>357</v>
      </c>
      <c r="F294" s="90" t="str">
        <f>VLOOKUP(Tableau4[[#This Row],[Matricule]],Tableau1[],2,FALSE)</f>
        <v>MONNATE</v>
      </c>
      <c r="G294" s="90" t="str">
        <f>VLOOKUP(Tableau4[[#This Row],[Matricule]],Tableau1[],3,FALSE)</f>
        <v>Tony</v>
      </c>
      <c r="H294" s="90" t="str">
        <f>VLOOKUP(Tableau4[[#This Row],[Matricule]],Tableau1[],4,FALSE)</f>
        <v>GC</v>
      </c>
      <c r="I294" s="99">
        <v>43669</v>
      </c>
      <c r="J294" s="98" t="s">
        <v>380</v>
      </c>
      <c r="K294" s="90">
        <f>IF(Tableau4[[#This Row],[État]]="Remis",1,0)</f>
        <v>1</v>
      </c>
    </row>
    <row r="295" spans="2:11" x14ac:dyDescent="0.25">
      <c r="B295" t="s">
        <v>281</v>
      </c>
      <c r="C295" s="90" t="str">
        <f>VLOOKUP(Tableau4[[#This Row],[Réf matériel]],Tableau3[],2,FALSE)</f>
        <v>Scie à métaux</v>
      </c>
      <c r="D295" s="90">
        <f>VLOOKUP(Tableau4[[#This Row],[Réf matériel]],Tableau3[],3,FALSE)</f>
        <v>11.26</v>
      </c>
      <c r="E295" t="s">
        <v>357</v>
      </c>
      <c r="F295" s="90" t="str">
        <f>VLOOKUP(Tableau4[[#This Row],[Matricule]],Tableau1[],2,FALSE)</f>
        <v>MONNATE</v>
      </c>
      <c r="G295" s="90" t="str">
        <f>VLOOKUP(Tableau4[[#This Row],[Matricule]],Tableau1[],3,FALSE)</f>
        <v>Tony</v>
      </c>
      <c r="H295" s="90" t="str">
        <f>VLOOKUP(Tableau4[[#This Row],[Matricule]],Tableau1[],4,FALSE)</f>
        <v>GC</v>
      </c>
      <c r="I295" s="99">
        <v>43669</v>
      </c>
      <c r="J295" t="s">
        <v>380</v>
      </c>
      <c r="K295" s="90">
        <f>IF(Tableau4[[#This Row],[État]]="Remis",1,0)</f>
        <v>1</v>
      </c>
    </row>
    <row r="296" spans="2:11" x14ac:dyDescent="0.25">
      <c r="B296" t="s">
        <v>51</v>
      </c>
      <c r="C296" s="90" t="str">
        <f>VLOOKUP(Tableau4[[#This Row],[Réf matériel]],Tableau3[],2,FALSE)</f>
        <v>Mètre pliant</v>
      </c>
      <c r="D296" s="90">
        <f>VLOOKUP(Tableau4[[#This Row],[Réf matériel]],Tableau3[],3,FALSE)</f>
        <v>3.2</v>
      </c>
      <c r="E296" t="s">
        <v>357</v>
      </c>
      <c r="F296" s="90" t="str">
        <f>VLOOKUP(Tableau4[[#This Row],[Matricule]],Tableau1[],2,FALSE)</f>
        <v>MONNATE</v>
      </c>
      <c r="G296" s="90" t="str">
        <f>VLOOKUP(Tableau4[[#This Row],[Matricule]],Tableau1[],3,FALSE)</f>
        <v>Tony</v>
      </c>
      <c r="H296" s="90" t="str">
        <f>VLOOKUP(Tableau4[[#This Row],[Matricule]],Tableau1[],4,FALSE)</f>
        <v>GC</v>
      </c>
      <c r="I296" s="99">
        <v>43669</v>
      </c>
      <c r="J296" t="s">
        <v>380</v>
      </c>
      <c r="K296" s="90">
        <f>IF(Tableau4[[#This Row],[État]]="Remis",1,0)</f>
        <v>1</v>
      </c>
    </row>
    <row r="297" spans="2:11" x14ac:dyDescent="0.25">
      <c r="B297" t="s">
        <v>395</v>
      </c>
      <c r="C297" s="90" t="str">
        <f>VLOOKUP(Tableau4[[#This Row],[Réf matériel]],Tableau3[],2,FALSE)</f>
        <v>Burin plat</v>
      </c>
      <c r="D297" s="90">
        <f>VLOOKUP(Tableau4[[#This Row],[Réf matériel]],Tableau3[],3,FALSE)</f>
        <v>11.89</v>
      </c>
      <c r="E297" t="s">
        <v>357</v>
      </c>
      <c r="F297" s="90" t="str">
        <f>VLOOKUP(Tableau4[[#This Row],[Matricule]],Tableau1[],2,FALSE)</f>
        <v>MONNATE</v>
      </c>
      <c r="G297" s="90" t="str">
        <f>VLOOKUP(Tableau4[[#This Row],[Matricule]],Tableau1[],3,FALSE)</f>
        <v>Tony</v>
      </c>
      <c r="H297" s="90" t="str">
        <f>VLOOKUP(Tableau4[[#This Row],[Matricule]],Tableau1[],4,FALSE)</f>
        <v>GC</v>
      </c>
      <c r="I297" s="99">
        <v>43991</v>
      </c>
      <c r="J297" t="s">
        <v>380</v>
      </c>
      <c r="K297" s="90">
        <f>IF(Tableau4[[#This Row],[État]]="Remis",1,0)</f>
        <v>1</v>
      </c>
    </row>
    <row r="298" spans="2:11" x14ac:dyDescent="0.25">
      <c r="B298" t="s">
        <v>401</v>
      </c>
      <c r="C298" s="90" t="str">
        <f>VLOOKUP(Tableau4[[#This Row],[Réf matériel]],Tableau3[],2,FALSE)</f>
        <v>Burin pointu</v>
      </c>
      <c r="D298" s="90">
        <f>VLOOKUP(Tableau4[[#This Row],[Réf matériel]],Tableau3[],3,FALSE)</f>
        <v>8.7200000000000006</v>
      </c>
      <c r="E298" t="s">
        <v>357</v>
      </c>
      <c r="F298" s="90" t="str">
        <f>VLOOKUP(Tableau4[[#This Row],[Matricule]],Tableau1[],2,FALSE)</f>
        <v>MONNATE</v>
      </c>
      <c r="G298" s="90" t="str">
        <f>VLOOKUP(Tableau4[[#This Row],[Matricule]],Tableau1[],3,FALSE)</f>
        <v>Tony</v>
      </c>
      <c r="H298" s="90" t="str">
        <f>VLOOKUP(Tableau4[[#This Row],[Matricule]],Tableau1[],4,FALSE)</f>
        <v>GC</v>
      </c>
      <c r="I298" s="99">
        <v>43991</v>
      </c>
      <c r="J298" t="s">
        <v>380</v>
      </c>
      <c r="K298" s="90">
        <f>IF(Tableau4[[#This Row],[État]]="Remis",1,0)</f>
        <v>1</v>
      </c>
    </row>
    <row r="299" spans="2:11" x14ac:dyDescent="0.25">
      <c r="B299" t="s">
        <v>396</v>
      </c>
      <c r="C299" s="90" t="str">
        <f>VLOOKUP(Tableau4[[#This Row],[Réf matériel]],Tableau3[],2,FALSE)</f>
        <v>Massette</v>
      </c>
      <c r="D299" s="90">
        <f>VLOOKUP(Tableau4[[#This Row],[Réf matériel]],Tableau3[],3,FALSE)</f>
        <v>15.14</v>
      </c>
      <c r="E299" t="s">
        <v>357</v>
      </c>
      <c r="F299" s="90" t="str">
        <f>VLOOKUP(Tableau4[[#This Row],[Matricule]],Tableau1[],2,FALSE)</f>
        <v>MONNATE</v>
      </c>
      <c r="G299" s="90" t="str">
        <f>VLOOKUP(Tableau4[[#This Row],[Matricule]],Tableau1[],3,FALSE)</f>
        <v>Tony</v>
      </c>
      <c r="H299" s="90" t="str">
        <f>VLOOKUP(Tableau4[[#This Row],[Matricule]],Tableau1[],4,FALSE)</f>
        <v>GC</v>
      </c>
      <c r="I299" s="99">
        <v>43991</v>
      </c>
      <c r="J299" t="s">
        <v>380</v>
      </c>
      <c r="K299" s="90">
        <f>IF(Tableau4[[#This Row],[État]]="Remis",1,0)</f>
        <v>1</v>
      </c>
    </row>
    <row r="300" spans="2:11" x14ac:dyDescent="0.25">
      <c r="B300" t="s">
        <v>55</v>
      </c>
      <c r="C300" s="90" t="str">
        <f>VLOOKUP(Tableau4[[#This Row],[Réf matériel]],Tableau3[],2,FALSE)</f>
        <v>Niveau</v>
      </c>
      <c r="D300" s="90">
        <f>VLOOKUP(Tableau4[[#This Row],[Réf matériel]],Tableau3[],3,FALSE)</f>
        <v>15</v>
      </c>
      <c r="E300" t="s">
        <v>357</v>
      </c>
      <c r="F300" s="90" t="str">
        <f>VLOOKUP(Tableau4[[#This Row],[Matricule]],Tableau1[],2,FALSE)</f>
        <v>MONNATE</v>
      </c>
      <c r="G300" s="90" t="str">
        <f>VLOOKUP(Tableau4[[#This Row],[Matricule]],Tableau1[],3,FALSE)</f>
        <v>Tony</v>
      </c>
      <c r="H300" s="90" t="str">
        <f>VLOOKUP(Tableau4[[#This Row],[Matricule]],Tableau1[],4,FALSE)</f>
        <v>GC</v>
      </c>
      <c r="I300" s="99">
        <v>43669</v>
      </c>
      <c r="J300" t="s">
        <v>380</v>
      </c>
      <c r="K300" s="90">
        <f>IF(Tableau4[[#This Row],[État]]="Remis",1,0)</f>
        <v>1</v>
      </c>
    </row>
    <row r="301" spans="2:11" x14ac:dyDescent="0.25">
      <c r="B301" t="s">
        <v>56</v>
      </c>
      <c r="C301" s="90" t="str">
        <f>VLOOKUP(Tableau4[[#This Row],[Réf matériel]],Tableau3[],2,FALSE)</f>
        <v>Jeu tournevis</v>
      </c>
      <c r="D301" s="90">
        <f>VLOOKUP(Tableau4[[#This Row],[Réf matériel]],Tableau3[],3,FALSE)</f>
        <v>37.57</v>
      </c>
      <c r="E301" t="s">
        <v>357</v>
      </c>
      <c r="F301" s="90" t="str">
        <f>VLOOKUP(Tableau4[[#This Row],[Matricule]],Tableau1[],2,FALSE)</f>
        <v>MONNATE</v>
      </c>
      <c r="G301" s="90" t="str">
        <f>VLOOKUP(Tableau4[[#This Row],[Matricule]],Tableau1[],3,FALSE)</f>
        <v>Tony</v>
      </c>
      <c r="H301" s="90" t="str">
        <f>VLOOKUP(Tableau4[[#This Row],[Matricule]],Tableau1[],4,FALSE)</f>
        <v>GC</v>
      </c>
      <c r="I301" s="99">
        <v>43991</v>
      </c>
      <c r="J301" t="s">
        <v>380</v>
      </c>
      <c r="K301" s="90">
        <f>IF(Tableau4[[#This Row],[État]]="Remis",1,0)</f>
        <v>1</v>
      </c>
    </row>
    <row r="302" spans="2:11" x14ac:dyDescent="0.25">
      <c r="B302" t="s">
        <v>397</v>
      </c>
      <c r="C302" s="90" t="str">
        <f>VLOOKUP(Tableau4[[#This Row],[Réf matériel]],Tableau3[],2,FALSE)</f>
        <v>Pince étau</v>
      </c>
      <c r="D302" s="90">
        <f>VLOOKUP(Tableau4[[#This Row],[Réf matériel]],Tableau3[],3,FALSE)</f>
        <v>16.02</v>
      </c>
      <c r="E302" t="s">
        <v>357</v>
      </c>
      <c r="F302" s="90" t="str">
        <f>VLOOKUP(Tableau4[[#This Row],[Matricule]],Tableau1[],2,FALSE)</f>
        <v>MONNATE</v>
      </c>
      <c r="G302" s="90" t="str">
        <f>VLOOKUP(Tableau4[[#This Row],[Matricule]],Tableau1[],3,FALSE)</f>
        <v>Tony</v>
      </c>
      <c r="H302" s="90" t="str">
        <f>VLOOKUP(Tableau4[[#This Row],[Matricule]],Tableau1[],4,FALSE)</f>
        <v>GC</v>
      </c>
      <c r="I302" s="99">
        <v>43669</v>
      </c>
      <c r="J302" t="s">
        <v>380</v>
      </c>
      <c r="K302" s="90">
        <f>IF(Tableau4[[#This Row],[État]]="Remis",1,0)</f>
        <v>1</v>
      </c>
    </row>
    <row r="303" spans="2:11" x14ac:dyDescent="0.25">
      <c r="B303" t="s">
        <v>398</v>
      </c>
      <c r="C303" s="90" t="str">
        <f>VLOOKUP(Tableau4[[#This Row],[Réf matériel]],Tableau3[],2,FALSE)</f>
        <v>Coffret douilles</v>
      </c>
      <c r="D303" s="90">
        <f>VLOOKUP(Tableau4[[#This Row],[Réf matériel]],Tableau3[],3,FALSE)</f>
        <v>103.22</v>
      </c>
      <c r="E303" t="s">
        <v>357</v>
      </c>
      <c r="F303" s="90" t="str">
        <f>VLOOKUP(Tableau4[[#This Row],[Matricule]],Tableau1[],2,FALSE)</f>
        <v>MONNATE</v>
      </c>
      <c r="G303" s="90" t="str">
        <f>VLOOKUP(Tableau4[[#This Row],[Matricule]],Tableau1[],3,FALSE)</f>
        <v>Tony</v>
      </c>
      <c r="H303" s="90" t="str">
        <f>VLOOKUP(Tableau4[[#This Row],[Matricule]],Tableau1[],4,FALSE)</f>
        <v>GC</v>
      </c>
      <c r="I303" s="99">
        <v>43669</v>
      </c>
      <c r="J303" t="s">
        <v>380</v>
      </c>
      <c r="K303" s="90">
        <f>IF(Tableau4[[#This Row],[État]]="Remis",1,0)</f>
        <v>1</v>
      </c>
    </row>
    <row r="304" spans="2:11" x14ac:dyDescent="0.25">
      <c r="B304" t="s">
        <v>402</v>
      </c>
      <c r="C304" s="90" t="str">
        <f>VLOOKUP(Tableau4[[#This Row],[Réf matériel]],Tableau3[],2,FALSE)</f>
        <v>Clé à pipe 8</v>
      </c>
      <c r="D304" s="90">
        <f>VLOOKUP(Tableau4[[#This Row],[Réf matériel]],Tableau3[],3,FALSE)</f>
        <v>4.8499999999999996</v>
      </c>
      <c r="E304" t="s">
        <v>357</v>
      </c>
      <c r="F304" s="90" t="str">
        <f>VLOOKUP(Tableau4[[#This Row],[Matricule]],Tableau1[],2,FALSE)</f>
        <v>MONNATE</v>
      </c>
      <c r="G304" s="90" t="str">
        <f>VLOOKUP(Tableau4[[#This Row],[Matricule]],Tableau1[],3,FALSE)</f>
        <v>Tony</v>
      </c>
      <c r="H304" s="90" t="str">
        <f>VLOOKUP(Tableau4[[#This Row],[Matricule]],Tableau1[],4,FALSE)</f>
        <v>GC</v>
      </c>
      <c r="I304" s="88">
        <v>43669</v>
      </c>
      <c r="J304" t="s">
        <v>380</v>
      </c>
      <c r="K304" s="90">
        <f>IF(Tableau4[[#This Row],[État]]="Remis",1,0)</f>
        <v>1</v>
      </c>
    </row>
    <row r="305" spans="2:11" x14ac:dyDescent="0.25">
      <c r="B305" t="s">
        <v>403</v>
      </c>
      <c r="C305" s="90" t="str">
        <f>VLOOKUP(Tableau4[[#This Row],[Réf matériel]],Tableau3[],2,FALSE)</f>
        <v>Clé à pipe 10</v>
      </c>
      <c r="D305" s="90">
        <f>VLOOKUP(Tableau4[[#This Row],[Réf matériel]],Tableau3[],3,FALSE)</f>
        <v>5.41</v>
      </c>
      <c r="E305" t="s">
        <v>357</v>
      </c>
      <c r="F305" s="90" t="str">
        <f>VLOOKUP(Tableau4[[#This Row],[Matricule]],Tableau1[],2,FALSE)</f>
        <v>MONNATE</v>
      </c>
      <c r="G305" s="90" t="str">
        <f>VLOOKUP(Tableau4[[#This Row],[Matricule]],Tableau1[],3,FALSE)</f>
        <v>Tony</v>
      </c>
      <c r="H305" s="90" t="str">
        <f>VLOOKUP(Tableau4[[#This Row],[Matricule]],Tableau1[],4,FALSE)</f>
        <v>GC</v>
      </c>
      <c r="I305" s="88">
        <v>43669</v>
      </c>
      <c r="J305" t="s">
        <v>380</v>
      </c>
      <c r="K305" s="90">
        <f>IF(Tableau4[[#This Row],[État]]="Remis",1,0)</f>
        <v>1</v>
      </c>
    </row>
    <row r="306" spans="2:11" x14ac:dyDescent="0.25">
      <c r="B306" t="s">
        <v>405</v>
      </c>
      <c r="C306" s="90" t="str">
        <f>VLOOKUP(Tableau4[[#This Row],[Réf matériel]],Tableau3[],2,FALSE)</f>
        <v>Clé à pipe 13</v>
      </c>
      <c r="D306" s="90">
        <f>VLOOKUP(Tableau4[[#This Row],[Réf matériel]],Tableau3[],3,FALSE)</f>
        <v>6.23</v>
      </c>
      <c r="E306" t="s">
        <v>357</v>
      </c>
      <c r="F306" s="90" t="str">
        <f>VLOOKUP(Tableau4[[#This Row],[Matricule]],Tableau1[],2,FALSE)</f>
        <v>MONNATE</v>
      </c>
      <c r="G306" s="90" t="str">
        <f>VLOOKUP(Tableau4[[#This Row],[Matricule]],Tableau1[],3,FALSE)</f>
        <v>Tony</v>
      </c>
      <c r="H306" s="90" t="str">
        <f>VLOOKUP(Tableau4[[#This Row],[Matricule]],Tableau1[],4,FALSE)</f>
        <v>GC</v>
      </c>
      <c r="I306" s="88">
        <v>43669</v>
      </c>
      <c r="J306" t="s">
        <v>380</v>
      </c>
      <c r="K306" s="90">
        <f>IF(Tableau4[[#This Row],[État]]="Remis",1,0)</f>
        <v>1</v>
      </c>
    </row>
    <row r="307" spans="2:11" x14ac:dyDescent="0.25">
      <c r="B307" t="s">
        <v>406</v>
      </c>
      <c r="C307" s="90" t="str">
        <f>VLOOKUP(Tableau4[[#This Row],[Réf matériel]],Tableau3[],2,FALSE)</f>
        <v>Clé à pipe 14</v>
      </c>
      <c r="D307" s="90">
        <f>VLOOKUP(Tableau4[[#This Row],[Réf matériel]],Tableau3[],3,FALSE)</f>
        <v>8.16</v>
      </c>
      <c r="E307" t="s">
        <v>357</v>
      </c>
      <c r="F307" s="90" t="str">
        <f>VLOOKUP(Tableau4[[#This Row],[Matricule]],Tableau1[],2,FALSE)</f>
        <v>MONNATE</v>
      </c>
      <c r="G307" s="90" t="str">
        <f>VLOOKUP(Tableau4[[#This Row],[Matricule]],Tableau1[],3,FALSE)</f>
        <v>Tony</v>
      </c>
      <c r="H307" s="90" t="str">
        <f>VLOOKUP(Tableau4[[#This Row],[Matricule]],Tableau1[],4,FALSE)</f>
        <v>GC</v>
      </c>
      <c r="I307" s="88">
        <v>43669</v>
      </c>
      <c r="J307" t="s">
        <v>380</v>
      </c>
      <c r="K307" s="90">
        <f>IF(Tableau4[[#This Row],[État]]="Remis",1,0)</f>
        <v>1</v>
      </c>
    </row>
    <row r="308" spans="2:11" x14ac:dyDescent="0.25">
      <c r="B308" t="s">
        <v>408</v>
      </c>
      <c r="C308" s="90" t="str">
        <f>VLOOKUP(Tableau4[[#This Row],[Réf matériel]],Tableau3[],2,FALSE)</f>
        <v>Clé à pipe 17</v>
      </c>
      <c r="D308" s="90">
        <f>VLOOKUP(Tableau4[[#This Row],[Réf matériel]],Tableau3[],3,FALSE)</f>
        <v>9.36</v>
      </c>
      <c r="E308" t="s">
        <v>357</v>
      </c>
      <c r="F308" s="90" t="str">
        <f>VLOOKUP(Tableau4[[#This Row],[Matricule]],Tableau1[],2,FALSE)</f>
        <v>MONNATE</v>
      </c>
      <c r="G308" s="90" t="str">
        <f>VLOOKUP(Tableau4[[#This Row],[Matricule]],Tableau1[],3,FALSE)</f>
        <v>Tony</v>
      </c>
      <c r="H308" s="90" t="str">
        <f>VLOOKUP(Tableau4[[#This Row],[Matricule]],Tableau1[],4,FALSE)</f>
        <v>GC</v>
      </c>
      <c r="I308" s="88">
        <v>43669</v>
      </c>
      <c r="J308" t="s">
        <v>380</v>
      </c>
      <c r="K308" s="90">
        <f>IF(Tableau4[[#This Row],[État]]="Remis",1,0)</f>
        <v>1</v>
      </c>
    </row>
    <row r="309" spans="2:11" x14ac:dyDescent="0.25">
      <c r="B309" t="s">
        <v>409</v>
      </c>
      <c r="C309" s="90" t="str">
        <f>VLOOKUP(Tableau4[[#This Row],[Réf matériel]],Tableau3[],2,FALSE)</f>
        <v>Clé à pipe 19</v>
      </c>
      <c r="D309" s="90">
        <f>VLOOKUP(Tableau4[[#This Row],[Réf matériel]],Tableau3[],3,FALSE)</f>
        <v>10.4</v>
      </c>
      <c r="E309" t="s">
        <v>357</v>
      </c>
      <c r="F309" s="90" t="str">
        <f>VLOOKUP(Tableau4[[#This Row],[Matricule]],Tableau1[],2,FALSE)</f>
        <v>MONNATE</v>
      </c>
      <c r="G309" s="90" t="str">
        <f>VLOOKUP(Tableau4[[#This Row],[Matricule]],Tableau1[],3,FALSE)</f>
        <v>Tony</v>
      </c>
      <c r="H309" s="90" t="str">
        <f>VLOOKUP(Tableau4[[#This Row],[Matricule]],Tableau1[],4,FALSE)</f>
        <v>GC</v>
      </c>
      <c r="I309" s="88">
        <v>43669</v>
      </c>
      <c r="J309" t="s">
        <v>380</v>
      </c>
      <c r="K309" s="90">
        <f>IF(Tableau4[[#This Row],[État]]="Remis",1,0)</f>
        <v>1</v>
      </c>
    </row>
    <row r="310" spans="2:11" x14ac:dyDescent="0.25">
      <c r="B310" t="s">
        <v>410</v>
      </c>
      <c r="C310" s="90" t="str">
        <f>VLOOKUP(Tableau4[[#This Row],[Réf matériel]],Tableau3[],2,FALSE)</f>
        <v>Clé plate 10</v>
      </c>
      <c r="D310" s="90">
        <f>VLOOKUP(Tableau4[[#This Row],[Réf matériel]],Tableau3[],3,FALSE)</f>
        <v>3.32</v>
      </c>
      <c r="E310" t="s">
        <v>357</v>
      </c>
      <c r="F310" s="90" t="str">
        <f>VLOOKUP(Tableau4[[#This Row],[Matricule]],Tableau1[],2,FALSE)</f>
        <v>MONNATE</v>
      </c>
      <c r="G310" s="90" t="str">
        <f>VLOOKUP(Tableau4[[#This Row],[Matricule]],Tableau1[],3,FALSE)</f>
        <v>Tony</v>
      </c>
      <c r="H310" s="90" t="str">
        <f>VLOOKUP(Tableau4[[#This Row],[Matricule]],Tableau1[],4,FALSE)</f>
        <v>GC</v>
      </c>
      <c r="I310" s="88">
        <v>43669</v>
      </c>
      <c r="J310" t="s">
        <v>380</v>
      </c>
      <c r="K310" s="90">
        <f>IF(Tableau4[[#This Row],[État]]="Remis",1,0)</f>
        <v>1</v>
      </c>
    </row>
    <row r="311" spans="2:11" x14ac:dyDescent="0.25">
      <c r="B311" t="s">
        <v>412</v>
      </c>
      <c r="C311" s="90" t="str">
        <f>VLOOKUP(Tableau4[[#This Row],[Réf matériel]],Tableau3[],2,FALSE)</f>
        <v>Clé plate 13</v>
      </c>
      <c r="D311" s="90">
        <f>VLOOKUP(Tableau4[[#This Row],[Réf matériel]],Tableau3[],3,FALSE)</f>
        <v>3.91</v>
      </c>
      <c r="E311" t="s">
        <v>357</v>
      </c>
      <c r="F311" s="90" t="str">
        <f>VLOOKUP(Tableau4[[#This Row],[Matricule]],Tableau1[],2,FALSE)</f>
        <v>MONNATE</v>
      </c>
      <c r="G311" s="90" t="str">
        <f>VLOOKUP(Tableau4[[#This Row],[Matricule]],Tableau1[],3,FALSE)</f>
        <v>Tony</v>
      </c>
      <c r="H311" s="90" t="str">
        <f>VLOOKUP(Tableau4[[#This Row],[Matricule]],Tableau1[],4,FALSE)</f>
        <v>GC</v>
      </c>
      <c r="I311" s="88">
        <v>43669</v>
      </c>
      <c r="J311" t="s">
        <v>380</v>
      </c>
      <c r="K311" s="90">
        <f>IF(Tableau4[[#This Row],[État]]="Remis",1,0)</f>
        <v>1</v>
      </c>
    </row>
    <row r="312" spans="2:11" x14ac:dyDescent="0.25">
      <c r="B312" t="s">
        <v>413</v>
      </c>
      <c r="C312" s="90" t="str">
        <f>VLOOKUP(Tableau4[[#This Row],[Réf matériel]],Tableau3[],2,FALSE)</f>
        <v>Clé plate 14</v>
      </c>
      <c r="D312" s="90">
        <f>VLOOKUP(Tableau4[[#This Row],[Réf matériel]],Tableau3[],3,FALSE)</f>
        <v>3.85</v>
      </c>
      <c r="E312" t="s">
        <v>357</v>
      </c>
      <c r="F312" s="90" t="str">
        <f>VLOOKUP(Tableau4[[#This Row],[Matricule]],Tableau1[],2,FALSE)</f>
        <v>MONNATE</v>
      </c>
      <c r="G312" s="90" t="str">
        <f>VLOOKUP(Tableau4[[#This Row],[Matricule]],Tableau1[],3,FALSE)</f>
        <v>Tony</v>
      </c>
      <c r="H312" s="90" t="str">
        <f>VLOOKUP(Tableau4[[#This Row],[Matricule]],Tableau1[],4,FALSE)</f>
        <v>GC</v>
      </c>
      <c r="I312" s="88">
        <v>43669</v>
      </c>
      <c r="J312" t="s">
        <v>380</v>
      </c>
      <c r="K312" s="90">
        <f>IF(Tableau4[[#This Row],[État]]="Remis",1,0)</f>
        <v>1</v>
      </c>
    </row>
    <row r="313" spans="2:11" x14ac:dyDescent="0.25">
      <c r="B313" t="s">
        <v>414</v>
      </c>
      <c r="C313" s="90" t="str">
        <f>VLOOKUP(Tableau4[[#This Row],[Réf matériel]],Tableau3[],2,FALSE)</f>
        <v>Clé plate 17</v>
      </c>
      <c r="D313" s="90">
        <f>VLOOKUP(Tableau4[[#This Row],[Réf matériel]],Tableau3[],3,FALSE)</f>
        <v>5.5</v>
      </c>
      <c r="E313" t="s">
        <v>357</v>
      </c>
      <c r="F313" s="90" t="str">
        <f>VLOOKUP(Tableau4[[#This Row],[Matricule]],Tableau1[],2,FALSE)</f>
        <v>MONNATE</v>
      </c>
      <c r="G313" s="90" t="str">
        <f>VLOOKUP(Tableau4[[#This Row],[Matricule]],Tableau1[],3,FALSE)</f>
        <v>Tony</v>
      </c>
      <c r="H313" s="90" t="str">
        <f>VLOOKUP(Tableau4[[#This Row],[Matricule]],Tableau1[],4,FALSE)</f>
        <v>GC</v>
      </c>
      <c r="I313" s="88">
        <v>43669</v>
      </c>
      <c r="J313" t="s">
        <v>380</v>
      </c>
      <c r="K313" s="90">
        <f>IF(Tableau4[[#This Row],[État]]="Remis",1,0)</f>
        <v>1</v>
      </c>
    </row>
    <row r="314" spans="2:11" x14ac:dyDescent="0.25">
      <c r="B314" t="s">
        <v>415</v>
      </c>
      <c r="C314" s="90" t="str">
        <f>VLOOKUP(Tableau4[[#This Row],[Réf matériel]],Tableau3[],2,FALSE)</f>
        <v>Clé plate 19</v>
      </c>
      <c r="D314" s="90">
        <f>VLOOKUP(Tableau4[[#This Row],[Réf matériel]],Tableau3[],3,FALSE)</f>
        <v>6.07</v>
      </c>
      <c r="E314" t="s">
        <v>357</v>
      </c>
      <c r="F314" s="90" t="str">
        <f>VLOOKUP(Tableau4[[#This Row],[Matricule]],Tableau1[],2,FALSE)</f>
        <v>MONNATE</v>
      </c>
      <c r="G314" s="90" t="str">
        <f>VLOOKUP(Tableau4[[#This Row],[Matricule]],Tableau1[],3,FALSE)</f>
        <v>Tony</v>
      </c>
      <c r="H314" s="90" t="str">
        <f>VLOOKUP(Tableau4[[#This Row],[Matricule]],Tableau1[],4,FALSE)</f>
        <v>GC</v>
      </c>
      <c r="I314" s="88">
        <v>43669</v>
      </c>
      <c r="J314" t="s">
        <v>380</v>
      </c>
      <c r="K314" s="90">
        <f>IF(Tableau4[[#This Row],[État]]="Remis",1,0)</f>
        <v>1</v>
      </c>
    </row>
    <row r="315" spans="2:11" x14ac:dyDescent="0.25">
      <c r="B315" t="s">
        <v>419</v>
      </c>
      <c r="C315" s="90" t="str">
        <f>VLOOKUP(Tableau4[[#This Row],[Réf matériel]],Tableau3[],2,FALSE)</f>
        <v>Jeu de Clés torx</v>
      </c>
      <c r="D315" s="90">
        <f>VLOOKUP(Tableau4[[#This Row],[Réf matériel]],Tableau3[],3,FALSE)</f>
        <v>45</v>
      </c>
      <c r="E315" t="s">
        <v>357</v>
      </c>
      <c r="F315" s="90" t="str">
        <f>VLOOKUP(Tableau4[[#This Row],[Matricule]],Tableau1[],2,FALSE)</f>
        <v>MONNATE</v>
      </c>
      <c r="G315" s="90" t="str">
        <f>VLOOKUP(Tableau4[[#This Row],[Matricule]],Tableau1[],3,FALSE)</f>
        <v>Tony</v>
      </c>
      <c r="H315" s="90" t="str">
        <f>VLOOKUP(Tableau4[[#This Row],[Matricule]],Tableau1[],4,FALSE)</f>
        <v>GC</v>
      </c>
      <c r="I315" s="88">
        <v>43991</v>
      </c>
      <c r="J315" t="s">
        <v>380</v>
      </c>
      <c r="K315" s="90">
        <f>IF(Tableau4[[#This Row],[État]]="Remis",1,0)</f>
        <v>1</v>
      </c>
    </row>
    <row r="316" spans="2:11" x14ac:dyDescent="0.25">
      <c r="B316" t="s">
        <v>67</v>
      </c>
      <c r="C316" s="90" t="str">
        <f>VLOOKUP(Tableau4[[#This Row],[Réf matériel]],Tableau3[],2,FALSE)</f>
        <v>Cutter</v>
      </c>
      <c r="D316" s="90">
        <f>VLOOKUP(Tableau4[[#This Row],[Réf matériel]],Tableau3[],3,FALSE)</f>
        <v>4.8499999999999996</v>
      </c>
      <c r="E316" t="s">
        <v>357</v>
      </c>
      <c r="F316" s="90" t="str">
        <f>VLOOKUP(Tableau4[[#This Row],[Matricule]],Tableau1[],2,FALSE)</f>
        <v>MONNATE</v>
      </c>
      <c r="G316" s="90" t="str">
        <f>VLOOKUP(Tableau4[[#This Row],[Matricule]],Tableau1[],3,FALSE)</f>
        <v>Tony</v>
      </c>
      <c r="H316" s="90" t="str">
        <f>VLOOKUP(Tableau4[[#This Row],[Matricule]],Tableau1[],4,FALSE)</f>
        <v>GC</v>
      </c>
      <c r="I316" s="88">
        <v>43991</v>
      </c>
      <c r="J316" t="s">
        <v>380</v>
      </c>
      <c r="K316" s="90">
        <f>IF(Tableau4[[#This Row],[État]]="Remis",1,0)</f>
        <v>1</v>
      </c>
    </row>
    <row r="317" spans="2:11" x14ac:dyDescent="0.25">
      <c r="B317" t="s">
        <v>420</v>
      </c>
      <c r="C317" s="90" t="str">
        <f>VLOOKUP(Tableau4[[#This Row],[Réf matériel]],Tableau3[],2,FALSE)</f>
        <v>Clé allen</v>
      </c>
      <c r="D317" s="90">
        <f>VLOOKUP(Tableau4[[#This Row],[Réf matériel]],Tableau3[],3,FALSE)</f>
        <v>27.5</v>
      </c>
      <c r="E317" t="s">
        <v>357</v>
      </c>
      <c r="F317" s="90" t="str">
        <f>VLOOKUP(Tableau4[[#This Row],[Matricule]],Tableau1[],2,FALSE)</f>
        <v>MONNATE</v>
      </c>
      <c r="G317" s="90" t="str">
        <f>VLOOKUP(Tableau4[[#This Row],[Matricule]],Tableau1[],3,FALSE)</f>
        <v>Tony</v>
      </c>
      <c r="H317" s="90" t="str">
        <f>VLOOKUP(Tableau4[[#This Row],[Matricule]],Tableau1[],4,FALSE)</f>
        <v>GC</v>
      </c>
      <c r="I317" s="88">
        <v>43669</v>
      </c>
      <c r="J317" t="s">
        <v>380</v>
      </c>
      <c r="K317" s="90">
        <f>IF(Tableau4[[#This Row],[État]]="Remis",1,0)</f>
        <v>1</v>
      </c>
    </row>
    <row r="318" spans="2:11" x14ac:dyDescent="0.25">
      <c r="B318" t="s">
        <v>75</v>
      </c>
      <c r="C318" s="90" t="str">
        <f>VLOOKUP(Tableau4[[#This Row],[Réf matériel]],Tableau3[],2,FALSE)</f>
        <v>Lampe frontale</v>
      </c>
      <c r="D318" s="90">
        <f>VLOOKUP(Tableau4[[#This Row],[Réf matériel]],Tableau3[],3,FALSE)</f>
        <v>42.5</v>
      </c>
      <c r="E318" t="s">
        <v>357</v>
      </c>
      <c r="F318" s="90" t="str">
        <f>VLOOKUP(Tableau4[[#This Row],[Matricule]],Tableau1[],2,FALSE)</f>
        <v>MONNATE</v>
      </c>
      <c r="G318" s="90" t="str">
        <f>VLOOKUP(Tableau4[[#This Row],[Matricule]],Tableau1[],3,FALSE)</f>
        <v>Tony</v>
      </c>
      <c r="H318" s="90" t="str">
        <f>VLOOKUP(Tableau4[[#This Row],[Matricule]],Tableau1[],4,FALSE)</f>
        <v>GC</v>
      </c>
      <c r="I318" s="88">
        <v>43732</v>
      </c>
      <c r="J318" t="s">
        <v>380</v>
      </c>
      <c r="K318" s="90">
        <f>IF(Tableau4[[#This Row],[État]]="Remis",1,0)</f>
        <v>1</v>
      </c>
    </row>
    <row r="319" spans="2:11" x14ac:dyDescent="0.25">
      <c r="B319" t="s">
        <v>145</v>
      </c>
      <c r="C319" s="90" t="str">
        <f>VLOOKUP(Tableau4[[#This Row],[Réf matériel]],Tableau3[],2,FALSE)</f>
        <v>Pince à long bec</v>
      </c>
      <c r="D319" s="90">
        <f>VLOOKUP(Tableau4[[#This Row],[Réf matériel]],Tableau3[],3,FALSE)</f>
        <v>0</v>
      </c>
      <c r="E319" t="s">
        <v>357</v>
      </c>
      <c r="F319" s="90" t="str">
        <f>VLOOKUP(Tableau4[[#This Row],[Matricule]],Tableau1[],2,FALSE)</f>
        <v>MONNATE</v>
      </c>
      <c r="G319" s="90" t="str">
        <f>VLOOKUP(Tableau4[[#This Row],[Matricule]],Tableau1[],3,FALSE)</f>
        <v>Tony</v>
      </c>
      <c r="H319" s="90" t="str">
        <f>VLOOKUP(Tableau4[[#This Row],[Matricule]],Tableau1[],4,FALSE)</f>
        <v>GC</v>
      </c>
      <c r="I319" s="88">
        <v>43669</v>
      </c>
      <c r="J319" t="s">
        <v>380</v>
      </c>
      <c r="K319" s="90">
        <f>IF(Tableau4[[#This Row],[État]]="Remis",1,0)</f>
        <v>1</v>
      </c>
    </row>
    <row r="320" spans="2:11" x14ac:dyDescent="0.25">
      <c r="B320" t="s">
        <v>146</v>
      </c>
      <c r="C320" s="90" t="str">
        <f>VLOOKUP(Tableau4[[#This Row],[Réf matériel]],Tableau3[],2,FALSE)</f>
        <v>Pince multi cran</v>
      </c>
      <c r="D320" s="90">
        <f>VLOOKUP(Tableau4[[#This Row],[Réf matériel]],Tableau3[],3,FALSE)</f>
        <v>0</v>
      </c>
      <c r="E320" t="s">
        <v>357</v>
      </c>
      <c r="F320" s="90" t="str">
        <f>VLOOKUP(Tableau4[[#This Row],[Matricule]],Tableau1[],2,FALSE)</f>
        <v>MONNATE</v>
      </c>
      <c r="G320" s="90" t="str">
        <f>VLOOKUP(Tableau4[[#This Row],[Matricule]],Tableau1[],3,FALSE)</f>
        <v>Tony</v>
      </c>
      <c r="H320" s="90" t="str">
        <f>VLOOKUP(Tableau4[[#This Row],[Matricule]],Tableau1[],4,FALSE)</f>
        <v>GC</v>
      </c>
      <c r="I320" s="88">
        <v>43669</v>
      </c>
      <c r="J320" t="s">
        <v>380</v>
      </c>
      <c r="K320" s="90">
        <f>IF(Tableau4[[#This Row],[État]]="Remis",1,0)</f>
        <v>1</v>
      </c>
    </row>
    <row r="321" spans="2:11" x14ac:dyDescent="0.25">
      <c r="B321" t="s">
        <v>149</v>
      </c>
      <c r="C321" s="90" t="str">
        <f>VLOOKUP(Tableau4[[#This Row],[Réf matériel]],Tableau3[],2,FALSE)</f>
        <v>Stan</v>
      </c>
      <c r="D321" s="90">
        <f>VLOOKUP(Tableau4[[#This Row],[Réf matériel]],Tableau3[],3,FALSE)</f>
        <v>4.8499999999999996</v>
      </c>
      <c r="E321" t="s">
        <v>357</v>
      </c>
      <c r="F321" s="90" t="str">
        <f>VLOOKUP(Tableau4[[#This Row],[Matricule]],Tableau1[],2,FALSE)</f>
        <v>MONNATE</v>
      </c>
      <c r="G321" s="90" t="str">
        <f>VLOOKUP(Tableau4[[#This Row],[Matricule]],Tableau1[],3,FALSE)</f>
        <v>Tony</v>
      </c>
      <c r="H321" s="90" t="str">
        <f>VLOOKUP(Tableau4[[#This Row],[Matricule]],Tableau1[],4,FALSE)</f>
        <v>GC</v>
      </c>
      <c r="I321" s="88">
        <v>43669</v>
      </c>
      <c r="J321" t="s">
        <v>380</v>
      </c>
      <c r="K321" s="90">
        <f>IF(Tableau4[[#This Row],[État]]="Remis",1,0)</f>
        <v>1</v>
      </c>
    </row>
    <row r="322" spans="2:11" x14ac:dyDescent="0.25">
      <c r="B322" s="98" t="s">
        <v>392</v>
      </c>
      <c r="C322" s="100" t="str">
        <f>VLOOKUP(Tableau4[[#This Row],[Réf matériel]],Tableau3[],2,FALSE)</f>
        <v>Coffre</v>
      </c>
      <c r="D322" s="100">
        <f>VLOOKUP(Tableau4[[#This Row],[Réf matériel]],Tableau3[],3,FALSE)</f>
        <v>54.54</v>
      </c>
      <c r="E322" s="97" t="s">
        <v>358</v>
      </c>
      <c r="F322" s="100" t="str">
        <f>VLOOKUP(Tableau4[[#This Row],[Matricule]],Tableau1[],2,FALSE)</f>
        <v>PASTOR</v>
      </c>
      <c r="G322" s="100" t="str">
        <f>VLOOKUP(Tableau4[[#This Row],[Matricule]],Tableau1[],3,FALSE)</f>
        <v>Javier</v>
      </c>
      <c r="H322" s="100" t="str">
        <f>VLOOKUP(Tableau4[[#This Row],[Matricule]],Tableau1[],4,FALSE)</f>
        <v>RC</v>
      </c>
      <c r="I322" s="99">
        <v>43866</v>
      </c>
      <c r="J322" s="98" t="s">
        <v>380</v>
      </c>
      <c r="K322" s="90">
        <f>IF(Tableau4[[#This Row],[État]]="Remis",1,0)</f>
        <v>1</v>
      </c>
    </row>
    <row r="323" spans="2:11" x14ac:dyDescent="0.25">
      <c r="B323" t="s">
        <v>393</v>
      </c>
      <c r="C323" s="90" t="str">
        <f>VLOOKUP(Tableau4[[#This Row],[Réf matériel]],Tableau3[],2,FALSE)</f>
        <v>Clé à molette</v>
      </c>
      <c r="D323" s="90">
        <f>VLOOKUP(Tableau4[[#This Row],[Réf matériel]],Tableau3[],3,FALSE)</f>
        <v>16.12</v>
      </c>
      <c r="E323" t="s">
        <v>358</v>
      </c>
      <c r="F323" s="90" t="str">
        <f>VLOOKUP(Tableau4[[#This Row],[Matricule]],Tableau1[],2,FALSE)</f>
        <v>PASTOR</v>
      </c>
      <c r="G323" s="90" t="str">
        <f>VLOOKUP(Tableau4[[#This Row],[Matricule]],Tableau1[],3,FALSE)</f>
        <v>Javier</v>
      </c>
      <c r="H323" s="90" t="str">
        <f>VLOOKUP(Tableau4[[#This Row],[Matricule]],Tableau1[],4,FALSE)</f>
        <v>RC</v>
      </c>
      <c r="I323" s="99">
        <v>43866</v>
      </c>
      <c r="J323" s="98" t="s">
        <v>380</v>
      </c>
      <c r="K323" s="90">
        <f>IF(Tableau4[[#This Row],[État]]="Remis",1,0)</f>
        <v>1</v>
      </c>
    </row>
    <row r="324" spans="2:11" x14ac:dyDescent="0.25">
      <c r="B324" t="s">
        <v>278</v>
      </c>
      <c r="C324" s="90" t="str">
        <f>VLOOKUP(Tableau4[[#This Row],[Réf matériel]],Tableau3[],2,FALSE)</f>
        <v>Pince à dénuder</v>
      </c>
      <c r="D324" s="90">
        <f>VLOOKUP(Tableau4[[#This Row],[Réf matériel]],Tableau3[],3,FALSE)</f>
        <v>24.55</v>
      </c>
      <c r="E324" t="s">
        <v>358</v>
      </c>
      <c r="F324" s="90" t="str">
        <f>VLOOKUP(Tableau4[[#This Row],[Matricule]],Tableau1[],2,FALSE)</f>
        <v>PASTOR</v>
      </c>
      <c r="G324" s="90" t="str">
        <f>VLOOKUP(Tableau4[[#This Row],[Matricule]],Tableau1[],3,FALSE)</f>
        <v>Javier</v>
      </c>
      <c r="H324" s="90" t="str">
        <f>VLOOKUP(Tableau4[[#This Row],[Matricule]],Tableau1[],4,FALSE)</f>
        <v>RC</v>
      </c>
      <c r="I324" s="99">
        <v>43866</v>
      </c>
      <c r="J324" s="98" t="s">
        <v>380</v>
      </c>
      <c r="K324" s="90">
        <f>IF(Tableau4[[#This Row],[État]]="Remis",1,0)</f>
        <v>1</v>
      </c>
    </row>
    <row r="325" spans="2:11" x14ac:dyDescent="0.25">
      <c r="B325" t="s">
        <v>279</v>
      </c>
      <c r="C325" s="90" t="str">
        <f>VLOOKUP(Tableau4[[#This Row],[Réf matériel]],Tableau3[],2,FALSE)</f>
        <v>lime demi ronde</v>
      </c>
      <c r="D325" s="90">
        <f>VLOOKUP(Tableau4[[#This Row],[Réf matériel]],Tableau3[],3,FALSE)</f>
        <v>7.59</v>
      </c>
      <c r="E325" t="s">
        <v>358</v>
      </c>
      <c r="F325" s="90" t="str">
        <f>VLOOKUP(Tableau4[[#This Row],[Matricule]],Tableau1[],2,FALSE)</f>
        <v>PASTOR</v>
      </c>
      <c r="G325" s="90" t="str">
        <f>VLOOKUP(Tableau4[[#This Row],[Matricule]],Tableau1[],3,FALSE)</f>
        <v>Javier</v>
      </c>
      <c r="H325" s="90" t="str">
        <f>VLOOKUP(Tableau4[[#This Row],[Matricule]],Tableau1[],4,FALSE)</f>
        <v>RC</v>
      </c>
      <c r="I325" s="99">
        <v>43866</v>
      </c>
      <c r="J325" s="98" t="s">
        <v>380</v>
      </c>
      <c r="K325" s="90">
        <f>IF(Tableau4[[#This Row],[État]]="Remis",1,0)</f>
        <v>1</v>
      </c>
    </row>
    <row r="326" spans="2:11" x14ac:dyDescent="0.25">
      <c r="B326" t="s">
        <v>280</v>
      </c>
      <c r="C326" s="90" t="str">
        <f>VLOOKUP(Tableau4[[#This Row],[Réf matériel]],Tableau3[],2,FALSE)</f>
        <v>Pince coupante 1000v</v>
      </c>
      <c r="D326" s="90">
        <f>VLOOKUP(Tableau4[[#This Row],[Réf matériel]],Tableau3[],3,FALSE)</f>
        <v>20.87</v>
      </c>
      <c r="E326" t="s">
        <v>358</v>
      </c>
      <c r="F326" s="90" t="str">
        <f>VLOOKUP(Tableau4[[#This Row],[Matricule]],Tableau1[],2,FALSE)</f>
        <v>PASTOR</v>
      </c>
      <c r="G326" s="90" t="str">
        <f>VLOOKUP(Tableau4[[#This Row],[Matricule]],Tableau1[],3,FALSE)</f>
        <v>Javier</v>
      </c>
      <c r="H326" s="90" t="str">
        <f>VLOOKUP(Tableau4[[#This Row],[Matricule]],Tableau1[],4,FALSE)</f>
        <v>RC</v>
      </c>
      <c r="I326" s="99">
        <v>43866</v>
      </c>
      <c r="J326" s="98" t="s">
        <v>380</v>
      </c>
      <c r="K326" s="90">
        <f>IF(Tableau4[[#This Row],[État]]="Remis",1,0)</f>
        <v>1</v>
      </c>
    </row>
    <row r="327" spans="2:11" x14ac:dyDescent="0.25">
      <c r="B327" t="s">
        <v>49</v>
      </c>
      <c r="C327" s="90" t="str">
        <f>VLOOKUP(Tableau4[[#This Row],[Réf matériel]],Tableau3[],2,FALSE)</f>
        <v>Coupe câble</v>
      </c>
      <c r="D327" s="90">
        <f>VLOOKUP(Tableau4[[#This Row],[Réf matériel]],Tableau3[],3,FALSE)</f>
        <v>41.88</v>
      </c>
      <c r="E327" t="s">
        <v>358</v>
      </c>
      <c r="F327" s="90" t="str">
        <f>VLOOKUP(Tableau4[[#This Row],[Matricule]],Tableau1[],2,FALSE)</f>
        <v>PASTOR</v>
      </c>
      <c r="G327" s="90" t="str">
        <f>VLOOKUP(Tableau4[[#This Row],[Matricule]],Tableau1[],3,FALSE)</f>
        <v>Javier</v>
      </c>
      <c r="H327" s="90" t="str">
        <f>VLOOKUP(Tableau4[[#This Row],[Matricule]],Tableau1[],4,FALSE)</f>
        <v>RC</v>
      </c>
      <c r="I327" s="99">
        <v>43866</v>
      </c>
      <c r="J327" t="s">
        <v>380</v>
      </c>
      <c r="K327" s="90">
        <f>IF(Tableau4[[#This Row],[État]]="Remis",1,0)</f>
        <v>1</v>
      </c>
    </row>
    <row r="328" spans="2:11" x14ac:dyDescent="0.25">
      <c r="B328" t="s">
        <v>281</v>
      </c>
      <c r="C328" s="90" t="str">
        <f>VLOOKUP(Tableau4[[#This Row],[Réf matériel]],Tableau3[],2,FALSE)</f>
        <v>Scie à métaux</v>
      </c>
      <c r="D328" s="90">
        <f>VLOOKUP(Tableau4[[#This Row],[Réf matériel]],Tableau3[],3,FALSE)</f>
        <v>11.26</v>
      </c>
      <c r="E328" t="s">
        <v>358</v>
      </c>
      <c r="F328" s="90" t="str">
        <f>VLOOKUP(Tableau4[[#This Row],[Matricule]],Tableau1[],2,FALSE)</f>
        <v>PASTOR</v>
      </c>
      <c r="G328" s="90" t="str">
        <f>VLOOKUP(Tableau4[[#This Row],[Matricule]],Tableau1[],3,FALSE)</f>
        <v>Javier</v>
      </c>
      <c r="H328" s="90" t="str">
        <f>VLOOKUP(Tableau4[[#This Row],[Matricule]],Tableau1[],4,FALSE)</f>
        <v>RC</v>
      </c>
      <c r="I328" s="99">
        <v>43866</v>
      </c>
      <c r="J328" t="s">
        <v>380</v>
      </c>
      <c r="K328" s="90">
        <f>IF(Tableau4[[#This Row],[État]]="Remis",1,0)</f>
        <v>1</v>
      </c>
    </row>
    <row r="329" spans="2:11" x14ac:dyDescent="0.25">
      <c r="B329" t="s">
        <v>51</v>
      </c>
      <c r="C329" s="90" t="str">
        <f>VLOOKUP(Tableau4[[#This Row],[Réf matériel]],Tableau3[],2,FALSE)</f>
        <v>Mètre pliant</v>
      </c>
      <c r="D329" s="90">
        <f>VLOOKUP(Tableau4[[#This Row],[Réf matériel]],Tableau3[],3,FALSE)</f>
        <v>3.2</v>
      </c>
      <c r="E329" t="s">
        <v>358</v>
      </c>
      <c r="F329" s="90" t="str">
        <f>VLOOKUP(Tableau4[[#This Row],[Matricule]],Tableau1[],2,FALSE)</f>
        <v>PASTOR</v>
      </c>
      <c r="G329" s="90" t="str">
        <f>VLOOKUP(Tableau4[[#This Row],[Matricule]],Tableau1[],3,FALSE)</f>
        <v>Javier</v>
      </c>
      <c r="H329" s="90" t="str">
        <f>VLOOKUP(Tableau4[[#This Row],[Matricule]],Tableau1[],4,FALSE)</f>
        <v>RC</v>
      </c>
      <c r="I329" s="99">
        <v>43866</v>
      </c>
      <c r="J329" t="s">
        <v>380</v>
      </c>
      <c r="K329" s="90">
        <f>IF(Tableau4[[#This Row],[État]]="Remis",1,0)</f>
        <v>1</v>
      </c>
    </row>
    <row r="330" spans="2:11" x14ac:dyDescent="0.25">
      <c r="B330" t="s">
        <v>395</v>
      </c>
      <c r="C330" s="90" t="str">
        <f>VLOOKUP(Tableau4[[#This Row],[Réf matériel]],Tableau3[],2,FALSE)</f>
        <v>Burin plat</v>
      </c>
      <c r="D330" s="90">
        <f>VLOOKUP(Tableau4[[#This Row],[Réf matériel]],Tableau3[],3,FALSE)</f>
        <v>11.89</v>
      </c>
      <c r="E330" t="s">
        <v>358</v>
      </c>
      <c r="F330" s="90" t="str">
        <f>VLOOKUP(Tableau4[[#This Row],[Matricule]],Tableau1[],2,FALSE)</f>
        <v>PASTOR</v>
      </c>
      <c r="G330" s="90" t="str">
        <f>VLOOKUP(Tableau4[[#This Row],[Matricule]],Tableau1[],3,FALSE)</f>
        <v>Javier</v>
      </c>
      <c r="H330" s="90" t="str">
        <f>VLOOKUP(Tableau4[[#This Row],[Matricule]],Tableau1[],4,FALSE)</f>
        <v>RC</v>
      </c>
      <c r="I330" s="99">
        <v>43866</v>
      </c>
      <c r="J330" t="s">
        <v>380</v>
      </c>
      <c r="K330" s="90">
        <f>IF(Tableau4[[#This Row],[État]]="Remis",1,0)</f>
        <v>1</v>
      </c>
    </row>
    <row r="331" spans="2:11" x14ac:dyDescent="0.25">
      <c r="B331" t="s">
        <v>401</v>
      </c>
      <c r="C331" s="90" t="str">
        <f>VLOOKUP(Tableau4[[#This Row],[Réf matériel]],Tableau3[],2,FALSE)</f>
        <v>Burin pointu</v>
      </c>
      <c r="D331" s="90">
        <f>VLOOKUP(Tableau4[[#This Row],[Réf matériel]],Tableau3[],3,FALSE)</f>
        <v>8.7200000000000006</v>
      </c>
      <c r="E331" t="s">
        <v>358</v>
      </c>
      <c r="F331" s="90" t="str">
        <f>VLOOKUP(Tableau4[[#This Row],[Matricule]],Tableau1[],2,FALSE)</f>
        <v>PASTOR</v>
      </c>
      <c r="G331" s="90" t="str">
        <f>VLOOKUP(Tableau4[[#This Row],[Matricule]],Tableau1[],3,FALSE)</f>
        <v>Javier</v>
      </c>
      <c r="H331" s="90" t="str">
        <f>VLOOKUP(Tableau4[[#This Row],[Matricule]],Tableau1[],4,FALSE)</f>
        <v>RC</v>
      </c>
      <c r="I331" s="99">
        <v>43866</v>
      </c>
      <c r="J331" t="s">
        <v>380</v>
      </c>
      <c r="K331" s="90">
        <f>IF(Tableau4[[#This Row],[État]]="Remis",1,0)</f>
        <v>1</v>
      </c>
    </row>
    <row r="332" spans="2:11" x14ac:dyDescent="0.25">
      <c r="B332" t="s">
        <v>396</v>
      </c>
      <c r="C332" s="90" t="str">
        <f>VLOOKUP(Tableau4[[#This Row],[Réf matériel]],Tableau3[],2,FALSE)</f>
        <v>Massette</v>
      </c>
      <c r="D332" s="90">
        <f>VLOOKUP(Tableau4[[#This Row],[Réf matériel]],Tableau3[],3,FALSE)</f>
        <v>15.14</v>
      </c>
      <c r="E332" t="s">
        <v>358</v>
      </c>
      <c r="F332" s="90" t="str">
        <f>VLOOKUP(Tableau4[[#This Row],[Matricule]],Tableau1[],2,FALSE)</f>
        <v>PASTOR</v>
      </c>
      <c r="G332" s="90" t="str">
        <f>VLOOKUP(Tableau4[[#This Row],[Matricule]],Tableau1[],3,FALSE)</f>
        <v>Javier</v>
      </c>
      <c r="H332" s="90" t="str">
        <f>VLOOKUP(Tableau4[[#This Row],[Matricule]],Tableau1[],4,FALSE)</f>
        <v>RC</v>
      </c>
      <c r="I332" s="99">
        <v>43866</v>
      </c>
      <c r="J332" t="s">
        <v>380</v>
      </c>
      <c r="K332" s="90">
        <f>IF(Tableau4[[#This Row],[État]]="Remis",1,0)</f>
        <v>1</v>
      </c>
    </row>
    <row r="333" spans="2:11" x14ac:dyDescent="0.25">
      <c r="B333" t="s">
        <v>55</v>
      </c>
      <c r="C333" s="90" t="str">
        <f>VLOOKUP(Tableau4[[#This Row],[Réf matériel]],Tableau3[],2,FALSE)</f>
        <v>Niveau</v>
      </c>
      <c r="D333" s="90">
        <f>VLOOKUP(Tableau4[[#This Row],[Réf matériel]],Tableau3[],3,FALSE)</f>
        <v>15</v>
      </c>
      <c r="E333" t="s">
        <v>358</v>
      </c>
      <c r="F333" s="90" t="str">
        <f>VLOOKUP(Tableau4[[#This Row],[Matricule]],Tableau1[],2,FALSE)</f>
        <v>PASTOR</v>
      </c>
      <c r="G333" s="90" t="str">
        <f>VLOOKUP(Tableau4[[#This Row],[Matricule]],Tableau1[],3,FALSE)</f>
        <v>Javier</v>
      </c>
      <c r="H333" s="90" t="str">
        <f>VLOOKUP(Tableau4[[#This Row],[Matricule]],Tableau1[],4,FALSE)</f>
        <v>RC</v>
      </c>
      <c r="I333" s="99">
        <v>43866</v>
      </c>
      <c r="J333" t="s">
        <v>380</v>
      </c>
      <c r="K333" s="90">
        <f>IF(Tableau4[[#This Row],[État]]="Remis",1,0)</f>
        <v>1</v>
      </c>
    </row>
    <row r="334" spans="2:11" x14ac:dyDescent="0.25">
      <c r="B334" t="s">
        <v>56</v>
      </c>
      <c r="C334" s="90" t="str">
        <f>VLOOKUP(Tableau4[[#This Row],[Réf matériel]],Tableau3[],2,FALSE)</f>
        <v>Jeu tournevis</v>
      </c>
      <c r="D334" s="90">
        <f>VLOOKUP(Tableau4[[#This Row],[Réf matériel]],Tableau3[],3,FALSE)</f>
        <v>37.57</v>
      </c>
      <c r="E334" t="s">
        <v>358</v>
      </c>
      <c r="F334" s="90" t="str">
        <f>VLOOKUP(Tableau4[[#This Row],[Matricule]],Tableau1[],2,FALSE)</f>
        <v>PASTOR</v>
      </c>
      <c r="G334" s="90" t="str">
        <f>VLOOKUP(Tableau4[[#This Row],[Matricule]],Tableau1[],3,FALSE)</f>
        <v>Javier</v>
      </c>
      <c r="H334" s="90" t="str">
        <f>VLOOKUP(Tableau4[[#This Row],[Matricule]],Tableau1[],4,FALSE)</f>
        <v>RC</v>
      </c>
      <c r="I334" s="99">
        <v>43866</v>
      </c>
      <c r="J334" t="s">
        <v>380</v>
      </c>
      <c r="K334" s="90">
        <f>IF(Tableau4[[#This Row],[État]]="Remis",1,0)</f>
        <v>1</v>
      </c>
    </row>
    <row r="335" spans="2:11" x14ac:dyDescent="0.25">
      <c r="B335" t="s">
        <v>397</v>
      </c>
      <c r="C335" s="90" t="str">
        <f>VLOOKUP(Tableau4[[#This Row],[Réf matériel]],Tableau3[],2,FALSE)</f>
        <v>Pince étau</v>
      </c>
      <c r="D335" s="90">
        <f>VLOOKUP(Tableau4[[#This Row],[Réf matériel]],Tableau3[],3,FALSE)</f>
        <v>16.02</v>
      </c>
      <c r="E335" t="s">
        <v>358</v>
      </c>
      <c r="F335" s="90" t="str">
        <f>VLOOKUP(Tableau4[[#This Row],[Matricule]],Tableau1[],2,FALSE)</f>
        <v>PASTOR</v>
      </c>
      <c r="G335" s="90" t="str">
        <f>VLOOKUP(Tableau4[[#This Row],[Matricule]],Tableau1[],3,FALSE)</f>
        <v>Javier</v>
      </c>
      <c r="H335" s="90" t="str">
        <f>VLOOKUP(Tableau4[[#This Row],[Matricule]],Tableau1[],4,FALSE)</f>
        <v>RC</v>
      </c>
      <c r="I335" s="99">
        <v>43866</v>
      </c>
      <c r="J335" t="s">
        <v>380</v>
      </c>
      <c r="K335" s="90">
        <f>IF(Tableau4[[#This Row],[État]]="Remis",1,0)</f>
        <v>1</v>
      </c>
    </row>
    <row r="336" spans="2:11" x14ac:dyDescent="0.25">
      <c r="B336" t="s">
        <v>398</v>
      </c>
      <c r="C336" s="90" t="str">
        <f>VLOOKUP(Tableau4[[#This Row],[Réf matériel]],Tableau3[],2,FALSE)</f>
        <v>Coffret douilles</v>
      </c>
      <c r="D336" s="90">
        <f>VLOOKUP(Tableau4[[#This Row],[Réf matériel]],Tableau3[],3,FALSE)</f>
        <v>103.22</v>
      </c>
      <c r="E336" t="s">
        <v>358</v>
      </c>
      <c r="F336" s="90" t="str">
        <f>VLOOKUP(Tableau4[[#This Row],[Matricule]],Tableau1[],2,FALSE)</f>
        <v>PASTOR</v>
      </c>
      <c r="G336" s="90" t="str">
        <f>VLOOKUP(Tableau4[[#This Row],[Matricule]],Tableau1[],3,FALSE)</f>
        <v>Javier</v>
      </c>
      <c r="H336" s="90" t="str">
        <f>VLOOKUP(Tableau4[[#This Row],[Matricule]],Tableau1[],4,FALSE)</f>
        <v>RC</v>
      </c>
      <c r="I336" s="99">
        <v>43866</v>
      </c>
      <c r="J336" t="s">
        <v>380</v>
      </c>
      <c r="K336" s="90">
        <f>IF(Tableau4[[#This Row],[État]]="Remis",1,0)</f>
        <v>1</v>
      </c>
    </row>
    <row r="337" spans="2:11" x14ac:dyDescent="0.25">
      <c r="B337" t="s">
        <v>403</v>
      </c>
      <c r="C337" s="90" t="str">
        <f>VLOOKUP(Tableau4[[#This Row],[Réf matériel]],Tableau3[],2,FALSE)</f>
        <v>Clé à pipe 10</v>
      </c>
      <c r="D337" s="90">
        <f>VLOOKUP(Tableau4[[#This Row],[Réf matériel]],Tableau3[],3,FALSE)</f>
        <v>5.41</v>
      </c>
      <c r="E337" t="s">
        <v>358</v>
      </c>
      <c r="F337" s="90" t="str">
        <f>VLOOKUP(Tableau4[[#This Row],[Matricule]],Tableau1[],2,FALSE)</f>
        <v>PASTOR</v>
      </c>
      <c r="G337" s="90" t="str">
        <f>VLOOKUP(Tableau4[[#This Row],[Matricule]],Tableau1[],3,FALSE)</f>
        <v>Javier</v>
      </c>
      <c r="H337" s="90" t="str">
        <f>VLOOKUP(Tableau4[[#This Row],[Matricule]],Tableau1[],4,FALSE)</f>
        <v>RC</v>
      </c>
      <c r="I337" s="99">
        <v>43866</v>
      </c>
      <c r="J337" t="s">
        <v>380</v>
      </c>
      <c r="K337" s="90">
        <f>IF(Tableau4[[#This Row],[État]]="Remis",1,0)</f>
        <v>1</v>
      </c>
    </row>
    <row r="338" spans="2:11" x14ac:dyDescent="0.25">
      <c r="B338" t="s">
        <v>405</v>
      </c>
      <c r="C338" s="90" t="str">
        <f>VLOOKUP(Tableau4[[#This Row],[Réf matériel]],Tableau3[],2,FALSE)</f>
        <v>Clé à pipe 13</v>
      </c>
      <c r="D338" s="90">
        <f>VLOOKUP(Tableau4[[#This Row],[Réf matériel]],Tableau3[],3,FALSE)</f>
        <v>6.23</v>
      </c>
      <c r="E338" t="s">
        <v>358</v>
      </c>
      <c r="F338" s="90" t="str">
        <f>VLOOKUP(Tableau4[[#This Row],[Matricule]],Tableau1[],2,FALSE)</f>
        <v>PASTOR</v>
      </c>
      <c r="G338" s="90" t="str">
        <f>VLOOKUP(Tableau4[[#This Row],[Matricule]],Tableau1[],3,FALSE)</f>
        <v>Javier</v>
      </c>
      <c r="H338" s="90" t="str">
        <f>VLOOKUP(Tableau4[[#This Row],[Matricule]],Tableau1[],4,FALSE)</f>
        <v>RC</v>
      </c>
      <c r="I338" s="99">
        <v>43866</v>
      </c>
      <c r="J338" t="s">
        <v>380</v>
      </c>
      <c r="K338" s="90">
        <f>IF(Tableau4[[#This Row],[État]]="Remis",1,0)</f>
        <v>1</v>
      </c>
    </row>
    <row r="339" spans="2:11" x14ac:dyDescent="0.25">
      <c r="B339" t="s">
        <v>408</v>
      </c>
      <c r="C339" s="90" t="str">
        <f>VLOOKUP(Tableau4[[#This Row],[Réf matériel]],Tableau3[],2,FALSE)</f>
        <v>Clé à pipe 17</v>
      </c>
      <c r="D339" s="90">
        <f>VLOOKUP(Tableau4[[#This Row],[Réf matériel]],Tableau3[],3,FALSE)</f>
        <v>9.36</v>
      </c>
      <c r="E339" t="s">
        <v>358</v>
      </c>
      <c r="F339" s="90" t="str">
        <f>VLOOKUP(Tableau4[[#This Row],[Matricule]],Tableau1[],2,FALSE)</f>
        <v>PASTOR</v>
      </c>
      <c r="G339" s="90" t="str">
        <f>VLOOKUP(Tableau4[[#This Row],[Matricule]],Tableau1[],3,FALSE)</f>
        <v>Javier</v>
      </c>
      <c r="H339" s="90" t="str">
        <f>VLOOKUP(Tableau4[[#This Row],[Matricule]],Tableau1[],4,FALSE)</f>
        <v>RC</v>
      </c>
      <c r="I339" s="99">
        <v>43866</v>
      </c>
      <c r="J339" t="s">
        <v>380</v>
      </c>
      <c r="K339" s="90">
        <f>IF(Tableau4[[#This Row],[État]]="Remis",1,0)</f>
        <v>1</v>
      </c>
    </row>
    <row r="340" spans="2:11" x14ac:dyDescent="0.25">
      <c r="B340" t="s">
        <v>409</v>
      </c>
      <c r="C340" s="90" t="str">
        <f>VLOOKUP(Tableau4[[#This Row],[Réf matériel]],Tableau3[],2,FALSE)</f>
        <v>Clé à pipe 19</v>
      </c>
      <c r="D340" s="90">
        <f>VLOOKUP(Tableau4[[#This Row],[Réf matériel]],Tableau3[],3,FALSE)</f>
        <v>10.4</v>
      </c>
      <c r="E340" t="s">
        <v>358</v>
      </c>
      <c r="F340" s="90" t="str">
        <f>VLOOKUP(Tableau4[[#This Row],[Matricule]],Tableau1[],2,FALSE)</f>
        <v>PASTOR</v>
      </c>
      <c r="G340" s="90" t="str">
        <f>VLOOKUP(Tableau4[[#This Row],[Matricule]],Tableau1[],3,FALSE)</f>
        <v>Javier</v>
      </c>
      <c r="H340" s="90" t="str">
        <f>VLOOKUP(Tableau4[[#This Row],[Matricule]],Tableau1[],4,FALSE)</f>
        <v>RC</v>
      </c>
      <c r="I340" s="99">
        <v>43866</v>
      </c>
      <c r="J340" t="s">
        <v>380</v>
      </c>
      <c r="K340" s="90">
        <f>IF(Tableau4[[#This Row],[État]]="Remis",1,0)</f>
        <v>1</v>
      </c>
    </row>
    <row r="341" spans="2:11" x14ac:dyDescent="0.25">
      <c r="B341" t="s">
        <v>423</v>
      </c>
      <c r="C341" s="90" t="str">
        <f>VLOOKUP(Tableau4[[#This Row],[Réf matériel]],Tableau3[],2,FALSE)</f>
        <v>Clé plate 8</v>
      </c>
      <c r="D341" s="90">
        <f>VLOOKUP(Tableau4[[#This Row],[Réf matériel]],Tableau3[],3,FALSE)</f>
        <v>3.05</v>
      </c>
      <c r="E341" t="s">
        <v>358</v>
      </c>
      <c r="F341" s="90" t="str">
        <f>VLOOKUP(Tableau4[[#This Row],[Matricule]],Tableau1[],2,FALSE)</f>
        <v>PASTOR</v>
      </c>
      <c r="G341" s="90" t="str">
        <f>VLOOKUP(Tableau4[[#This Row],[Matricule]],Tableau1[],3,FALSE)</f>
        <v>Javier</v>
      </c>
      <c r="H341" s="90" t="str">
        <f>VLOOKUP(Tableau4[[#This Row],[Matricule]],Tableau1[],4,FALSE)</f>
        <v>RC</v>
      </c>
      <c r="I341" s="99">
        <v>43866</v>
      </c>
      <c r="J341" t="s">
        <v>380</v>
      </c>
      <c r="K341" s="90">
        <f>IF(Tableau4[[#This Row],[État]]="Remis",1,0)</f>
        <v>1</v>
      </c>
    </row>
    <row r="342" spans="2:11" x14ac:dyDescent="0.25">
      <c r="B342" t="s">
        <v>424</v>
      </c>
      <c r="C342" s="90" t="str">
        <f>VLOOKUP(Tableau4[[#This Row],[Réf matériel]],Tableau3[],2,FALSE)</f>
        <v>Clé plate 9</v>
      </c>
      <c r="D342" s="90">
        <f>VLOOKUP(Tableau4[[#This Row],[Réf matériel]],Tableau3[],3,FALSE)</f>
        <v>2.5</v>
      </c>
      <c r="E342" t="s">
        <v>358</v>
      </c>
      <c r="F342" s="90" t="str">
        <f>VLOOKUP(Tableau4[[#This Row],[Matricule]],Tableau1[],2,FALSE)</f>
        <v>PASTOR</v>
      </c>
      <c r="G342" s="90" t="str">
        <f>VLOOKUP(Tableau4[[#This Row],[Matricule]],Tableau1[],3,FALSE)</f>
        <v>Javier</v>
      </c>
      <c r="H342" s="90" t="str">
        <f>VLOOKUP(Tableau4[[#This Row],[Matricule]],Tableau1[],4,FALSE)</f>
        <v>RC</v>
      </c>
      <c r="I342" s="99">
        <v>43866</v>
      </c>
      <c r="J342" t="s">
        <v>380</v>
      </c>
      <c r="K342" s="90">
        <f>IF(Tableau4[[#This Row],[État]]="Remis",1,0)</f>
        <v>1</v>
      </c>
    </row>
    <row r="343" spans="2:11" x14ac:dyDescent="0.25">
      <c r="B343" t="s">
        <v>410</v>
      </c>
      <c r="C343" s="90" t="str">
        <f>VLOOKUP(Tableau4[[#This Row],[Réf matériel]],Tableau3[],2,FALSE)</f>
        <v>Clé plate 10</v>
      </c>
      <c r="D343" s="90">
        <f>VLOOKUP(Tableau4[[#This Row],[Réf matériel]],Tableau3[],3,FALSE)</f>
        <v>3.32</v>
      </c>
      <c r="E343" t="s">
        <v>358</v>
      </c>
      <c r="F343" s="90" t="str">
        <f>VLOOKUP(Tableau4[[#This Row],[Matricule]],Tableau1[],2,FALSE)</f>
        <v>PASTOR</v>
      </c>
      <c r="G343" s="90" t="str">
        <f>VLOOKUP(Tableau4[[#This Row],[Matricule]],Tableau1[],3,FALSE)</f>
        <v>Javier</v>
      </c>
      <c r="H343" s="90" t="str">
        <f>VLOOKUP(Tableau4[[#This Row],[Matricule]],Tableau1[],4,FALSE)</f>
        <v>RC</v>
      </c>
      <c r="I343" s="99">
        <v>43866</v>
      </c>
      <c r="J343" t="s">
        <v>380</v>
      </c>
      <c r="K343" s="90">
        <f>IF(Tableau4[[#This Row],[État]]="Remis",1,0)</f>
        <v>1</v>
      </c>
    </row>
    <row r="344" spans="2:11" x14ac:dyDescent="0.25">
      <c r="B344" t="s">
        <v>425</v>
      </c>
      <c r="C344" s="90" t="str">
        <f>VLOOKUP(Tableau4[[#This Row],[Réf matériel]],Tableau3[],2,FALSE)</f>
        <v>Clé plate 11</v>
      </c>
      <c r="D344" s="90">
        <f>VLOOKUP(Tableau4[[#This Row],[Réf matériel]],Tableau3[],3,FALSE)</f>
        <v>2.75</v>
      </c>
      <c r="E344" t="s">
        <v>358</v>
      </c>
      <c r="F344" s="90" t="str">
        <f>VLOOKUP(Tableau4[[#This Row],[Matricule]],Tableau1[],2,FALSE)</f>
        <v>PASTOR</v>
      </c>
      <c r="G344" s="90" t="str">
        <f>VLOOKUP(Tableau4[[#This Row],[Matricule]],Tableau1[],3,FALSE)</f>
        <v>Javier</v>
      </c>
      <c r="H344" s="90" t="str">
        <f>VLOOKUP(Tableau4[[#This Row],[Matricule]],Tableau1[],4,FALSE)</f>
        <v>RC</v>
      </c>
      <c r="I344" s="99">
        <v>43866</v>
      </c>
      <c r="J344" t="s">
        <v>380</v>
      </c>
      <c r="K344" s="90">
        <f>IF(Tableau4[[#This Row],[État]]="Remis",1,0)</f>
        <v>1</v>
      </c>
    </row>
    <row r="345" spans="2:11" x14ac:dyDescent="0.25">
      <c r="B345" t="s">
        <v>411</v>
      </c>
      <c r="C345" s="90" t="str">
        <f>VLOOKUP(Tableau4[[#This Row],[Réf matériel]],Tableau3[],2,FALSE)</f>
        <v>Clé plate 12</v>
      </c>
      <c r="D345" s="90">
        <f>VLOOKUP(Tableau4[[#This Row],[Réf matériel]],Tableau3[],3,FALSE)</f>
        <v>3</v>
      </c>
      <c r="E345" t="s">
        <v>358</v>
      </c>
      <c r="F345" s="90" t="str">
        <f>VLOOKUP(Tableau4[[#This Row],[Matricule]],Tableau1[],2,FALSE)</f>
        <v>PASTOR</v>
      </c>
      <c r="G345" s="90" t="str">
        <f>VLOOKUP(Tableau4[[#This Row],[Matricule]],Tableau1[],3,FALSE)</f>
        <v>Javier</v>
      </c>
      <c r="H345" s="90" t="str">
        <f>VLOOKUP(Tableau4[[#This Row],[Matricule]],Tableau1[],4,FALSE)</f>
        <v>RC</v>
      </c>
      <c r="I345" s="99">
        <v>43866</v>
      </c>
      <c r="J345" t="s">
        <v>380</v>
      </c>
      <c r="K345" s="90">
        <f>IF(Tableau4[[#This Row],[État]]="Remis",1,0)</f>
        <v>1</v>
      </c>
    </row>
    <row r="346" spans="2:11" x14ac:dyDescent="0.25">
      <c r="B346" t="s">
        <v>412</v>
      </c>
      <c r="C346" s="90" t="str">
        <f>VLOOKUP(Tableau4[[#This Row],[Réf matériel]],Tableau3[],2,FALSE)</f>
        <v>Clé plate 13</v>
      </c>
      <c r="D346" s="90">
        <f>VLOOKUP(Tableau4[[#This Row],[Réf matériel]],Tableau3[],3,FALSE)</f>
        <v>3.91</v>
      </c>
      <c r="E346" t="s">
        <v>358</v>
      </c>
      <c r="F346" s="90" t="str">
        <f>VLOOKUP(Tableau4[[#This Row],[Matricule]],Tableau1[],2,FALSE)</f>
        <v>PASTOR</v>
      </c>
      <c r="G346" s="90" t="str">
        <f>VLOOKUP(Tableau4[[#This Row],[Matricule]],Tableau1[],3,FALSE)</f>
        <v>Javier</v>
      </c>
      <c r="H346" s="90" t="str">
        <f>VLOOKUP(Tableau4[[#This Row],[Matricule]],Tableau1[],4,FALSE)</f>
        <v>RC</v>
      </c>
      <c r="I346" s="99">
        <v>43866</v>
      </c>
      <c r="J346" t="s">
        <v>380</v>
      </c>
      <c r="K346" s="90">
        <f>IF(Tableau4[[#This Row],[État]]="Remis",1,0)</f>
        <v>1</v>
      </c>
    </row>
    <row r="347" spans="2:11" x14ac:dyDescent="0.25">
      <c r="B347" t="s">
        <v>413</v>
      </c>
      <c r="C347" s="90" t="str">
        <f>VLOOKUP(Tableau4[[#This Row],[Réf matériel]],Tableau3[],2,FALSE)</f>
        <v>Clé plate 14</v>
      </c>
      <c r="D347" s="90">
        <f>VLOOKUP(Tableau4[[#This Row],[Réf matériel]],Tableau3[],3,FALSE)</f>
        <v>3.85</v>
      </c>
      <c r="E347" t="s">
        <v>358</v>
      </c>
      <c r="F347" s="90" t="str">
        <f>VLOOKUP(Tableau4[[#This Row],[Matricule]],Tableau1[],2,FALSE)</f>
        <v>PASTOR</v>
      </c>
      <c r="G347" s="90" t="str">
        <f>VLOOKUP(Tableau4[[#This Row],[Matricule]],Tableau1[],3,FALSE)</f>
        <v>Javier</v>
      </c>
      <c r="H347" s="90" t="str">
        <f>VLOOKUP(Tableau4[[#This Row],[Matricule]],Tableau1[],4,FALSE)</f>
        <v>RC</v>
      </c>
      <c r="I347" s="99">
        <v>43866</v>
      </c>
      <c r="J347" t="s">
        <v>380</v>
      </c>
      <c r="K347" s="90">
        <f>IF(Tableau4[[#This Row],[État]]="Remis",1,0)</f>
        <v>1</v>
      </c>
    </row>
    <row r="348" spans="2:11" x14ac:dyDescent="0.25">
      <c r="B348" t="s">
        <v>426</v>
      </c>
      <c r="C348" s="90" t="str">
        <f>VLOOKUP(Tableau4[[#This Row],[Réf matériel]],Tableau3[],2,FALSE)</f>
        <v>Clé plate 16</v>
      </c>
      <c r="D348" s="90">
        <f>VLOOKUP(Tableau4[[#This Row],[Réf matériel]],Tableau3[],3,FALSE)</f>
        <v>3.85</v>
      </c>
      <c r="E348" t="s">
        <v>358</v>
      </c>
      <c r="F348" s="90" t="str">
        <f>VLOOKUP(Tableau4[[#This Row],[Matricule]],Tableau1[],2,FALSE)</f>
        <v>PASTOR</v>
      </c>
      <c r="G348" s="90" t="str">
        <f>VLOOKUP(Tableau4[[#This Row],[Matricule]],Tableau1[],3,FALSE)</f>
        <v>Javier</v>
      </c>
      <c r="H348" s="90" t="str">
        <f>VLOOKUP(Tableau4[[#This Row],[Matricule]],Tableau1[],4,FALSE)</f>
        <v>RC</v>
      </c>
      <c r="I348" s="99">
        <v>43866</v>
      </c>
      <c r="J348" t="s">
        <v>380</v>
      </c>
      <c r="K348" s="90">
        <f>IF(Tableau4[[#This Row],[État]]="Remis",1,0)</f>
        <v>1</v>
      </c>
    </row>
    <row r="349" spans="2:11" x14ac:dyDescent="0.25">
      <c r="B349" t="s">
        <v>414</v>
      </c>
      <c r="C349" s="90" t="str">
        <f>VLOOKUP(Tableau4[[#This Row],[Réf matériel]],Tableau3[],2,FALSE)</f>
        <v>Clé plate 17</v>
      </c>
      <c r="D349" s="90">
        <f>VLOOKUP(Tableau4[[#This Row],[Réf matériel]],Tableau3[],3,FALSE)</f>
        <v>5.5</v>
      </c>
      <c r="E349" t="s">
        <v>358</v>
      </c>
      <c r="F349" s="90" t="str">
        <f>VLOOKUP(Tableau4[[#This Row],[Matricule]],Tableau1[],2,FALSE)</f>
        <v>PASTOR</v>
      </c>
      <c r="G349" s="90" t="str">
        <f>VLOOKUP(Tableau4[[#This Row],[Matricule]],Tableau1[],3,FALSE)</f>
        <v>Javier</v>
      </c>
      <c r="H349" s="90" t="str">
        <f>VLOOKUP(Tableau4[[#This Row],[Matricule]],Tableau1[],4,FALSE)</f>
        <v>RC</v>
      </c>
      <c r="I349" s="99">
        <v>43866</v>
      </c>
      <c r="J349" t="s">
        <v>380</v>
      </c>
      <c r="K349" s="90">
        <f>IF(Tableau4[[#This Row],[État]]="Remis",1,0)</f>
        <v>1</v>
      </c>
    </row>
    <row r="350" spans="2:11" x14ac:dyDescent="0.25">
      <c r="B350" t="s">
        <v>427</v>
      </c>
      <c r="C350" s="90" t="str">
        <f>VLOOKUP(Tableau4[[#This Row],[Réf matériel]],Tableau3[],2,FALSE)</f>
        <v>Clé plate 18</v>
      </c>
      <c r="D350" s="90">
        <f>VLOOKUP(Tableau4[[#This Row],[Réf matériel]],Tableau3[],3,FALSE)</f>
        <v>4.12</v>
      </c>
      <c r="E350" t="s">
        <v>358</v>
      </c>
      <c r="F350" s="90" t="str">
        <f>VLOOKUP(Tableau4[[#This Row],[Matricule]],Tableau1[],2,FALSE)</f>
        <v>PASTOR</v>
      </c>
      <c r="G350" s="90" t="str">
        <f>VLOOKUP(Tableau4[[#This Row],[Matricule]],Tableau1[],3,FALSE)</f>
        <v>Javier</v>
      </c>
      <c r="H350" s="90" t="str">
        <f>VLOOKUP(Tableau4[[#This Row],[Matricule]],Tableau1[],4,FALSE)</f>
        <v>RC</v>
      </c>
      <c r="I350" s="99">
        <v>43866</v>
      </c>
      <c r="J350" t="s">
        <v>380</v>
      </c>
      <c r="K350" s="90">
        <f>IF(Tableau4[[#This Row],[État]]="Remis",1,0)</f>
        <v>1</v>
      </c>
    </row>
    <row r="351" spans="2:11" x14ac:dyDescent="0.25">
      <c r="B351" t="s">
        <v>415</v>
      </c>
      <c r="C351" s="90" t="str">
        <f>VLOOKUP(Tableau4[[#This Row],[Réf matériel]],Tableau3[],2,FALSE)</f>
        <v>Clé plate 19</v>
      </c>
      <c r="D351" s="90">
        <f>VLOOKUP(Tableau4[[#This Row],[Réf matériel]],Tableau3[],3,FALSE)</f>
        <v>6.07</v>
      </c>
      <c r="E351" t="s">
        <v>358</v>
      </c>
      <c r="F351" s="90" t="str">
        <f>VLOOKUP(Tableau4[[#This Row],[Matricule]],Tableau1[],2,FALSE)</f>
        <v>PASTOR</v>
      </c>
      <c r="G351" s="90" t="str">
        <f>VLOOKUP(Tableau4[[#This Row],[Matricule]],Tableau1[],3,FALSE)</f>
        <v>Javier</v>
      </c>
      <c r="H351" s="90" t="str">
        <f>VLOOKUP(Tableau4[[#This Row],[Matricule]],Tableau1[],4,FALSE)</f>
        <v>RC</v>
      </c>
      <c r="I351" s="99">
        <v>43866</v>
      </c>
      <c r="J351" t="s">
        <v>380</v>
      </c>
      <c r="K351" s="90">
        <f>IF(Tableau4[[#This Row],[État]]="Remis",1,0)</f>
        <v>1</v>
      </c>
    </row>
    <row r="352" spans="2:11" x14ac:dyDescent="0.25">
      <c r="B352" t="s">
        <v>437</v>
      </c>
      <c r="C352" s="90" t="str">
        <f>VLOOKUP(Tableau4[[#This Row],[Réf matériel]],Tableau3[],2,FALSE)</f>
        <v>Clé plate 24</v>
      </c>
      <c r="D352" s="90">
        <f>VLOOKUP(Tableau4[[#This Row],[Réf matériel]],Tableau3[],3,FALSE)</f>
        <v>6.8</v>
      </c>
      <c r="E352" t="s">
        <v>358</v>
      </c>
      <c r="F352" s="90" t="str">
        <f>VLOOKUP(Tableau4[[#This Row],[Matricule]],Tableau1[],2,FALSE)</f>
        <v>PASTOR</v>
      </c>
      <c r="G352" s="90" t="str">
        <f>VLOOKUP(Tableau4[[#This Row],[Matricule]],Tableau1[],3,FALSE)</f>
        <v>Javier</v>
      </c>
      <c r="H352" s="90" t="str">
        <f>VLOOKUP(Tableau4[[#This Row],[Matricule]],Tableau1[],4,FALSE)</f>
        <v>RC</v>
      </c>
      <c r="I352" s="99">
        <v>43866</v>
      </c>
      <c r="J352" t="s">
        <v>380</v>
      </c>
      <c r="K352" s="90">
        <f>IF(Tableau4[[#This Row],[État]]="Remis",1,0)</f>
        <v>1</v>
      </c>
    </row>
    <row r="353" spans="2:11" x14ac:dyDescent="0.25">
      <c r="B353" t="s">
        <v>67</v>
      </c>
      <c r="C353" s="90" t="str">
        <f>VLOOKUP(Tableau4[[#This Row],[Réf matériel]],Tableau3[],2,FALSE)</f>
        <v>Cutter</v>
      </c>
      <c r="D353" s="90">
        <f>VLOOKUP(Tableau4[[#This Row],[Réf matériel]],Tableau3[],3,FALSE)</f>
        <v>4.8499999999999996</v>
      </c>
      <c r="E353" t="s">
        <v>358</v>
      </c>
      <c r="F353" s="90" t="str">
        <f>VLOOKUP(Tableau4[[#This Row],[Matricule]],Tableau1[],2,FALSE)</f>
        <v>PASTOR</v>
      </c>
      <c r="G353" s="90" t="str">
        <f>VLOOKUP(Tableau4[[#This Row],[Matricule]],Tableau1[],3,FALSE)</f>
        <v>Javier</v>
      </c>
      <c r="H353" s="90" t="str">
        <f>VLOOKUP(Tableau4[[#This Row],[Matricule]],Tableau1[],4,FALSE)</f>
        <v>RC</v>
      </c>
      <c r="I353" s="99">
        <v>43866</v>
      </c>
      <c r="J353" t="s">
        <v>380</v>
      </c>
      <c r="K353" s="90">
        <f>IF(Tableau4[[#This Row],[État]]="Remis",1,0)</f>
        <v>1</v>
      </c>
    </row>
    <row r="354" spans="2:11" x14ac:dyDescent="0.25">
      <c r="B354" t="s">
        <v>420</v>
      </c>
      <c r="C354" s="90" t="str">
        <f>VLOOKUP(Tableau4[[#This Row],[Réf matériel]],Tableau3[],2,FALSE)</f>
        <v>Clé allen</v>
      </c>
      <c r="D354" s="90">
        <f>VLOOKUP(Tableau4[[#This Row],[Réf matériel]],Tableau3[],3,FALSE)</f>
        <v>27.5</v>
      </c>
      <c r="E354" t="s">
        <v>358</v>
      </c>
      <c r="F354" s="90" t="str">
        <f>VLOOKUP(Tableau4[[#This Row],[Matricule]],Tableau1[],2,FALSE)</f>
        <v>PASTOR</v>
      </c>
      <c r="G354" s="90" t="str">
        <f>VLOOKUP(Tableau4[[#This Row],[Matricule]],Tableau1[],3,FALSE)</f>
        <v>Javier</v>
      </c>
      <c r="H354" s="90" t="str">
        <f>VLOOKUP(Tableau4[[#This Row],[Matricule]],Tableau1[],4,FALSE)</f>
        <v>RC</v>
      </c>
      <c r="I354" s="99">
        <v>43866</v>
      </c>
      <c r="J354" t="s">
        <v>380</v>
      </c>
      <c r="K354" s="90">
        <f>IF(Tableau4[[#This Row],[État]]="Remis",1,0)</f>
        <v>1</v>
      </c>
    </row>
    <row r="355" spans="2:11" x14ac:dyDescent="0.25">
      <c r="B355" t="s">
        <v>438</v>
      </c>
      <c r="C355" s="90" t="str">
        <f>VLOOKUP(Tableau4[[#This Row],[Réf matériel]],Tableau3[],2,FALSE)</f>
        <v>Outil à dégainer</v>
      </c>
      <c r="D355" s="90">
        <f>VLOOKUP(Tableau4[[#This Row],[Réf matériel]],Tableau3[],3,FALSE)</f>
        <v>20.5</v>
      </c>
      <c r="E355" t="s">
        <v>358</v>
      </c>
      <c r="F355" s="90" t="str">
        <f>VLOOKUP(Tableau4[[#This Row],[Matricule]],Tableau1[],2,FALSE)</f>
        <v>PASTOR</v>
      </c>
      <c r="G355" s="90" t="str">
        <f>VLOOKUP(Tableau4[[#This Row],[Matricule]],Tableau1[],3,FALSE)</f>
        <v>Javier</v>
      </c>
      <c r="H355" s="90" t="str">
        <f>VLOOKUP(Tableau4[[#This Row],[Matricule]],Tableau1[],4,FALSE)</f>
        <v>RC</v>
      </c>
      <c r="I355" s="99">
        <v>43866</v>
      </c>
      <c r="J355" t="s">
        <v>380</v>
      </c>
      <c r="K355" s="90">
        <f>IF(Tableau4[[#This Row],[État]]="Remis",1,0)</f>
        <v>1</v>
      </c>
    </row>
    <row r="356" spans="2:11" x14ac:dyDescent="0.25">
      <c r="B356" t="s">
        <v>439</v>
      </c>
      <c r="C356" s="90" t="str">
        <f>VLOOKUP(Tableau4[[#This Row],[Réf matériel]],Tableau3[],2,FALSE)</f>
        <v>Pince à Sertir</v>
      </c>
      <c r="D356" s="90">
        <f>VLOOKUP(Tableau4[[#This Row],[Réf matériel]],Tableau3[],3,FALSE)</f>
        <v>78.400000000000006</v>
      </c>
      <c r="E356" t="s">
        <v>358</v>
      </c>
      <c r="F356" s="90" t="str">
        <f>VLOOKUP(Tableau4[[#This Row],[Matricule]],Tableau1[],2,FALSE)</f>
        <v>PASTOR</v>
      </c>
      <c r="G356" s="90" t="str">
        <f>VLOOKUP(Tableau4[[#This Row],[Matricule]],Tableau1[],3,FALSE)</f>
        <v>Javier</v>
      </c>
      <c r="H356" s="90" t="str">
        <f>VLOOKUP(Tableau4[[#This Row],[Matricule]],Tableau1[],4,FALSE)</f>
        <v>RC</v>
      </c>
      <c r="I356" s="99">
        <v>43866</v>
      </c>
      <c r="J356" t="s">
        <v>380</v>
      </c>
      <c r="K356" s="90">
        <f>IF(Tableau4[[#This Row],[État]]="Remis",1,0)</f>
        <v>1</v>
      </c>
    </row>
    <row r="357" spans="2:11" x14ac:dyDescent="0.25">
      <c r="B357" t="s">
        <v>440</v>
      </c>
      <c r="C357" s="90" t="str">
        <f>VLOOKUP(Tableau4[[#This Row],[Réf matériel]],Tableau3[],2,FALSE)</f>
        <v>Testeur Fluke</v>
      </c>
      <c r="D357" s="90">
        <f>VLOOKUP(Tableau4[[#This Row],[Réf matériel]],Tableau3[],3,FALSE)</f>
        <v>0</v>
      </c>
      <c r="E357" t="s">
        <v>358</v>
      </c>
      <c r="F357" s="90" t="str">
        <f>VLOOKUP(Tableau4[[#This Row],[Matricule]],Tableau1[],2,FALSE)</f>
        <v>PASTOR</v>
      </c>
      <c r="G357" s="90" t="str">
        <f>VLOOKUP(Tableau4[[#This Row],[Matricule]],Tableau1[],3,FALSE)</f>
        <v>Javier</v>
      </c>
      <c r="H357" s="90" t="str">
        <f>VLOOKUP(Tableau4[[#This Row],[Matricule]],Tableau1[],4,FALSE)</f>
        <v>RC</v>
      </c>
      <c r="I357" s="99">
        <v>43866</v>
      </c>
      <c r="J357" t="s">
        <v>380</v>
      </c>
      <c r="K357" s="90">
        <f>IF(Tableau4[[#This Row],[État]]="Remis",1,0)</f>
        <v>1</v>
      </c>
    </row>
    <row r="358" spans="2:11" x14ac:dyDescent="0.25">
      <c r="B358" t="s">
        <v>399</v>
      </c>
      <c r="C358" s="90" t="str">
        <f>VLOOKUP(Tableau4[[#This Row],[Réf matériel]],Tableau3[],2,FALSE)</f>
        <v>Boite embouts</v>
      </c>
      <c r="D358" s="90">
        <f>VLOOKUP(Tableau4[[#This Row],[Réf matériel]],Tableau3[],3,FALSE)</f>
        <v>27.61</v>
      </c>
      <c r="E358" t="s">
        <v>358</v>
      </c>
      <c r="F358" s="90" t="str">
        <f>VLOOKUP(Tableau4[[#This Row],[Matricule]],Tableau1[],2,FALSE)</f>
        <v>PASTOR</v>
      </c>
      <c r="G358" s="90" t="str">
        <f>VLOOKUP(Tableau4[[#This Row],[Matricule]],Tableau1[],3,FALSE)</f>
        <v>Javier</v>
      </c>
      <c r="H358" s="90" t="str">
        <f>VLOOKUP(Tableau4[[#This Row],[Matricule]],Tableau1[],4,FALSE)</f>
        <v>RC</v>
      </c>
      <c r="I358" s="99">
        <v>43866</v>
      </c>
      <c r="J358" t="s">
        <v>380</v>
      </c>
      <c r="K358" s="90">
        <f>IF(Tableau4[[#This Row],[État]]="Remis",1,0)</f>
        <v>1</v>
      </c>
    </row>
    <row r="359" spans="2:11" x14ac:dyDescent="0.25">
      <c r="B359" t="s">
        <v>443</v>
      </c>
      <c r="C359" s="90" t="str">
        <f>VLOOKUP(Tableau4[[#This Row],[Réf matériel]],Tableau3[],2,FALSE)</f>
        <v>Brady BMP21</v>
      </c>
      <c r="D359" s="90">
        <f>VLOOKUP(Tableau4[[#This Row],[Réf matériel]],Tableau3[],3,FALSE)</f>
        <v>151.05000000000001</v>
      </c>
      <c r="E359" t="s">
        <v>358</v>
      </c>
      <c r="F359" s="90" t="str">
        <f>VLOOKUP(Tableau4[[#This Row],[Matricule]],Tableau1[],2,FALSE)</f>
        <v>PASTOR</v>
      </c>
      <c r="G359" s="90" t="str">
        <f>VLOOKUP(Tableau4[[#This Row],[Matricule]],Tableau1[],3,FALSE)</f>
        <v>Javier</v>
      </c>
      <c r="H359" s="90" t="str">
        <f>VLOOKUP(Tableau4[[#This Row],[Matricule]],Tableau1[],4,FALSE)</f>
        <v>RC</v>
      </c>
      <c r="I359" s="99">
        <v>42738</v>
      </c>
      <c r="J359" t="s">
        <v>380</v>
      </c>
      <c r="K359" s="90">
        <f>IF(Tableau4[[#This Row],[État]]="Remis",1,0)</f>
        <v>1</v>
      </c>
    </row>
    <row r="360" spans="2:11" x14ac:dyDescent="0.25">
      <c r="B360" t="s">
        <v>49</v>
      </c>
      <c r="C360" s="90" t="str">
        <f>VLOOKUP(Tableau4[[#This Row],[Réf matériel]],Tableau3[],2,FALSE)</f>
        <v>Coupe câble</v>
      </c>
      <c r="D360" s="90">
        <f>VLOOKUP(Tableau4[[#This Row],[Réf matériel]],Tableau3[],3,FALSE)</f>
        <v>41.88</v>
      </c>
      <c r="E360" t="s">
        <v>361</v>
      </c>
      <c r="F360" s="90" t="str">
        <f>VLOOKUP(Tableau4[[#This Row],[Matricule]],Tableau1[],2,FALSE)</f>
        <v xml:space="preserve">PERNEY </v>
      </c>
      <c r="G360" s="90" t="str">
        <f>VLOOKUP(Tableau4[[#This Row],[Matricule]],Tableau1[],3,FALSE)</f>
        <v>Maxime</v>
      </c>
      <c r="H360" s="90" t="str">
        <f>VLOOKUP(Tableau4[[#This Row],[Matricule]],Tableau1[],4,FALSE)</f>
        <v>GC</v>
      </c>
      <c r="I360" s="88">
        <v>43258</v>
      </c>
      <c r="J360" t="s">
        <v>380</v>
      </c>
      <c r="K360" s="90">
        <f>IF(Tableau4[[#This Row],[État]]="Remis",1,0)</f>
        <v>1</v>
      </c>
    </row>
    <row r="361" spans="2:11" x14ac:dyDescent="0.25">
      <c r="B361" t="s">
        <v>281</v>
      </c>
      <c r="C361" s="90" t="str">
        <f>VLOOKUP(Tableau4[[#This Row],[Réf matériel]],Tableau3[],2,FALSE)</f>
        <v>Scie à métaux</v>
      </c>
      <c r="D361" s="90">
        <f>VLOOKUP(Tableau4[[#This Row],[Réf matériel]],Tableau3[],3,FALSE)</f>
        <v>11.26</v>
      </c>
      <c r="E361" t="s">
        <v>361</v>
      </c>
      <c r="F361" s="90" t="str">
        <f>VLOOKUP(Tableau4[[#This Row],[Matricule]],Tableau1[],2,FALSE)</f>
        <v xml:space="preserve">PERNEY </v>
      </c>
      <c r="G361" s="90" t="str">
        <f>VLOOKUP(Tableau4[[#This Row],[Matricule]],Tableau1[],3,FALSE)</f>
        <v>Maxime</v>
      </c>
      <c r="H361" s="90" t="str">
        <f>VLOOKUP(Tableau4[[#This Row],[Matricule]],Tableau1[],4,FALSE)</f>
        <v>GC</v>
      </c>
      <c r="I361" s="88">
        <v>43991</v>
      </c>
      <c r="J361" t="s">
        <v>380</v>
      </c>
      <c r="K361" s="90">
        <f>IF(Tableau4[[#This Row],[État]]="Remis",1,0)</f>
        <v>1</v>
      </c>
    </row>
    <row r="362" spans="2:11" x14ac:dyDescent="0.25">
      <c r="B362" t="s">
        <v>396</v>
      </c>
      <c r="C362" s="90" t="str">
        <f>VLOOKUP(Tableau4[[#This Row],[Réf matériel]],Tableau3[],2,FALSE)</f>
        <v>Massette</v>
      </c>
      <c r="D362" s="90">
        <f>VLOOKUP(Tableau4[[#This Row],[Réf matériel]],Tableau3[],3,FALSE)</f>
        <v>15.14</v>
      </c>
      <c r="E362" t="s">
        <v>361</v>
      </c>
      <c r="F362" s="90" t="str">
        <f>VLOOKUP(Tableau4[[#This Row],[Matricule]],Tableau1[],2,FALSE)</f>
        <v xml:space="preserve">PERNEY </v>
      </c>
      <c r="G362" s="90" t="str">
        <f>VLOOKUP(Tableau4[[#This Row],[Matricule]],Tableau1[],3,FALSE)</f>
        <v>Maxime</v>
      </c>
      <c r="H362" s="90" t="str">
        <f>VLOOKUP(Tableau4[[#This Row],[Matricule]],Tableau1[],4,FALSE)</f>
        <v>GC</v>
      </c>
      <c r="I362" s="88">
        <v>43991</v>
      </c>
      <c r="J362" t="s">
        <v>380</v>
      </c>
      <c r="K362" s="90">
        <f>IF(Tableau4[[#This Row],[État]]="Remis",1,0)</f>
        <v>1</v>
      </c>
    </row>
    <row r="363" spans="2:11" x14ac:dyDescent="0.25">
      <c r="B363" t="s">
        <v>55</v>
      </c>
      <c r="C363" s="90" t="str">
        <f>VLOOKUP(Tableau4[[#This Row],[Réf matériel]],Tableau3[],2,FALSE)</f>
        <v>Niveau</v>
      </c>
      <c r="D363" s="90">
        <f>VLOOKUP(Tableau4[[#This Row],[Réf matériel]],Tableau3[],3,FALSE)</f>
        <v>15</v>
      </c>
      <c r="E363" t="s">
        <v>361</v>
      </c>
      <c r="F363" s="90" t="str">
        <f>VLOOKUP(Tableau4[[#This Row],[Matricule]],Tableau1[],2,FALSE)</f>
        <v xml:space="preserve">PERNEY </v>
      </c>
      <c r="G363" s="90" t="str">
        <f>VLOOKUP(Tableau4[[#This Row],[Matricule]],Tableau1[],3,FALSE)</f>
        <v>Maxime</v>
      </c>
      <c r="H363" s="90" t="str">
        <f>VLOOKUP(Tableau4[[#This Row],[Matricule]],Tableau1[],4,FALSE)</f>
        <v>GC</v>
      </c>
      <c r="I363" s="88">
        <v>43991</v>
      </c>
      <c r="J363" t="s">
        <v>380</v>
      </c>
      <c r="K363" s="90">
        <f>IF(Tableau4[[#This Row],[État]]="Remis",1,0)</f>
        <v>1</v>
      </c>
    </row>
    <row r="364" spans="2:11" x14ac:dyDescent="0.25">
      <c r="B364" t="s">
        <v>56</v>
      </c>
      <c r="C364" s="90" t="str">
        <f>VLOOKUP(Tableau4[[#This Row],[Réf matériel]],Tableau3[],2,FALSE)</f>
        <v>Jeu tournevis</v>
      </c>
      <c r="D364" s="90">
        <f>VLOOKUP(Tableau4[[#This Row],[Réf matériel]],Tableau3[],3,FALSE)</f>
        <v>37.57</v>
      </c>
      <c r="E364" t="s">
        <v>361</v>
      </c>
      <c r="F364" s="90" t="str">
        <f>VLOOKUP(Tableau4[[#This Row],[Matricule]],Tableau1[],2,FALSE)</f>
        <v xml:space="preserve">PERNEY </v>
      </c>
      <c r="G364" s="90" t="str">
        <f>VLOOKUP(Tableau4[[#This Row],[Matricule]],Tableau1[],3,FALSE)</f>
        <v>Maxime</v>
      </c>
      <c r="H364" s="90" t="str">
        <f>VLOOKUP(Tableau4[[#This Row],[Matricule]],Tableau1[],4,FALSE)</f>
        <v>GC</v>
      </c>
      <c r="I364" s="88">
        <v>43991</v>
      </c>
      <c r="J364" t="s">
        <v>380</v>
      </c>
      <c r="K364" s="90">
        <f>IF(Tableau4[[#This Row],[État]]="Remis",1,0)</f>
        <v>1</v>
      </c>
    </row>
    <row r="365" spans="2:11" x14ac:dyDescent="0.25">
      <c r="B365" t="s">
        <v>403</v>
      </c>
      <c r="C365" s="90" t="str">
        <f>VLOOKUP(Tableau4[[#This Row],[Réf matériel]],Tableau3[],2,FALSE)</f>
        <v>Clé à pipe 10</v>
      </c>
      <c r="D365" s="90">
        <f>VLOOKUP(Tableau4[[#This Row],[Réf matériel]],Tableau3[],3,FALSE)</f>
        <v>5.41</v>
      </c>
      <c r="E365" t="s">
        <v>361</v>
      </c>
      <c r="F365" s="90" t="str">
        <f>VLOOKUP(Tableau4[[#This Row],[Matricule]],Tableau1[],2,FALSE)</f>
        <v xml:space="preserve">PERNEY </v>
      </c>
      <c r="G365" s="90" t="str">
        <f>VLOOKUP(Tableau4[[#This Row],[Matricule]],Tableau1[],3,FALSE)</f>
        <v>Maxime</v>
      </c>
      <c r="H365" s="90" t="str">
        <f>VLOOKUP(Tableau4[[#This Row],[Matricule]],Tableau1[],4,FALSE)</f>
        <v>GC</v>
      </c>
      <c r="I365" s="88">
        <v>43991</v>
      </c>
      <c r="J365" t="s">
        <v>380</v>
      </c>
      <c r="K365" s="90">
        <f>IF(Tableau4[[#This Row],[État]]="Remis",1,0)</f>
        <v>1</v>
      </c>
    </row>
    <row r="366" spans="2:11" x14ac:dyDescent="0.25">
      <c r="B366" t="s">
        <v>404</v>
      </c>
      <c r="C366" s="90" t="str">
        <f>VLOOKUP(Tableau4[[#This Row],[Réf matériel]],Tableau3[],2,FALSE)</f>
        <v>Clé à pipe 12</v>
      </c>
      <c r="D366" s="90">
        <f>VLOOKUP(Tableau4[[#This Row],[Réf matériel]],Tableau3[],3,FALSE)</f>
        <v>6.8</v>
      </c>
      <c r="E366" t="s">
        <v>361</v>
      </c>
      <c r="F366" s="90" t="str">
        <f>VLOOKUP(Tableau4[[#This Row],[Matricule]],Tableau1[],2,FALSE)</f>
        <v xml:space="preserve">PERNEY </v>
      </c>
      <c r="G366" s="90" t="str">
        <f>VLOOKUP(Tableau4[[#This Row],[Matricule]],Tableau1[],3,FALSE)</f>
        <v>Maxime</v>
      </c>
      <c r="H366" s="90" t="str">
        <f>VLOOKUP(Tableau4[[#This Row],[Matricule]],Tableau1[],4,FALSE)</f>
        <v>GC</v>
      </c>
      <c r="I366" s="88">
        <v>43991</v>
      </c>
      <c r="J366" t="s">
        <v>380</v>
      </c>
      <c r="K366" s="90">
        <f>IF(Tableau4[[#This Row],[État]]="Remis",1,0)</f>
        <v>1</v>
      </c>
    </row>
    <row r="367" spans="2:11" x14ac:dyDescent="0.25">
      <c r="B367" t="s">
        <v>410</v>
      </c>
      <c r="C367" s="90" t="str">
        <f>VLOOKUP(Tableau4[[#This Row],[Réf matériel]],Tableau3[],2,FALSE)</f>
        <v>Clé plate 10</v>
      </c>
      <c r="D367" s="90">
        <f>VLOOKUP(Tableau4[[#This Row],[Réf matériel]],Tableau3[],3,FALSE)</f>
        <v>3.32</v>
      </c>
      <c r="E367" t="s">
        <v>361</v>
      </c>
      <c r="F367" s="90" t="str">
        <f>VLOOKUP(Tableau4[[#This Row],[Matricule]],Tableau1[],2,FALSE)</f>
        <v xml:space="preserve">PERNEY </v>
      </c>
      <c r="G367" s="90" t="str">
        <f>VLOOKUP(Tableau4[[#This Row],[Matricule]],Tableau1[],3,FALSE)</f>
        <v>Maxime</v>
      </c>
      <c r="H367" s="90" t="str">
        <f>VLOOKUP(Tableau4[[#This Row],[Matricule]],Tableau1[],4,FALSE)</f>
        <v>GC</v>
      </c>
      <c r="I367" s="88">
        <v>43991</v>
      </c>
      <c r="J367" t="s">
        <v>380</v>
      </c>
      <c r="K367" s="90">
        <f>IF(Tableau4[[#This Row],[État]]="Remis",1,0)</f>
        <v>1</v>
      </c>
    </row>
    <row r="368" spans="2:11" x14ac:dyDescent="0.25">
      <c r="B368" t="s">
        <v>411</v>
      </c>
      <c r="C368" s="90" t="str">
        <f>VLOOKUP(Tableau4[[#This Row],[Réf matériel]],Tableau3[],2,FALSE)</f>
        <v>Clé plate 12</v>
      </c>
      <c r="D368" s="90">
        <f>VLOOKUP(Tableau4[[#This Row],[Réf matériel]],Tableau3[],3,FALSE)</f>
        <v>3</v>
      </c>
      <c r="E368" t="s">
        <v>361</v>
      </c>
      <c r="F368" s="90" t="str">
        <f>VLOOKUP(Tableau4[[#This Row],[Matricule]],Tableau1[],2,FALSE)</f>
        <v xml:space="preserve">PERNEY </v>
      </c>
      <c r="G368" s="90" t="str">
        <f>VLOOKUP(Tableau4[[#This Row],[Matricule]],Tableau1[],3,FALSE)</f>
        <v>Maxime</v>
      </c>
      <c r="H368" s="90" t="str">
        <f>VLOOKUP(Tableau4[[#This Row],[Matricule]],Tableau1[],4,FALSE)</f>
        <v>GC</v>
      </c>
      <c r="I368" s="88">
        <v>43991</v>
      </c>
      <c r="J368" t="s">
        <v>380</v>
      </c>
      <c r="K368" s="90">
        <f>IF(Tableau4[[#This Row],[État]]="Remis",1,0)</f>
        <v>1</v>
      </c>
    </row>
    <row r="369" spans="2:11" x14ac:dyDescent="0.25">
      <c r="B369" t="s">
        <v>440</v>
      </c>
      <c r="C369" s="90" t="str">
        <f>VLOOKUP(Tableau4[[#This Row],[Réf matériel]],Tableau3[],2,FALSE)</f>
        <v>Testeur Fluke</v>
      </c>
      <c r="D369" s="90">
        <f>VLOOKUP(Tableau4[[#This Row],[Réf matériel]],Tableau3[],3,FALSE)</f>
        <v>0</v>
      </c>
      <c r="E369" t="s">
        <v>361</v>
      </c>
      <c r="F369" s="90" t="str">
        <f>VLOOKUP(Tableau4[[#This Row],[Matricule]],Tableau1[],2,FALSE)</f>
        <v xml:space="preserve">PERNEY </v>
      </c>
      <c r="G369" s="90" t="str">
        <f>VLOOKUP(Tableau4[[#This Row],[Matricule]],Tableau1[],3,FALSE)</f>
        <v>Maxime</v>
      </c>
      <c r="H369" s="90" t="str">
        <f>VLOOKUP(Tableau4[[#This Row],[Matricule]],Tableau1[],4,FALSE)</f>
        <v>GC</v>
      </c>
      <c r="I369" s="88">
        <v>43516</v>
      </c>
      <c r="J369" t="s">
        <v>380</v>
      </c>
      <c r="K369" s="90">
        <f>IF(Tableau4[[#This Row],[État]]="Remis",1,0)</f>
        <v>1</v>
      </c>
    </row>
    <row r="370" spans="2:11" x14ac:dyDescent="0.25">
      <c r="B370" t="s">
        <v>74</v>
      </c>
      <c r="C370" s="90" t="str">
        <f>VLOOKUP(Tableau4[[#This Row],[Réf matériel]],Tableau3[],2,FALSE)</f>
        <v>Casque chantier</v>
      </c>
      <c r="D370" s="90">
        <f>VLOOKUP(Tableau4[[#This Row],[Réf matériel]],Tableau3[],3,FALSE)</f>
        <v>29.05</v>
      </c>
      <c r="E370" t="s">
        <v>361</v>
      </c>
      <c r="F370" s="90" t="str">
        <f>VLOOKUP(Tableau4[[#This Row],[Matricule]],Tableau1[],2,FALSE)</f>
        <v xml:space="preserve">PERNEY </v>
      </c>
      <c r="G370" s="90" t="str">
        <f>VLOOKUP(Tableau4[[#This Row],[Matricule]],Tableau1[],3,FALSE)</f>
        <v>Maxime</v>
      </c>
      <c r="H370" s="90" t="str">
        <f>VLOOKUP(Tableau4[[#This Row],[Matricule]],Tableau1[],4,FALSE)</f>
        <v>GC</v>
      </c>
      <c r="I370" s="88">
        <v>43675</v>
      </c>
      <c r="J370" t="s">
        <v>380</v>
      </c>
      <c r="K370" s="90">
        <f>IF(Tableau4[[#This Row],[État]]="Remis",1,0)</f>
        <v>1</v>
      </c>
    </row>
    <row r="371" spans="2:11" x14ac:dyDescent="0.25">
      <c r="B371" t="s">
        <v>75</v>
      </c>
      <c r="C371" s="90" t="str">
        <f>VLOOKUP(Tableau4[[#This Row],[Réf matériel]],Tableau3[],2,FALSE)</f>
        <v>Lampe frontale</v>
      </c>
      <c r="D371" s="90">
        <f>VLOOKUP(Tableau4[[#This Row],[Réf matériel]],Tableau3[],3,FALSE)</f>
        <v>42.5</v>
      </c>
      <c r="E371" t="s">
        <v>361</v>
      </c>
      <c r="F371" s="90" t="str">
        <f>VLOOKUP(Tableau4[[#This Row],[Matricule]],Tableau1[],2,FALSE)</f>
        <v xml:space="preserve">PERNEY </v>
      </c>
      <c r="G371" s="90" t="str">
        <f>VLOOKUP(Tableau4[[#This Row],[Matricule]],Tableau1[],3,FALSE)</f>
        <v>Maxime</v>
      </c>
      <c r="H371" s="90" t="str">
        <f>VLOOKUP(Tableau4[[#This Row],[Matricule]],Tableau1[],4,FALSE)</f>
        <v>GC</v>
      </c>
      <c r="I371" s="88">
        <v>43258</v>
      </c>
      <c r="J371" t="s">
        <v>380</v>
      </c>
      <c r="K371" s="90">
        <f>IF(Tableau4[[#This Row],[État]]="Remis",1,0)</f>
        <v>1</v>
      </c>
    </row>
    <row r="372" spans="2:11" x14ac:dyDescent="0.25">
      <c r="B372" t="s">
        <v>199</v>
      </c>
      <c r="C372" s="90" t="str">
        <f>VLOOKUP(Tableau4[[#This Row],[Réf matériel]],Tableau3[],2,FALSE)</f>
        <v>Douille de 16</v>
      </c>
      <c r="D372" s="90">
        <f>VLOOKUP(Tableau4[[#This Row],[Réf matériel]],Tableau3[],3,FALSE)</f>
        <v>2.67</v>
      </c>
      <c r="E372" t="s">
        <v>361</v>
      </c>
      <c r="F372" s="90" t="str">
        <f>VLOOKUP(Tableau4[[#This Row],[Matricule]],Tableau1[],2,FALSE)</f>
        <v xml:space="preserve">PERNEY </v>
      </c>
      <c r="G372" s="90" t="str">
        <f>VLOOKUP(Tableau4[[#This Row],[Matricule]],Tableau1[],3,FALSE)</f>
        <v>Maxime</v>
      </c>
      <c r="H372" s="90" t="str">
        <f>VLOOKUP(Tableau4[[#This Row],[Matricule]],Tableau1[],4,FALSE)</f>
        <v>GC</v>
      </c>
      <c r="I372" s="88">
        <v>43991</v>
      </c>
      <c r="J372" t="s">
        <v>380</v>
      </c>
      <c r="K372" s="90">
        <f>IF(Tableau4[[#This Row],[État]]="Remis",1,0)</f>
        <v>1</v>
      </c>
    </row>
    <row r="373" spans="2:11" x14ac:dyDescent="0.25">
      <c r="B373" s="98" t="s">
        <v>391</v>
      </c>
      <c r="C373" s="100" t="str">
        <f>VLOOKUP(Tableau4[[#This Row],[Réf matériel]],Tableau3[],2,FALSE)</f>
        <v>Cadena</v>
      </c>
      <c r="D373" s="100">
        <f>VLOOKUP(Tableau4[[#This Row],[Réf matériel]],Tableau3[],3,FALSE)</f>
        <v>13</v>
      </c>
      <c r="E373" s="98" t="s">
        <v>362</v>
      </c>
      <c r="F373" s="100" t="str">
        <f>VLOOKUP(Tableau4[[#This Row],[Matricule]],Tableau1[],2,FALSE)</f>
        <v>PRUVOT</v>
      </c>
      <c r="G373" s="100" t="str">
        <f>VLOOKUP(Tableau4[[#This Row],[Matricule]],Tableau1[],3,FALSE)</f>
        <v>Stéphane</v>
      </c>
      <c r="H373" s="100" t="str">
        <f>VLOOKUP(Tableau4[[#This Row],[Matricule]],Tableau1[],4,FALSE)</f>
        <v>RE</v>
      </c>
      <c r="I373" s="99">
        <v>42531</v>
      </c>
      <c r="J373" s="98" t="s">
        <v>380</v>
      </c>
      <c r="K373" s="90">
        <f>IF(Tableau4[[#This Row],[État]]="Remis",1,0)</f>
        <v>1</v>
      </c>
    </row>
    <row r="374" spans="2:11" x14ac:dyDescent="0.25">
      <c r="B374" s="98" t="s">
        <v>392</v>
      </c>
      <c r="C374" s="100" t="str">
        <f>VLOOKUP(Tableau4[[#This Row],[Réf matériel]],Tableau3[],2,FALSE)</f>
        <v>Coffre</v>
      </c>
      <c r="D374" s="100">
        <f>VLOOKUP(Tableau4[[#This Row],[Réf matériel]],Tableau3[],3,FALSE)</f>
        <v>54.54</v>
      </c>
      <c r="E374" s="97" t="s">
        <v>362</v>
      </c>
      <c r="F374" s="100" t="str">
        <f>VLOOKUP(Tableau4[[#This Row],[Matricule]],Tableau1[],2,FALSE)</f>
        <v>PRUVOT</v>
      </c>
      <c r="G374" s="100" t="str">
        <f>VLOOKUP(Tableau4[[#This Row],[Matricule]],Tableau1[],3,FALSE)</f>
        <v>Stéphane</v>
      </c>
      <c r="H374" s="100" t="str">
        <f>VLOOKUP(Tableau4[[#This Row],[Matricule]],Tableau1[],4,FALSE)</f>
        <v>RE</v>
      </c>
      <c r="I374" s="99">
        <v>42531</v>
      </c>
      <c r="J374" s="98" t="s">
        <v>380</v>
      </c>
      <c r="K374" s="90">
        <f>IF(Tableau4[[#This Row],[État]]="Remis",1,0)</f>
        <v>1</v>
      </c>
    </row>
    <row r="375" spans="2:11" x14ac:dyDescent="0.25">
      <c r="B375" t="s">
        <v>393</v>
      </c>
      <c r="C375" s="90" t="str">
        <f>VLOOKUP(Tableau4[[#This Row],[Réf matériel]],Tableau3[],2,FALSE)</f>
        <v>Clé à molette</v>
      </c>
      <c r="D375" s="90">
        <f>VLOOKUP(Tableau4[[#This Row],[Réf matériel]],Tableau3[],3,FALSE)</f>
        <v>16.12</v>
      </c>
      <c r="E375" t="s">
        <v>362</v>
      </c>
      <c r="F375" s="90" t="str">
        <f>VLOOKUP(Tableau4[[#This Row],[Matricule]],Tableau1[],2,FALSE)</f>
        <v>PRUVOT</v>
      </c>
      <c r="G375" s="90" t="str">
        <f>VLOOKUP(Tableau4[[#This Row],[Matricule]],Tableau1[],3,FALSE)</f>
        <v>Stéphane</v>
      </c>
      <c r="H375" s="90" t="str">
        <f>VLOOKUP(Tableau4[[#This Row],[Matricule]],Tableau1[],4,FALSE)</f>
        <v>RE</v>
      </c>
      <c r="I375" s="99">
        <v>42531</v>
      </c>
      <c r="J375" s="98" t="s">
        <v>380</v>
      </c>
      <c r="K375" s="90">
        <f>IF(Tableau4[[#This Row],[État]]="Remis",1,0)</f>
        <v>1</v>
      </c>
    </row>
    <row r="376" spans="2:11" x14ac:dyDescent="0.25">
      <c r="B376" t="s">
        <v>278</v>
      </c>
      <c r="C376" s="90" t="str">
        <f>VLOOKUP(Tableau4[[#This Row],[Réf matériel]],Tableau3[],2,FALSE)</f>
        <v>Pince à dénuder</v>
      </c>
      <c r="D376" s="90">
        <f>VLOOKUP(Tableau4[[#This Row],[Réf matériel]],Tableau3[],3,FALSE)</f>
        <v>24.55</v>
      </c>
      <c r="E376" t="s">
        <v>362</v>
      </c>
      <c r="F376" s="90" t="str">
        <f>VLOOKUP(Tableau4[[#This Row],[Matricule]],Tableau1[],2,FALSE)</f>
        <v>PRUVOT</v>
      </c>
      <c r="G376" s="90" t="str">
        <f>VLOOKUP(Tableau4[[#This Row],[Matricule]],Tableau1[],3,FALSE)</f>
        <v>Stéphane</v>
      </c>
      <c r="H376" s="90" t="str">
        <f>VLOOKUP(Tableau4[[#This Row],[Matricule]],Tableau1[],4,FALSE)</f>
        <v>RE</v>
      </c>
      <c r="I376" s="99">
        <v>42531</v>
      </c>
      <c r="J376" s="98" t="s">
        <v>380</v>
      </c>
      <c r="K376" s="90">
        <f>IF(Tableau4[[#This Row],[État]]="Remis",1,0)</f>
        <v>1</v>
      </c>
    </row>
    <row r="377" spans="2:11" x14ac:dyDescent="0.25">
      <c r="B377" t="s">
        <v>279</v>
      </c>
      <c r="C377" s="90" t="str">
        <f>VLOOKUP(Tableau4[[#This Row],[Réf matériel]],Tableau3[],2,FALSE)</f>
        <v>lime demi ronde</v>
      </c>
      <c r="D377" s="90">
        <f>VLOOKUP(Tableau4[[#This Row],[Réf matériel]],Tableau3[],3,FALSE)</f>
        <v>7.59</v>
      </c>
      <c r="E377" t="s">
        <v>362</v>
      </c>
      <c r="F377" s="90" t="str">
        <f>VLOOKUP(Tableau4[[#This Row],[Matricule]],Tableau1[],2,FALSE)</f>
        <v>PRUVOT</v>
      </c>
      <c r="G377" s="90" t="str">
        <f>VLOOKUP(Tableau4[[#This Row],[Matricule]],Tableau1[],3,FALSE)</f>
        <v>Stéphane</v>
      </c>
      <c r="H377" s="90" t="str">
        <f>VLOOKUP(Tableau4[[#This Row],[Matricule]],Tableau1[],4,FALSE)</f>
        <v>RE</v>
      </c>
      <c r="I377" s="99">
        <v>42531</v>
      </c>
      <c r="J377" s="98" t="s">
        <v>380</v>
      </c>
      <c r="K377" s="90">
        <f>IF(Tableau4[[#This Row],[État]]="Remis",1,0)</f>
        <v>1</v>
      </c>
    </row>
    <row r="378" spans="2:11" x14ac:dyDescent="0.25">
      <c r="B378" t="s">
        <v>280</v>
      </c>
      <c r="C378" s="90" t="str">
        <f>VLOOKUP(Tableau4[[#This Row],[Réf matériel]],Tableau3[],2,FALSE)</f>
        <v>Pince coupante 1000v</v>
      </c>
      <c r="D378" s="90">
        <f>VLOOKUP(Tableau4[[#This Row],[Réf matériel]],Tableau3[],3,FALSE)</f>
        <v>20.87</v>
      </c>
      <c r="E378" t="s">
        <v>362</v>
      </c>
      <c r="F378" s="90" t="str">
        <f>VLOOKUP(Tableau4[[#This Row],[Matricule]],Tableau1[],2,FALSE)</f>
        <v>PRUVOT</v>
      </c>
      <c r="G378" s="90" t="str">
        <f>VLOOKUP(Tableau4[[#This Row],[Matricule]],Tableau1[],3,FALSE)</f>
        <v>Stéphane</v>
      </c>
      <c r="H378" s="90" t="str">
        <f>VLOOKUP(Tableau4[[#This Row],[Matricule]],Tableau1[],4,FALSE)</f>
        <v>RE</v>
      </c>
      <c r="I378" s="88">
        <v>43531</v>
      </c>
      <c r="J378" s="98" t="s">
        <v>380</v>
      </c>
      <c r="K378" s="90">
        <f>IF(Tableau4[[#This Row],[État]]="Remis",1,0)</f>
        <v>1</v>
      </c>
    </row>
    <row r="379" spans="2:11" x14ac:dyDescent="0.25">
      <c r="B379" t="s">
        <v>49</v>
      </c>
      <c r="C379" s="90" t="str">
        <f>VLOOKUP(Tableau4[[#This Row],[Réf matériel]],Tableau3[],2,FALSE)</f>
        <v>Coupe câble</v>
      </c>
      <c r="D379" s="90">
        <f>VLOOKUP(Tableau4[[#This Row],[Réf matériel]],Tableau3[],3,FALSE)</f>
        <v>41.88</v>
      </c>
      <c r="E379" t="s">
        <v>362</v>
      </c>
      <c r="F379" s="90" t="str">
        <f>VLOOKUP(Tableau4[[#This Row],[Matricule]],Tableau1[],2,FALSE)</f>
        <v>PRUVOT</v>
      </c>
      <c r="G379" s="90" t="str">
        <f>VLOOKUP(Tableau4[[#This Row],[Matricule]],Tableau1[],3,FALSE)</f>
        <v>Stéphane</v>
      </c>
      <c r="H379" s="90" t="str">
        <f>VLOOKUP(Tableau4[[#This Row],[Matricule]],Tableau1[],4,FALSE)</f>
        <v>RE</v>
      </c>
      <c r="I379" s="88">
        <v>43572</v>
      </c>
      <c r="J379" t="s">
        <v>380</v>
      </c>
      <c r="K379" s="90">
        <f>IF(Tableau4[[#This Row],[État]]="Remis",1,0)</f>
        <v>1</v>
      </c>
    </row>
    <row r="380" spans="2:11" x14ac:dyDescent="0.25">
      <c r="B380" t="s">
        <v>281</v>
      </c>
      <c r="C380" s="90" t="str">
        <f>VLOOKUP(Tableau4[[#This Row],[Réf matériel]],Tableau3[],2,FALSE)</f>
        <v>Scie à métaux</v>
      </c>
      <c r="D380" s="90">
        <f>VLOOKUP(Tableau4[[#This Row],[Réf matériel]],Tableau3[],3,FALSE)</f>
        <v>11.26</v>
      </c>
      <c r="E380" t="s">
        <v>362</v>
      </c>
      <c r="F380" s="90" t="str">
        <f>VLOOKUP(Tableau4[[#This Row],[Matricule]],Tableau1[],2,FALSE)</f>
        <v>PRUVOT</v>
      </c>
      <c r="G380" s="90" t="str">
        <f>VLOOKUP(Tableau4[[#This Row],[Matricule]],Tableau1[],3,FALSE)</f>
        <v>Stéphane</v>
      </c>
      <c r="H380" s="90" t="str">
        <f>VLOOKUP(Tableau4[[#This Row],[Matricule]],Tableau1[],4,FALSE)</f>
        <v>RE</v>
      </c>
      <c r="I380" s="88">
        <v>43514</v>
      </c>
      <c r="J380" t="s">
        <v>380</v>
      </c>
      <c r="K380" s="90">
        <f>IF(Tableau4[[#This Row],[État]]="Remis",1,0)</f>
        <v>1</v>
      </c>
    </row>
    <row r="381" spans="2:11" x14ac:dyDescent="0.25">
      <c r="B381" t="s">
        <v>51</v>
      </c>
      <c r="C381" s="90" t="str">
        <f>VLOOKUP(Tableau4[[#This Row],[Réf matériel]],Tableau3[],2,FALSE)</f>
        <v>Mètre pliant</v>
      </c>
      <c r="D381" s="90">
        <f>VLOOKUP(Tableau4[[#This Row],[Réf matériel]],Tableau3[],3,FALSE)</f>
        <v>3.2</v>
      </c>
      <c r="E381" t="s">
        <v>362</v>
      </c>
      <c r="F381" s="90" t="str">
        <f>VLOOKUP(Tableau4[[#This Row],[Matricule]],Tableau1[],2,FALSE)</f>
        <v>PRUVOT</v>
      </c>
      <c r="G381" s="90" t="str">
        <f>VLOOKUP(Tableau4[[#This Row],[Matricule]],Tableau1[],3,FALSE)</f>
        <v>Stéphane</v>
      </c>
      <c r="H381" s="90" t="str">
        <f>VLOOKUP(Tableau4[[#This Row],[Matricule]],Tableau1[],4,FALSE)</f>
        <v>RE</v>
      </c>
      <c r="I381" s="88">
        <v>43514</v>
      </c>
      <c r="J381" t="s">
        <v>380</v>
      </c>
      <c r="K381" s="90">
        <f>IF(Tableau4[[#This Row],[État]]="Remis",1,0)</f>
        <v>1</v>
      </c>
    </row>
    <row r="382" spans="2:11" x14ac:dyDescent="0.25">
      <c r="B382" t="s">
        <v>395</v>
      </c>
      <c r="C382" s="90" t="str">
        <f>VLOOKUP(Tableau4[[#This Row],[Réf matériel]],Tableau3[],2,FALSE)</f>
        <v>Burin plat</v>
      </c>
      <c r="D382" s="90">
        <f>VLOOKUP(Tableau4[[#This Row],[Réf matériel]],Tableau3[],3,FALSE)</f>
        <v>11.89</v>
      </c>
      <c r="E382" t="s">
        <v>362</v>
      </c>
      <c r="F382" s="90" t="str">
        <f>VLOOKUP(Tableau4[[#This Row],[Matricule]],Tableau1[],2,FALSE)</f>
        <v>PRUVOT</v>
      </c>
      <c r="G382" s="90" t="str">
        <f>VLOOKUP(Tableau4[[#This Row],[Matricule]],Tableau1[],3,FALSE)</f>
        <v>Stéphane</v>
      </c>
      <c r="H382" s="90" t="str">
        <f>VLOOKUP(Tableau4[[#This Row],[Matricule]],Tableau1[],4,FALSE)</f>
        <v>RE</v>
      </c>
      <c r="I382" s="88">
        <v>43514</v>
      </c>
      <c r="J382" t="s">
        <v>380</v>
      </c>
      <c r="K382" s="90">
        <f>IF(Tableau4[[#This Row],[État]]="Remis",1,0)</f>
        <v>1</v>
      </c>
    </row>
    <row r="383" spans="2:11" x14ac:dyDescent="0.25">
      <c r="B383" t="s">
        <v>401</v>
      </c>
      <c r="C383" s="90" t="str">
        <f>VLOOKUP(Tableau4[[#This Row],[Réf matériel]],Tableau3[],2,FALSE)</f>
        <v>Burin pointu</v>
      </c>
      <c r="D383" s="90">
        <f>VLOOKUP(Tableau4[[#This Row],[Réf matériel]],Tableau3[],3,FALSE)</f>
        <v>8.7200000000000006</v>
      </c>
      <c r="E383" t="s">
        <v>362</v>
      </c>
      <c r="F383" s="90" t="str">
        <f>VLOOKUP(Tableau4[[#This Row],[Matricule]],Tableau1[],2,FALSE)</f>
        <v>PRUVOT</v>
      </c>
      <c r="G383" s="90" t="str">
        <f>VLOOKUP(Tableau4[[#This Row],[Matricule]],Tableau1[],3,FALSE)</f>
        <v>Stéphane</v>
      </c>
      <c r="H383" s="90" t="str">
        <f>VLOOKUP(Tableau4[[#This Row],[Matricule]],Tableau1[],4,FALSE)</f>
        <v>RE</v>
      </c>
      <c r="I383" s="88">
        <v>43514</v>
      </c>
      <c r="J383" t="s">
        <v>380</v>
      </c>
      <c r="K383" s="90">
        <f>IF(Tableau4[[#This Row],[État]]="Remis",1,0)</f>
        <v>1</v>
      </c>
    </row>
    <row r="384" spans="2:11" x14ac:dyDescent="0.25">
      <c r="B384" t="s">
        <v>396</v>
      </c>
      <c r="C384" s="90" t="str">
        <f>VLOOKUP(Tableau4[[#This Row],[Réf matériel]],Tableau3[],2,FALSE)</f>
        <v>Massette</v>
      </c>
      <c r="D384" s="90">
        <f>VLOOKUP(Tableau4[[#This Row],[Réf matériel]],Tableau3[],3,FALSE)</f>
        <v>15.14</v>
      </c>
      <c r="E384" t="s">
        <v>362</v>
      </c>
      <c r="F384" s="90" t="str">
        <f>VLOOKUP(Tableau4[[#This Row],[Matricule]],Tableau1[],2,FALSE)</f>
        <v>PRUVOT</v>
      </c>
      <c r="G384" s="90" t="str">
        <f>VLOOKUP(Tableau4[[#This Row],[Matricule]],Tableau1[],3,FALSE)</f>
        <v>Stéphane</v>
      </c>
      <c r="H384" s="90" t="str">
        <f>VLOOKUP(Tableau4[[#This Row],[Matricule]],Tableau1[],4,FALSE)</f>
        <v>RE</v>
      </c>
      <c r="I384" s="88">
        <v>43889</v>
      </c>
      <c r="J384" t="s">
        <v>380</v>
      </c>
      <c r="K384" s="90">
        <f>IF(Tableau4[[#This Row],[État]]="Remis",1,0)</f>
        <v>1</v>
      </c>
    </row>
    <row r="385" spans="2:11" x14ac:dyDescent="0.25">
      <c r="B385" t="s">
        <v>396</v>
      </c>
      <c r="C385" s="90" t="str">
        <f>VLOOKUP(Tableau4[[#This Row],[Réf matériel]],Tableau3[],2,FALSE)</f>
        <v>Massette</v>
      </c>
      <c r="D385" s="90">
        <f>VLOOKUP(Tableau4[[#This Row],[Réf matériel]],Tableau3[],3,FALSE)</f>
        <v>15.14</v>
      </c>
      <c r="E385" t="s">
        <v>362</v>
      </c>
      <c r="F385" s="90" t="str">
        <f>VLOOKUP(Tableau4[[#This Row],[Matricule]],Tableau1[],2,FALSE)</f>
        <v>PRUVOT</v>
      </c>
      <c r="G385" s="90" t="str">
        <f>VLOOKUP(Tableau4[[#This Row],[Matricule]],Tableau1[],3,FALSE)</f>
        <v>Stéphane</v>
      </c>
      <c r="H385" s="90" t="str">
        <f>VLOOKUP(Tableau4[[#This Row],[Matricule]],Tableau1[],4,FALSE)</f>
        <v>RE</v>
      </c>
      <c r="I385" s="99">
        <v>42531</v>
      </c>
      <c r="J385" t="s">
        <v>380</v>
      </c>
      <c r="K385" s="90">
        <f>IF(Tableau4[[#This Row],[État]]="Remis",1,0)</f>
        <v>1</v>
      </c>
    </row>
    <row r="386" spans="2:11" x14ac:dyDescent="0.25">
      <c r="B386" t="s">
        <v>55</v>
      </c>
      <c r="C386" s="90" t="str">
        <f>VLOOKUP(Tableau4[[#This Row],[Réf matériel]],Tableau3[],2,FALSE)</f>
        <v>Niveau</v>
      </c>
      <c r="D386" s="90">
        <f>VLOOKUP(Tableau4[[#This Row],[Réf matériel]],Tableau3[],3,FALSE)</f>
        <v>15</v>
      </c>
      <c r="E386" t="s">
        <v>362</v>
      </c>
      <c r="F386" s="90" t="str">
        <f>VLOOKUP(Tableau4[[#This Row],[Matricule]],Tableau1[],2,FALSE)</f>
        <v>PRUVOT</v>
      </c>
      <c r="G386" s="90" t="str">
        <f>VLOOKUP(Tableau4[[#This Row],[Matricule]],Tableau1[],3,FALSE)</f>
        <v>Stéphane</v>
      </c>
      <c r="H386" s="90" t="str">
        <f>VLOOKUP(Tableau4[[#This Row],[Matricule]],Tableau1[],4,FALSE)</f>
        <v>RE</v>
      </c>
      <c r="I386" s="99">
        <v>42531</v>
      </c>
      <c r="J386" t="s">
        <v>380</v>
      </c>
      <c r="K386" s="90">
        <f>IF(Tableau4[[#This Row],[État]]="Remis",1,0)</f>
        <v>1</v>
      </c>
    </row>
    <row r="387" spans="2:11" x14ac:dyDescent="0.25">
      <c r="B387" t="s">
        <v>56</v>
      </c>
      <c r="C387" s="90" t="str">
        <f>VLOOKUP(Tableau4[[#This Row],[Réf matériel]],Tableau3[],2,FALSE)</f>
        <v>Jeu tournevis</v>
      </c>
      <c r="D387" s="90">
        <f>VLOOKUP(Tableau4[[#This Row],[Réf matériel]],Tableau3[],3,FALSE)</f>
        <v>37.57</v>
      </c>
      <c r="E387" t="s">
        <v>362</v>
      </c>
      <c r="F387" s="90" t="str">
        <f>VLOOKUP(Tableau4[[#This Row],[Matricule]],Tableau1[],2,FALSE)</f>
        <v>PRUVOT</v>
      </c>
      <c r="G387" s="90" t="str">
        <f>VLOOKUP(Tableau4[[#This Row],[Matricule]],Tableau1[],3,FALSE)</f>
        <v>Stéphane</v>
      </c>
      <c r="H387" s="90" t="str">
        <f>VLOOKUP(Tableau4[[#This Row],[Matricule]],Tableau1[],4,FALSE)</f>
        <v>RE</v>
      </c>
      <c r="I387" s="88">
        <v>43889</v>
      </c>
      <c r="J387" t="s">
        <v>380</v>
      </c>
      <c r="K387" s="90">
        <f>IF(Tableau4[[#This Row],[État]]="Remis",1,0)</f>
        <v>1</v>
      </c>
    </row>
    <row r="388" spans="2:11" x14ac:dyDescent="0.25">
      <c r="B388" t="s">
        <v>397</v>
      </c>
      <c r="C388" s="90" t="str">
        <f>VLOOKUP(Tableau4[[#This Row],[Réf matériel]],Tableau3[],2,FALSE)</f>
        <v>Pince étau</v>
      </c>
      <c r="D388" s="90">
        <f>VLOOKUP(Tableau4[[#This Row],[Réf matériel]],Tableau3[],3,FALSE)</f>
        <v>16.02</v>
      </c>
      <c r="E388" t="s">
        <v>362</v>
      </c>
      <c r="F388" s="90" t="str">
        <f>VLOOKUP(Tableau4[[#This Row],[Matricule]],Tableau1[],2,FALSE)</f>
        <v>PRUVOT</v>
      </c>
      <c r="G388" s="90" t="str">
        <f>VLOOKUP(Tableau4[[#This Row],[Matricule]],Tableau1[],3,FALSE)</f>
        <v>Stéphane</v>
      </c>
      <c r="H388" s="90" t="str">
        <f>VLOOKUP(Tableau4[[#This Row],[Matricule]],Tableau1[],4,FALSE)</f>
        <v>RE</v>
      </c>
      <c r="I388" s="99">
        <v>42531</v>
      </c>
      <c r="J388" t="s">
        <v>380</v>
      </c>
      <c r="K388" s="90">
        <f>IF(Tableau4[[#This Row],[État]]="Remis",1,0)</f>
        <v>1</v>
      </c>
    </row>
    <row r="389" spans="2:11" x14ac:dyDescent="0.25">
      <c r="B389" t="s">
        <v>398</v>
      </c>
      <c r="C389" s="90" t="str">
        <f>VLOOKUP(Tableau4[[#This Row],[Réf matériel]],Tableau3[],2,FALSE)</f>
        <v>Coffret douilles</v>
      </c>
      <c r="D389" s="90">
        <f>VLOOKUP(Tableau4[[#This Row],[Réf matériel]],Tableau3[],3,FALSE)</f>
        <v>103.22</v>
      </c>
      <c r="E389" t="s">
        <v>362</v>
      </c>
      <c r="F389" s="90" t="str">
        <f>VLOOKUP(Tableau4[[#This Row],[Matricule]],Tableau1[],2,FALSE)</f>
        <v>PRUVOT</v>
      </c>
      <c r="G389" s="90" t="str">
        <f>VLOOKUP(Tableau4[[#This Row],[Matricule]],Tableau1[],3,FALSE)</f>
        <v>Stéphane</v>
      </c>
      <c r="H389" s="90" t="str">
        <f>VLOOKUP(Tableau4[[#This Row],[Matricule]],Tableau1[],4,FALSE)</f>
        <v>RE</v>
      </c>
      <c r="I389" s="99">
        <v>42531</v>
      </c>
      <c r="J389" t="s">
        <v>380</v>
      </c>
      <c r="K389" s="90">
        <f>IF(Tableau4[[#This Row],[État]]="Remis",1,0)</f>
        <v>1</v>
      </c>
    </row>
    <row r="390" spans="2:11" x14ac:dyDescent="0.25">
      <c r="B390" t="s">
        <v>422</v>
      </c>
      <c r="C390" s="90" t="str">
        <f>VLOOKUP(Tableau4[[#This Row],[Réf matériel]],Tableau3[],2,FALSE)</f>
        <v>Clé à griffe 18p</v>
      </c>
      <c r="D390" s="90">
        <f>VLOOKUP(Tableau4[[#This Row],[Réf matériel]],Tableau3[],3,FALSE)</f>
        <v>54</v>
      </c>
      <c r="E390" t="s">
        <v>362</v>
      </c>
      <c r="F390" s="90" t="str">
        <f>VLOOKUP(Tableau4[[#This Row],[Matricule]],Tableau1[],2,FALSE)</f>
        <v>PRUVOT</v>
      </c>
      <c r="G390" s="90" t="str">
        <f>VLOOKUP(Tableau4[[#This Row],[Matricule]],Tableau1[],3,FALSE)</f>
        <v>Stéphane</v>
      </c>
      <c r="H390" s="90" t="str">
        <f>VLOOKUP(Tableau4[[#This Row],[Matricule]],Tableau1[],4,FALSE)</f>
        <v>RE</v>
      </c>
      <c r="I390" s="88">
        <v>43889</v>
      </c>
      <c r="J390" t="s">
        <v>380</v>
      </c>
      <c r="K390" s="90">
        <f>IF(Tableau4[[#This Row],[État]]="Remis",1,0)</f>
        <v>1</v>
      </c>
    </row>
    <row r="391" spans="2:11" x14ac:dyDescent="0.25">
      <c r="B391" t="s">
        <v>421</v>
      </c>
      <c r="C391" s="90" t="str">
        <f>VLOOKUP(Tableau4[[#This Row],[Réf matériel]],Tableau3[],2,FALSE)</f>
        <v>Clé mixte 8</v>
      </c>
      <c r="D391" s="90">
        <f>VLOOKUP(Tableau4[[#This Row],[Réf matériel]],Tableau3[],3,FALSE)</f>
        <v>3.05</v>
      </c>
      <c r="E391" t="s">
        <v>362</v>
      </c>
      <c r="F391" s="90" t="str">
        <f>VLOOKUP(Tableau4[[#This Row],[Matricule]],Tableau1[],2,FALSE)</f>
        <v>PRUVOT</v>
      </c>
      <c r="G391" s="90" t="str">
        <f>VLOOKUP(Tableau4[[#This Row],[Matricule]],Tableau1[],3,FALSE)</f>
        <v>Stéphane</v>
      </c>
      <c r="H391" s="90" t="str">
        <f>VLOOKUP(Tableau4[[#This Row],[Matricule]],Tableau1[],4,FALSE)</f>
        <v>RE</v>
      </c>
      <c r="I391" s="88">
        <v>43889</v>
      </c>
      <c r="J391" t="s">
        <v>380</v>
      </c>
      <c r="K391" s="90">
        <f>IF(Tableau4[[#This Row],[État]]="Remis",1,0)</f>
        <v>1</v>
      </c>
    </row>
    <row r="392" spans="2:11" x14ac:dyDescent="0.25">
      <c r="B392" t="s">
        <v>402</v>
      </c>
      <c r="C392" s="90" t="str">
        <f>VLOOKUP(Tableau4[[#This Row],[Réf matériel]],Tableau3[],2,FALSE)</f>
        <v>Clé à pipe 8</v>
      </c>
      <c r="D392" s="90">
        <f>VLOOKUP(Tableau4[[#This Row],[Réf matériel]],Tableau3[],3,FALSE)</f>
        <v>4.8499999999999996</v>
      </c>
      <c r="E392" t="s">
        <v>362</v>
      </c>
      <c r="F392" s="90" t="str">
        <f>VLOOKUP(Tableau4[[#This Row],[Matricule]],Tableau1[],2,FALSE)</f>
        <v>PRUVOT</v>
      </c>
      <c r="G392" s="90" t="str">
        <f>VLOOKUP(Tableau4[[#This Row],[Matricule]],Tableau1[],3,FALSE)</f>
        <v>Stéphane</v>
      </c>
      <c r="H392" s="90" t="str">
        <f>VLOOKUP(Tableau4[[#This Row],[Matricule]],Tableau1[],4,FALSE)</f>
        <v>RE</v>
      </c>
      <c r="I392" s="88">
        <v>43889</v>
      </c>
      <c r="J392" t="s">
        <v>380</v>
      </c>
      <c r="K392" s="90">
        <f>IF(Tableau4[[#This Row],[État]]="Remis",1,0)</f>
        <v>1</v>
      </c>
    </row>
    <row r="393" spans="2:11" x14ac:dyDescent="0.25">
      <c r="B393" t="s">
        <v>403</v>
      </c>
      <c r="C393" s="90" t="str">
        <f>VLOOKUP(Tableau4[[#This Row],[Réf matériel]],Tableau3[],2,FALSE)</f>
        <v>Clé à pipe 10</v>
      </c>
      <c r="D393" s="90">
        <f>VLOOKUP(Tableau4[[#This Row],[Réf matériel]],Tableau3[],3,FALSE)</f>
        <v>5.41</v>
      </c>
      <c r="E393" t="s">
        <v>362</v>
      </c>
      <c r="F393" s="90" t="str">
        <f>VLOOKUP(Tableau4[[#This Row],[Matricule]],Tableau1[],2,FALSE)</f>
        <v>PRUVOT</v>
      </c>
      <c r="G393" s="90" t="str">
        <f>VLOOKUP(Tableau4[[#This Row],[Matricule]],Tableau1[],3,FALSE)</f>
        <v>Stéphane</v>
      </c>
      <c r="H393" s="90" t="str">
        <f>VLOOKUP(Tableau4[[#This Row],[Matricule]],Tableau1[],4,FALSE)</f>
        <v>RE</v>
      </c>
      <c r="I393" s="88">
        <v>43480</v>
      </c>
      <c r="J393" t="s">
        <v>380</v>
      </c>
      <c r="K393" s="90">
        <f>IF(Tableau4[[#This Row],[État]]="Remis",1,0)</f>
        <v>1</v>
      </c>
    </row>
    <row r="394" spans="2:11" x14ac:dyDescent="0.25">
      <c r="B394" t="s">
        <v>405</v>
      </c>
      <c r="C394" s="90" t="str">
        <f>VLOOKUP(Tableau4[[#This Row],[Réf matériel]],Tableau3[],2,FALSE)</f>
        <v>Clé à pipe 13</v>
      </c>
      <c r="D394" s="90">
        <f>VLOOKUP(Tableau4[[#This Row],[Réf matériel]],Tableau3[],3,FALSE)</f>
        <v>6.23</v>
      </c>
      <c r="E394" t="s">
        <v>362</v>
      </c>
      <c r="F394" s="90" t="str">
        <f>VLOOKUP(Tableau4[[#This Row],[Matricule]],Tableau1[],2,FALSE)</f>
        <v>PRUVOT</v>
      </c>
      <c r="G394" s="90" t="str">
        <f>VLOOKUP(Tableau4[[#This Row],[Matricule]],Tableau1[],3,FALSE)</f>
        <v>Stéphane</v>
      </c>
      <c r="H394" s="90" t="str">
        <f>VLOOKUP(Tableau4[[#This Row],[Matricule]],Tableau1[],4,FALSE)</f>
        <v>RE</v>
      </c>
      <c r="I394" s="88">
        <v>43480</v>
      </c>
      <c r="J394" t="s">
        <v>380</v>
      </c>
      <c r="K394" s="90">
        <f>IF(Tableau4[[#This Row],[État]]="Remis",1,0)</f>
        <v>1</v>
      </c>
    </row>
    <row r="395" spans="2:11" x14ac:dyDescent="0.25">
      <c r="B395" t="s">
        <v>407</v>
      </c>
      <c r="C395" s="90" t="str">
        <f>VLOOKUP(Tableau4[[#This Row],[Réf matériel]],Tableau3[],2,FALSE)</f>
        <v>Clé à pipe 16</v>
      </c>
      <c r="D395" s="90">
        <f>VLOOKUP(Tableau4[[#This Row],[Réf matériel]],Tableau3[],3,FALSE)</f>
        <v>9.1999999999999993</v>
      </c>
      <c r="E395" t="s">
        <v>362</v>
      </c>
      <c r="F395" s="90" t="str">
        <f>VLOOKUP(Tableau4[[#This Row],[Matricule]],Tableau1[],2,FALSE)</f>
        <v>PRUVOT</v>
      </c>
      <c r="G395" s="90" t="str">
        <f>VLOOKUP(Tableau4[[#This Row],[Matricule]],Tableau1[],3,FALSE)</f>
        <v>Stéphane</v>
      </c>
      <c r="H395" s="90" t="str">
        <f>VLOOKUP(Tableau4[[#This Row],[Matricule]],Tableau1[],4,FALSE)</f>
        <v>RE</v>
      </c>
      <c r="I395" s="88">
        <v>43889</v>
      </c>
      <c r="J395" t="s">
        <v>380</v>
      </c>
      <c r="K395" s="90">
        <f>IF(Tableau4[[#This Row],[État]]="Remis",1,0)</f>
        <v>1</v>
      </c>
    </row>
    <row r="396" spans="2:11" x14ac:dyDescent="0.25">
      <c r="B396" t="s">
        <v>408</v>
      </c>
      <c r="C396" s="90" t="str">
        <f>VLOOKUP(Tableau4[[#This Row],[Réf matériel]],Tableau3[],2,FALSE)</f>
        <v>Clé à pipe 17</v>
      </c>
      <c r="D396" s="90">
        <f>VLOOKUP(Tableau4[[#This Row],[Réf matériel]],Tableau3[],3,FALSE)</f>
        <v>9.36</v>
      </c>
      <c r="E396" t="s">
        <v>362</v>
      </c>
      <c r="F396" s="90" t="str">
        <f>VLOOKUP(Tableau4[[#This Row],[Matricule]],Tableau1[],2,FALSE)</f>
        <v>PRUVOT</v>
      </c>
      <c r="G396" s="90" t="str">
        <f>VLOOKUP(Tableau4[[#This Row],[Matricule]],Tableau1[],3,FALSE)</f>
        <v>Stéphane</v>
      </c>
      <c r="H396" s="90" t="str">
        <f>VLOOKUP(Tableau4[[#This Row],[Matricule]],Tableau1[],4,FALSE)</f>
        <v>RE</v>
      </c>
      <c r="I396" s="88">
        <v>43889</v>
      </c>
      <c r="J396" t="s">
        <v>380</v>
      </c>
      <c r="K396" s="90">
        <f>IF(Tableau4[[#This Row],[État]]="Remis",1,0)</f>
        <v>1</v>
      </c>
    </row>
    <row r="397" spans="2:11" x14ac:dyDescent="0.25">
      <c r="B397" t="s">
        <v>409</v>
      </c>
      <c r="C397" s="90" t="str">
        <f>VLOOKUP(Tableau4[[#This Row],[Réf matériel]],Tableau3[],2,FALSE)</f>
        <v>Clé à pipe 19</v>
      </c>
      <c r="D397" s="90">
        <f>VLOOKUP(Tableau4[[#This Row],[Réf matériel]],Tableau3[],3,FALSE)</f>
        <v>10.4</v>
      </c>
      <c r="E397" t="s">
        <v>362</v>
      </c>
      <c r="F397" s="90" t="str">
        <f>VLOOKUP(Tableau4[[#This Row],[Matricule]],Tableau1[],2,FALSE)</f>
        <v>PRUVOT</v>
      </c>
      <c r="G397" s="90" t="str">
        <f>VLOOKUP(Tableau4[[#This Row],[Matricule]],Tableau1[],3,FALSE)</f>
        <v>Stéphane</v>
      </c>
      <c r="H397" s="90" t="str">
        <f>VLOOKUP(Tableau4[[#This Row],[Matricule]],Tableau1[],4,FALSE)</f>
        <v>RE</v>
      </c>
      <c r="I397" s="88">
        <v>43514</v>
      </c>
      <c r="J397" t="s">
        <v>380</v>
      </c>
      <c r="K397" s="90">
        <f>IF(Tableau4[[#This Row],[État]]="Remis",1,0)</f>
        <v>1</v>
      </c>
    </row>
    <row r="398" spans="2:11" x14ac:dyDescent="0.25">
      <c r="B398" t="s">
        <v>410</v>
      </c>
      <c r="C398" s="90" t="str">
        <f>VLOOKUP(Tableau4[[#This Row],[Réf matériel]],Tableau3[],2,FALSE)</f>
        <v>Clé plate 10</v>
      </c>
      <c r="D398" s="90">
        <f>VLOOKUP(Tableau4[[#This Row],[Réf matériel]],Tableau3[],3,FALSE)</f>
        <v>3.32</v>
      </c>
      <c r="E398" t="s">
        <v>362</v>
      </c>
      <c r="F398" s="90" t="str">
        <f>VLOOKUP(Tableau4[[#This Row],[Matricule]],Tableau1[],2,FALSE)</f>
        <v>PRUVOT</v>
      </c>
      <c r="G398" s="90" t="str">
        <f>VLOOKUP(Tableau4[[#This Row],[Matricule]],Tableau1[],3,FALSE)</f>
        <v>Stéphane</v>
      </c>
      <c r="H398" s="90" t="str">
        <f>VLOOKUP(Tableau4[[#This Row],[Matricule]],Tableau1[],4,FALSE)</f>
        <v>RE</v>
      </c>
      <c r="I398" s="88">
        <v>43480</v>
      </c>
      <c r="J398" t="s">
        <v>380</v>
      </c>
      <c r="K398" s="90">
        <f>IF(Tableau4[[#This Row],[État]]="Remis",1,0)</f>
        <v>1</v>
      </c>
    </row>
    <row r="399" spans="2:11" x14ac:dyDescent="0.25">
      <c r="B399" t="s">
        <v>412</v>
      </c>
      <c r="C399" s="90" t="str">
        <f>VLOOKUP(Tableau4[[#This Row],[Réf matériel]],Tableau3[],2,FALSE)</f>
        <v>Clé plate 13</v>
      </c>
      <c r="D399" s="90">
        <f>VLOOKUP(Tableau4[[#This Row],[Réf matériel]],Tableau3[],3,FALSE)</f>
        <v>3.91</v>
      </c>
      <c r="E399" t="s">
        <v>362</v>
      </c>
      <c r="F399" s="90" t="str">
        <f>VLOOKUP(Tableau4[[#This Row],[Matricule]],Tableau1[],2,FALSE)</f>
        <v>PRUVOT</v>
      </c>
      <c r="G399" s="90" t="str">
        <f>VLOOKUP(Tableau4[[#This Row],[Matricule]],Tableau1[],3,FALSE)</f>
        <v>Stéphane</v>
      </c>
      <c r="H399" s="90" t="str">
        <f>VLOOKUP(Tableau4[[#This Row],[Matricule]],Tableau1[],4,FALSE)</f>
        <v>RE</v>
      </c>
      <c r="I399" s="88">
        <v>43480</v>
      </c>
      <c r="J399" t="s">
        <v>380</v>
      </c>
      <c r="K399" s="90">
        <f>IF(Tableau4[[#This Row],[État]]="Remis",1,0)</f>
        <v>1</v>
      </c>
    </row>
    <row r="400" spans="2:11" x14ac:dyDescent="0.25">
      <c r="B400" t="s">
        <v>414</v>
      </c>
      <c r="C400" s="90" t="str">
        <f>VLOOKUP(Tableau4[[#This Row],[Réf matériel]],Tableau3[],2,FALSE)</f>
        <v>Clé plate 17</v>
      </c>
      <c r="D400" s="90">
        <f>VLOOKUP(Tableau4[[#This Row],[Réf matériel]],Tableau3[],3,FALSE)</f>
        <v>5.5</v>
      </c>
      <c r="E400" t="s">
        <v>362</v>
      </c>
      <c r="F400" s="90" t="str">
        <f>VLOOKUP(Tableau4[[#This Row],[Matricule]],Tableau1[],2,FALSE)</f>
        <v>PRUVOT</v>
      </c>
      <c r="G400" s="90" t="str">
        <f>VLOOKUP(Tableau4[[#This Row],[Matricule]],Tableau1[],3,FALSE)</f>
        <v>Stéphane</v>
      </c>
      <c r="H400" s="90" t="str">
        <f>VLOOKUP(Tableau4[[#This Row],[Matricule]],Tableau1[],4,FALSE)</f>
        <v>RE</v>
      </c>
      <c r="I400" s="99">
        <v>42531</v>
      </c>
      <c r="J400" t="s">
        <v>380</v>
      </c>
      <c r="K400" s="90">
        <f>IF(Tableau4[[#This Row],[État]]="Remis",1,0)</f>
        <v>1</v>
      </c>
    </row>
    <row r="401" spans="2:11" x14ac:dyDescent="0.25">
      <c r="B401" t="s">
        <v>415</v>
      </c>
      <c r="C401" s="90" t="str">
        <f>VLOOKUP(Tableau4[[#This Row],[Réf matériel]],Tableau3[],2,FALSE)</f>
        <v>Clé plate 19</v>
      </c>
      <c r="D401" s="90">
        <f>VLOOKUP(Tableau4[[#This Row],[Réf matériel]],Tableau3[],3,FALSE)</f>
        <v>6.07</v>
      </c>
      <c r="E401" t="s">
        <v>362</v>
      </c>
      <c r="F401" s="90" t="str">
        <f>VLOOKUP(Tableau4[[#This Row],[Matricule]],Tableau1[],2,FALSE)</f>
        <v>PRUVOT</v>
      </c>
      <c r="G401" s="90" t="str">
        <f>VLOOKUP(Tableau4[[#This Row],[Matricule]],Tableau1[],3,FALSE)</f>
        <v>Stéphane</v>
      </c>
      <c r="H401" s="90" t="str">
        <f>VLOOKUP(Tableau4[[#This Row],[Matricule]],Tableau1[],4,FALSE)</f>
        <v>RE</v>
      </c>
      <c r="I401" s="88">
        <v>43514</v>
      </c>
      <c r="J401" t="s">
        <v>380</v>
      </c>
      <c r="K401" s="90">
        <f>IF(Tableau4[[#This Row],[État]]="Remis",1,0)</f>
        <v>1</v>
      </c>
    </row>
    <row r="402" spans="2:11" x14ac:dyDescent="0.25">
      <c r="B402" t="s">
        <v>67</v>
      </c>
      <c r="C402" s="90" t="str">
        <f>VLOOKUP(Tableau4[[#This Row],[Réf matériel]],Tableau3[],2,FALSE)</f>
        <v>Cutter</v>
      </c>
      <c r="D402" s="90">
        <f>VLOOKUP(Tableau4[[#This Row],[Réf matériel]],Tableau3[],3,FALSE)</f>
        <v>4.8499999999999996</v>
      </c>
      <c r="E402" t="s">
        <v>362</v>
      </c>
      <c r="F402" s="90" t="str">
        <f>VLOOKUP(Tableau4[[#This Row],[Matricule]],Tableau1[],2,FALSE)</f>
        <v>PRUVOT</v>
      </c>
      <c r="G402" s="90" t="str">
        <f>VLOOKUP(Tableau4[[#This Row],[Matricule]],Tableau1[],3,FALSE)</f>
        <v>Stéphane</v>
      </c>
      <c r="H402" s="90" t="str">
        <f>VLOOKUP(Tableau4[[#This Row],[Matricule]],Tableau1[],4,FALSE)</f>
        <v>RE</v>
      </c>
      <c r="I402" s="88">
        <v>43889</v>
      </c>
      <c r="J402" t="s">
        <v>380</v>
      </c>
      <c r="K402" s="90">
        <f>IF(Tableau4[[#This Row],[État]]="Remis",1,0)</f>
        <v>1</v>
      </c>
    </row>
    <row r="403" spans="2:11" x14ac:dyDescent="0.25">
      <c r="B403" t="s">
        <v>420</v>
      </c>
      <c r="C403" s="90" t="str">
        <f>VLOOKUP(Tableau4[[#This Row],[Réf matériel]],Tableau3[],2,FALSE)</f>
        <v>Clé allen</v>
      </c>
      <c r="D403" s="90">
        <f>VLOOKUP(Tableau4[[#This Row],[Réf matériel]],Tableau3[],3,FALSE)</f>
        <v>27.5</v>
      </c>
      <c r="E403" t="s">
        <v>362</v>
      </c>
      <c r="F403" s="90" t="str">
        <f>VLOOKUP(Tableau4[[#This Row],[Matricule]],Tableau1[],2,FALSE)</f>
        <v>PRUVOT</v>
      </c>
      <c r="G403" s="90" t="str">
        <f>VLOOKUP(Tableau4[[#This Row],[Matricule]],Tableau1[],3,FALSE)</f>
        <v>Stéphane</v>
      </c>
      <c r="H403" s="90" t="str">
        <f>VLOOKUP(Tableau4[[#This Row],[Matricule]],Tableau1[],4,FALSE)</f>
        <v>RE</v>
      </c>
      <c r="I403" s="99">
        <v>42531</v>
      </c>
      <c r="J403" t="s">
        <v>380</v>
      </c>
      <c r="K403" s="90">
        <f>IF(Tableau4[[#This Row],[État]]="Remis",1,0)</f>
        <v>1</v>
      </c>
    </row>
    <row r="404" spans="2:11" x14ac:dyDescent="0.25">
      <c r="B404" t="s">
        <v>438</v>
      </c>
      <c r="C404" s="90" t="str">
        <f>VLOOKUP(Tableau4[[#This Row],[Réf matériel]],Tableau3[],2,FALSE)</f>
        <v>Outil à dégainer</v>
      </c>
      <c r="D404" s="90">
        <f>VLOOKUP(Tableau4[[#This Row],[Réf matériel]],Tableau3[],3,FALSE)</f>
        <v>20.5</v>
      </c>
      <c r="E404" t="s">
        <v>362</v>
      </c>
      <c r="F404" s="90" t="str">
        <f>VLOOKUP(Tableau4[[#This Row],[Matricule]],Tableau1[],2,FALSE)</f>
        <v>PRUVOT</v>
      </c>
      <c r="G404" s="90" t="str">
        <f>VLOOKUP(Tableau4[[#This Row],[Matricule]],Tableau1[],3,FALSE)</f>
        <v>Stéphane</v>
      </c>
      <c r="H404" s="90" t="str">
        <f>VLOOKUP(Tableau4[[#This Row],[Matricule]],Tableau1[],4,FALSE)</f>
        <v>RE</v>
      </c>
      <c r="I404" s="88">
        <v>43514</v>
      </c>
      <c r="J404" t="s">
        <v>380</v>
      </c>
      <c r="K404" s="90">
        <f>IF(Tableau4[[#This Row],[État]]="Remis",1,0)</f>
        <v>1</v>
      </c>
    </row>
    <row r="405" spans="2:11" x14ac:dyDescent="0.25">
      <c r="B405" t="s">
        <v>439</v>
      </c>
      <c r="C405" s="90" t="str">
        <f>VLOOKUP(Tableau4[[#This Row],[Réf matériel]],Tableau3[],2,FALSE)</f>
        <v>Pince à Sertir</v>
      </c>
      <c r="D405" s="90">
        <f>VLOOKUP(Tableau4[[#This Row],[Réf matériel]],Tableau3[],3,FALSE)</f>
        <v>78.400000000000006</v>
      </c>
      <c r="E405" t="s">
        <v>362</v>
      </c>
      <c r="F405" s="90" t="str">
        <f>VLOOKUP(Tableau4[[#This Row],[Matricule]],Tableau1[],2,FALSE)</f>
        <v>PRUVOT</v>
      </c>
      <c r="G405" s="90" t="str">
        <f>VLOOKUP(Tableau4[[#This Row],[Matricule]],Tableau1[],3,FALSE)</f>
        <v>Stéphane</v>
      </c>
      <c r="H405" s="90" t="str">
        <f>VLOOKUP(Tableau4[[#This Row],[Matricule]],Tableau1[],4,FALSE)</f>
        <v>RE</v>
      </c>
      <c r="I405" s="99">
        <v>42531</v>
      </c>
      <c r="J405" t="s">
        <v>380</v>
      </c>
      <c r="K405" s="90">
        <f>IF(Tableau4[[#This Row],[État]]="Remis",1,0)</f>
        <v>1</v>
      </c>
    </row>
    <row r="406" spans="2:11" x14ac:dyDescent="0.25">
      <c r="B406" t="s">
        <v>440</v>
      </c>
      <c r="C406" s="90" t="str">
        <f>VLOOKUP(Tableau4[[#This Row],[Réf matériel]],Tableau3[],2,FALSE)</f>
        <v>Testeur Fluke</v>
      </c>
      <c r="D406" s="90">
        <f>VLOOKUP(Tableau4[[#This Row],[Réf matériel]],Tableau3[],3,FALSE)</f>
        <v>0</v>
      </c>
      <c r="E406" t="s">
        <v>362</v>
      </c>
      <c r="F406" s="90" t="str">
        <f>VLOOKUP(Tableau4[[#This Row],[Matricule]],Tableau1[],2,FALSE)</f>
        <v>PRUVOT</v>
      </c>
      <c r="G406" s="90" t="str">
        <f>VLOOKUP(Tableau4[[#This Row],[Matricule]],Tableau1[],3,FALSE)</f>
        <v>Stéphane</v>
      </c>
      <c r="H406" s="90" t="str">
        <f>VLOOKUP(Tableau4[[#This Row],[Matricule]],Tableau1[],4,FALSE)</f>
        <v>RE</v>
      </c>
      <c r="I406" s="88">
        <v>43514</v>
      </c>
      <c r="J406" t="s">
        <v>380</v>
      </c>
      <c r="K406" s="90">
        <f>IF(Tableau4[[#This Row],[État]]="Remis",1,0)</f>
        <v>1</v>
      </c>
    </row>
    <row r="407" spans="2:11" x14ac:dyDescent="0.25">
      <c r="B407" t="s">
        <v>399</v>
      </c>
      <c r="C407" s="90" t="str">
        <f>VLOOKUP(Tableau4[[#This Row],[Réf matériel]],Tableau3[],2,FALSE)</f>
        <v>Boite embouts</v>
      </c>
      <c r="D407" s="90">
        <f>VLOOKUP(Tableau4[[#This Row],[Réf matériel]],Tableau3[],3,FALSE)</f>
        <v>27.61</v>
      </c>
      <c r="E407" t="s">
        <v>362</v>
      </c>
      <c r="F407" s="90" t="str">
        <f>VLOOKUP(Tableau4[[#This Row],[Matricule]],Tableau1[],2,FALSE)</f>
        <v>PRUVOT</v>
      </c>
      <c r="G407" s="90" t="str">
        <f>VLOOKUP(Tableau4[[#This Row],[Matricule]],Tableau1[],3,FALSE)</f>
        <v>Stéphane</v>
      </c>
      <c r="H407" s="90" t="str">
        <f>VLOOKUP(Tableau4[[#This Row],[Matricule]],Tableau1[],4,FALSE)</f>
        <v>RE</v>
      </c>
      <c r="I407" s="99">
        <v>42531</v>
      </c>
      <c r="J407" t="s">
        <v>380</v>
      </c>
      <c r="K407" s="90">
        <f>IF(Tableau4[[#This Row],[État]]="Remis",1,0)</f>
        <v>1</v>
      </c>
    </row>
    <row r="408" spans="2:11" x14ac:dyDescent="0.25">
      <c r="B408" t="s">
        <v>72</v>
      </c>
      <c r="C408" s="90" t="str">
        <f>VLOOKUP(Tableau4[[#This Row],[Réf matériel]],Tableau3[],2,FALSE)</f>
        <v>Pince colson</v>
      </c>
      <c r="D408" s="90">
        <f>VLOOKUP(Tableau4[[#This Row],[Réf matériel]],Tableau3[],3,FALSE)</f>
        <v>46.91</v>
      </c>
      <c r="E408" t="s">
        <v>362</v>
      </c>
      <c r="F408" s="90" t="str">
        <f>VLOOKUP(Tableau4[[#This Row],[Matricule]],Tableau1[],2,FALSE)</f>
        <v>PRUVOT</v>
      </c>
      <c r="G408" s="90" t="str">
        <f>VLOOKUP(Tableau4[[#This Row],[Matricule]],Tableau1[],3,FALSE)</f>
        <v>Stéphane</v>
      </c>
      <c r="H408" s="90" t="str">
        <f>VLOOKUP(Tableau4[[#This Row],[Matricule]],Tableau1[],4,FALSE)</f>
        <v>RE</v>
      </c>
      <c r="I408" s="99">
        <v>42531</v>
      </c>
      <c r="J408" t="s">
        <v>380</v>
      </c>
      <c r="K408" s="90">
        <f>IF(Tableau4[[#This Row],[État]]="Remis",1,0)</f>
        <v>1</v>
      </c>
    </row>
    <row r="409" spans="2:11" x14ac:dyDescent="0.25">
      <c r="B409" t="s">
        <v>441</v>
      </c>
      <c r="C409" s="90" t="str">
        <f>VLOOKUP(Tableau4[[#This Row],[Réf matériel]],Tableau3[],2,FALSE)</f>
        <v>Lunette de protection</v>
      </c>
      <c r="D409" s="90">
        <f>VLOOKUP(Tableau4[[#This Row],[Réf matériel]],Tableau3[],3,FALSE)</f>
        <v>2.38</v>
      </c>
      <c r="E409" t="s">
        <v>362</v>
      </c>
      <c r="F409" s="90" t="str">
        <f>VLOOKUP(Tableau4[[#This Row],[Matricule]],Tableau1[],2,FALSE)</f>
        <v>PRUVOT</v>
      </c>
      <c r="G409" s="90" t="str">
        <f>VLOOKUP(Tableau4[[#This Row],[Matricule]],Tableau1[],3,FALSE)</f>
        <v>Stéphane</v>
      </c>
      <c r="H409" s="90" t="str">
        <f>VLOOKUP(Tableau4[[#This Row],[Matricule]],Tableau1[],4,FALSE)</f>
        <v>RE</v>
      </c>
      <c r="I409" s="88">
        <v>43514</v>
      </c>
      <c r="J409" t="s">
        <v>380</v>
      </c>
      <c r="K409" s="90">
        <f>IF(Tableau4[[#This Row],[État]]="Remis",1,0)</f>
        <v>1</v>
      </c>
    </row>
    <row r="410" spans="2:11" x14ac:dyDescent="0.25">
      <c r="B410" t="s">
        <v>74</v>
      </c>
      <c r="C410" s="90" t="str">
        <f>VLOOKUP(Tableau4[[#This Row],[Réf matériel]],Tableau3[],2,FALSE)</f>
        <v>Casque chantier</v>
      </c>
      <c r="D410" s="90">
        <f>VLOOKUP(Tableau4[[#This Row],[Réf matériel]],Tableau3[],3,FALSE)</f>
        <v>29.05</v>
      </c>
      <c r="E410" t="s">
        <v>362</v>
      </c>
      <c r="F410" s="90" t="str">
        <f>VLOOKUP(Tableau4[[#This Row],[Matricule]],Tableau1[],2,FALSE)</f>
        <v>PRUVOT</v>
      </c>
      <c r="G410" s="90" t="str">
        <f>VLOOKUP(Tableau4[[#This Row],[Matricule]],Tableau1[],3,FALSE)</f>
        <v>Stéphane</v>
      </c>
      <c r="H410" s="90" t="str">
        <f>VLOOKUP(Tableau4[[#This Row],[Matricule]],Tableau1[],4,FALSE)</f>
        <v>RE</v>
      </c>
      <c r="I410" s="99">
        <v>42531</v>
      </c>
      <c r="J410" t="s">
        <v>380</v>
      </c>
      <c r="K410" s="90">
        <f>IF(Tableau4[[#This Row],[État]]="Remis",1,0)</f>
        <v>1</v>
      </c>
    </row>
    <row r="411" spans="2:11" x14ac:dyDescent="0.25">
      <c r="B411" t="s">
        <v>75</v>
      </c>
      <c r="C411" s="90" t="str">
        <f>VLOOKUP(Tableau4[[#This Row],[Réf matériel]],Tableau3[],2,FALSE)</f>
        <v>Lampe frontale</v>
      </c>
      <c r="D411" s="90">
        <f>VLOOKUP(Tableau4[[#This Row],[Réf matériel]],Tableau3[],3,FALSE)</f>
        <v>42.5</v>
      </c>
      <c r="E411" t="s">
        <v>362</v>
      </c>
      <c r="F411" s="90" t="str">
        <f>VLOOKUP(Tableau4[[#This Row],[Matricule]],Tableau1[],2,FALSE)</f>
        <v>PRUVOT</v>
      </c>
      <c r="G411" s="90" t="str">
        <f>VLOOKUP(Tableau4[[#This Row],[Matricule]],Tableau1[],3,FALSE)</f>
        <v>Stéphane</v>
      </c>
      <c r="H411" s="90" t="str">
        <f>VLOOKUP(Tableau4[[#This Row],[Matricule]],Tableau1[],4,FALSE)</f>
        <v>RE</v>
      </c>
      <c r="I411" s="88">
        <v>43447</v>
      </c>
      <c r="J411" t="s">
        <v>380</v>
      </c>
      <c r="K411" s="90">
        <f>IF(Tableau4[[#This Row],[État]]="Remis",1,0)</f>
        <v>1</v>
      </c>
    </row>
    <row r="412" spans="2:11" x14ac:dyDescent="0.25">
      <c r="B412" t="s">
        <v>124</v>
      </c>
      <c r="C412" s="90" t="str">
        <f>VLOOKUP(Tableau4[[#This Row],[Réf matériel]],Tableau3[],2,FALSE)</f>
        <v>Jeu de tournevis pro avec embouts de vissage 1/4 ref 438-008</v>
      </c>
      <c r="D412" s="90">
        <f>VLOOKUP(Tableau4[[#This Row],[Réf matériel]],Tableau3[],3,FALSE)</f>
        <v>0</v>
      </c>
      <c r="E412" t="s">
        <v>362</v>
      </c>
      <c r="F412" s="90" t="str">
        <f>VLOOKUP(Tableau4[[#This Row],[Matricule]],Tableau1[],2,FALSE)</f>
        <v>PRUVOT</v>
      </c>
      <c r="G412" s="90" t="str">
        <f>VLOOKUP(Tableau4[[#This Row],[Matricule]],Tableau1[],3,FALSE)</f>
        <v>Stéphane</v>
      </c>
      <c r="H412" s="90" t="str">
        <f>VLOOKUP(Tableau4[[#This Row],[Matricule]],Tableau1[],4,FALSE)</f>
        <v>RE</v>
      </c>
      <c r="I412" s="88">
        <v>43522</v>
      </c>
      <c r="J412" t="s">
        <v>380</v>
      </c>
      <c r="K412" s="90">
        <f>IF(Tableau4[[#This Row],[État]]="Remis",1,0)</f>
        <v>1</v>
      </c>
    </row>
    <row r="413" spans="2:11" x14ac:dyDescent="0.25">
      <c r="B413" t="s">
        <v>439</v>
      </c>
      <c r="C413" s="90" t="str">
        <f>VLOOKUP(Tableau4[[#This Row],[Réf matériel]],Tableau3[],2,FALSE)</f>
        <v>Pince à Sertir</v>
      </c>
      <c r="D413" s="90">
        <f>VLOOKUP(Tableau4[[#This Row],[Réf matériel]],Tableau3[],3,FALSE)</f>
        <v>78.400000000000006</v>
      </c>
      <c r="E413" t="s">
        <v>362</v>
      </c>
      <c r="F413" s="90" t="str">
        <f>VLOOKUP(Tableau4[[#This Row],[Matricule]],Tableau1[],2,FALSE)</f>
        <v>PRUVOT</v>
      </c>
      <c r="G413" s="90" t="str">
        <f>VLOOKUP(Tableau4[[#This Row],[Matricule]],Tableau1[],3,FALSE)</f>
        <v>Stéphane</v>
      </c>
      <c r="H413" s="90" t="str">
        <f>VLOOKUP(Tableau4[[#This Row],[Matricule]],Tableau1[],4,FALSE)</f>
        <v>RE</v>
      </c>
      <c r="I413" s="99">
        <v>42531</v>
      </c>
      <c r="J413" t="s">
        <v>380</v>
      </c>
      <c r="K413" s="90">
        <f>IF(Tableau4[[#This Row],[État]]="Remis",1,0)</f>
        <v>1</v>
      </c>
    </row>
    <row r="414" spans="2:11" x14ac:dyDescent="0.25">
      <c r="B414" t="s">
        <v>400</v>
      </c>
      <c r="C414" s="90" t="str">
        <f>VLOOKUP(Tableau4[[#This Row],[Réf matériel]],Tableau3[],2,FALSE)</f>
        <v>Douille impact 3/4 longueur 36mm</v>
      </c>
      <c r="D414" s="90">
        <f>VLOOKUP(Tableau4[[#This Row],[Réf matériel]],Tableau3[],3,FALSE)</f>
        <v>0</v>
      </c>
      <c r="E414" t="s">
        <v>362</v>
      </c>
      <c r="F414" s="90" t="str">
        <f>VLOOKUP(Tableau4[[#This Row],[Matricule]],Tableau1[],2,FALSE)</f>
        <v>PRUVOT</v>
      </c>
      <c r="G414" s="90" t="str">
        <f>VLOOKUP(Tableau4[[#This Row],[Matricule]],Tableau1[],3,FALSE)</f>
        <v>Stéphane</v>
      </c>
      <c r="H414" s="90" t="str">
        <f>VLOOKUP(Tableau4[[#This Row],[Matricule]],Tableau1[],4,FALSE)</f>
        <v>RE</v>
      </c>
      <c r="I414" s="88">
        <v>43889</v>
      </c>
      <c r="J414" t="s">
        <v>380</v>
      </c>
      <c r="K414" s="90">
        <f>IF(Tableau4[[#This Row],[État]]="Remis",1,0)</f>
        <v>1</v>
      </c>
    </row>
    <row r="415" spans="2:11" x14ac:dyDescent="0.25">
      <c r="B415" t="s">
        <v>432</v>
      </c>
      <c r="C415" s="90" t="str">
        <f>VLOOKUP(Tableau4[[#This Row],[Réf matériel]],Tableau3[],2,FALSE)</f>
        <v>Augmentateur 1/2 à 3/4</v>
      </c>
      <c r="D415" s="90">
        <f>VLOOKUP(Tableau4[[#This Row],[Réf matériel]],Tableau3[],3,FALSE)</f>
        <v>20.29</v>
      </c>
      <c r="E415" t="s">
        <v>362</v>
      </c>
      <c r="F415" s="90" t="str">
        <f>VLOOKUP(Tableau4[[#This Row],[Matricule]],Tableau1[],2,FALSE)</f>
        <v>PRUVOT</v>
      </c>
      <c r="G415" s="90" t="str">
        <f>VLOOKUP(Tableau4[[#This Row],[Matricule]],Tableau1[],3,FALSE)</f>
        <v>Stéphane</v>
      </c>
      <c r="H415" s="90" t="str">
        <f>VLOOKUP(Tableau4[[#This Row],[Matricule]],Tableau1[],4,FALSE)</f>
        <v>RE</v>
      </c>
      <c r="I415" s="88">
        <v>43889</v>
      </c>
      <c r="J415" t="s">
        <v>380</v>
      </c>
      <c r="K415" s="90">
        <f>IF(Tableau4[[#This Row],[État]]="Remis",1,0)</f>
        <v>1</v>
      </c>
    </row>
    <row r="416" spans="2:11" x14ac:dyDescent="0.25">
      <c r="B416" t="s">
        <v>442</v>
      </c>
      <c r="C416" s="90" t="str">
        <f>VLOOKUP(Tableau4[[#This Row],[Réf matériel]],Tableau3[],2,FALSE)</f>
        <v>Dymo LABEL MANAGER 160 P</v>
      </c>
      <c r="D416" s="90">
        <f>VLOOKUP(Tableau4[[#This Row],[Réf matériel]],Tableau3[],3,FALSE)</f>
        <v>38</v>
      </c>
      <c r="E416" t="s">
        <v>362</v>
      </c>
      <c r="F416" s="90" t="str">
        <f>VLOOKUP(Tableau4[[#This Row],[Matricule]],Tableau1[],2,FALSE)</f>
        <v>PRUVOT</v>
      </c>
      <c r="G416" s="90" t="str">
        <f>VLOOKUP(Tableau4[[#This Row],[Matricule]],Tableau1[],3,FALSE)</f>
        <v>Stéphane</v>
      </c>
      <c r="H416" s="90" t="str">
        <f>VLOOKUP(Tableau4[[#This Row],[Matricule]],Tableau1[],4,FALSE)</f>
        <v>RE</v>
      </c>
      <c r="I416" s="99">
        <v>42531</v>
      </c>
      <c r="J416" t="s">
        <v>380</v>
      </c>
      <c r="K416" s="90">
        <f>IF(Tableau4[[#This Row],[État]]="Remis",1,0)</f>
        <v>1</v>
      </c>
    </row>
    <row r="417" spans="2:11" x14ac:dyDescent="0.25">
      <c r="B417" t="s">
        <v>443</v>
      </c>
      <c r="C417" s="90" t="str">
        <f>VLOOKUP(Tableau4[[#This Row],[Réf matériel]],Tableau3[],2,FALSE)</f>
        <v>Brady BMP21</v>
      </c>
      <c r="D417" s="90">
        <f>VLOOKUP(Tableau4[[#This Row],[Réf matériel]],Tableau3[],3,FALSE)</f>
        <v>151.05000000000001</v>
      </c>
      <c r="E417" t="s">
        <v>362</v>
      </c>
      <c r="F417" s="90" t="str">
        <f>VLOOKUP(Tableau4[[#This Row],[Matricule]],Tableau1[],2,FALSE)</f>
        <v>PRUVOT</v>
      </c>
      <c r="G417" s="90" t="str">
        <f>VLOOKUP(Tableau4[[#This Row],[Matricule]],Tableau1[],3,FALSE)</f>
        <v>Stéphane</v>
      </c>
      <c r="H417" s="90" t="str">
        <f>VLOOKUP(Tableau4[[#This Row],[Matricule]],Tableau1[],4,FALSE)</f>
        <v>RE</v>
      </c>
      <c r="I417" s="99">
        <v>42531</v>
      </c>
      <c r="J417" t="s">
        <v>380</v>
      </c>
      <c r="K417" s="90">
        <f>IF(Tableau4[[#This Row],[État]]="Remis",1,0)</f>
        <v>1</v>
      </c>
    </row>
    <row r="418" spans="2:11" x14ac:dyDescent="0.25">
      <c r="B418" t="s">
        <v>444</v>
      </c>
      <c r="C418" s="90" t="str">
        <f>VLOOKUP(Tableau4[[#This Row],[Réf matériel]],Tableau3[],2,FALSE)</f>
        <v>Brady BMP71</v>
      </c>
      <c r="D418" s="90">
        <f>VLOOKUP(Tableau4[[#This Row],[Réf matériel]],Tableau3[],3,FALSE)</f>
        <v>790</v>
      </c>
      <c r="E418" t="s">
        <v>362</v>
      </c>
      <c r="F418" s="90" t="str">
        <f>VLOOKUP(Tableau4[[#This Row],[Matricule]],Tableau1[],2,FALSE)</f>
        <v>PRUVOT</v>
      </c>
      <c r="G418" s="90" t="str">
        <f>VLOOKUP(Tableau4[[#This Row],[Matricule]],Tableau1[],3,FALSE)</f>
        <v>Stéphane</v>
      </c>
      <c r="H418" s="90" t="str">
        <f>VLOOKUP(Tableau4[[#This Row],[Matricule]],Tableau1[],4,FALSE)</f>
        <v>RE</v>
      </c>
      <c r="I418" s="99">
        <v>42531</v>
      </c>
      <c r="J418" t="s">
        <v>380</v>
      </c>
      <c r="K418" s="90">
        <f>IF(Tableau4[[#This Row],[État]]="Remis",1,0)</f>
        <v>1</v>
      </c>
    </row>
    <row r="419" spans="2:11" x14ac:dyDescent="0.25">
      <c r="B419" t="s">
        <v>429</v>
      </c>
      <c r="C419" s="90" t="str">
        <f>VLOOKUP(Tableau4[[#This Row],[Réf matériel]],Tableau3[],2,FALSE)</f>
        <v>Clé dynamométrique</v>
      </c>
      <c r="D419" s="90">
        <f>VLOOKUP(Tableau4[[#This Row],[Réf matériel]],Tableau3[],3,FALSE)</f>
        <v>214</v>
      </c>
      <c r="E419" t="s">
        <v>362</v>
      </c>
      <c r="F419" s="90" t="str">
        <f>VLOOKUP(Tableau4[[#This Row],[Matricule]],Tableau1[],2,FALSE)</f>
        <v>PRUVOT</v>
      </c>
      <c r="G419" s="90" t="str">
        <f>VLOOKUP(Tableau4[[#This Row],[Matricule]],Tableau1[],3,FALSE)</f>
        <v>Stéphane</v>
      </c>
      <c r="H419" s="90" t="str">
        <f>VLOOKUP(Tableau4[[#This Row],[Matricule]],Tableau1[],4,FALSE)</f>
        <v>RE</v>
      </c>
      <c r="I419" s="88">
        <v>43432</v>
      </c>
      <c r="J419" t="s">
        <v>380</v>
      </c>
      <c r="K419" s="90">
        <f>IF(Tableau4[[#This Row],[État]]="Remis",1,0)</f>
        <v>1</v>
      </c>
    </row>
    <row r="420" spans="2:11" x14ac:dyDescent="0.25">
      <c r="B420" t="s">
        <v>280</v>
      </c>
      <c r="C420" s="90" t="str">
        <f>VLOOKUP(Tableau4[[#This Row],[Réf matériel]],Tableau3[],2,FALSE)</f>
        <v>Pince coupante 1000v</v>
      </c>
      <c r="D420" s="90">
        <f>VLOOKUP(Tableau4[[#This Row],[Réf matériel]],Tableau3[],3,FALSE)</f>
        <v>20.87</v>
      </c>
      <c r="E420" t="s">
        <v>365</v>
      </c>
      <c r="F420" s="90" t="str">
        <f>VLOOKUP(Tableau4[[#This Row],[Matricule]],Tableau1[],2,FALSE)</f>
        <v>ROSA MACHADO</v>
      </c>
      <c r="G420" s="90" t="str">
        <f>VLOOKUP(Tableau4[[#This Row],[Matricule]],Tableau1[],3,FALSE)</f>
        <v xml:space="preserve">Marcelo </v>
      </c>
      <c r="H420" s="90" t="str">
        <f>VLOOKUP(Tableau4[[#This Row],[Matricule]],Tableau1[],4,FALSE)</f>
        <v>RE</v>
      </c>
      <c r="I420" s="99">
        <v>43318</v>
      </c>
      <c r="J420" s="98" t="s">
        <v>380</v>
      </c>
      <c r="K420" s="90">
        <f>IF(Tableau4[[#This Row],[État]]="Remis",1,0)</f>
        <v>1</v>
      </c>
    </row>
    <row r="421" spans="2:11" x14ac:dyDescent="0.25">
      <c r="B421" t="s">
        <v>280</v>
      </c>
      <c r="C421" s="90" t="str">
        <f>VLOOKUP(Tableau4[[#This Row],[Réf matériel]],Tableau3[],2,FALSE)</f>
        <v>Pince coupante 1000v</v>
      </c>
      <c r="D421" s="90">
        <f>VLOOKUP(Tableau4[[#This Row],[Réf matériel]],Tableau3[],3,FALSE)</f>
        <v>20.87</v>
      </c>
      <c r="E421" t="s">
        <v>365</v>
      </c>
      <c r="F421" s="90" t="str">
        <f>VLOOKUP(Tableau4[[#This Row],[Matricule]],Tableau1[],2,FALSE)</f>
        <v>ROSA MACHADO</v>
      </c>
      <c r="G421" s="90" t="str">
        <f>VLOOKUP(Tableau4[[#This Row],[Matricule]],Tableau1[],3,FALSE)</f>
        <v xml:space="preserve">Marcelo </v>
      </c>
      <c r="H421" s="90" t="str">
        <f>VLOOKUP(Tableau4[[#This Row],[Matricule]],Tableau1[],4,FALSE)</f>
        <v>RE</v>
      </c>
      <c r="I421" s="99">
        <v>43318</v>
      </c>
      <c r="J421" s="98" t="s">
        <v>447</v>
      </c>
      <c r="K421" s="90">
        <f>IF(Tableau4[[#This Row],[État]]="Remis",1,0)</f>
        <v>0</v>
      </c>
    </row>
    <row r="422" spans="2:11" x14ac:dyDescent="0.25">
      <c r="B422" t="s">
        <v>280</v>
      </c>
      <c r="C422" s="90" t="str">
        <f>VLOOKUP(Tableau4[[#This Row],[Réf matériel]],Tableau3[],2,FALSE)</f>
        <v>Pince coupante 1000v</v>
      </c>
      <c r="D422" s="90">
        <f>VLOOKUP(Tableau4[[#This Row],[Réf matériel]],Tableau3[],3,FALSE)</f>
        <v>20.87</v>
      </c>
      <c r="E422" t="s">
        <v>365</v>
      </c>
      <c r="F422" s="90" t="str">
        <f>VLOOKUP(Tableau4[[#This Row],[Matricule]],Tableau1[],2,FALSE)</f>
        <v>ROSA MACHADO</v>
      </c>
      <c r="G422" s="90" t="str">
        <f>VLOOKUP(Tableau4[[#This Row],[Matricule]],Tableau1[],3,FALSE)</f>
        <v xml:space="preserve">Marcelo </v>
      </c>
      <c r="H422" s="90" t="str">
        <f>VLOOKUP(Tableau4[[#This Row],[Matricule]],Tableau1[],4,FALSE)</f>
        <v>RE</v>
      </c>
      <c r="I422" s="99">
        <v>44074</v>
      </c>
      <c r="J422" s="98" t="s">
        <v>380</v>
      </c>
      <c r="K422" s="90">
        <f>IF(Tableau4[[#This Row],[État]]="Remis",1,0)</f>
        <v>1</v>
      </c>
    </row>
    <row r="423" spans="2:11" x14ac:dyDescent="0.25">
      <c r="B423" t="s">
        <v>438</v>
      </c>
      <c r="C423" s="90" t="str">
        <f>VLOOKUP(Tableau4[[#This Row],[Réf matériel]],Tableau3[],2,FALSE)</f>
        <v>Outil à dégainer</v>
      </c>
      <c r="D423" s="90">
        <f>VLOOKUP(Tableau4[[#This Row],[Réf matériel]],Tableau3[],3,FALSE)</f>
        <v>20.5</v>
      </c>
      <c r="E423" t="s">
        <v>365</v>
      </c>
      <c r="F423" s="90" t="str">
        <f>VLOOKUP(Tableau4[[#This Row],[Matricule]],Tableau1[],2,FALSE)</f>
        <v>ROSA MACHADO</v>
      </c>
      <c r="G423" s="90" t="str">
        <f>VLOOKUP(Tableau4[[#This Row],[Matricule]],Tableau1[],3,FALSE)</f>
        <v xml:space="preserve">Marcelo </v>
      </c>
      <c r="H423" s="90" t="str">
        <f>VLOOKUP(Tableau4[[#This Row],[Matricule]],Tableau1[],4,FALSE)</f>
        <v>RE</v>
      </c>
      <c r="I423" s="99">
        <v>43318</v>
      </c>
      <c r="J423" t="s">
        <v>380</v>
      </c>
      <c r="K423" s="90">
        <f>IF(Tableau4[[#This Row],[État]]="Remis",1,0)</f>
        <v>1</v>
      </c>
    </row>
    <row r="424" spans="2:11" x14ac:dyDescent="0.25">
      <c r="B424" t="s">
        <v>438</v>
      </c>
      <c r="C424" s="90" t="str">
        <f>VLOOKUP(Tableau4[[#This Row],[Réf matériel]],Tableau3[],2,FALSE)</f>
        <v>Outil à dégainer</v>
      </c>
      <c r="D424" s="90">
        <f>VLOOKUP(Tableau4[[#This Row],[Réf matériel]],Tableau3[],3,FALSE)</f>
        <v>20.5</v>
      </c>
      <c r="E424" t="s">
        <v>365</v>
      </c>
      <c r="F424" s="90" t="str">
        <f>VLOOKUP(Tableau4[[#This Row],[Matricule]],Tableau1[],2,FALSE)</f>
        <v>ROSA MACHADO</v>
      </c>
      <c r="G424" s="90" t="str">
        <f>VLOOKUP(Tableau4[[#This Row],[Matricule]],Tableau1[],3,FALSE)</f>
        <v xml:space="preserve">Marcelo </v>
      </c>
      <c r="H424" s="90" t="str">
        <f>VLOOKUP(Tableau4[[#This Row],[Matricule]],Tableau1[],4,FALSE)</f>
        <v>RE</v>
      </c>
      <c r="I424" s="99">
        <v>43318</v>
      </c>
      <c r="J424" t="s">
        <v>447</v>
      </c>
      <c r="K424" s="90">
        <f>IF(Tableau4[[#This Row],[État]]="Remis",1,0)</f>
        <v>0</v>
      </c>
    </row>
    <row r="425" spans="2:11" x14ac:dyDescent="0.25">
      <c r="B425" s="98" t="s">
        <v>392</v>
      </c>
      <c r="C425" s="100" t="str">
        <f>VLOOKUP(Tableau4[[#This Row],[Réf matériel]],Tableau3[],2,FALSE)</f>
        <v>Coffre</v>
      </c>
      <c r="D425" s="100">
        <f>VLOOKUP(Tableau4[[#This Row],[Réf matériel]],Tableau3[],3,FALSE)</f>
        <v>54.54</v>
      </c>
      <c r="E425" s="97" t="s">
        <v>365</v>
      </c>
      <c r="F425" s="100" t="str">
        <f>VLOOKUP(Tableau4[[#This Row],[Matricule]],Tableau1[],2,FALSE)</f>
        <v>ROSA MACHADO</v>
      </c>
      <c r="G425" s="100" t="str">
        <f>VLOOKUP(Tableau4[[#This Row],[Matricule]],Tableau1[],3,FALSE)</f>
        <v xml:space="preserve">Marcelo </v>
      </c>
      <c r="H425" s="100" t="str">
        <f>VLOOKUP(Tableau4[[#This Row],[Matricule]],Tableau1[],4,FALSE)</f>
        <v>RE</v>
      </c>
      <c r="I425" s="99">
        <v>43318</v>
      </c>
      <c r="J425" s="98" t="s">
        <v>380</v>
      </c>
      <c r="K425" s="90">
        <f>IF(Tableau4[[#This Row],[État]]="Remis",1,0)</f>
        <v>1</v>
      </c>
    </row>
    <row r="426" spans="2:11" x14ac:dyDescent="0.25">
      <c r="B426" t="s">
        <v>393</v>
      </c>
      <c r="C426" s="90" t="str">
        <f>VLOOKUP(Tableau4[[#This Row],[Réf matériel]],Tableau3[],2,FALSE)</f>
        <v>Clé à molette</v>
      </c>
      <c r="D426" s="90">
        <f>VLOOKUP(Tableau4[[#This Row],[Réf matériel]],Tableau3[],3,FALSE)</f>
        <v>16.12</v>
      </c>
      <c r="E426" t="s">
        <v>365</v>
      </c>
      <c r="F426" s="90" t="str">
        <f>VLOOKUP(Tableau4[[#This Row],[Matricule]],Tableau1[],2,FALSE)</f>
        <v>ROSA MACHADO</v>
      </c>
      <c r="G426" s="90" t="str">
        <f>VLOOKUP(Tableau4[[#This Row],[Matricule]],Tableau1[],3,FALSE)</f>
        <v xml:space="preserve">Marcelo </v>
      </c>
      <c r="H426" s="90" t="str">
        <f>VLOOKUP(Tableau4[[#This Row],[Matricule]],Tableau1[],4,FALSE)</f>
        <v>RE</v>
      </c>
      <c r="I426" s="99">
        <v>43318</v>
      </c>
      <c r="J426" s="98" t="s">
        <v>380</v>
      </c>
      <c r="K426" s="90">
        <f>IF(Tableau4[[#This Row],[État]]="Remis",1,0)</f>
        <v>1</v>
      </c>
    </row>
    <row r="427" spans="2:11" x14ac:dyDescent="0.25">
      <c r="B427" t="s">
        <v>278</v>
      </c>
      <c r="C427" s="90" t="str">
        <f>VLOOKUP(Tableau4[[#This Row],[Réf matériel]],Tableau3[],2,FALSE)</f>
        <v>Pince à dénuder</v>
      </c>
      <c r="D427" s="90">
        <f>VLOOKUP(Tableau4[[#This Row],[Réf matériel]],Tableau3[],3,FALSE)</f>
        <v>24.55</v>
      </c>
      <c r="E427" t="s">
        <v>365</v>
      </c>
      <c r="F427" s="90" t="str">
        <f>VLOOKUP(Tableau4[[#This Row],[Matricule]],Tableau1[],2,FALSE)</f>
        <v>ROSA MACHADO</v>
      </c>
      <c r="G427" s="90" t="str">
        <f>VLOOKUP(Tableau4[[#This Row],[Matricule]],Tableau1[],3,FALSE)</f>
        <v xml:space="preserve">Marcelo </v>
      </c>
      <c r="H427" s="90" t="str">
        <f>VLOOKUP(Tableau4[[#This Row],[Matricule]],Tableau1[],4,FALSE)</f>
        <v>RE</v>
      </c>
      <c r="I427" s="99">
        <v>43318</v>
      </c>
      <c r="J427" s="98" t="s">
        <v>380</v>
      </c>
      <c r="K427" s="90">
        <f>IF(Tableau4[[#This Row],[État]]="Remis",1,0)</f>
        <v>1</v>
      </c>
    </row>
    <row r="428" spans="2:11" x14ac:dyDescent="0.25">
      <c r="B428" t="s">
        <v>279</v>
      </c>
      <c r="C428" s="90" t="str">
        <f>VLOOKUP(Tableau4[[#This Row],[Réf matériel]],Tableau3[],2,FALSE)</f>
        <v>lime demi ronde</v>
      </c>
      <c r="D428" s="90">
        <f>VLOOKUP(Tableau4[[#This Row],[Réf matériel]],Tableau3[],3,FALSE)</f>
        <v>7.59</v>
      </c>
      <c r="E428" t="s">
        <v>365</v>
      </c>
      <c r="F428" s="90" t="str">
        <f>VLOOKUP(Tableau4[[#This Row],[Matricule]],Tableau1[],2,FALSE)</f>
        <v>ROSA MACHADO</v>
      </c>
      <c r="G428" s="90" t="str">
        <f>VLOOKUP(Tableau4[[#This Row],[Matricule]],Tableau1[],3,FALSE)</f>
        <v xml:space="preserve">Marcelo </v>
      </c>
      <c r="H428" s="90" t="str">
        <f>VLOOKUP(Tableau4[[#This Row],[Matricule]],Tableau1[],4,FALSE)</f>
        <v>RE</v>
      </c>
      <c r="I428" s="99">
        <v>43318</v>
      </c>
      <c r="J428" s="98" t="s">
        <v>380</v>
      </c>
      <c r="K428" s="90">
        <f>IF(Tableau4[[#This Row],[État]]="Remis",1,0)</f>
        <v>1</v>
      </c>
    </row>
    <row r="429" spans="2:11" x14ac:dyDescent="0.25">
      <c r="B429" t="s">
        <v>49</v>
      </c>
      <c r="C429" s="90" t="str">
        <f>VLOOKUP(Tableau4[[#This Row],[Réf matériel]],Tableau3[],2,FALSE)</f>
        <v>Coupe câble</v>
      </c>
      <c r="D429" s="90">
        <f>VLOOKUP(Tableau4[[#This Row],[Réf matériel]],Tableau3[],3,FALSE)</f>
        <v>41.88</v>
      </c>
      <c r="E429" t="s">
        <v>365</v>
      </c>
      <c r="F429" s="90" t="str">
        <f>VLOOKUP(Tableau4[[#This Row],[Matricule]],Tableau1[],2,FALSE)</f>
        <v>ROSA MACHADO</v>
      </c>
      <c r="G429" s="90" t="str">
        <f>VLOOKUP(Tableau4[[#This Row],[Matricule]],Tableau1[],3,FALSE)</f>
        <v xml:space="preserve">Marcelo </v>
      </c>
      <c r="H429" s="90" t="str">
        <f>VLOOKUP(Tableau4[[#This Row],[Matricule]],Tableau1[],4,FALSE)</f>
        <v>RE</v>
      </c>
      <c r="I429" s="99">
        <v>43318</v>
      </c>
      <c r="J429" t="s">
        <v>380</v>
      </c>
      <c r="K429" s="90">
        <f>IF(Tableau4[[#This Row],[État]]="Remis",1,0)</f>
        <v>1</v>
      </c>
    </row>
    <row r="430" spans="2:11" x14ac:dyDescent="0.25">
      <c r="B430" t="s">
        <v>281</v>
      </c>
      <c r="C430" s="90" t="str">
        <f>VLOOKUP(Tableau4[[#This Row],[Réf matériel]],Tableau3[],2,FALSE)</f>
        <v>Scie à métaux</v>
      </c>
      <c r="D430" s="90">
        <f>VLOOKUP(Tableau4[[#This Row],[Réf matériel]],Tableau3[],3,FALSE)</f>
        <v>11.26</v>
      </c>
      <c r="E430" t="s">
        <v>365</v>
      </c>
      <c r="F430" s="90" t="str">
        <f>VLOOKUP(Tableau4[[#This Row],[Matricule]],Tableau1[],2,FALSE)</f>
        <v>ROSA MACHADO</v>
      </c>
      <c r="G430" s="90" t="str">
        <f>VLOOKUP(Tableau4[[#This Row],[Matricule]],Tableau1[],3,FALSE)</f>
        <v xml:space="preserve">Marcelo </v>
      </c>
      <c r="H430" s="90" t="str">
        <f>VLOOKUP(Tableau4[[#This Row],[Matricule]],Tableau1[],4,FALSE)</f>
        <v>RE</v>
      </c>
      <c r="I430" s="99">
        <v>43318</v>
      </c>
      <c r="J430" t="s">
        <v>380</v>
      </c>
      <c r="K430" s="90">
        <f>IF(Tableau4[[#This Row],[État]]="Remis",1,0)</f>
        <v>1</v>
      </c>
    </row>
    <row r="431" spans="2:11" x14ac:dyDescent="0.25">
      <c r="B431" t="s">
        <v>51</v>
      </c>
      <c r="C431" s="90" t="str">
        <f>VLOOKUP(Tableau4[[#This Row],[Réf matériel]],Tableau3[],2,FALSE)</f>
        <v>Mètre pliant</v>
      </c>
      <c r="D431" s="90">
        <f>VLOOKUP(Tableau4[[#This Row],[Réf matériel]],Tableau3[],3,FALSE)</f>
        <v>3.2</v>
      </c>
      <c r="E431" t="s">
        <v>365</v>
      </c>
      <c r="F431" s="90" t="str">
        <f>VLOOKUP(Tableau4[[#This Row],[Matricule]],Tableau1[],2,FALSE)</f>
        <v>ROSA MACHADO</v>
      </c>
      <c r="G431" s="90" t="str">
        <f>VLOOKUP(Tableau4[[#This Row],[Matricule]],Tableau1[],3,FALSE)</f>
        <v xml:space="preserve">Marcelo </v>
      </c>
      <c r="H431" s="90" t="str">
        <f>VLOOKUP(Tableau4[[#This Row],[Matricule]],Tableau1[],4,FALSE)</f>
        <v>RE</v>
      </c>
      <c r="I431" s="99">
        <v>43318</v>
      </c>
      <c r="J431" t="s">
        <v>380</v>
      </c>
      <c r="K431" s="90">
        <f>IF(Tableau4[[#This Row],[État]]="Remis",1,0)</f>
        <v>1</v>
      </c>
    </row>
    <row r="432" spans="2:11" x14ac:dyDescent="0.25">
      <c r="B432" t="s">
        <v>395</v>
      </c>
      <c r="C432" s="90" t="str">
        <f>VLOOKUP(Tableau4[[#This Row],[Réf matériel]],Tableau3[],2,FALSE)</f>
        <v>Burin plat</v>
      </c>
      <c r="D432" s="90">
        <f>VLOOKUP(Tableau4[[#This Row],[Réf matériel]],Tableau3[],3,FALSE)</f>
        <v>11.89</v>
      </c>
      <c r="E432" t="s">
        <v>365</v>
      </c>
      <c r="F432" s="90" t="str">
        <f>VLOOKUP(Tableau4[[#This Row],[Matricule]],Tableau1[],2,FALSE)</f>
        <v>ROSA MACHADO</v>
      </c>
      <c r="G432" s="90" t="str">
        <f>VLOOKUP(Tableau4[[#This Row],[Matricule]],Tableau1[],3,FALSE)</f>
        <v xml:space="preserve">Marcelo </v>
      </c>
      <c r="H432" s="90" t="str">
        <f>VLOOKUP(Tableau4[[#This Row],[Matricule]],Tableau1[],4,FALSE)</f>
        <v>RE</v>
      </c>
      <c r="I432" s="99">
        <v>43318</v>
      </c>
      <c r="J432" t="s">
        <v>380</v>
      </c>
      <c r="K432" s="90">
        <f>IF(Tableau4[[#This Row],[État]]="Remis",1,0)</f>
        <v>1</v>
      </c>
    </row>
    <row r="433" spans="2:11" x14ac:dyDescent="0.25">
      <c r="B433" t="s">
        <v>401</v>
      </c>
      <c r="C433" s="90" t="str">
        <f>VLOOKUP(Tableau4[[#This Row],[Réf matériel]],Tableau3[],2,FALSE)</f>
        <v>Burin pointu</v>
      </c>
      <c r="D433" s="90">
        <f>VLOOKUP(Tableau4[[#This Row],[Réf matériel]],Tableau3[],3,FALSE)</f>
        <v>8.7200000000000006</v>
      </c>
      <c r="E433" t="s">
        <v>365</v>
      </c>
      <c r="F433" s="90" t="str">
        <f>VLOOKUP(Tableau4[[#This Row],[Matricule]],Tableau1[],2,FALSE)</f>
        <v>ROSA MACHADO</v>
      </c>
      <c r="G433" s="90" t="str">
        <f>VLOOKUP(Tableau4[[#This Row],[Matricule]],Tableau1[],3,FALSE)</f>
        <v xml:space="preserve">Marcelo </v>
      </c>
      <c r="H433" s="90" t="str">
        <f>VLOOKUP(Tableau4[[#This Row],[Matricule]],Tableau1[],4,FALSE)</f>
        <v>RE</v>
      </c>
      <c r="I433" s="99">
        <v>43318</v>
      </c>
      <c r="J433" t="s">
        <v>380</v>
      </c>
      <c r="K433" s="90">
        <f>IF(Tableau4[[#This Row],[État]]="Remis",1,0)</f>
        <v>1</v>
      </c>
    </row>
    <row r="434" spans="2:11" x14ac:dyDescent="0.25">
      <c r="B434" t="s">
        <v>396</v>
      </c>
      <c r="C434" s="90" t="str">
        <f>VLOOKUP(Tableau4[[#This Row],[Réf matériel]],Tableau3[],2,FALSE)</f>
        <v>Massette</v>
      </c>
      <c r="D434" s="90">
        <f>VLOOKUP(Tableau4[[#This Row],[Réf matériel]],Tableau3[],3,FALSE)</f>
        <v>15.14</v>
      </c>
      <c r="E434" t="s">
        <v>365</v>
      </c>
      <c r="F434" s="90" t="str">
        <f>VLOOKUP(Tableau4[[#This Row],[Matricule]],Tableau1[],2,FALSE)</f>
        <v>ROSA MACHADO</v>
      </c>
      <c r="G434" s="90" t="str">
        <f>VLOOKUP(Tableau4[[#This Row],[Matricule]],Tableau1[],3,FALSE)</f>
        <v xml:space="preserve">Marcelo </v>
      </c>
      <c r="H434" s="90" t="str">
        <f>VLOOKUP(Tableau4[[#This Row],[Matricule]],Tableau1[],4,FALSE)</f>
        <v>RE</v>
      </c>
      <c r="I434" s="99">
        <v>43318</v>
      </c>
      <c r="J434" t="s">
        <v>380</v>
      </c>
      <c r="K434" s="90">
        <f>IF(Tableau4[[#This Row],[État]]="Remis",1,0)</f>
        <v>1</v>
      </c>
    </row>
    <row r="435" spans="2:11" x14ac:dyDescent="0.25">
      <c r="B435" t="s">
        <v>55</v>
      </c>
      <c r="C435" s="90" t="str">
        <f>VLOOKUP(Tableau4[[#This Row],[Réf matériel]],Tableau3[],2,FALSE)</f>
        <v>Niveau</v>
      </c>
      <c r="D435" s="90">
        <f>VLOOKUP(Tableau4[[#This Row],[Réf matériel]],Tableau3[],3,FALSE)</f>
        <v>15</v>
      </c>
      <c r="E435" t="s">
        <v>365</v>
      </c>
      <c r="F435" s="90" t="str">
        <f>VLOOKUP(Tableau4[[#This Row],[Matricule]],Tableau1[],2,FALSE)</f>
        <v>ROSA MACHADO</v>
      </c>
      <c r="G435" s="90" t="str">
        <f>VLOOKUP(Tableau4[[#This Row],[Matricule]],Tableau1[],3,FALSE)</f>
        <v xml:space="preserve">Marcelo </v>
      </c>
      <c r="H435" s="90" t="str">
        <f>VLOOKUP(Tableau4[[#This Row],[Matricule]],Tableau1[],4,FALSE)</f>
        <v>RE</v>
      </c>
      <c r="I435" s="99">
        <v>43318</v>
      </c>
      <c r="J435" t="s">
        <v>380</v>
      </c>
      <c r="K435" s="90">
        <f>IF(Tableau4[[#This Row],[État]]="Remis",1,0)</f>
        <v>1</v>
      </c>
    </row>
    <row r="436" spans="2:11" x14ac:dyDescent="0.25">
      <c r="B436" t="s">
        <v>56</v>
      </c>
      <c r="C436" s="90" t="str">
        <f>VLOOKUP(Tableau4[[#This Row],[Réf matériel]],Tableau3[],2,FALSE)</f>
        <v>Jeu tournevis</v>
      </c>
      <c r="D436" s="90">
        <f>VLOOKUP(Tableau4[[#This Row],[Réf matériel]],Tableau3[],3,FALSE)</f>
        <v>37.57</v>
      </c>
      <c r="E436" t="s">
        <v>365</v>
      </c>
      <c r="F436" s="90" t="str">
        <f>VLOOKUP(Tableau4[[#This Row],[Matricule]],Tableau1[],2,FALSE)</f>
        <v>ROSA MACHADO</v>
      </c>
      <c r="G436" s="90" t="str">
        <f>VLOOKUP(Tableau4[[#This Row],[Matricule]],Tableau1[],3,FALSE)</f>
        <v xml:space="preserve">Marcelo </v>
      </c>
      <c r="H436" s="90" t="str">
        <f>VLOOKUP(Tableau4[[#This Row],[Matricule]],Tableau1[],4,FALSE)</f>
        <v>RE</v>
      </c>
      <c r="I436" s="99">
        <v>43318</v>
      </c>
      <c r="J436" t="s">
        <v>380</v>
      </c>
      <c r="K436" s="90">
        <f>IF(Tableau4[[#This Row],[État]]="Remis",1,0)</f>
        <v>1</v>
      </c>
    </row>
    <row r="437" spans="2:11" x14ac:dyDescent="0.25">
      <c r="B437" t="s">
        <v>56</v>
      </c>
      <c r="C437" s="90" t="str">
        <f>VLOOKUP(Tableau4[[#This Row],[Réf matériel]],Tableau3[],2,FALSE)</f>
        <v>Jeu tournevis</v>
      </c>
      <c r="D437" s="90">
        <f>VLOOKUP(Tableau4[[#This Row],[Réf matériel]],Tableau3[],3,FALSE)</f>
        <v>37.57</v>
      </c>
      <c r="E437" t="s">
        <v>365</v>
      </c>
      <c r="F437" s="90" t="str">
        <f>VLOOKUP(Tableau4[[#This Row],[Matricule]],Tableau1[],2,FALSE)</f>
        <v>ROSA MACHADO</v>
      </c>
      <c r="G437" s="90" t="str">
        <f>VLOOKUP(Tableau4[[#This Row],[Matricule]],Tableau1[],3,FALSE)</f>
        <v xml:space="preserve">Marcelo </v>
      </c>
      <c r="H437" s="90" t="str">
        <f>VLOOKUP(Tableau4[[#This Row],[Matricule]],Tableau1[],4,FALSE)</f>
        <v>RE</v>
      </c>
      <c r="I437" s="99">
        <v>44073</v>
      </c>
      <c r="J437" t="s">
        <v>447</v>
      </c>
      <c r="K437" s="90">
        <f>IF(Tableau4[[#This Row],[État]]="Remis",1,0)</f>
        <v>0</v>
      </c>
    </row>
    <row r="438" spans="2:11" x14ac:dyDescent="0.25">
      <c r="B438" t="s">
        <v>56</v>
      </c>
      <c r="C438" s="90" t="str">
        <f>VLOOKUP(Tableau4[[#This Row],[Réf matériel]],Tableau3[],2,FALSE)</f>
        <v>Jeu tournevis</v>
      </c>
      <c r="D438" s="90">
        <f>VLOOKUP(Tableau4[[#This Row],[Réf matériel]],Tableau3[],3,FALSE)</f>
        <v>37.57</v>
      </c>
      <c r="E438" t="s">
        <v>365</v>
      </c>
      <c r="F438" s="90" t="str">
        <f>VLOOKUP(Tableau4[[#This Row],[Matricule]],Tableau1[],2,FALSE)</f>
        <v>ROSA MACHADO</v>
      </c>
      <c r="G438" s="90" t="str">
        <f>VLOOKUP(Tableau4[[#This Row],[Matricule]],Tableau1[],3,FALSE)</f>
        <v xml:space="preserve">Marcelo </v>
      </c>
      <c r="H438" s="90" t="str">
        <f>VLOOKUP(Tableau4[[#This Row],[Matricule]],Tableau1[],4,FALSE)</f>
        <v>RE</v>
      </c>
      <c r="I438" s="99">
        <v>44074</v>
      </c>
      <c r="J438" t="s">
        <v>380</v>
      </c>
      <c r="K438" s="90">
        <f>IF(Tableau4[[#This Row],[État]]="Remis",1,0)</f>
        <v>1</v>
      </c>
    </row>
    <row r="439" spans="2:11" x14ac:dyDescent="0.25">
      <c r="B439" t="s">
        <v>397</v>
      </c>
      <c r="C439" s="90" t="str">
        <f>VLOOKUP(Tableau4[[#This Row],[Réf matériel]],Tableau3[],2,FALSE)</f>
        <v>Pince étau</v>
      </c>
      <c r="D439" s="90">
        <f>VLOOKUP(Tableau4[[#This Row],[Réf matériel]],Tableau3[],3,FALSE)</f>
        <v>16.02</v>
      </c>
      <c r="E439" t="s">
        <v>365</v>
      </c>
      <c r="F439" s="90" t="str">
        <f>VLOOKUP(Tableau4[[#This Row],[Matricule]],Tableau1[],2,FALSE)</f>
        <v>ROSA MACHADO</v>
      </c>
      <c r="G439" s="90" t="str">
        <f>VLOOKUP(Tableau4[[#This Row],[Matricule]],Tableau1[],3,FALSE)</f>
        <v xml:space="preserve">Marcelo </v>
      </c>
      <c r="H439" s="90" t="str">
        <f>VLOOKUP(Tableau4[[#This Row],[Matricule]],Tableau1[],4,FALSE)</f>
        <v>RE</v>
      </c>
      <c r="I439" s="99">
        <v>43318</v>
      </c>
      <c r="J439" t="s">
        <v>380</v>
      </c>
      <c r="K439" s="90">
        <f>IF(Tableau4[[#This Row],[État]]="Remis",1,0)</f>
        <v>1</v>
      </c>
    </row>
    <row r="440" spans="2:11" x14ac:dyDescent="0.25">
      <c r="B440" t="s">
        <v>403</v>
      </c>
      <c r="C440" s="90" t="str">
        <f>VLOOKUP(Tableau4[[#This Row],[Réf matériel]],Tableau3[],2,FALSE)</f>
        <v>Clé à pipe 10</v>
      </c>
      <c r="D440" s="90">
        <f>VLOOKUP(Tableau4[[#This Row],[Réf matériel]],Tableau3[],3,FALSE)</f>
        <v>5.41</v>
      </c>
      <c r="E440" t="s">
        <v>365</v>
      </c>
      <c r="F440" s="90" t="str">
        <f>VLOOKUP(Tableau4[[#This Row],[Matricule]],Tableau1[],2,FALSE)</f>
        <v>ROSA MACHADO</v>
      </c>
      <c r="G440" s="90" t="str">
        <f>VLOOKUP(Tableau4[[#This Row],[Matricule]],Tableau1[],3,FALSE)</f>
        <v xml:space="preserve">Marcelo </v>
      </c>
      <c r="H440" s="90" t="str">
        <f>VLOOKUP(Tableau4[[#This Row],[Matricule]],Tableau1[],4,FALSE)</f>
        <v>RE</v>
      </c>
      <c r="I440" s="99">
        <v>43318</v>
      </c>
      <c r="J440" t="s">
        <v>380</v>
      </c>
      <c r="K440" s="90">
        <f>IF(Tableau4[[#This Row],[État]]="Remis",1,0)</f>
        <v>1</v>
      </c>
    </row>
    <row r="441" spans="2:11" x14ac:dyDescent="0.25">
      <c r="B441" t="s">
        <v>405</v>
      </c>
      <c r="C441" s="90" t="str">
        <f>VLOOKUP(Tableau4[[#This Row],[Réf matériel]],Tableau3[],2,FALSE)</f>
        <v>Clé à pipe 13</v>
      </c>
      <c r="D441" s="90">
        <f>VLOOKUP(Tableau4[[#This Row],[Réf matériel]],Tableau3[],3,FALSE)</f>
        <v>6.23</v>
      </c>
      <c r="E441" t="s">
        <v>365</v>
      </c>
      <c r="F441" s="90" t="str">
        <f>VLOOKUP(Tableau4[[#This Row],[Matricule]],Tableau1[],2,FALSE)</f>
        <v>ROSA MACHADO</v>
      </c>
      <c r="G441" s="90" t="str">
        <f>VLOOKUP(Tableau4[[#This Row],[Matricule]],Tableau1[],3,FALSE)</f>
        <v xml:space="preserve">Marcelo </v>
      </c>
      <c r="H441" s="90" t="str">
        <f>VLOOKUP(Tableau4[[#This Row],[Matricule]],Tableau1[],4,FALSE)</f>
        <v>RE</v>
      </c>
      <c r="I441" s="99">
        <v>43318</v>
      </c>
      <c r="J441" t="s">
        <v>381</v>
      </c>
      <c r="K441" s="90">
        <f>IF(Tableau4[[#This Row],[État]]="Remis",1,0)</f>
        <v>0</v>
      </c>
    </row>
    <row r="442" spans="2:11" x14ac:dyDescent="0.25">
      <c r="B442" t="s">
        <v>408</v>
      </c>
      <c r="C442" s="90" t="str">
        <f>VLOOKUP(Tableau4[[#This Row],[Réf matériel]],Tableau3[],2,FALSE)</f>
        <v>Clé à pipe 17</v>
      </c>
      <c r="D442" s="90">
        <f>VLOOKUP(Tableau4[[#This Row],[Réf matériel]],Tableau3[],3,FALSE)</f>
        <v>9.36</v>
      </c>
      <c r="E442" t="s">
        <v>365</v>
      </c>
      <c r="F442" s="90" t="str">
        <f>VLOOKUP(Tableau4[[#This Row],[Matricule]],Tableau1[],2,FALSE)</f>
        <v>ROSA MACHADO</v>
      </c>
      <c r="G442" s="90" t="str">
        <f>VLOOKUP(Tableau4[[#This Row],[Matricule]],Tableau1[],3,FALSE)</f>
        <v xml:space="preserve">Marcelo </v>
      </c>
      <c r="H442" s="90" t="str">
        <f>VLOOKUP(Tableau4[[#This Row],[Matricule]],Tableau1[],4,FALSE)</f>
        <v>RE</v>
      </c>
      <c r="I442" s="99">
        <v>43318</v>
      </c>
      <c r="J442" t="s">
        <v>380</v>
      </c>
      <c r="K442" s="90">
        <f>IF(Tableau4[[#This Row],[État]]="Remis",1,0)</f>
        <v>1</v>
      </c>
    </row>
    <row r="443" spans="2:11" x14ac:dyDescent="0.25">
      <c r="B443" t="s">
        <v>409</v>
      </c>
      <c r="C443" s="90" t="str">
        <f>VLOOKUP(Tableau4[[#This Row],[Réf matériel]],Tableau3[],2,FALSE)</f>
        <v>Clé à pipe 19</v>
      </c>
      <c r="D443" s="90">
        <f>VLOOKUP(Tableau4[[#This Row],[Réf matériel]],Tableau3[],3,FALSE)</f>
        <v>10.4</v>
      </c>
      <c r="E443" t="s">
        <v>365</v>
      </c>
      <c r="F443" s="90" t="str">
        <f>VLOOKUP(Tableau4[[#This Row],[Matricule]],Tableau1[],2,FALSE)</f>
        <v>ROSA MACHADO</v>
      </c>
      <c r="G443" s="90" t="str">
        <f>VLOOKUP(Tableau4[[#This Row],[Matricule]],Tableau1[],3,FALSE)</f>
        <v xml:space="preserve">Marcelo </v>
      </c>
      <c r="H443" s="90" t="str">
        <f>VLOOKUP(Tableau4[[#This Row],[Matricule]],Tableau1[],4,FALSE)</f>
        <v>RE</v>
      </c>
      <c r="I443" s="88">
        <v>43511</v>
      </c>
      <c r="J443" t="s">
        <v>380</v>
      </c>
      <c r="K443" s="90">
        <f>IF(Tableau4[[#This Row],[État]]="Remis",1,0)</f>
        <v>1</v>
      </c>
    </row>
    <row r="444" spans="2:11" x14ac:dyDescent="0.25">
      <c r="B444" t="s">
        <v>410</v>
      </c>
      <c r="C444" s="90" t="str">
        <f>VLOOKUP(Tableau4[[#This Row],[Réf matériel]],Tableau3[],2,FALSE)</f>
        <v>Clé plate 10</v>
      </c>
      <c r="D444" s="90">
        <f>VLOOKUP(Tableau4[[#This Row],[Réf matériel]],Tableau3[],3,FALSE)</f>
        <v>3.32</v>
      </c>
      <c r="E444" t="s">
        <v>365</v>
      </c>
      <c r="F444" s="90" t="str">
        <f>VLOOKUP(Tableau4[[#This Row],[Matricule]],Tableau1[],2,FALSE)</f>
        <v>ROSA MACHADO</v>
      </c>
      <c r="G444" s="90" t="str">
        <f>VLOOKUP(Tableau4[[#This Row],[Matricule]],Tableau1[],3,FALSE)</f>
        <v xml:space="preserve">Marcelo </v>
      </c>
      <c r="H444" s="90" t="str">
        <f>VLOOKUP(Tableau4[[#This Row],[Matricule]],Tableau1[],4,FALSE)</f>
        <v>RE</v>
      </c>
      <c r="I444" s="88">
        <v>43511</v>
      </c>
      <c r="J444" t="s">
        <v>380</v>
      </c>
      <c r="K444" s="90">
        <f>IF(Tableau4[[#This Row],[État]]="Remis",1,0)</f>
        <v>1</v>
      </c>
    </row>
    <row r="445" spans="2:11" x14ac:dyDescent="0.25">
      <c r="B445" t="s">
        <v>410</v>
      </c>
      <c r="C445" s="90" t="str">
        <f>VLOOKUP(Tableau4[[#This Row],[Réf matériel]],Tableau3[],2,FALSE)</f>
        <v>Clé plate 10</v>
      </c>
      <c r="D445" s="90">
        <f>VLOOKUP(Tableau4[[#This Row],[Réf matériel]],Tableau3[],3,FALSE)</f>
        <v>3.32</v>
      </c>
      <c r="E445" t="s">
        <v>365</v>
      </c>
      <c r="F445" s="90" t="str">
        <f>VLOOKUP(Tableau4[[#This Row],[Matricule]],Tableau1[],2,FALSE)</f>
        <v>ROSA MACHADO</v>
      </c>
      <c r="G445" s="90" t="str">
        <f>VLOOKUP(Tableau4[[#This Row],[Matricule]],Tableau1[],3,FALSE)</f>
        <v xml:space="preserve">Marcelo </v>
      </c>
      <c r="H445" s="90" t="str">
        <f>VLOOKUP(Tableau4[[#This Row],[Matricule]],Tableau1[],4,FALSE)</f>
        <v>RE</v>
      </c>
      <c r="I445" s="88">
        <v>44073</v>
      </c>
      <c r="J445" t="s">
        <v>381</v>
      </c>
      <c r="K445" s="90">
        <f>IF(Tableau4[[#This Row],[État]]="Remis",1,0)</f>
        <v>0</v>
      </c>
    </row>
    <row r="446" spans="2:11" x14ac:dyDescent="0.25">
      <c r="B446" t="s">
        <v>410</v>
      </c>
      <c r="C446" s="90" t="str">
        <f>VLOOKUP(Tableau4[[#This Row],[Réf matériel]],Tableau3[],2,FALSE)</f>
        <v>Clé plate 10</v>
      </c>
      <c r="D446" s="90">
        <f>VLOOKUP(Tableau4[[#This Row],[Réf matériel]],Tableau3[],3,FALSE)</f>
        <v>3.32</v>
      </c>
      <c r="E446" t="s">
        <v>365</v>
      </c>
      <c r="F446" s="90" t="str">
        <f>VLOOKUP(Tableau4[[#This Row],[Matricule]],Tableau1[],2,FALSE)</f>
        <v>ROSA MACHADO</v>
      </c>
      <c r="G446" s="90" t="str">
        <f>VLOOKUP(Tableau4[[#This Row],[Matricule]],Tableau1[],3,FALSE)</f>
        <v xml:space="preserve">Marcelo </v>
      </c>
      <c r="H446" s="90" t="str">
        <f>VLOOKUP(Tableau4[[#This Row],[Matricule]],Tableau1[],4,FALSE)</f>
        <v>RE</v>
      </c>
      <c r="I446" s="88">
        <v>44074</v>
      </c>
      <c r="J446" t="s">
        <v>380</v>
      </c>
      <c r="K446" s="90">
        <f>IF(Tableau4[[#This Row],[État]]="Remis",1,0)</f>
        <v>1</v>
      </c>
    </row>
    <row r="447" spans="2:11" ht="14.25" customHeight="1" x14ac:dyDescent="0.25">
      <c r="B447" t="s">
        <v>412</v>
      </c>
      <c r="C447" s="90" t="str">
        <f>VLOOKUP(Tableau4[[#This Row],[Réf matériel]],Tableau3[],2,FALSE)</f>
        <v>Clé plate 13</v>
      </c>
      <c r="D447" s="90">
        <f>VLOOKUP(Tableau4[[#This Row],[Réf matériel]],Tableau3[],3,FALSE)</f>
        <v>3.91</v>
      </c>
      <c r="E447" t="s">
        <v>365</v>
      </c>
      <c r="F447" s="90" t="str">
        <f>VLOOKUP(Tableau4[[#This Row],[Matricule]],Tableau1[],2,FALSE)</f>
        <v>ROSA MACHADO</v>
      </c>
      <c r="G447" s="90" t="str">
        <f>VLOOKUP(Tableau4[[#This Row],[Matricule]],Tableau1[],3,FALSE)</f>
        <v xml:space="preserve">Marcelo </v>
      </c>
      <c r="H447" s="90" t="str">
        <f>VLOOKUP(Tableau4[[#This Row],[Matricule]],Tableau1[],4,FALSE)</f>
        <v>RE</v>
      </c>
      <c r="I447" s="99">
        <v>43318</v>
      </c>
      <c r="J447" t="s">
        <v>380</v>
      </c>
      <c r="K447" s="90">
        <f>IF(Tableau4[[#This Row],[État]]="Remis",1,0)</f>
        <v>1</v>
      </c>
    </row>
    <row r="448" spans="2:11" x14ac:dyDescent="0.25">
      <c r="B448" t="s">
        <v>414</v>
      </c>
      <c r="C448" s="90" t="str">
        <f>VLOOKUP(Tableau4[[#This Row],[Réf matériel]],Tableau3[],2,FALSE)</f>
        <v>Clé plate 17</v>
      </c>
      <c r="D448" s="90">
        <f>VLOOKUP(Tableau4[[#This Row],[Réf matériel]],Tableau3[],3,FALSE)</f>
        <v>5.5</v>
      </c>
      <c r="E448" t="s">
        <v>365</v>
      </c>
      <c r="F448" s="90" t="str">
        <f>VLOOKUP(Tableau4[[#This Row],[Matricule]],Tableau1[],2,FALSE)</f>
        <v>ROSA MACHADO</v>
      </c>
      <c r="G448" s="90" t="str">
        <f>VLOOKUP(Tableau4[[#This Row],[Matricule]],Tableau1[],3,FALSE)</f>
        <v xml:space="preserve">Marcelo </v>
      </c>
      <c r="H448" s="90" t="str">
        <f>VLOOKUP(Tableau4[[#This Row],[Matricule]],Tableau1[],4,FALSE)</f>
        <v>RE</v>
      </c>
      <c r="I448" s="99">
        <v>43318</v>
      </c>
      <c r="J448" t="s">
        <v>380</v>
      </c>
      <c r="K448" s="90">
        <f>IF(Tableau4[[#This Row],[État]]="Remis",1,0)</f>
        <v>1</v>
      </c>
    </row>
    <row r="449" spans="2:11" x14ac:dyDescent="0.25">
      <c r="B449" t="s">
        <v>415</v>
      </c>
      <c r="C449" s="90" t="str">
        <f>VLOOKUP(Tableau4[[#This Row],[Réf matériel]],Tableau3[],2,FALSE)</f>
        <v>Clé plate 19</v>
      </c>
      <c r="D449" s="90">
        <f>VLOOKUP(Tableau4[[#This Row],[Réf matériel]],Tableau3[],3,FALSE)</f>
        <v>6.07</v>
      </c>
      <c r="E449" t="s">
        <v>365</v>
      </c>
      <c r="F449" s="90" t="str">
        <f>VLOOKUP(Tableau4[[#This Row],[Matricule]],Tableau1[],2,FALSE)</f>
        <v>ROSA MACHADO</v>
      </c>
      <c r="G449" s="90" t="str">
        <f>VLOOKUP(Tableau4[[#This Row],[Matricule]],Tableau1[],3,FALSE)</f>
        <v xml:space="preserve">Marcelo </v>
      </c>
      <c r="H449" s="90" t="str">
        <f>VLOOKUP(Tableau4[[#This Row],[Matricule]],Tableau1[],4,FALSE)</f>
        <v>RE</v>
      </c>
      <c r="I449" s="99">
        <v>43318</v>
      </c>
      <c r="J449" t="s">
        <v>380</v>
      </c>
      <c r="K449" s="90">
        <f>IF(Tableau4[[#This Row],[État]]="Remis",1,0)</f>
        <v>1</v>
      </c>
    </row>
    <row r="450" spans="2:11" x14ac:dyDescent="0.25">
      <c r="B450" t="s">
        <v>67</v>
      </c>
      <c r="C450" s="90" t="str">
        <f>VLOOKUP(Tableau4[[#This Row],[Réf matériel]],Tableau3[],2,FALSE)</f>
        <v>Cutter</v>
      </c>
      <c r="D450" s="90">
        <f>VLOOKUP(Tableau4[[#This Row],[Réf matériel]],Tableau3[],3,FALSE)</f>
        <v>4.8499999999999996</v>
      </c>
      <c r="E450" t="s">
        <v>365</v>
      </c>
      <c r="F450" s="90" t="str">
        <f>VLOOKUP(Tableau4[[#This Row],[Matricule]],Tableau1[],2,FALSE)</f>
        <v>ROSA MACHADO</v>
      </c>
      <c r="G450" s="90" t="str">
        <f>VLOOKUP(Tableau4[[#This Row],[Matricule]],Tableau1[],3,FALSE)</f>
        <v xml:space="preserve">Marcelo </v>
      </c>
      <c r="H450" s="90" t="str">
        <f>VLOOKUP(Tableau4[[#This Row],[Matricule]],Tableau1[],4,FALSE)</f>
        <v>RE</v>
      </c>
      <c r="I450" s="99">
        <v>43318</v>
      </c>
      <c r="J450" t="s">
        <v>380</v>
      </c>
      <c r="K450" s="90">
        <f>IF(Tableau4[[#This Row],[État]]="Remis",1,0)</f>
        <v>1</v>
      </c>
    </row>
    <row r="451" spans="2:11" x14ac:dyDescent="0.25">
      <c r="B451" t="s">
        <v>439</v>
      </c>
      <c r="C451" s="90" t="str">
        <f>VLOOKUP(Tableau4[[#This Row],[Réf matériel]],Tableau3[],2,FALSE)</f>
        <v>Pince à Sertir</v>
      </c>
      <c r="D451" s="90">
        <f>VLOOKUP(Tableau4[[#This Row],[Réf matériel]],Tableau3[],3,FALSE)</f>
        <v>78.400000000000006</v>
      </c>
      <c r="E451" t="s">
        <v>365</v>
      </c>
      <c r="F451" s="90" t="str">
        <f>VLOOKUP(Tableau4[[#This Row],[Matricule]],Tableau1[],2,FALSE)</f>
        <v>ROSA MACHADO</v>
      </c>
      <c r="G451" s="90" t="str">
        <f>VLOOKUP(Tableau4[[#This Row],[Matricule]],Tableau1[],3,FALSE)</f>
        <v xml:space="preserve">Marcelo </v>
      </c>
      <c r="H451" s="90" t="str">
        <f>VLOOKUP(Tableau4[[#This Row],[Matricule]],Tableau1[],4,FALSE)</f>
        <v>RE</v>
      </c>
      <c r="I451" s="99">
        <v>43318</v>
      </c>
      <c r="J451" t="s">
        <v>380</v>
      </c>
      <c r="K451" s="90">
        <f>IF(Tableau4[[#This Row],[État]]="Remis",1,0)</f>
        <v>1</v>
      </c>
    </row>
    <row r="452" spans="2:11" x14ac:dyDescent="0.25">
      <c r="B452" t="s">
        <v>440</v>
      </c>
      <c r="C452" s="90" t="str">
        <f>VLOOKUP(Tableau4[[#This Row],[Réf matériel]],Tableau3[],2,FALSE)</f>
        <v>Testeur Fluke</v>
      </c>
      <c r="D452" s="90">
        <f>VLOOKUP(Tableau4[[#This Row],[Réf matériel]],Tableau3[],3,FALSE)</f>
        <v>0</v>
      </c>
      <c r="E452" t="s">
        <v>365</v>
      </c>
      <c r="F452" s="90" t="str">
        <f>VLOOKUP(Tableau4[[#This Row],[Matricule]],Tableau1[],2,FALSE)</f>
        <v>ROSA MACHADO</v>
      </c>
      <c r="G452" s="90" t="str">
        <f>VLOOKUP(Tableau4[[#This Row],[Matricule]],Tableau1[],3,FALSE)</f>
        <v xml:space="preserve">Marcelo </v>
      </c>
      <c r="H452" s="90" t="str">
        <f>VLOOKUP(Tableau4[[#This Row],[Matricule]],Tableau1[],4,FALSE)</f>
        <v>RE</v>
      </c>
      <c r="I452" s="99">
        <v>43318</v>
      </c>
      <c r="J452" t="s">
        <v>380</v>
      </c>
      <c r="K452" s="90">
        <f>IF(Tableau4[[#This Row],[État]]="Remis",1,0)</f>
        <v>1</v>
      </c>
    </row>
    <row r="453" spans="2:11" x14ac:dyDescent="0.25">
      <c r="B453" t="s">
        <v>440</v>
      </c>
      <c r="C453" s="90" t="str">
        <f>VLOOKUP(Tableau4[[#This Row],[Réf matériel]],Tableau3[],2,FALSE)</f>
        <v>Testeur Fluke</v>
      </c>
      <c r="D453" s="90">
        <f>VLOOKUP(Tableau4[[#This Row],[Réf matériel]],Tableau3[],3,FALSE)</f>
        <v>0</v>
      </c>
      <c r="E453" t="s">
        <v>365</v>
      </c>
      <c r="F453" s="90" t="str">
        <f>VLOOKUP(Tableau4[[#This Row],[Matricule]],Tableau1[],2,FALSE)</f>
        <v>ROSA MACHADO</v>
      </c>
      <c r="G453" s="90" t="str">
        <f>VLOOKUP(Tableau4[[#This Row],[Matricule]],Tableau1[],3,FALSE)</f>
        <v xml:space="preserve">Marcelo </v>
      </c>
      <c r="H453" s="90" t="str">
        <f>VLOOKUP(Tableau4[[#This Row],[Matricule]],Tableau1[],4,FALSE)</f>
        <v>RE</v>
      </c>
      <c r="I453" s="99">
        <v>43318</v>
      </c>
      <c r="J453" t="s">
        <v>381</v>
      </c>
      <c r="K453" s="90">
        <f>IF(Tableau4[[#This Row],[État]]="Remis",1,0)</f>
        <v>0</v>
      </c>
    </row>
    <row r="454" spans="2:11" x14ac:dyDescent="0.25">
      <c r="B454" t="s">
        <v>399</v>
      </c>
      <c r="C454" s="90" t="str">
        <f>VLOOKUP(Tableau4[[#This Row],[Réf matériel]],Tableau3[],2,FALSE)</f>
        <v>Boite embouts</v>
      </c>
      <c r="D454" s="90">
        <f>VLOOKUP(Tableau4[[#This Row],[Réf matériel]],Tableau3[],3,FALSE)</f>
        <v>27.61</v>
      </c>
      <c r="E454" t="s">
        <v>365</v>
      </c>
      <c r="F454" s="90" t="str">
        <f>VLOOKUP(Tableau4[[#This Row],[Matricule]],Tableau1[],2,FALSE)</f>
        <v>ROSA MACHADO</v>
      </c>
      <c r="G454" s="90" t="str">
        <f>VLOOKUP(Tableau4[[#This Row],[Matricule]],Tableau1[],3,FALSE)</f>
        <v xml:space="preserve">Marcelo </v>
      </c>
      <c r="H454" s="90" t="str">
        <f>VLOOKUP(Tableau4[[#This Row],[Matricule]],Tableau1[],4,FALSE)</f>
        <v>RE</v>
      </c>
      <c r="I454" s="99">
        <v>43318</v>
      </c>
      <c r="J454" t="s">
        <v>380</v>
      </c>
      <c r="K454" s="90">
        <f>IF(Tableau4[[#This Row],[État]]="Remis",1,0)</f>
        <v>1</v>
      </c>
    </row>
    <row r="455" spans="2:11" x14ac:dyDescent="0.25">
      <c r="B455" t="s">
        <v>72</v>
      </c>
      <c r="C455" s="90" t="str">
        <f>VLOOKUP(Tableau4[[#This Row],[Réf matériel]],Tableau3[],2,FALSE)</f>
        <v>Pince colson</v>
      </c>
      <c r="D455" s="90">
        <f>VLOOKUP(Tableau4[[#This Row],[Réf matériel]],Tableau3[],3,FALSE)</f>
        <v>46.91</v>
      </c>
      <c r="E455" t="s">
        <v>365</v>
      </c>
      <c r="F455" s="90" t="str">
        <f>VLOOKUP(Tableau4[[#This Row],[Matricule]],Tableau1[],2,FALSE)</f>
        <v>ROSA MACHADO</v>
      </c>
      <c r="G455" s="90" t="str">
        <f>VLOOKUP(Tableau4[[#This Row],[Matricule]],Tableau1[],3,FALSE)</f>
        <v xml:space="preserve">Marcelo </v>
      </c>
      <c r="H455" s="90" t="str">
        <f>VLOOKUP(Tableau4[[#This Row],[Matricule]],Tableau1[],4,FALSE)</f>
        <v>RE</v>
      </c>
      <c r="I455" s="88">
        <v>43511</v>
      </c>
      <c r="J455" t="s">
        <v>380</v>
      </c>
      <c r="K455" s="90">
        <f>IF(Tableau4[[#This Row],[État]]="Remis",1,0)</f>
        <v>1</v>
      </c>
    </row>
    <row r="456" spans="2:11" x14ac:dyDescent="0.25">
      <c r="B456" t="s">
        <v>441</v>
      </c>
      <c r="C456" s="90" t="str">
        <f>VLOOKUP(Tableau4[[#This Row],[Réf matériel]],Tableau3[],2,FALSE)</f>
        <v>Lunette de protection</v>
      </c>
      <c r="D456" s="90">
        <f>VLOOKUP(Tableau4[[#This Row],[Réf matériel]],Tableau3[],3,FALSE)</f>
        <v>2.38</v>
      </c>
      <c r="E456" t="s">
        <v>365</v>
      </c>
      <c r="F456" s="90" t="str">
        <f>VLOOKUP(Tableau4[[#This Row],[Matricule]],Tableau1[],2,FALSE)</f>
        <v>ROSA MACHADO</v>
      </c>
      <c r="G456" s="90" t="str">
        <f>VLOOKUP(Tableau4[[#This Row],[Matricule]],Tableau1[],3,FALSE)</f>
        <v xml:space="preserve">Marcelo </v>
      </c>
      <c r="H456" s="90" t="str">
        <f>VLOOKUP(Tableau4[[#This Row],[Matricule]],Tableau1[],4,FALSE)</f>
        <v>RE</v>
      </c>
      <c r="I456" s="88">
        <v>43511</v>
      </c>
      <c r="J456" t="s">
        <v>380</v>
      </c>
      <c r="K456" s="90">
        <f>IF(Tableau4[[#This Row],[État]]="Remis",1,0)</f>
        <v>1</v>
      </c>
    </row>
    <row r="457" spans="2:11" x14ac:dyDescent="0.25">
      <c r="B457" t="s">
        <v>74</v>
      </c>
      <c r="C457" s="90" t="str">
        <f>VLOOKUP(Tableau4[[#This Row],[Réf matériel]],Tableau3[],2,FALSE)</f>
        <v>Casque chantier</v>
      </c>
      <c r="D457" s="90">
        <f>VLOOKUP(Tableau4[[#This Row],[Réf matériel]],Tableau3[],3,FALSE)</f>
        <v>29.05</v>
      </c>
      <c r="E457" t="s">
        <v>365</v>
      </c>
      <c r="F457" s="90" t="str">
        <f>VLOOKUP(Tableau4[[#This Row],[Matricule]],Tableau1[],2,FALSE)</f>
        <v>ROSA MACHADO</v>
      </c>
      <c r="G457" s="90" t="str">
        <f>VLOOKUP(Tableau4[[#This Row],[Matricule]],Tableau1[],3,FALSE)</f>
        <v xml:space="preserve">Marcelo </v>
      </c>
      <c r="H457" s="90" t="str">
        <f>VLOOKUP(Tableau4[[#This Row],[Matricule]],Tableau1[],4,FALSE)</f>
        <v>RE</v>
      </c>
      <c r="I457" s="99">
        <v>43318</v>
      </c>
      <c r="J457" t="s">
        <v>380</v>
      </c>
      <c r="K457" s="90">
        <f>IF(Tableau4[[#This Row],[État]]="Remis",1,0)</f>
        <v>1</v>
      </c>
    </row>
    <row r="458" spans="2:11" x14ac:dyDescent="0.25">
      <c r="B458" t="s">
        <v>75</v>
      </c>
      <c r="C458" s="90" t="str">
        <f>VLOOKUP(Tableau4[[#This Row],[Réf matériel]],Tableau3[],2,FALSE)</f>
        <v>Lampe frontale</v>
      </c>
      <c r="D458" s="90">
        <f>VLOOKUP(Tableau4[[#This Row],[Réf matériel]],Tableau3[],3,FALSE)</f>
        <v>42.5</v>
      </c>
      <c r="E458" t="s">
        <v>365</v>
      </c>
      <c r="F458" s="90" t="str">
        <f>VLOOKUP(Tableau4[[#This Row],[Matricule]],Tableau1[],2,FALSE)</f>
        <v>ROSA MACHADO</v>
      </c>
      <c r="G458" s="90" t="str">
        <f>VLOOKUP(Tableau4[[#This Row],[Matricule]],Tableau1[],3,FALSE)</f>
        <v xml:space="preserve">Marcelo </v>
      </c>
      <c r="H458" s="90" t="str">
        <f>VLOOKUP(Tableau4[[#This Row],[Matricule]],Tableau1[],4,FALSE)</f>
        <v>RE</v>
      </c>
      <c r="I458" s="88">
        <v>43447</v>
      </c>
      <c r="J458" t="s">
        <v>380</v>
      </c>
      <c r="K458" s="90">
        <f>IF(Tableau4[[#This Row],[État]]="Remis",1,0)</f>
        <v>1</v>
      </c>
    </row>
    <row r="459" spans="2:11" x14ac:dyDescent="0.25">
      <c r="B459" s="98" t="s">
        <v>391</v>
      </c>
      <c r="C459" s="100" t="str">
        <f>VLOOKUP(Tableau4[[#This Row],[Réf matériel]],Tableau3[],2,FALSE)</f>
        <v>Cadena</v>
      </c>
      <c r="D459" s="100">
        <f>VLOOKUP(Tableau4[[#This Row],[Réf matériel]],Tableau3[],3,FALSE)</f>
        <v>13</v>
      </c>
      <c r="E459" s="98" t="s">
        <v>367</v>
      </c>
      <c r="F459" s="100" t="str">
        <f>VLOOKUP(Tableau4[[#This Row],[Matricule]],Tableau1[],2,FALSE)</f>
        <v>SALHI</v>
      </c>
      <c r="G459" s="100" t="str">
        <f>VLOOKUP(Tableau4[[#This Row],[Matricule]],Tableau1[],3,FALSE)</f>
        <v>Lahcene</v>
      </c>
      <c r="H459" s="100" t="str">
        <f>VLOOKUP(Tableau4[[#This Row],[Matricule]],Tableau1[],4,FALSE)</f>
        <v>ELEC</v>
      </c>
      <c r="I459" s="99">
        <v>43511</v>
      </c>
      <c r="J459" s="98" t="s">
        <v>380</v>
      </c>
      <c r="K459" s="90">
        <f>IF(Tableau4[[#This Row],[État]]="Remis",1,0)</f>
        <v>1</v>
      </c>
    </row>
    <row r="460" spans="2:11" x14ac:dyDescent="0.25">
      <c r="B460" s="98" t="s">
        <v>391</v>
      </c>
      <c r="C460" s="100" t="str">
        <f>VLOOKUP(Tableau4[[#This Row],[Réf matériel]],Tableau3[],2,FALSE)</f>
        <v>Cadena</v>
      </c>
      <c r="D460" s="100">
        <f>VLOOKUP(Tableau4[[#This Row],[Réf matériel]],Tableau3[],3,FALSE)</f>
        <v>13</v>
      </c>
      <c r="E460" s="98" t="s">
        <v>367</v>
      </c>
      <c r="F460" s="100" t="str">
        <f>VLOOKUP(Tableau4[[#This Row],[Matricule]],Tableau1[],2,FALSE)</f>
        <v>SALHI</v>
      </c>
      <c r="G460" s="100" t="str">
        <f>VLOOKUP(Tableau4[[#This Row],[Matricule]],Tableau1[],3,FALSE)</f>
        <v>Lahcene</v>
      </c>
      <c r="H460" s="100" t="str">
        <f>VLOOKUP(Tableau4[[#This Row],[Matricule]],Tableau1[],4,FALSE)</f>
        <v>ELEC</v>
      </c>
      <c r="I460" s="99">
        <v>43511</v>
      </c>
      <c r="J460" s="98" t="s">
        <v>381</v>
      </c>
      <c r="K460" s="90">
        <f>IF(Tableau4[[#This Row],[État]]="Remis",1,0)</f>
        <v>0</v>
      </c>
    </row>
    <row r="461" spans="2:11" x14ac:dyDescent="0.25">
      <c r="B461" s="98" t="s">
        <v>392</v>
      </c>
      <c r="C461" s="100" t="str">
        <f>VLOOKUP(Tableau4[[#This Row],[Réf matériel]],Tableau3[],2,FALSE)</f>
        <v>Coffre</v>
      </c>
      <c r="D461" s="100">
        <f>VLOOKUP(Tableau4[[#This Row],[Réf matériel]],Tableau3[],3,FALSE)</f>
        <v>54.54</v>
      </c>
      <c r="E461" s="97" t="s">
        <v>367</v>
      </c>
      <c r="F461" s="100" t="str">
        <f>VLOOKUP(Tableau4[[#This Row],[Matricule]],Tableau1[],2,FALSE)</f>
        <v>SALHI</v>
      </c>
      <c r="G461" s="100" t="str">
        <f>VLOOKUP(Tableau4[[#This Row],[Matricule]],Tableau1[],3,FALSE)</f>
        <v>Lahcene</v>
      </c>
      <c r="H461" s="100" t="str">
        <f>VLOOKUP(Tableau4[[#This Row],[Matricule]],Tableau1[],4,FALSE)</f>
        <v>ELEC</v>
      </c>
      <c r="I461" s="88">
        <v>43511</v>
      </c>
      <c r="J461" s="98" t="s">
        <v>380</v>
      </c>
      <c r="K461" s="90">
        <f>IF(Tableau4[[#This Row],[État]]="Remis",1,0)</f>
        <v>1</v>
      </c>
    </row>
    <row r="462" spans="2:11" x14ac:dyDescent="0.25">
      <c r="B462" s="98" t="s">
        <v>392</v>
      </c>
      <c r="C462" s="100" t="str">
        <f>VLOOKUP(Tableau4[[#This Row],[Réf matériel]],Tableau3[],2,FALSE)</f>
        <v>Coffre</v>
      </c>
      <c r="D462" s="100">
        <f>VLOOKUP(Tableau4[[#This Row],[Réf matériel]],Tableau3[],3,FALSE)</f>
        <v>54.54</v>
      </c>
      <c r="E462" s="97" t="s">
        <v>367</v>
      </c>
      <c r="F462" s="100" t="str">
        <f>VLOOKUP(Tableau4[[#This Row],[Matricule]],Tableau1[],2,FALSE)</f>
        <v>SALHI</v>
      </c>
      <c r="G462" s="100" t="str">
        <f>VLOOKUP(Tableau4[[#This Row],[Matricule]],Tableau1[],3,FALSE)</f>
        <v>Lahcene</v>
      </c>
      <c r="H462" s="100" t="str">
        <f>VLOOKUP(Tableau4[[#This Row],[Matricule]],Tableau1[],4,FALSE)</f>
        <v>ELEC</v>
      </c>
      <c r="I462" s="88">
        <v>43511</v>
      </c>
      <c r="J462" s="98" t="s">
        <v>381</v>
      </c>
      <c r="K462" s="90">
        <f>IF(Tableau4[[#This Row],[État]]="Remis",1,0)</f>
        <v>0</v>
      </c>
    </row>
    <row r="463" spans="2:11" x14ac:dyDescent="0.25">
      <c r="B463" t="s">
        <v>280</v>
      </c>
      <c r="C463" s="90" t="str">
        <f>VLOOKUP(Tableau4[[#This Row],[Réf matériel]],Tableau3[],2,FALSE)</f>
        <v>Pince coupante 1000v</v>
      </c>
      <c r="D463" s="90">
        <f>VLOOKUP(Tableau4[[#This Row],[Réf matériel]],Tableau3[],3,FALSE)</f>
        <v>20.87</v>
      </c>
      <c r="E463" t="s">
        <v>367</v>
      </c>
      <c r="F463" s="90" t="str">
        <f>VLOOKUP(Tableau4[[#This Row],[Matricule]],Tableau1[],2,FALSE)</f>
        <v>SALHI</v>
      </c>
      <c r="G463" s="90" t="str">
        <f>VLOOKUP(Tableau4[[#This Row],[Matricule]],Tableau1[],3,FALSE)</f>
        <v>Lahcene</v>
      </c>
      <c r="H463" s="90" t="str">
        <f>VLOOKUP(Tableau4[[#This Row],[Matricule]],Tableau1[],4,FALSE)</f>
        <v>ELEC</v>
      </c>
      <c r="I463" s="88">
        <v>43626</v>
      </c>
      <c r="J463" s="98" t="s">
        <v>380</v>
      </c>
      <c r="K463" s="90">
        <f>IF(Tableau4[[#This Row],[État]]="Remis",1,0)</f>
        <v>1</v>
      </c>
    </row>
    <row r="464" spans="2:11" x14ac:dyDescent="0.25">
      <c r="B464" t="s">
        <v>280</v>
      </c>
      <c r="C464" s="90" t="str">
        <f>VLOOKUP(Tableau4[[#This Row],[Réf matériel]],Tableau3[],2,FALSE)</f>
        <v>Pince coupante 1000v</v>
      </c>
      <c r="D464" s="90">
        <f>VLOOKUP(Tableau4[[#This Row],[Réf matériel]],Tableau3[],3,FALSE)</f>
        <v>20.87</v>
      </c>
      <c r="E464" t="s">
        <v>367</v>
      </c>
      <c r="F464" s="90" t="str">
        <f>VLOOKUP(Tableau4[[#This Row],[Matricule]],Tableau1[],2,FALSE)</f>
        <v>SALHI</v>
      </c>
      <c r="G464" s="90" t="str">
        <f>VLOOKUP(Tableau4[[#This Row],[Matricule]],Tableau1[],3,FALSE)</f>
        <v>Lahcene</v>
      </c>
      <c r="H464" s="90" t="str">
        <f>VLOOKUP(Tableau4[[#This Row],[Matricule]],Tableau1[],4,FALSE)</f>
        <v>ELEC</v>
      </c>
      <c r="I464" s="88">
        <v>43626</v>
      </c>
      <c r="J464" s="98" t="s">
        <v>381</v>
      </c>
      <c r="K464" s="90">
        <f>IF(Tableau4[[#This Row],[État]]="Remis",1,0)</f>
        <v>0</v>
      </c>
    </row>
    <row r="465" spans="2:11" x14ac:dyDescent="0.25">
      <c r="B465" t="s">
        <v>49</v>
      </c>
      <c r="C465" s="90" t="str">
        <f>VLOOKUP(Tableau4[[#This Row],[Réf matériel]],Tableau3[],2,FALSE)</f>
        <v>Coupe câble</v>
      </c>
      <c r="D465" s="90">
        <f>VLOOKUP(Tableau4[[#This Row],[Réf matériel]],Tableau3[],3,FALSE)</f>
        <v>41.88</v>
      </c>
      <c r="E465" t="s">
        <v>367</v>
      </c>
      <c r="F465" s="90" t="str">
        <f>VLOOKUP(Tableau4[[#This Row],[Matricule]],Tableau1[],2,FALSE)</f>
        <v>SALHI</v>
      </c>
      <c r="G465" s="90" t="str">
        <f>VLOOKUP(Tableau4[[#This Row],[Matricule]],Tableau1[],3,FALSE)</f>
        <v>Lahcene</v>
      </c>
      <c r="H465" s="90" t="str">
        <f>VLOOKUP(Tableau4[[#This Row],[Matricule]],Tableau1[],4,FALSE)</f>
        <v>ELEC</v>
      </c>
      <c r="I465" s="88">
        <v>43511</v>
      </c>
      <c r="J465" t="s">
        <v>380</v>
      </c>
      <c r="K465" s="90">
        <f>IF(Tableau4[[#This Row],[État]]="Remis",1,0)</f>
        <v>1</v>
      </c>
    </row>
    <row r="466" spans="2:11" x14ac:dyDescent="0.25">
      <c r="B466" t="s">
        <v>49</v>
      </c>
      <c r="C466" s="90" t="str">
        <f>VLOOKUP(Tableau4[[#This Row],[Réf matériel]],Tableau3[],2,FALSE)</f>
        <v>Coupe câble</v>
      </c>
      <c r="D466" s="90">
        <f>VLOOKUP(Tableau4[[#This Row],[Réf matériel]],Tableau3[],3,FALSE)</f>
        <v>41.88</v>
      </c>
      <c r="E466" t="s">
        <v>367</v>
      </c>
      <c r="F466" s="90" t="str">
        <f>VLOOKUP(Tableau4[[#This Row],[Matricule]],Tableau1[],2,FALSE)</f>
        <v>SALHI</v>
      </c>
      <c r="G466" s="90" t="str">
        <f>VLOOKUP(Tableau4[[#This Row],[Matricule]],Tableau1[],3,FALSE)</f>
        <v>Lahcene</v>
      </c>
      <c r="H466" s="90" t="str">
        <f>VLOOKUP(Tableau4[[#This Row],[Matricule]],Tableau1[],4,FALSE)</f>
        <v>ELEC</v>
      </c>
      <c r="I466" s="88">
        <v>43511</v>
      </c>
      <c r="J466" t="s">
        <v>381</v>
      </c>
      <c r="K466" s="90">
        <f>IF(Tableau4[[#This Row],[État]]="Remis",1,0)</f>
        <v>0</v>
      </c>
    </row>
    <row r="467" spans="2:11" x14ac:dyDescent="0.25">
      <c r="B467" t="s">
        <v>56</v>
      </c>
      <c r="C467" s="90" t="str">
        <f>VLOOKUP(Tableau4[[#This Row],[Réf matériel]],Tableau3[],2,FALSE)</f>
        <v>Jeu tournevis</v>
      </c>
      <c r="D467" s="90">
        <f>VLOOKUP(Tableau4[[#This Row],[Réf matériel]],Tableau3[],3,FALSE)</f>
        <v>37.57</v>
      </c>
      <c r="E467" t="s">
        <v>367</v>
      </c>
      <c r="F467" s="90" t="str">
        <f>VLOOKUP(Tableau4[[#This Row],[Matricule]],Tableau1[],2,FALSE)</f>
        <v>SALHI</v>
      </c>
      <c r="G467" s="90" t="str">
        <f>VLOOKUP(Tableau4[[#This Row],[Matricule]],Tableau1[],3,FALSE)</f>
        <v>Lahcene</v>
      </c>
      <c r="H467" s="90" t="str">
        <f>VLOOKUP(Tableau4[[#This Row],[Matricule]],Tableau1[],4,FALSE)</f>
        <v>ELEC</v>
      </c>
      <c r="I467" s="88">
        <v>43511</v>
      </c>
      <c r="J467" t="s">
        <v>380</v>
      </c>
      <c r="K467" s="90">
        <f>IF(Tableau4[[#This Row],[État]]="Remis",1,0)</f>
        <v>1</v>
      </c>
    </row>
    <row r="468" spans="2:11" x14ac:dyDescent="0.25">
      <c r="B468" t="s">
        <v>56</v>
      </c>
      <c r="C468" s="90" t="str">
        <f>VLOOKUP(Tableau4[[#This Row],[Réf matériel]],Tableau3[],2,FALSE)</f>
        <v>Jeu tournevis</v>
      </c>
      <c r="D468" s="90">
        <f>VLOOKUP(Tableau4[[#This Row],[Réf matériel]],Tableau3[],3,FALSE)</f>
        <v>37.57</v>
      </c>
      <c r="E468" t="s">
        <v>367</v>
      </c>
      <c r="F468" s="90" t="str">
        <f>VLOOKUP(Tableau4[[#This Row],[Matricule]],Tableau1[],2,FALSE)</f>
        <v>SALHI</v>
      </c>
      <c r="G468" s="90" t="str">
        <f>VLOOKUP(Tableau4[[#This Row],[Matricule]],Tableau1[],3,FALSE)</f>
        <v>Lahcene</v>
      </c>
      <c r="H468" s="90" t="str">
        <f>VLOOKUP(Tableau4[[#This Row],[Matricule]],Tableau1[],4,FALSE)</f>
        <v>ELEC</v>
      </c>
      <c r="I468" s="88">
        <v>43511</v>
      </c>
      <c r="J468" t="s">
        <v>381</v>
      </c>
      <c r="K468" s="90">
        <f>IF(Tableau4[[#This Row],[État]]="Remis",1,0)</f>
        <v>0</v>
      </c>
    </row>
    <row r="469" spans="2:11" x14ac:dyDescent="0.25">
      <c r="B469" t="s">
        <v>403</v>
      </c>
      <c r="C469" s="90" t="str">
        <f>VLOOKUP(Tableau4[[#This Row],[Réf matériel]],Tableau3[],2,FALSE)</f>
        <v>Clé à pipe 10</v>
      </c>
      <c r="D469" s="90">
        <f>VLOOKUP(Tableau4[[#This Row],[Réf matériel]],Tableau3[],3,FALSE)</f>
        <v>5.41</v>
      </c>
      <c r="E469" t="s">
        <v>367</v>
      </c>
      <c r="F469" s="90" t="str">
        <f>VLOOKUP(Tableau4[[#This Row],[Matricule]],Tableau1[],2,FALSE)</f>
        <v>SALHI</v>
      </c>
      <c r="G469" s="90" t="str">
        <f>VLOOKUP(Tableau4[[#This Row],[Matricule]],Tableau1[],3,FALSE)</f>
        <v>Lahcene</v>
      </c>
      <c r="H469" s="90" t="str">
        <f>VLOOKUP(Tableau4[[#This Row],[Matricule]],Tableau1[],4,FALSE)</f>
        <v>ELEC</v>
      </c>
      <c r="I469" s="88">
        <v>43511</v>
      </c>
      <c r="J469" t="s">
        <v>380</v>
      </c>
      <c r="K469" s="90">
        <f>IF(Tableau4[[#This Row],[État]]="Remis",1,0)</f>
        <v>1</v>
      </c>
    </row>
    <row r="470" spans="2:11" x14ac:dyDescent="0.25">
      <c r="B470" t="s">
        <v>403</v>
      </c>
      <c r="C470" s="90" t="str">
        <f>VLOOKUP(Tableau4[[#This Row],[Réf matériel]],Tableau3[],2,FALSE)</f>
        <v>Clé à pipe 10</v>
      </c>
      <c r="D470" s="90">
        <f>VLOOKUP(Tableau4[[#This Row],[Réf matériel]],Tableau3[],3,FALSE)</f>
        <v>5.41</v>
      </c>
      <c r="E470" t="s">
        <v>367</v>
      </c>
      <c r="F470" s="90" t="str">
        <f>VLOOKUP(Tableau4[[#This Row],[Matricule]],Tableau1[],2,FALSE)</f>
        <v>SALHI</v>
      </c>
      <c r="G470" s="90" t="str">
        <f>VLOOKUP(Tableau4[[#This Row],[Matricule]],Tableau1[],3,FALSE)</f>
        <v>Lahcene</v>
      </c>
      <c r="H470" s="90" t="str">
        <f>VLOOKUP(Tableau4[[#This Row],[Matricule]],Tableau1[],4,FALSE)</f>
        <v>ELEC</v>
      </c>
      <c r="I470" s="88">
        <v>43511</v>
      </c>
      <c r="J470" t="s">
        <v>381</v>
      </c>
      <c r="K470" s="90">
        <f>IF(Tableau4[[#This Row],[État]]="Remis",1,0)</f>
        <v>0</v>
      </c>
    </row>
    <row r="471" spans="2:11" x14ac:dyDescent="0.25">
      <c r="B471" t="s">
        <v>405</v>
      </c>
      <c r="C471" s="90" t="str">
        <f>VLOOKUP(Tableau4[[#This Row],[Réf matériel]],Tableau3[],2,FALSE)</f>
        <v>Clé à pipe 13</v>
      </c>
      <c r="D471" s="90">
        <f>VLOOKUP(Tableau4[[#This Row],[Réf matériel]],Tableau3[],3,FALSE)</f>
        <v>6.23</v>
      </c>
      <c r="E471" t="s">
        <v>367</v>
      </c>
      <c r="F471" s="90" t="str">
        <f>VLOOKUP(Tableau4[[#This Row],[Matricule]],Tableau1[],2,FALSE)</f>
        <v>SALHI</v>
      </c>
      <c r="G471" s="90" t="str">
        <f>VLOOKUP(Tableau4[[#This Row],[Matricule]],Tableau1[],3,FALSE)</f>
        <v>Lahcene</v>
      </c>
      <c r="H471" s="90" t="str">
        <f>VLOOKUP(Tableau4[[#This Row],[Matricule]],Tableau1[],4,FALSE)</f>
        <v>ELEC</v>
      </c>
      <c r="I471" s="88">
        <v>43626</v>
      </c>
      <c r="J471" t="s">
        <v>380</v>
      </c>
      <c r="K471" s="90">
        <f>IF(Tableau4[[#This Row],[État]]="Remis",1,0)</f>
        <v>1</v>
      </c>
    </row>
    <row r="472" spans="2:11" x14ac:dyDescent="0.25">
      <c r="B472" t="s">
        <v>405</v>
      </c>
      <c r="C472" s="90" t="str">
        <f>VLOOKUP(Tableau4[[#This Row],[Réf matériel]],Tableau3[],2,FALSE)</f>
        <v>Clé à pipe 13</v>
      </c>
      <c r="D472" s="90">
        <f>VLOOKUP(Tableau4[[#This Row],[Réf matériel]],Tableau3[],3,FALSE)</f>
        <v>6.23</v>
      </c>
      <c r="E472" t="s">
        <v>367</v>
      </c>
      <c r="F472" s="90" t="str">
        <f>VLOOKUP(Tableau4[[#This Row],[Matricule]],Tableau1[],2,FALSE)</f>
        <v>SALHI</v>
      </c>
      <c r="G472" s="90" t="str">
        <f>VLOOKUP(Tableau4[[#This Row],[Matricule]],Tableau1[],3,FALSE)</f>
        <v>Lahcene</v>
      </c>
      <c r="H472" s="90" t="str">
        <f>VLOOKUP(Tableau4[[#This Row],[Matricule]],Tableau1[],4,FALSE)</f>
        <v>ELEC</v>
      </c>
      <c r="I472" s="88">
        <v>43626</v>
      </c>
      <c r="J472" t="s">
        <v>381</v>
      </c>
      <c r="K472" s="90">
        <f>IF(Tableau4[[#This Row],[État]]="Remis",1,0)</f>
        <v>0</v>
      </c>
    </row>
    <row r="473" spans="2:11" x14ac:dyDescent="0.25">
      <c r="B473" t="s">
        <v>410</v>
      </c>
      <c r="C473" s="90" t="str">
        <f>VLOOKUP(Tableau4[[#This Row],[Réf matériel]],Tableau3[],2,FALSE)</f>
        <v>Clé plate 10</v>
      </c>
      <c r="D473" s="90">
        <f>VLOOKUP(Tableau4[[#This Row],[Réf matériel]],Tableau3[],3,FALSE)</f>
        <v>3.32</v>
      </c>
      <c r="E473" t="s">
        <v>367</v>
      </c>
      <c r="F473" s="90" t="str">
        <f>VLOOKUP(Tableau4[[#This Row],[Matricule]],Tableau1[],2,FALSE)</f>
        <v>SALHI</v>
      </c>
      <c r="G473" s="90" t="str">
        <f>VLOOKUP(Tableau4[[#This Row],[Matricule]],Tableau1[],3,FALSE)</f>
        <v>Lahcene</v>
      </c>
      <c r="H473" s="90" t="str">
        <f>VLOOKUP(Tableau4[[#This Row],[Matricule]],Tableau1[],4,FALSE)</f>
        <v>ELEC</v>
      </c>
      <c r="I473" s="88">
        <v>43511</v>
      </c>
      <c r="J473" t="s">
        <v>380</v>
      </c>
      <c r="K473" s="90">
        <f>IF(Tableau4[[#This Row],[État]]="Remis",1,0)</f>
        <v>1</v>
      </c>
    </row>
    <row r="474" spans="2:11" x14ac:dyDescent="0.25">
      <c r="B474" t="s">
        <v>410</v>
      </c>
      <c r="C474" s="90" t="str">
        <f>VLOOKUP(Tableau4[[#This Row],[Réf matériel]],Tableau3[],2,FALSE)</f>
        <v>Clé plate 10</v>
      </c>
      <c r="D474" s="90">
        <f>VLOOKUP(Tableau4[[#This Row],[Réf matériel]],Tableau3[],3,FALSE)</f>
        <v>3.32</v>
      </c>
      <c r="E474" t="s">
        <v>367</v>
      </c>
      <c r="F474" s="90" t="str">
        <f>VLOOKUP(Tableau4[[#This Row],[Matricule]],Tableau1[],2,FALSE)</f>
        <v>SALHI</v>
      </c>
      <c r="G474" s="90" t="str">
        <f>VLOOKUP(Tableau4[[#This Row],[Matricule]],Tableau1[],3,FALSE)</f>
        <v>Lahcene</v>
      </c>
      <c r="H474" s="90" t="str">
        <f>VLOOKUP(Tableau4[[#This Row],[Matricule]],Tableau1[],4,FALSE)</f>
        <v>ELEC</v>
      </c>
      <c r="I474" s="88">
        <v>43511</v>
      </c>
      <c r="J474" t="s">
        <v>381</v>
      </c>
      <c r="K474" s="90">
        <f>IF(Tableau4[[#This Row],[État]]="Remis",1,0)</f>
        <v>0</v>
      </c>
    </row>
    <row r="475" spans="2:11" x14ac:dyDescent="0.25">
      <c r="B475" t="s">
        <v>412</v>
      </c>
      <c r="C475" s="90" t="str">
        <f>VLOOKUP(Tableau4[[#This Row],[Réf matériel]],Tableau3[],2,FALSE)</f>
        <v>Clé plate 13</v>
      </c>
      <c r="D475" s="90">
        <f>VLOOKUP(Tableau4[[#This Row],[Réf matériel]],Tableau3[],3,FALSE)</f>
        <v>3.91</v>
      </c>
      <c r="E475" t="s">
        <v>367</v>
      </c>
      <c r="F475" s="90" t="str">
        <f>VLOOKUP(Tableau4[[#This Row],[Matricule]],Tableau1[],2,FALSE)</f>
        <v>SALHI</v>
      </c>
      <c r="G475" s="90" t="str">
        <f>VLOOKUP(Tableau4[[#This Row],[Matricule]],Tableau1[],3,FALSE)</f>
        <v>Lahcene</v>
      </c>
      <c r="H475" s="90" t="str">
        <f>VLOOKUP(Tableau4[[#This Row],[Matricule]],Tableau1[],4,FALSE)</f>
        <v>ELEC</v>
      </c>
      <c r="I475" s="88">
        <v>43511</v>
      </c>
      <c r="J475" t="s">
        <v>380</v>
      </c>
      <c r="K475" s="90">
        <f>IF(Tableau4[[#This Row],[État]]="Remis",1,0)</f>
        <v>1</v>
      </c>
    </row>
    <row r="476" spans="2:11" x14ac:dyDescent="0.25">
      <c r="B476" t="s">
        <v>412</v>
      </c>
      <c r="C476" s="90" t="str">
        <f>VLOOKUP(Tableau4[[#This Row],[Réf matériel]],Tableau3[],2,FALSE)</f>
        <v>Clé plate 13</v>
      </c>
      <c r="D476" s="90">
        <f>VLOOKUP(Tableau4[[#This Row],[Réf matériel]],Tableau3[],3,FALSE)</f>
        <v>3.91</v>
      </c>
      <c r="E476" t="s">
        <v>367</v>
      </c>
      <c r="F476" s="90" t="str">
        <f>VLOOKUP(Tableau4[[#This Row],[Matricule]],Tableau1[],2,FALSE)</f>
        <v>SALHI</v>
      </c>
      <c r="G476" s="90" t="str">
        <f>VLOOKUP(Tableau4[[#This Row],[Matricule]],Tableau1[],3,FALSE)</f>
        <v>Lahcene</v>
      </c>
      <c r="H476" s="90" t="str">
        <f>VLOOKUP(Tableau4[[#This Row],[Matricule]],Tableau1[],4,FALSE)</f>
        <v>ELEC</v>
      </c>
      <c r="I476" s="88">
        <v>43511</v>
      </c>
      <c r="J476" t="s">
        <v>381</v>
      </c>
      <c r="K476" s="90">
        <f>IF(Tableau4[[#This Row],[État]]="Remis",1,0)</f>
        <v>0</v>
      </c>
    </row>
    <row r="477" spans="2:11" x14ac:dyDescent="0.25">
      <c r="B477" t="s">
        <v>67</v>
      </c>
      <c r="C477" s="90" t="str">
        <f>VLOOKUP(Tableau4[[#This Row],[Réf matériel]],Tableau3[],2,FALSE)</f>
        <v>Cutter</v>
      </c>
      <c r="D477" s="90">
        <f>VLOOKUP(Tableau4[[#This Row],[Réf matériel]],Tableau3[],3,FALSE)</f>
        <v>4.8499999999999996</v>
      </c>
      <c r="E477" t="s">
        <v>367</v>
      </c>
      <c r="F477" s="90" t="str">
        <f>VLOOKUP(Tableau4[[#This Row],[Matricule]],Tableau1[],2,FALSE)</f>
        <v>SALHI</v>
      </c>
      <c r="G477" s="90" t="str">
        <f>VLOOKUP(Tableau4[[#This Row],[Matricule]],Tableau1[],3,FALSE)</f>
        <v>Lahcene</v>
      </c>
      <c r="H477" s="90" t="str">
        <f>VLOOKUP(Tableau4[[#This Row],[Matricule]],Tableau1[],4,FALSE)</f>
        <v>ELEC</v>
      </c>
      <c r="I477" s="88">
        <v>43511</v>
      </c>
      <c r="J477" t="s">
        <v>380</v>
      </c>
      <c r="K477" s="90">
        <f>IF(Tableau4[[#This Row],[État]]="Remis",1,0)</f>
        <v>1</v>
      </c>
    </row>
    <row r="478" spans="2:11" x14ac:dyDescent="0.25">
      <c r="B478" t="s">
        <v>67</v>
      </c>
      <c r="C478" s="90" t="str">
        <f>VLOOKUP(Tableau4[[#This Row],[Réf matériel]],Tableau3[],2,FALSE)</f>
        <v>Cutter</v>
      </c>
      <c r="D478" s="90">
        <f>VLOOKUP(Tableau4[[#This Row],[Réf matériel]],Tableau3[],3,FALSE)</f>
        <v>4.8499999999999996</v>
      </c>
      <c r="E478" t="s">
        <v>367</v>
      </c>
      <c r="F478" s="90" t="str">
        <f>VLOOKUP(Tableau4[[#This Row],[Matricule]],Tableau1[],2,FALSE)</f>
        <v>SALHI</v>
      </c>
      <c r="G478" s="90" t="str">
        <f>VLOOKUP(Tableau4[[#This Row],[Matricule]],Tableau1[],3,FALSE)</f>
        <v>Lahcene</v>
      </c>
      <c r="H478" s="90" t="str">
        <f>VLOOKUP(Tableau4[[#This Row],[Matricule]],Tableau1[],4,FALSE)</f>
        <v>ELEC</v>
      </c>
      <c r="I478" s="88">
        <v>43511</v>
      </c>
      <c r="J478" t="s">
        <v>381</v>
      </c>
      <c r="K478" s="90">
        <f>IF(Tableau4[[#This Row],[État]]="Remis",1,0)</f>
        <v>0</v>
      </c>
    </row>
    <row r="479" spans="2:11" x14ac:dyDescent="0.25">
      <c r="B479" t="s">
        <v>420</v>
      </c>
      <c r="C479" s="90" t="str">
        <f>VLOOKUP(Tableau4[[#This Row],[Réf matériel]],Tableau3[],2,FALSE)</f>
        <v>Clé allen</v>
      </c>
      <c r="D479" s="90">
        <f>VLOOKUP(Tableau4[[#This Row],[Réf matériel]],Tableau3[],3,FALSE)</f>
        <v>27.5</v>
      </c>
      <c r="E479" t="s">
        <v>367</v>
      </c>
      <c r="F479" s="90" t="str">
        <f>VLOOKUP(Tableau4[[#This Row],[Matricule]],Tableau1[],2,FALSE)</f>
        <v>SALHI</v>
      </c>
      <c r="G479" s="90" t="str">
        <f>VLOOKUP(Tableau4[[#This Row],[Matricule]],Tableau1[],3,FALSE)</f>
        <v>Lahcene</v>
      </c>
      <c r="H479" s="90" t="str">
        <f>VLOOKUP(Tableau4[[#This Row],[Matricule]],Tableau1[],4,FALSE)</f>
        <v>ELEC</v>
      </c>
      <c r="I479" s="88">
        <v>43511</v>
      </c>
      <c r="J479" t="s">
        <v>380</v>
      </c>
      <c r="K479" s="90">
        <f>IF(Tableau4[[#This Row],[État]]="Remis",1,0)</f>
        <v>1</v>
      </c>
    </row>
    <row r="480" spans="2:11" x14ac:dyDescent="0.25">
      <c r="B480" t="s">
        <v>420</v>
      </c>
      <c r="C480" s="90" t="str">
        <f>VLOOKUP(Tableau4[[#This Row],[Réf matériel]],Tableau3[],2,FALSE)</f>
        <v>Clé allen</v>
      </c>
      <c r="D480" s="90">
        <f>VLOOKUP(Tableau4[[#This Row],[Réf matériel]],Tableau3[],3,FALSE)</f>
        <v>27.5</v>
      </c>
      <c r="E480" t="s">
        <v>367</v>
      </c>
      <c r="F480" s="90" t="str">
        <f>VLOOKUP(Tableau4[[#This Row],[Matricule]],Tableau1[],2,FALSE)</f>
        <v>SALHI</v>
      </c>
      <c r="G480" s="90" t="str">
        <f>VLOOKUP(Tableau4[[#This Row],[Matricule]],Tableau1[],3,FALSE)</f>
        <v>Lahcene</v>
      </c>
      <c r="H480" s="90" t="str">
        <f>VLOOKUP(Tableau4[[#This Row],[Matricule]],Tableau1[],4,FALSE)</f>
        <v>ELEC</v>
      </c>
      <c r="I480" s="88">
        <v>43511</v>
      </c>
      <c r="J480" t="s">
        <v>381</v>
      </c>
      <c r="K480" s="90">
        <f>IF(Tableau4[[#This Row],[État]]="Remis",1,0)</f>
        <v>0</v>
      </c>
    </row>
    <row r="481" spans="2:11" x14ac:dyDescent="0.25">
      <c r="B481" t="s">
        <v>438</v>
      </c>
      <c r="C481" s="90" t="str">
        <f>VLOOKUP(Tableau4[[#This Row],[Réf matériel]],Tableau3[],2,FALSE)</f>
        <v>Outil à dégainer</v>
      </c>
      <c r="D481" s="90">
        <f>VLOOKUP(Tableau4[[#This Row],[Réf matériel]],Tableau3[],3,FALSE)</f>
        <v>20.5</v>
      </c>
      <c r="E481" t="s">
        <v>367</v>
      </c>
      <c r="F481" s="90" t="str">
        <f>VLOOKUP(Tableau4[[#This Row],[Matricule]],Tableau1[],2,FALSE)</f>
        <v>SALHI</v>
      </c>
      <c r="G481" s="90" t="str">
        <f>VLOOKUP(Tableau4[[#This Row],[Matricule]],Tableau1[],3,FALSE)</f>
        <v>Lahcene</v>
      </c>
      <c r="H481" s="90" t="str">
        <f>VLOOKUP(Tableau4[[#This Row],[Matricule]],Tableau1[],4,FALSE)</f>
        <v>ELEC</v>
      </c>
      <c r="I481" s="88">
        <v>43511</v>
      </c>
      <c r="J481" t="s">
        <v>380</v>
      </c>
      <c r="K481" s="90">
        <f>IF(Tableau4[[#This Row],[État]]="Remis",1,0)</f>
        <v>1</v>
      </c>
    </row>
    <row r="482" spans="2:11" x14ac:dyDescent="0.25">
      <c r="B482" t="s">
        <v>438</v>
      </c>
      <c r="C482" s="90" t="str">
        <f>VLOOKUP(Tableau4[[#This Row],[Réf matériel]],Tableau3[],2,FALSE)</f>
        <v>Outil à dégainer</v>
      </c>
      <c r="D482" s="90">
        <f>VLOOKUP(Tableau4[[#This Row],[Réf matériel]],Tableau3[],3,FALSE)</f>
        <v>20.5</v>
      </c>
      <c r="E482" t="s">
        <v>367</v>
      </c>
      <c r="F482" s="90" t="str">
        <f>VLOOKUP(Tableau4[[#This Row],[Matricule]],Tableau1[],2,FALSE)</f>
        <v>SALHI</v>
      </c>
      <c r="G482" s="90" t="str">
        <f>VLOOKUP(Tableau4[[#This Row],[Matricule]],Tableau1[],3,FALSE)</f>
        <v>Lahcene</v>
      </c>
      <c r="H482" s="90" t="str">
        <f>VLOOKUP(Tableau4[[#This Row],[Matricule]],Tableau1[],4,FALSE)</f>
        <v>ELEC</v>
      </c>
      <c r="I482" s="88">
        <v>43511</v>
      </c>
      <c r="J482" t="s">
        <v>381</v>
      </c>
      <c r="K482" s="90">
        <f>IF(Tableau4[[#This Row],[État]]="Remis",1,0)</f>
        <v>0</v>
      </c>
    </row>
    <row r="483" spans="2:11" x14ac:dyDescent="0.25">
      <c r="B483" t="s">
        <v>399</v>
      </c>
      <c r="C483" s="90" t="str">
        <f>VLOOKUP(Tableau4[[#This Row],[Réf matériel]],Tableau3[],2,FALSE)</f>
        <v>Boite embouts</v>
      </c>
      <c r="D483" s="90">
        <f>VLOOKUP(Tableau4[[#This Row],[Réf matériel]],Tableau3[],3,FALSE)</f>
        <v>27.61</v>
      </c>
      <c r="E483" t="s">
        <v>367</v>
      </c>
      <c r="F483" s="90" t="str">
        <f>VLOOKUP(Tableau4[[#This Row],[Matricule]],Tableau1[],2,FALSE)</f>
        <v>SALHI</v>
      </c>
      <c r="G483" s="90" t="str">
        <f>VLOOKUP(Tableau4[[#This Row],[Matricule]],Tableau1[],3,FALSE)</f>
        <v>Lahcene</v>
      </c>
      <c r="H483" s="90" t="str">
        <f>VLOOKUP(Tableau4[[#This Row],[Matricule]],Tableau1[],4,FALSE)</f>
        <v>ELEC</v>
      </c>
      <c r="I483" s="88">
        <v>43636</v>
      </c>
      <c r="J483" t="s">
        <v>380</v>
      </c>
      <c r="K483" s="90">
        <f>IF(Tableau4[[#This Row],[État]]="Remis",1,0)</f>
        <v>1</v>
      </c>
    </row>
    <row r="484" spans="2:11" x14ac:dyDescent="0.25">
      <c r="B484" t="s">
        <v>399</v>
      </c>
      <c r="C484" s="90" t="str">
        <f>VLOOKUP(Tableau4[[#This Row],[Réf matériel]],Tableau3[],2,FALSE)</f>
        <v>Boite embouts</v>
      </c>
      <c r="D484" s="90">
        <f>VLOOKUP(Tableau4[[#This Row],[Réf matériel]],Tableau3[],3,FALSE)</f>
        <v>27.61</v>
      </c>
      <c r="E484" t="s">
        <v>367</v>
      </c>
      <c r="F484" s="90" t="str">
        <f>VLOOKUP(Tableau4[[#This Row],[Matricule]],Tableau1[],2,FALSE)</f>
        <v>SALHI</v>
      </c>
      <c r="G484" s="90" t="str">
        <f>VLOOKUP(Tableau4[[#This Row],[Matricule]],Tableau1[],3,FALSE)</f>
        <v>Lahcene</v>
      </c>
      <c r="H484" s="90" t="str">
        <f>VLOOKUP(Tableau4[[#This Row],[Matricule]],Tableau1[],4,FALSE)</f>
        <v>ELEC</v>
      </c>
      <c r="I484" s="88">
        <v>43636</v>
      </c>
      <c r="J484" t="s">
        <v>381</v>
      </c>
      <c r="K484" s="90">
        <f>IF(Tableau4[[#This Row],[État]]="Remis",1,0)</f>
        <v>0</v>
      </c>
    </row>
    <row r="485" spans="2:11" x14ac:dyDescent="0.25">
      <c r="B485" t="s">
        <v>75</v>
      </c>
      <c r="C485" s="90" t="str">
        <f>VLOOKUP(Tableau4[[#This Row],[Réf matériel]],Tableau3[],2,FALSE)</f>
        <v>Lampe frontale</v>
      </c>
      <c r="D485" s="90">
        <f>VLOOKUP(Tableau4[[#This Row],[Réf matériel]],Tableau3[],3,FALSE)</f>
        <v>42.5</v>
      </c>
      <c r="E485" t="s">
        <v>367</v>
      </c>
      <c r="F485" s="90" t="str">
        <f>VLOOKUP(Tableau4[[#This Row],[Matricule]],Tableau1[],2,FALSE)</f>
        <v>SALHI</v>
      </c>
      <c r="G485" s="90" t="str">
        <f>VLOOKUP(Tableau4[[#This Row],[Matricule]],Tableau1[],3,FALSE)</f>
        <v>Lahcene</v>
      </c>
      <c r="H485" s="90" t="str">
        <f>VLOOKUP(Tableau4[[#This Row],[Matricule]],Tableau1[],4,FALSE)</f>
        <v>ELEC</v>
      </c>
      <c r="I485" s="88">
        <v>43564</v>
      </c>
      <c r="J485" t="s">
        <v>380</v>
      </c>
      <c r="K485" s="90">
        <f>IF(Tableau4[[#This Row],[État]]="Remis",1,0)</f>
        <v>1</v>
      </c>
    </row>
    <row r="486" spans="2:11" x14ac:dyDescent="0.25">
      <c r="B486" t="s">
        <v>75</v>
      </c>
      <c r="C486" s="90" t="str">
        <f>VLOOKUP(Tableau4[[#This Row],[Réf matériel]],Tableau3[],2,FALSE)</f>
        <v>Lampe frontale</v>
      </c>
      <c r="D486" s="90">
        <f>VLOOKUP(Tableau4[[#This Row],[Réf matériel]],Tableau3[],3,FALSE)</f>
        <v>42.5</v>
      </c>
      <c r="E486" t="s">
        <v>367</v>
      </c>
      <c r="F486" s="90" t="str">
        <f>VLOOKUP(Tableau4[[#This Row],[Matricule]],Tableau1[],2,FALSE)</f>
        <v>SALHI</v>
      </c>
      <c r="G486" s="90" t="str">
        <f>VLOOKUP(Tableau4[[#This Row],[Matricule]],Tableau1[],3,FALSE)</f>
        <v>Lahcene</v>
      </c>
      <c r="H486" s="90" t="str">
        <f>VLOOKUP(Tableau4[[#This Row],[Matricule]],Tableau1[],4,FALSE)</f>
        <v>ELEC</v>
      </c>
      <c r="I486" s="88">
        <v>43564</v>
      </c>
      <c r="J486" t="s">
        <v>381</v>
      </c>
      <c r="K486" s="90">
        <f>IF(Tableau4[[#This Row],[État]]="Remis",1,0)</f>
        <v>0</v>
      </c>
    </row>
    <row r="487" spans="2:11" x14ac:dyDescent="0.25">
      <c r="B487" t="s">
        <v>393</v>
      </c>
      <c r="C487" s="90" t="str">
        <f>VLOOKUP(Tableau4[[#This Row],[Réf matériel]],Tableau3[],2,FALSE)</f>
        <v>Clé à molette</v>
      </c>
      <c r="D487" s="90">
        <f>VLOOKUP(Tableau4[[#This Row],[Réf matériel]],Tableau3[],3,FALSE)</f>
        <v>16.12</v>
      </c>
      <c r="E487" t="s">
        <v>367</v>
      </c>
      <c r="F487" s="90" t="str">
        <f>VLOOKUP(Tableau4[[#This Row],[Matricule]],Tableau1[],2,FALSE)</f>
        <v>SALHI</v>
      </c>
      <c r="G487" s="90" t="str">
        <f>VLOOKUP(Tableau4[[#This Row],[Matricule]],Tableau1[],3,FALSE)</f>
        <v>Lahcene</v>
      </c>
      <c r="H487" s="90" t="str">
        <f>VLOOKUP(Tableau4[[#This Row],[Matricule]],Tableau1[],4,FALSE)</f>
        <v>ELEC</v>
      </c>
      <c r="I487" s="88">
        <v>43511</v>
      </c>
      <c r="J487" s="98" t="s">
        <v>380</v>
      </c>
      <c r="K487" s="90">
        <f>IF(Tableau4[[#This Row],[État]]="Remis",1,0)</f>
        <v>1</v>
      </c>
    </row>
    <row r="488" spans="2:11" x14ac:dyDescent="0.25">
      <c r="B488" t="s">
        <v>278</v>
      </c>
      <c r="C488" s="90" t="str">
        <f>VLOOKUP(Tableau4[[#This Row],[Réf matériel]],Tableau3[],2,FALSE)</f>
        <v>Pince à dénuder</v>
      </c>
      <c r="D488" s="90">
        <f>VLOOKUP(Tableau4[[#This Row],[Réf matériel]],Tableau3[],3,FALSE)</f>
        <v>24.55</v>
      </c>
      <c r="E488" t="s">
        <v>367</v>
      </c>
      <c r="F488" s="90" t="str">
        <f>VLOOKUP(Tableau4[[#This Row],[Matricule]],Tableau1[],2,FALSE)</f>
        <v>SALHI</v>
      </c>
      <c r="G488" s="90" t="str">
        <f>VLOOKUP(Tableau4[[#This Row],[Matricule]],Tableau1[],3,FALSE)</f>
        <v>Lahcene</v>
      </c>
      <c r="H488" s="90" t="str">
        <f>VLOOKUP(Tableau4[[#This Row],[Matricule]],Tableau1[],4,FALSE)</f>
        <v>ELEC</v>
      </c>
      <c r="I488" s="88">
        <v>43626</v>
      </c>
      <c r="J488" s="98" t="s">
        <v>380</v>
      </c>
      <c r="K488" s="90">
        <f>IF(Tableau4[[#This Row],[État]]="Remis",1,0)</f>
        <v>1</v>
      </c>
    </row>
    <row r="489" spans="2:11" x14ac:dyDescent="0.25">
      <c r="B489" t="s">
        <v>279</v>
      </c>
      <c r="C489" s="90" t="str">
        <f>VLOOKUP(Tableau4[[#This Row],[Réf matériel]],Tableau3[],2,FALSE)</f>
        <v>lime demi ronde</v>
      </c>
      <c r="D489" s="90">
        <f>VLOOKUP(Tableau4[[#This Row],[Réf matériel]],Tableau3[],3,FALSE)</f>
        <v>7.59</v>
      </c>
      <c r="E489" t="s">
        <v>367</v>
      </c>
      <c r="F489" s="90" t="str">
        <f>VLOOKUP(Tableau4[[#This Row],[Matricule]],Tableau1[],2,FALSE)</f>
        <v>SALHI</v>
      </c>
      <c r="G489" s="90" t="str">
        <f>VLOOKUP(Tableau4[[#This Row],[Matricule]],Tableau1[],3,FALSE)</f>
        <v>Lahcene</v>
      </c>
      <c r="H489" s="90" t="str">
        <f>VLOOKUP(Tableau4[[#This Row],[Matricule]],Tableau1[],4,FALSE)</f>
        <v>ELEC</v>
      </c>
      <c r="I489" s="88">
        <v>43636</v>
      </c>
      <c r="J489" s="98" t="s">
        <v>380</v>
      </c>
      <c r="K489" s="90">
        <f>IF(Tableau4[[#This Row],[État]]="Remis",1,0)</f>
        <v>1</v>
      </c>
    </row>
    <row r="490" spans="2:11" x14ac:dyDescent="0.25">
      <c r="B490" t="s">
        <v>281</v>
      </c>
      <c r="C490" s="90" t="str">
        <f>VLOOKUP(Tableau4[[#This Row],[Réf matériel]],Tableau3[],2,FALSE)</f>
        <v>Scie à métaux</v>
      </c>
      <c r="D490" s="90">
        <f>VLOOKUP(Tableau4[[#This Row],[Réf matériel]],Tableau3[],3,FALSE)</f>
        <v>11.26</v>
      </c>
      <c r="E490" t="s">
        <v>367</v>
      </c>
      <c r="F490" s="90" t="str">
        <f>VLOOKUP(Tableau4[[#This Row],[Matricule]],Tableau1[],2,FALSE)</f>
        <v>SALHI</v>
      </c>
      <c r="G490" s="90" t="str">
        <f>VLOOKUP(Tableau4[[#This Row],[Matricule]],Tableau1[],3,FALSE)</f>
        <v>Lahcene</v>
      </c>
      <c r="H490" s="90" t="str">
        <f>VLOOKUP(Tableau4[[#This Row],[Matricule]],Tableau1[],4,FALSE)</f>
        <v>ELEC</v>
      </c>
      <c r="I490" s="88">
        <v>43511</v>
      </c>
      <c r="J490" t="s">
        <v>380</v>
      </c>
      <c r="K490" s="90">
        <f>IF(Tableau4[[#This Row],[État]]="Remis",1,0)</f>
        <v>1</v>
      </c>
    </row>
    <row r="491" spans="2:11" x14ac:dyDescent="0.25">
      <c r="B491" t="s">
        <v>51</v>
      </c>
      <c r="C491" s="90" t="str">
        <f>VLOOKUP(Tableau4[[#This Row],[Réf matériel]],Tableau3[],2,FALSE)</f>
        <v>Mètre pliant</v>
      </c>
      <c r="D491" s="90">
        <f>VLOOKUP(Tableau4[[#This Row],[Réf matériel]],Tableau3[],3,FALSE)</f>
        <v>3.2</v>
      </c>
      <c r="E491" t="s">
        <v>367</v>
      </c>
      <c r="F491" s="90" t="str">
        <f>VLOOKUP(Tableau4[[#This Row],[Matricule]],Tableau1[],2,FALSE)</f>
        <v>SALHI</v>
      </c>
      <c r="G491" s="90" t="str">
        <f>VLOOKUP(Tableau4[[#This Row],[Matricule]],Tableau1[],3,FALSE)</f>
        <v>Lahcene</v>
      </c>
      <c r="H491" s="90" t="str">
        <f>VLOOKUP(Tableau4[[#This Row],[Matricule]],Tableau1[],4,FALSE)</f>
        <v>ELEC</v>
      </c>
      <c r="I491" s="88">
        <v>43511</v>
      </c>
      <c r="J491" t="s">
        <v>380</v>
      </c>
      <c r="K491" s="90">
        <f>IF(Tableau4[[#This Row],[État]]="Remis",1,0)</f>
        <v>1</v>
      </c>
    </row>
    <row r="492" spans="2:11" x14ac:dyDescent="0.25">
      <c r="B492" t="s">
        <v>395</v>
      </c>
      <c r="C492" s="90" t="str">
        <f>VLOOKUP(Tableau4[[#This Row],[Réf matériel]],Tableau3[],2,FALSE)</f>
        <v>Burin plat</v>
      </c>
      <c r="D492" s="90">
        <f>VLOOKUP(Tableau4[[#This Row],[Réf matériel]],Tableau3[],3,FALSE)</f>
        <v>11.89</v>
      </c>
      <c r="E492" t="s">
        <v>367</v>
      </c>
      <c r="F492" s="90" t="str">
        <f>VLOOKUP(Tableau4[[#This Row],[Matricule]],Tableau1[],2,FALSE)</f>
        <v>SALHI</v>
      </c>
      <c r="G492" s="90" t="str">
        <f>VLOOKUP(Tableau4[[#This Row],[Matricule]],Tableau1[],3,FALSE)</f>
        <v>Lahcene</v>
      </c>
      <c r="H492" s="90" t="str">
        <f>VLOOKUP(Tableau4[[#This Row],[Matricule]],Tableau1[],4,FALSE)</f>
        <v>ELEC</v>
      </c>
      <c r="I492" s="88">
        <v>43511</v>
      </c>
      <c r="J492" t="s">
        <v>380</v>
      </c>
      <c r="K492" s="90">
        <f>IF(Tableau4[[#This Row],[État]]="Remis",1,0)</f>
        <v>1</v>
      </c>
    </row>
    <row r="493" spans="2:11" x14ac:dyDescent="0.25">
      <c r="B493" t="s">
        <v>401</v>
      </c>
      <c r="C493" s="90" t="str">
        <f>VLOOKUP(Tableau4[[#This Row],[Réf matériel]],Tableau3[],2,FALSE)</f>
        <v>Burin pointu</v>
      </c>
      <c r="D493" s="90">
        <f>VLOOKUP(Tableau4[[#This Row],[Réf matériel]],Tableau3[],3,FALSE)</f>
        <v>8.7200000000000006</v>
      </c>
      <c r="E493" t="s">
        <v>367</v>
      </c>
      <c r="F493" s="90" t="str">
        <f>VLOOKUP(Tableau4[[#This Row],[Matricule]],Tableau1[],2,FALSE)</f>
        <v>SALHI</v>
      </c>
      <c r="G493" s="90" t="str">
        <f>VLOOKUP(Tableau4[[#This Row],[Matricule]],Tableau1[],3,FALSE)</f>
        <v>Lahcene</v>
      </c>
      <c r="H493" s="90" t="str">
        <f>VLOOKUP(Tableau4[[#This Row],[Matricule]],Tableau1[],4,FALSE)</f>
        <v>ELEC</v>
      </c>
      <c r="I493" s="88">
        <v>43511</v>
      </c>
      <c r="J493" t="s">
        <v>380</v>
      </c>
      <c r="K493" s="90">
        <f>IF(Tableau4[[#This Row],[État]]="Remis",1,0)</f>
        <v>1</v>
      </c>
    </row>
    <row r="494" spans="2:11" x14ac:dyDescent="0.25">
      <c r="B494" t="s">
        <v>396</v>
      </c>
      <c r="C494" s="90" t="str">
        <f>VLOOKUP(Tableau4[[#This Row],[Réf matériel]],Tableau3[],2,FALSE)</f>
        <v>Massette</v>
      </c>
      <c r="D494" s="90">
        <f>VLOOKUP(Tableau4[[#This Row],[Réf matériel]],Tableau3[],3,FALSE)</f>
        <v>15.14</v>
      </c>
      <c r="E494" t="s">
        <v>367</v>
      </c>
      <c r="F494" s="90" t="str">
        <f>VLOOKUP(Tableau4[[#This Row],[Matricule]],Tableau1[],2,FALSE)</f>
        <v>SALHI</v>
      </c>
      <c r="G494" s="90" t="str">
        <f>VLOOKUP(Tableau4[[#This Row],[Matricule]],Tableau1[],3,FALSE)</f>
        <v>Lahcene</v>
      </c>
      <c r="H494" s="90" t="str">
        <f>VLOOKUP(Tableau4[[#This Row],[Matricule]],Tableau1[],4,FALSE)</f>
        <v>ELEC</v>
      </c>
      <c r="I494" s="88">
        <v>43511</v>
      </c>
      <c r="J494" t="s">
        <v>380</v>
      </c>
      <c r="K494" s="90">
        <f>IF(Tableau4[[#This Row],[État]]="Remis",1,0)</f>
        <v>1</v>
      </c>
    </row>
    <row r="495" spans="2:11" x14ac:dyDescent="0.25">
      <c r="B495" t="s">
        <v>55</v>
      </c>
      <c r="C495" s="90" t="str">
        <f>VLOOKUP(Tableau4[[#This Row],[Réf matériel]],Tableau3[],2,FALSE)</f>
        <v>Niveau</v>
      </c>
      <c r="D495" s="90">
        <f>VLOOKUP(Tableau4[[#This Row],[Réf matériel]],Tableau3[],3,FALSE)</f>
        <v>15</v>
      </c>
      <c r="E495" t="s">
        <v>367</v>
      </c>
      <c r="F495" s="90" t="str">
        <f>VLOOKUP(Tableau4[[#This Row],[Matricule]],Tableau1[],2,FALSE)</f>
        <v>SALHI</v>
      </c>
      <c r="G495" s="90" t="str">
        <f>VLOOKUP(Tableau4[[#This Row],[Matricule]],Tableau1[],3,FALSE)</f>
        <v>Lahcene</v>
      </c>
      <c r="H495" s="90" t="str">
        <f>VLOOKUP(Tableau4[[#This Row],[Matricule]],Tableau1[],4,FALSE)</f>
        <v>ELEC</v>
      </c>
      <c r="I495" s="88">
        <v>43511</v>
      </c>
      <c r="J495" t="s">
        <v>380</v>
      </c>
      <c r="K495" s="90">
        <f>IF(Tableau4[[#This Row],[État]]="Remis",1,0)</f>
        <v>1</v>
      </c>
    </row>
    <row r="496" spans="2:11" x14ac:dyDescent="0.25">
      <c r="B496" t="s">
        <v>397</v>
      </c>
      <c r="C496" s="90" t="str">
        <f>VLOOKUP(Tableau4[[#This Row],[Réf matériel]],Tableau3[],2,FALSE)</f>
        <v>Pince étau</v>
      </c>
      <c r="D496" s="90">
        <f>VLOOKUP(Tableau4[[#This Row],[Réf matériel]],Tableau3[],3,FALSE)</f>
        <v>16.02</v>
      </c>
      <c r="E496" t="s">
        <v>367</v>
      </c>
      <c r="F496" s="90" t="str">
        <f>VLOOKUP(Tableau4[[#This Row],[Matricule]],Tableau1[],2,FALSE)</f>
        <v>SALHI</v>
      </c>
      <c r="G496" s="90" t="str">
        <f>VLOOKUP(Tableau4[[#This Row],[Matricule]],Tableau1[],3,FALSE)</f>
        <v>Lahcene</v>
      </c>
      <c r="H496" s="90" t="str">
        <f>VLOOKUP(Tableau4[[#This Row],[Matricule]],Tableau1[],4,FALSE)</f>
        <v>ELEC</v>
      </c>
      <c r="I496" s="88">
        <v>43511</v>
      </c>
      <c r="J496" t="s">
        <v>380</v>
      </c>
      <c r="K496" s="90">
        <f>IF(Tableau4[[#This Row],[État]]="Remis",1,0)</f>
        <v>1</v>
      </c>
    </row>
    <row r="497" spans="2:11" x14ac:dyDescent="0.25">
      <c r="B497" t="s">
        <v>398</v>
      </c>
      <c r="C497" s="90" t="str">
        <f>VLOOKUP(Tableau4[[#This Row],[Réf matériel]],Tableau3[],2,FALSE)</f>
        <v>Coffret douilles</v>
      </c>
      <c r="D497" s="90">
        <f>VLOOKUP(Tableau4[[#This Row],[Réf matériel]],Tableau3[],3,FALSE)</f>
        <v>103.22</v>
      </c>
      <c r="E497" t="s">
        <v>367</v>
      </c>
      <c r="F497" s="90" t="str">
        <f>VLOOKUP(Tableau4[[#This Row],[Matricule]],Tableau1[],2,FALSE)</f>
        <v>SALHI</v>
      </c>
      <c r="G497" s="90" t="str">
        <f>VLOOKUP(Tableau4[[#This Row],[Matricule]],Tableau1[],3,FALSE)</f>
        <v>Lahcene</v>
      </c>
      <c r="H497" s="90" t="str">
        <f>VLOOKUP(Tableau4[[#This Row],[Matricule]],Tableau1[],4,FALSE)</f>
        <v>ELEC</v>
      </c>
      <c r="I497" s="88">
        <v>43511</v>
      </c>
      <c r="J497" t="s">
        <v>380</v>
      </c>
      <c r="K497" s="90">
        <f>IF(Tableau4[[#This Row],[État]]="Remis",1,0)</f>
        <v>1</v>
      </c>
    </row>
    <row r="498" spans="2:11" x14ac:dyDescent="0.25">
      <c r="B498" t="s">
        <v>408</v>
      </c>
      <c r="C498" s="90" t="str">
        <f>VLOOKUP(Tableau4[[#This Row],[Réf matériel]],Tableau3[],2,FALSE)</f>
        <v>Clé à pipe 17</v>
      </c>
      <c r="D498" s="90">
        <f>VLOOKUP(Tableau4[[#This Row],[Réf matériel]],Tableau3[],3,FALSE)</f>
        <v>9.36</v>
      </c>
      <c r="E498" t="s">
        <v>367</v>
      </c>
      <c r="F498" s="90" t="str">
        <f>VLOOKUP(Tableau4[[#This Row],[Matricule]],Tableau1[],2,FALSE)</f>
        <v>SALHI</v>
      </c>
      <c r="G498" s="90" t="str">
        <f>VLOOKUP(Tableau4[[#This Row],[Matricule]],Tableau1[],3,FALSE)</f>
        <v>Lahcene</v>
      </c>
      <c r="H498" s="90" t="str">
        <f>VLOOKUP(Tableau4[[#This Row],[Matricule]],Tableau1[],4,FALSE)</f>
        <v>ELEC</v>
      </c>
      <c r="I498" s="88">
        <v>43511</v>
      </c>
      <c r="J498" t="s">
        <v>380</v>
      </c>
      <c r="K498" s="90">
        <f>IF(Tableau4[[#This Row],[État]]="Remis",1,0)</f>
        <v>1</v>
      </c>
    </row>
    <row r="499" spans="2:11" x14ac:dyDescent="0.25">
      <c r="B499" t="s">
        <v>409</v>
      </c>
      <c r="C499" s="90" t="str">
        <f>VLOOKUP(Tableau4[[#This Row],[Réf matériel]],Tableau3[],2,FALSE)</f>
        <v>Clé à pipe 19</v>
      </c>
      <c r="D499" s="90">
        <f>VLOOKUP(Tableau4[[#This Row],[Réf matériel]],Tableau3[],3,FALSE)</f>
        <v>10.4</v>
      </c>
      <c r="E499" t="s">
        <v>367</v>
      </c>
      <c r="F499" s="90" t="str">
        <f>VLOOKUP(Tableau4[[#This Row],[Matricule]],Tableau1[],2,FALSE)</f>
        <v>SALHI</v>
      </c>
      <c r="G499" s="90" t="str">
        <f>VLOOKUP(Tableau4[[#This Row],[Matricule]],Tableau1[],3,FALSE)</f>
        <v>Lahcene</v>
      </c>
      <c r="H499" s="90" t="str">
        <f>VLOOKUP(Tableau4[[#This Row],[Matricule]],Tableau1[],4,FALSE)</f>
        <v>ELEC</v>
      </c>
      <c r="I499" s="88">
        <v>43511</v>
      </c>
      <c r="J499" t="s">
        <v>380</v>
      </c>
      <c r="K499" s="90">
        <f>IF(Tableau4[[#This Row],[État]]="Remis",1,0)</f>
        <v>1</v>
      </c>
    </row>
    <row r="500" spans="2:11" x14ac:dyDescent="0.25">
      <c r="B500" t="s">
        <v>414</v>
      </c>
      <c r="C500" s="90" t="str">
        <f>VLOOKUP(Tableau4[[#This Row],[Réf matériel]],Tableau3[],2,FALSE)</f>
        <v>Clé plate 17</v>
      </c>
      <c r="D500" s="90">
        <f>VLOOKUP(Tableau4[[#This Row],[Réf matériel]],Tableau3[],3,FALSE)</f>
        <v>5.5</v>
      </c>
      <c r="E500" t="s">
        <v>367</v>
      </c>
      <c r="F500" s="90" t="str">
        <f>VLOOKUP(Tableau4[[#This Row],[Matricule]],Tableau1[],2,FALSE)</f>
        <v>SALHI</v>
      </c>
      <c r="G500" s="90" t="str">
        <f>VLOOKUP(Tableau4[[#This Row],[Matricule]],Tableau1[],3,FALSE)</f>
        <v>Lahcene</v>
      </c>
      <c r="H500" s="90" t="str">
        <f>VLOOKUP(Tableau4[[#This Row],[Matricule]],Tableau1[],4,FALSE)</f>
        <v>ELEC</v>
      </c>
      <c r="I500" s="88">
        <v>43511</v>
      </c>
      <c r="J500" t="s">
        <v>380</v>
      </c>
      <c r="K500" s="90">
        <f>IF(Tableau4[[#This Row],[État]]="Remis",1,0)</f>
        <v>1</v>
      </c>
    </row>
    <row r="501" spans="2:11" x14ac:dyDescent="0.25">
      <c r="B501" t="s">
        <v>415</v>
      </c>
      <c r="C501" s="90" t="str">
        <f>VLOOKUP(Tableau4[[#This Row],[Réf matériel]],Tableau3[],2,FALSE)</f>
        <v>Clé plate 19</v>
      </c>
      <c r="D501" s="90">
        <f>VLOOKUP(Tableau4[[#This Row],[Réf matériel]],Tableau3[],3,FALSE)</f>
        <v>6.07</v>
      </c>
      <c r="E501" t="s">
        <v>367</v>
      </c>
      <c r="F501" s="90" t="str">
        <f>VLOOKUP(Tableau4[[#This Row],[Matricule]],Tableau1[],2,FALSE)</f>
        <v>SALHI</v>
      </c>
      <c r="G501" s="90" t="str">
        <f>VLOOKUP(Tableau4[[#This Row],[Matricule]],Tableau1[],3,FALSE)</f>
        <v>Lahcene</v>
      </c>
      <c r="H501" s="90" t="str">
        <f>VLOOKUP(Tableau4[[#This Row],[Matricule]],Tableau1[],4,FALSE)</f>
        <v>ELEC</v>
      </c>
      <c r="I501" s="88">
        <v>43511</v>
      </c>
      <c r="J501" t="s">
        <v>380</v>
      </c>
      <c r="K501" s="90">
        <f>IF(Tableau4[[#This Row],[État]]="Remis",1,0)</f>
        <v>1</v>
      </c>
    </row>
    <row r="502" spans="2:11" x14ac:dyDescent="0.25">
      <c r="B502" t="s">
        <v>439</v>
      </c>
      <c r="C502" s="90" t="str">
        <f>VLOOKUP(Tableau4[[#This Row],[Réf matériel]],Tableau3[],2,FALSE)</f>
        <v>Pince à Sertir</v>
      </c>
      <c r="D502" s="90">
        <f>VLOOKUP(Tableau4[[#This Row],[Réf matériel]],Tableau3[],3,FALSE)</f>
        <v>78.400000000000006</v>
      </c>
      <c r="E502" t="s">
        <v>367</v>
      </c>
      <c r="F502" s="90" t="str">
        <f>VLOOKUP(Tableau4[[#This Row],[Matricule]],Tableau1[],2,FALSE)</f>
        <v>SALHI</v>
      </c>
      <c r="G502" s="90" t="str">
        <f>VLOOKUP(Tableau4[[#This Row],[Matricule]],Tableau1[],3,FALSE)</f>
        <v>Lahcene</v>
      </c>
      <c r="H502" s="90" t="str">
        <f>VLOOKUP(Tableau4[[#This Row],[Matricule]],Tableau1[],4,FALSE)</f>
        <v>ELEC</v>
      </c>
      <c r="I502" s="88">
        <v>43511</v>
      </c>
      <c r="J502" t="s">
        <v>380</v>
      </c>
      <c r="K502" s="90">
        <f>IF(Tableau4[[#This Row],[État]]="Remis",1,0)</f>
        <v>1</v>
      </c>
    </row>
    <row r="503" spans="2:11" x14ac:dyDescent="0.25">
      <c r="B503" t="s">
        <v>440</v>
      </c>
      <c r="C503" s="90" t="str">
        <f>VLOOKUP(Tableau4[[#This Row],[Réf matériel]],Tableau3[],2,FALSE)</f>
        <v>Testeur Fluke</v>
      </c>
      <c r="D503" s="90">
        <f>VLOOKUP(Tableau4[[#This Row],[Réf matériel]],Tableau3[],3,FALSE)</f>
        <v>0</v>
      </c>
      <c r="E503" t="s">
        <v>367</v>
      </c>
      <c r="F503" s="90" t="str">
        <f>VLOOKUP(Tableau4[[#This Row],[Matricule]],Tableau1[],2,FALSE)</f>
        <v>SALHI</v>
      </c>
      <c r="G503" s="90" t="str">
        <f>VLOOKUP(Tableau4[[#This Row],[Matricule]],Tableau1[],3,FALSE)</f>
        <v>Lahcene</v>
      </c>
      <c r="H503" s="90" t="str">
        <f>VLOOKUP(Tableau4[[#This Row],[Matricule]],Tableau1[],4,FALSE)</f>
        <v>ELEC</v>
      </c>
      <c r="I503" s="88">
        <v>43511</v>
      </c>
      <c r="J503" t="s">
        <v>380</v>
      </c>
      <c r="K503" s="90">
        <f>IF(Tableau4[[#This Row],[État]]="Remis",1,0)</f>
        <v>1</v>
      </c>
    </row>
    <row r="504" spans="2:11" x14ac:dyDescent="0.25">
      <c r="B504" t="s">
        <v>72</v>
      </c>
      <c r="C504" s="90" t="str">
        <f>VLOOKUP(Tableau4[[#This Row],[Réf matériel]],Tableau3[],2,FALSE)</f>
        <v>Pince colson</v>
      </c>
      <c r="D504" s="90">
        <f>VLOOKUP(Tableau4[[#This Row],[Réf matériel]],Tableau3[],3,FALSE)</f>
        <v>46.91</v>
      </c>
      <c r="E504" t="s">
        <v>367</v>
      </c>
      <c r="F504" s="90" t="str">
        <f>VLOOKUP(Tableau4[[#This Row],[Matricule]],Tableau1[],2,FALSE)</f>
        <v>SALHI</v>
      </c>
      <c r="G504" s="90" t="str">
        <f>VLOOKUP(Tableau4[[#This Row],[Matricule]],Tableau1[],3,FALSE)</f>
        <v>Lahcene</v>
      </c>
      <c r="H504" s="90" t="str">
        <f>VLOOKUP(Tableau4[[#This Row],[Matricule]],Tableau1[],4,FALSE)</f>
        <v>ELEC</v>
      </c>
      <c r="I504" s="88">
        <v>43511</v>
      </c>
      <c r="J504" t="s">
        <v>380</v>
      </c>
      <c r="K504" s="90">
        <f>IF(Tableau4[[#This Row],[État]]="Remis",1,0)</f>
        <v>1</v>
      </c>
    </row>
    <row r="505" spans="2:11" x14ac:dyDescent="0.25">
      <c r="B505" t="s">
        <v>441</v>
      </c>
      <c r="C505" s="90" t="str">
        <f>VLOOKUP(Tableau4[[#This Row],[Réf matériel]],Tableau3[],2,FALSE)</f>
        <v>Lunette de protection</v>
      </c>
      <c r="D505" s="90">
        <f>VLOOKUP(Tableau4[[#This Row],[Réf matériel]],Tableau3[],3,FALSE)</f>
        <v>2.38</v>
      </c>
      <c r="E505" t="s">
        <v>367</v>
      </c>
      <c r="F505" s="90" t="str">
        <f>VLOOKUP(Tableau4[[#This Row],[Matricule]],Tableau1[],2,FALSE)</f>
        <v>SALHI</v>
      </c>
      <c r="G505" s="90" t="str">
        <f>VLOOKUP(Tableau4[[#This Row],[Matricule]],Tableau1[],3,FALSE)</f>
        <v>Lahcene</v>
      </c>
      <c r="H505" s="90" t="str">
        <f>VLOOKUP(Tableau4[[#This Row],[Matricule]],Tableau1[],4,FALSE)</f>
        <v>ELEC</v>
      </c>
      <c r="I505" s="88">
        <v>43511</v>
      </c>
      <c r="J505" t="s">
        <v>380</v>
      </c>
      <c r="K505" s="90">
        <f>IF(Tableau4[[#This Row],[État]]="Remis",1,0)</f>
        <v>1</v>
      </c>
    </row>
    <row r="506" spans="2:11" x14ac:dyDescent="0.25">
      <c r="B506" t="s">
        <v>74</v>
      </c>
      <c r="C506" s="90" t="str">
        <f>VLOOKUP(Tableau4[[#This Row],[Réf matériel]],Tableau3[],2,FALSE)</f>
        <v>Casque chantier</v>
      </c>
      <c r="D506" s="90">
        <f>VLOOKUP(Tableau4[[#This Row],[Réf matériel]],Tableau3[],3,FALSE)</f>
        <v>29.05</v>
      </c>
      <c r="E506" t="s">
        <v>367</v>
      </c>
      <c r="F506" s="90" t="str">
        <f>VLOOKUP(Tableau4[[#This Row],[Matricule]],Tableau1[],2,FALSE)</f>
        <v>SALHI</v>
      </c>
      <c r="G506" s="90" t="str">
        <f>VLOOKUP(Tableau4[[#This Row],[Matricule]],Tableau1[],3,FALSE)</f>
        <v>Lahcene</v>
      </c>
      <c r="H506" s="90" t="str">
        <f>VLOOKUP(Tableau4[[#This Row],[Matricule]],Tableau1[],4,FALSE)</f>
        <v>ELEC</v>
      </c>
      <c r="I506" s="88">
        <v>43626</v>
      </c>
      <c r="J506" t="s">
        <v>380</v>
      </c>
      <c r="K506" s="90">
        <f>IF(Tableau4[[#This Row],[État]]="Remis",1,0)</f>
        <v>1</v>
      </c>
    </row>
    <row r="507" spans="2:11" x14ac:dyDescent="0.25">
      <c r="B507" t="s">
        <v>75</v>
      </c>
      <c r="C507" s="90" t="str">
        <f>VLOOKUP(Tableau4[[#This Row],[Réf matériel]],Tableau3[],2,FALSE)</f>
        <v>Lampe frontale</v>
      </c>
      <c r="D507" s="90">
        <f>VLOOKUP(Tableau4[[#This Row],[Réf matériel]],Tableau3[],3,FALSE)</f>
        <v>42.5</v>
      </c>
      <c r="E507" t="s">
        <v>367</v>
      </c>
      <c r="F507" s="90" t="str">
        <f>VLOOKUP(Tableau4[[#This Row],[Matricule]],Tableau1[],2,FALSE)</f>
        <v>SALHI</v>
      </c>
      <c r="G507" s="90" t="str">
        <f>VLOOKUP(Tableau4[[#This Row],[Matricule]],Tableau1[],3,FALSE)</f>
        <v>Lahcene</v>
      </c>
      <c r="H507" s="90" t="str">
        <f>VLOOKUP(Tableau4[[#This Row],[Matricule]],Tableau1[],4,FALSE)</f>
        <v>ELEC</v>
      </c>
      <c r="I507" s="88">
        <v>43732</v>
      </c>
      <c r="J507" t="s">
        <v>380</v>
      </c>
      <c r="K507" s="90">
        <f>IF(Tableau4[[#This Row],[État]]="Remis",1,0)</f>
        <v>1</v>
      </c>
    </row>
    <row r="508" spans="2:11" x14ac:dyDescent="0.25">
      <c r="B508" t="s">
        <v>430</v>
      </c>
      <c r="C508" s="90" t="str">
        <f>VLOOKUP(Tableau4[[#This Row],[Réf matériel]],Tableau3[],2,FALSE)</f>
        <v>Couteau électricien</v>
      </c>
      <c r="D508" s="90">
        <f>VLOOKUP(Tableau4[[#This Row],[Réf matériel]],Tableau3[],3,FALSE)</f>
        <v>17.149999999999999</v>
      </c>
      <c r="E508" t="s">
        <v>368</v>
      </c>
      <c r="F508" s="90" t="str">
        <f>VLOOKUP(Tableau4[[#This Row],[Matricule]],Tableau1[],2,FALSE)</f>
        <v>STOPPA</v>
      </c>
      <c r="G508" s="90" t="str">
        <f>VLOOKUP(Tableau4[[#This Row],[Matricule]],Tableau1[],3,FALSE)</f>
        <v>Samy</v>
      </c>
      <c r="H508" s="90" t="str">
        <f>VLOOKUP(Tableau4[[#This Row],[Matricule]],Tableau1[],4,FALSE)</f>
        <v>RE</v>
      </c>
      <c r="I508" s="88">
        <v>43634</v>
      </c>
      <c r="J508" t="s">
        <v>380</v>
      </c>
      <c r="K508" s="90">
        <f>IF(Tableau4[[#This Row],[État]]="Remis",1,0)</f>
        <v>1</v>
      </c>
    </row>
    <row r="509" spans="2:11" x14ac:dyDescent="0.25">
      <c r="B509" t="s">
        <v>430</v>
      </c>
      <c r="C509" s="90" t="str">
        <f>VLOOKUP(Tableau4[[#This Row],[Réf matériel]],Tableau3[],2,FALSE)</f>
        <v>Couteau électricien</v>
      </c>
      <c r="D509" s="90">
        <f>VLOOKUP(Tableau4[[#This Row],[Réf matériel]],Tableau3[],3,FALSE)</f>
        <v>17.149999999999999</v>
      </c>
      <c r="E509" t="s">
        <v>368</v>
      </c>
      <c r="F509" s="90" t="str">
        <f>VLOOKUP(Tableau4[[#This Row],[Matricule]],Tableau1[],2,FALSE)</f>
        <v>STOPPA</v>
      </c>
      <c r="G509" s="90" t="str">
        <f>VLOOKUP(Tableau4[[#This Row],[Matricule]],Tableau1[],3,FALSE)</f>
        <v>Samy</v>
      </c>
      <c r="H509" s="90" t="str">
        <f>VLOOKUP(Tableau4[[#This Row],[Matricule]],Tableau1[],4,FALSE)</f>
        <v>RE</v>
      </c>
      <c r="I509" s="88">
        <v>44070</v>
      </c>
      <c r="J509" t="s">
        <v>381</v>
      </c>
      <c r="K509" s="90">
        <f>IF(Tableau4[[#This Row],[État]]="Remis",1,0)</f>
        <v>0</v>
      </c>
    </row>
    <row r="510" spans="2:11" x14ac:dyDescent="0.25">
      <c r="B510" t="s">
        <v>430</v>
      </c>
      <c r="C510" s="90" t="str">
        <f>VLOOKUP(Tableau4[[#This Row],[Réf matériel]],Tableau3[],2,FALSE)</f>
        <v>Couteau électricien</v>
      </c>
      <c r="D510" s="90">
        <f>VLOOKUP(Tableau4[[#This Row],[Réf matériel]],Tableau3[],3,FALSE)</f>
        <v>17.149999999999999</v>
      </c>
      <c r="E510" t="s">
        <v>368</v>
      </c>
      <c r="F510" s="90" t="str">
        <f>VLOOKUP(Tableau4[[#This Row],[Matricule]],Tableau1[],2,FALSE)</f>
        <v>STOPPA</v>
      </c>
      <c r="G510" s="90" t="str">
        <f>VLOOKUP(Tableau4[[#This Row],[Matricule]],Tableau1[],3,FALSE)</f>
        <v>Samy</v>
      </c>
      <c r="H510" s="90" t="str">
        <f>VLOOKUP(Tableau4[[#This Row],[Matricule]],Tableau1[],4,FALSE)</f>
        <v>RE</v>
      </c>
      <c r="I510" s="88">
        <v>44071</v>
      </c>
      <c r="J510" t="s">
        <v>380</v>
      </c>
      <c r="K510" s="90">
        <f>IF(Tableau4[[#This Row],[État]]="Remis",1,0)</f>
        <v>1</v>
      </c>
    </row>
    <row r="511" spans="2:11" x14ac:dyDescent="0.25">
      <c r="B511" s="98" t="s">
        <v>392</v>
      </c>
      <c r="C511" s="100" t="str">
        <f>VLOOKUP(Tableau4[[#This Row],[Réf matériel]],Tableau3[],2,FALSE)</f>
        <v>Coffre</v>
      </c>
      <c r="D511" s="100">
        <f>VLOOKUP(Tableau4[[#This Row],[Réf matériel]],Tableau3[],3,FALSE)</f>
        <v>54.54</v>
      </c>
      <c r="E511" s="97" t="s">
        <v>368</v>
      </c>
      <c r="F511" s="100" t="str">
        <f>VLOOKUP(Tableau4[[#This Row],[Matricule]],Tableau1[],2,FALSE)</f>
        <v>STOPPA</v>
      </c>
      <c r="G511" s="100" t="str">
        <f>VLOOKUP(Tableau4[[#This Row],[Matricule]],Tableau1[],3,FALSE)</f>
        <v>Samy</v>
      </c>
      <c r="H511" s="100" t="str">
        <f>VLOOKUP(Tableau4[[#This Row],[Matricule]],Tableau1[],4,FALSE)</f>
        <v>RE</v>
      </c>
      <c r="I511" s="99">
        <v>43596</v>
      </c>
      <c r="J511" s="98" t="s">
        <v>380</v>
      </c>
      <c r="K511" s="90">
        <f>IF(Tableau4[[#This Row],[État]]="Remis",1,0)</f>
        <v>1</v>
      </c>
    </row>
    <row r="512" spans="2:11" x14ac:dyDescent="0.25">
      <c r="B512" t="s">
        <v>393</v>
      </c>
      <c r="C512" s="90" t="str">
        <f>VLOOKUP(Tableau4[[#This Row],[Réf matériel]],Tableau3[],2,FALSE)</f>
        <v>Clé à molette</v>
      </c>
      <c r="D512" s="90">
        <f>VLOOKUP(Tableau4[[#This Row],[Réf matériel]],Tableau3[],3,FALSE)</f>
        <v>16.12</v>
      </c>
      <c r="E512" t="s">
        <v>368</v>
      </c>
      <c r="F512" s="90" t="str">
        <f>VLOOKUP(Tableau4[[#This Row],[Matricule]],Tableau1[],2,FALSE)</f>
        <v>STOPPA</v>
      </c>
      <c r="G512" s="90" t="str">
        <f>VLOOKUP(Tableau4[[#This Row],[Matricule]],Tableau1[],3,FALSE)</f>
        <v>Samy</v>
      </c>
      <c r="H512" s="90" t="str">
        <f>VLOOKUP(Tableau4[[#This Row],[Matricule]],Tableau1[],4,FALSE)</f>
        <v>RE</v>
      </c>
      <c r="I512" s="99">
        <v>43596</v>
      </c>
      <c r="J512" s="98" t="s">
        <v>380</v>
      </c>
      <c r="K512" s="90">
        <f>IF(Tableau4[[#This Row],[État]]="Remis",1,0)</f>
        <v>1</v>
      </c>
    </row>
    <row r="513" spans="2:11" x14ac:dyDescent="0.25">
      <c r="B513" t="s">
        <v>278</v>
      </c>
      <c r="C513" s="90" t="str">
        <f>VLOOKUP(Tableau4[[#This Row],[Réf matériel]],Tableau3[],2,FALSE)</f>
        <v>Pince à dénuder</v>
      </c>
      <c r="D513" s="90">
        <f>VLOOKUP(Tableau4[[#This Row],[Réf matériel]],Tableau3[],3,FALSE)</f>
        <v>24.55</v>
      </c>
      <c r="E513" t="s">
        <v>368</v>
      </c>
      <c r="F513" s="90" t="str">
        <f>VLOOKUP(Tableau4[[#This Row],[Matricule]],Tableau1[],2,FALSE)</f>
        <v>STOPPA</v>
      </c>
      <c r="G513" s="90" t="str">
        <f>VLOOKUP(Tableau4[[#This Row],[Matricule]],Tableau1[],3,FALSE)</f>
        <v>Samy</v>
      </c>
      <c r="H513" s="90" t="str">
        <f>VLOOKUP(Tableau4[[#This Row],[Matricule]],Tableau1[],4,FALSE)</f>
        <v>RE</v>
      </c>
      <c r="I513" s="99">
        <v>43596</v>
      </c>
      <c r="J513" s="98" t="s">
        <v>380</v>
      </c>
      <c r="K513" s="90">
        <f>IF(Tableau4[[#This Row],[État]]="Remis",1,0)</f>
        <v>1</v>
      </c>
    </row>
    <row r="514" spans="2:11" x14ac:dyDescent="0.25">
      <c r="B514" t="s">
        <v>279</v>
      </c>
      <c r="C514" s="90" t="str">
        <f>VLOOKUP(Tableau4[[#This Row],[Réf matériel]],Tableau3[],2,FALSE)</f>
        <v>lime demi ronde</v>
      </c>
      <c r="D514" s="90">
        <f>VLOOKUP(Tableau4[[#This Row],[Réf matériel]],Tableau3[],3,FALSE)</f>
        <v>7.59</v>
      </c>
      <c r="E514" t="s">
        <v>368</v>
      </c>
      <c r="F514" s="90" t="str">
        <f>VLOOKUP(Tableau4[[#This Row],[Matricule]],Tableau1[],2,FALSE)</f>
        <v>STOPPA</v>
      </c>
      <c r="G514" s="90" t="str">
        <f>VLOOKUP(Tableau4[[#This Row],[Matricule]],Tableau1[],3,FALSE)</f>
        <v>Samy</v>
      </c>
      <c r="H514" s="90" t="str">
        <f>VLOOKUP(Tableau4[[#This Row],[Matricule]],Tableau1[],4,FALSE)</f>
        <v>RE</v>
      </c>
      <c r="I514" s="88">
        <v>43510</v>
      </c>
      <c r="J514" s="98" t="s">
        <v>380</v>
      </c>
      <c r="K514" s="90">
        <f>IF(Tableau4[[#This Row],[État]]="Remis",1,0)</f>
        <v>1</v>
      </c>
    </row>
    <row r="515" spans="2:11" x14ac:dyDescent="0.25">
      <c r="B515" t="s">
        <v>280</v>
      </c>
      <c r="C515" s="90" t="str">
        <f>VLOOKUP(Tableau4[[#This Row],[Réf matériel]],Tableau3[],2,FALSE)</f>
        <v>Pince coupante 1000v</v>
      </c>
      <c r="D515" s="90">
        <f>VLOOKUP(Tableau4[[#This Row],[Réf matériel]],Tableau3[],3,FALSE)</f>
        <v>20.87</v>
      </c>
      <c r="E515" t="s">
        <v>368</v>
      </c>
      <c r="F515" s="90" t="str">
        <f>VLOOKUP(Tableau4[[#This Row],[Matricule]],Tableau1[],2,FALSE)</f>
        <v>STOPPA</v>
      </c>
      <c r="G515" s="90" t="str">
        <f>VLOOKUP(Tableau4[[#This Row],[Matricule]],Tableau1[],3,FALSE)</f>
        <v>Samy</v>
      </c>
      <c r="H515" s="90" t="str">
        <f>VLOOKUP(Tableau4[[#This Row],[Matricule]],Tableau1[],4,FALSE)</f>
        <v>RE</v>
      </c>
      <c r="I515" s="88">
        <v>43510</v>
      </c>
      <c r="J515" s="98" t="s">
        <v>380</v>
      </c>
      <c r="K515" s="90">
        <f>IF(Tableau4[[#This Row],[État]]="Remis",1,0)</f>
        <v>1</v>
      </c>
    </row>
    <row r="516" spans="2:11" x14ac:dyDescent="0.25">
      <c r="B516" t="s">
        <v>49</v>
      </c>
      <c r="C516" s="90" t="str">
        <f>VLOOKUP(Tableau4[[#This Row],[Réf matériel]],Tableau3[],2,FALSE)</f>
        <v>Coupe câble</v>
      </c>
      <c r="D516" s="90">
        <f>VLOOKUP(Tableau4[[#This Row],[Réf matériel]],Tableau3[],3,FALSE)</f>
        <v>41.88</v>
      </c>
      <c r="E516" t="s">
        <v>368</v>
      </c>
      <c r="F516" s="90" t="str">
        <f>VLOOKUP(Tableau4[[#This Row],[Matricule]],Tableau1[],2,FALSE)</f>
        <v>STOPPA</v>
      </c>
      <c r="G516" s="90" t="str">
        <f>VLOOKUP(Tableau4[[#This Row],[Matricule]],Tableau1[],3,FALSE)</f>
        <v>Samy</v>
      </c>
      <c r="H516" s="90" t="str">
        <f>VLOOKUP(Tableau4[[#This Row],[Matricule]],Tableau1[],4,FALSE)</f>
        <v>RE</v>
      </c>
      <c r="I516" s="99">
        <v>43596</v>
      </c>
      <c r="J516" t="s">
        <v>380</v>
      </c>
      <c r="K516" s="90">
        <f>IF(Tableau4[[#This Row],[État]]="Remis",1,0)</f>
        <v>1</v>
      </c>
    </row>
    <row r="517" spans="2:11" x14ac:dyDescent="0.25">
      <c r="B517" t="s">
        <v>281</v>
      </c>
      <c r="C517" s="90" t="str">
        <f>VLOOKUP(Tableau4[[#This Row],[Réf matériel]],Tableau3[],2,FALSE)</f>
        <v>Scie à métaux</v>
      </c>
      <c r="D517" s="90">
        <f>VLOOKUP(Tableau4[[#This Row],[Réf matériel]],Tableau3[],3,FALSE)</f>
        <v>11.26</v>
      </c>
      <c r="E517" t="s">
        <v>368</v>
      </c>
      <c r="F517" s="90" t="str">
        <f>VLOOKUP(Tableau4[[#This Row],[Matricule]],Tableau1[],2,FALSE)</f>
        <v>STOPPA</v>
      </c>
      <c r="G517" s="90" t="str">
        <f>VLOOKUP(Tableau4[[#This Row],[Matricule]],Tableau1[],3,FALSE)</f>
        <v>Samy</v>
      </c>
      <c r="H517" s="90" t="str">
        <f>VLOOKUP(Tableau4[[#This Row],[Matricule]],Tableau1[],4,FALSE)</f>
        <v>RE</v>
      </c>
      <c r="I517" s="88">
        <v>43510</v>
      </c>
      <c r="J517" t="s">
        <v>380</v>
      </c>
      <c r="K517" s="90">
        <f>IF(Tableau4[[#This Row],[État]]="Remis",1,0)</f>
        <v>1</v>
      </c>
    </row>
    <row r="518" spans="2:11" x14ac:dyDescent="0.25">
      <c r="B518" t="s">
        <v>395</v>
      </c>
      <c r="C518" s="90" t="str">
        <f>VLOOKUP(Tableau4[[#This Row],[Réf matériel]],Tableau3[],2,FALSE)</f>
        <v>Burin plat</v>
      </c>
      <c r="D518" s="90">
        <f>VLOOKUP(Tableau4[[#This Row],[Réf matériel]],Tableau3[],3,FALSE)</f>
        <v>11.89</v>
      </c>
      <c r="E518" t="s">
        <v>368</v>
      </c>
      <c r="F518" s="90" t="str">
        <f>VLOOKUP(Tableau4[[#This Row],[Matricule]],Tableau1[],2,FALSE)</f>
        <v>STOPPA</v>
      </c>
      <c r="G518" s="90" t="str">
        <f>VLOOKUP(Tableau4[[#This Row],[Matricule]],Tableau1[],3,FALSE)</f>
        <v>Samy</v>
      </c>
      <c r="H518" s="90" t="str">
        <f>VLOOKUP(Tableau4[[#This Row],[Matricule]],Tableau1[],4,FALSE)</f>
        <v>RE</v>
      </c>
      <c r="I518" s="99">
        <v>43596</v>
      </c>
      <c r="J518" t="s">
        <v>380</v>
      </c>
      <c r="K518" s="90">
        <f>IF(Tableau4[[#This Row],[État]]="Remis",1,0)</f>
        <v>1</v>
      </c>
    </row>
    <row r="519" spans="2:11" x14ac:dyDescent="0.25">
      <c r="B519" t="s">
        <v>401</v>
      </c>
      <c r="C519" s="90" t="str">
        <f>VLOOKUP(Tableau4[[#This Row],[Réf matériel]],Tableau3[],2,FALSE)</f>
        <v>Burin pointu</v>
      </c>
      <c r="D519" s="90">
        <f>VLOOKUP(Tableau4[[#This Row],[Réf matériel]],Tableau3[],3,FALSE)</f>
        <v>8.7200000000000006</v>
      </c>
      <c r="E519" t="s">
        <v>368</v>
      </c>
      <c r="F519" s="90" t="str">
        <f>VLOOKUP(Tableau4[[#This Row],[Matricule]],Tableau1[],2,FALSE)</f>
        <v>STOPPA</v>
      </c>
      <c r="G519" s="90" t="str">
        <f>VLOOKUP(Tableau4[[#This Row],[Matricule]],Tableau1[],3,FALSE)</f>
        <v>Samy</v>
      </c>
      <c r="H519" s="90" t="str">
        <f>VLOOKUP(Tableau4[[#This Row],[Matricule]],Tableau1[],4,FALSE)</f>
        <v>RE</v>
      </c>
      <c r="I519" s="99">
        <v>43596</v>
      </c>
      <c r="J519" t="s">
        <v>380</v>
      </c>
      <c r="K519" s="90">
        <f>IF(Tableau4[[#This Row],[État]]="Remis",1,0)</f>
        <v>1</v>
      </c>
    </row>
    <row r="520" spans="2:11" x14ac:dyDescent="0.25">
      <c r="B520" t="s">
        <v>396</v>
      </c>
      <c r="C520" s="90" t="str">
        <f>VLOOKUP(Tableau4[[#This Row],[Réf matériel]],Tableau3[],2,FALSE)</f>
        <v>Massette</v>
      </c>
      <c r="D520" s="90">
        <f>VLOOKUP(Tableau4[[#This Row],[Réf matériel]],Tableau3[],3,FALSE)</f>
        <v>15.14</v>
      </c>
      <c r="E520" t="s">
        <v>368</v>
      </c>
      <c r="F520" s="90" t="str">
        <f>VLOOKUP(Tableau4[[#This Row],[Matricule]],Tableau1[],2,FALSE)</f>
        <v>STOPPA</v>
      </c>
      <c r="G520" s="90" t="str">
        <f>VLOOKUP(Tableau4[[#This Row],[Matricule]],Tableau1[],3,FALSE)</f>
        <v>Samy</v>
      </c>
      <c r="H520" s="90" t="str">
        <f>VLOOKUP(Tableau4[[#This Row],[Matricule]],Tableau1[],4,FALSE)</f>
        <v>RE</v>
      </c>
      <c r="I520" s="99">
        <v>43596</v>
      </c>
      <c r="J520" t="s">
        <v>380</v>
      </c>
      <c r="K520" s="90">
        <f>IF(Tableau4[[#This Row],[État]]="Remis",1,0)</f>
        <v>1</v>
      </c>
    </row>
    <row r="521" spans="2:11" x14ac:dyDescent="0.25">
      <c r="B521" t="s">
        <v>55</v>
      </c>
      <c r="C521" s="90" t="str">
        <f>VLOOKUP(Tableau4[[#This Row],[Réf matériel]],Tableau3[],2,FALSE)</f>
        <v>Niveau</v>
      </c>
      <c r="D521" s="90">
        <f>VLOOKUP(Tableau4[[#This Row],[Réf matériel]],Tableau3[],3,FALSE)</f>
        <v>15</v>
      </c>
      <c r="E521" t="s">
        <v>368</v>
      </c>
      <c r="F521" s="90" t="str">
        <f>VLOOKUP(Tableau4[[#This Row],[Matricule]],Tableau1[],2,FALSE)</f>
        <v>STOPPA</v>
      </c>
      <c r="G521" s="90" t="str">
        <f>VLOOKUP(Tableau4[[#This Row],[Matricule]],Tableau1[],3,FALSE)</f>
        <v>Samy</v>
      </c>
      <c r="H521" s="90" t="str">
        <f>VLOOKUP(Tableau4[[#This Row],[Matricule]],Tableau1[],4,FALSE)</f>
        <v>RE</v>
      </c>
      <c r="I521" s="99">
        <v>43596</v>
      </c>
      <c r="J521" t="s">
        <v>380</v>
      </c>
      <c r="K521" s="90">
        <f>IF(Tableau4[[#This Row],[État]]="Remis",1,0)</f>
        <v>1</v>
      </c>
    </row>
    <row r="522" spans="2:11" x14ac:dyDescent="0.25">
      <c r="B522" t="s">
        <v>56</v>
      </c>
      <c r="C522" s="90" t="str">
        <f>VLOOKUP(Tableau4[[#This Row],[Réf matériel]],Tableau3[],2,FALSE)</f>
        <v>Jeu tournevis</v>
      </c>
      <c r="D522" s="90">
        <f>VLOOKUP(Tableau4[[#This Row],[Réf matériel]],Tableau3[],3,FALSE)</f>
        <v>37.57</v>
      </c>
      <c r="E522" t="s">
        <v>368</v>
      </c>
      <c r="F522" s="90" t="str">
        <f>VLOOKUP(Tableau4[[#This Row],[Matricule]],Tableau1[],2,FALSE)</f>
        <v>STOPPA</v>
      </c>
      <c r="G522" s="90" t="str">
        <f>VLOOKUP(Tableau4[[#This Row],[Matricule]],Tableau1[],3,FALSE)</f>
        <v>Samy</v>
      </c>
      <c r="H522" s="90" t="str">
        <f>VLOOKUP(Tableau4[[#This Row],[Matricule]],Tableau1[],4,FALSE)</f>
        <v>RE</v>
      </c>
      <c r="I522" s="88">
        <v>43510</v>
      </c>
      <c r="J522" t="s">
        <v>380</v>
      </c>
      <c r="K522" s="90">
        <f>IF(Tableau4[[#This Row],[État]]="Remis",1,0)</f>
        <v>1</v>
      </c>
    </row>
    <row r="523" spans="2:11" x14ac:dyDescent="0.25">
      <c r="B523" t="s">
        <v>397</v>
      </c>
      <c r="C523" s="90" t="str">
        <f>VLOOKUP(Tableau4[[#This Row],[Réf matériel]],Tableau3[],2,FALSE)</f>
        <v>Pince étau</v>
      </c>
      <c r="D523" s="90">
        <f>VLOOKUP(Tableau4[[#This Row],[Réf matériel]],Tableau3[],3,FALSE)</f>
        <v>16.02</v>
      </c>
      <c r="E523" t="s">
        <v>368</v>
      </c>
      <c r="F523" s="90" t="str">
        <f>VLOOKUP(Tableau4[[#This Row],[Matricule]],Tableau1[],2,FALSE)</f>
        <v>STOPPA</v>
      </c>
      <c r="G523" s="90" t="str">
        <f>VLOOKUP(Tableau4[[#This Row],[Matricule]],Tableau1[],3,FALSE)</f>
        <v>Samy</v>
      </c>
      <c r="H523" s="90" t="str">
        <f>VLOOKUP(Tableau4[[#This Row],[Matricule]],Tableau1[],4,FALSE)</f>
        <v>RE</v>
      </c>
      <c r="I523" s="88">
        <v>43510</v>
      </c>
      <c r="J523" t="s">
        <v>380</v>
      </c>
      <c r="K523" s="90">
        <f>IF(Tableau4[[#This Row],[État]]="Remis",1,0)</f>
        <v>1</v>
      </c>
    </row>
    <row r="524" spans="2:11" x14ac:dyDescent="0.25">
      <c r="B524" t="s">
        <v>398</v>
      </c>
      <c r="C524" s="90" t="str">
        <f>VLOOKUP(Tableau4[[#This Row],[Réf matériel]],Tableau3[],2,FALSE)</f>
        <v>Coffret douilles</v>
      </c>
      <c r="D524" s="90">
        <f>VLOOKUP(Tableau4[[#This Row],[Réf matériel]],Tableau3[],3,FALSE)</f>
        <v>103.22</v>
      </c>
      <c r="E524" t="s">
        <v>368</v>
      </c>
      <c r="F524" s="90" t="str">
        <f>VLOOKUP(Tableau4[[#This Row],[Matricule]],Tableau1[],2,FALSE)</f>
        <v>STOPPA</v>
      </c>
      <c r="G524" s="90" t="str">
        <f>VLOOKUP(Tableau4[[#This Row],[Matricule]],Tableau1[],3,FALSE)</f>
        <v>Samy</v>
      </c>
      <c r="H524" s="90" t="str">
        <f>VLOOKUP(Tableau4[[#This Row],[Matricule]],Tableau1[],4,FALSE)</f>
        <v>RE</v>
      </c>
      <c r="I524" s="99">
        <v>43596</v>
      </c>
      <c r="J524" t="s">
        <v>380</v>
      </c>
      <c r="K524" s="90">
        <f>IF(Tableau4[[#This Row],[État]]="Remis",1,0)</f>
        <v>1</v>
      </c>
    </row>
    <row r="525" spans="2:11" x14ac:dyDescent="0.25">
      <c r="B525" t="s">
        <v>403</v>
      </c>
      <c r="C525" s="90" t="str">
        <f>VLOOKUP(Tableau4[[#This Row],[Réf matériel]],Tableau3[],2,FALSE)</f>
        <v>Clé à pipe 10</v>
      </c>
      <c r="D525" s="90">
        <f>VLOOKUP(Tableau4[[#This Row],[Réf matériel]],Tableau3[],3,FALSE)</f>
        <v>5.41</v>
      </c>
      <c r="E525" t="s">
        <v>368</v>
      </c>
      <c r="F525" s="90" t="str">
        <f>VLOOKUP(Tableau4[[#This Row],[Matricule]],Tableau1[],2,FALSE)</f>
        <v>STOPPA</v>
      </c>
      <c r="G525" s="90" t="str">
        <f>VLOOKUP(Tableau4[[#This Row],[Matricule]],Tableau1[],3,FALSE)</f>
        <v>Samy</v>
      </c>
      <c r="H525" s="90" t="str">
        <f>VLOOKUP(Tableau4[[#This Row],[Matricule]],Tableau1[],4,FALSE)</f>
        <v>RE</v>
      </c>
      <c r="I525" s="99">
        <v>42866</v>
      </c>
      <c r="J525" t="s">
        <v>380</v>
      </c>
      <c r="K525" s="90">
        <f>IF(Tableau4[[#This Row],[État]]="Remis",1,0)</f>
        <v>1</v>
      </c>
    </row>
    <row r="526" spans="2:11" x14ac:dyDescent="0.25">
      <c r="B526" t="s">
        <v>405</v>
      </c>
      <c r="C526" s="90" t="str">
        <f>VLOOKUP(Tableau4[[#This Row],[Réf matériel]],Tableau3[],2,FALSE)</f>
        <v>Clé à pipe 13</v>
      </c>
      <c r="D526" s="90">
        <f>VLOOKUP(Tableau4[[#This Row],[Réf matériel]],Tableau3[],3,FALSE)</f>
        <v>6.23</v>
      </c>
      <c r="E526" t="s">
        <v>368</v>
      </c>
      <c r="F526" s="90" t="str">
        <f>VLOOKUP(Tableau4[[#This Row],[Matricule]],Tableau1[],2,FALSE)</f>
        <v>STOPPA</v>
      </c>
      <c r="G526" s="90" t="str">
        <f>VLOOKUP(Tableau4[[#This Row],[Matricule]],Tableau1[],3,FALSE)</f>
        <v>Samy</v>
      </c>
      <c r="H526" s="90" t="str">
        <f>VLOOKUP(Tableau4[[#This Row],[Matricule]],Tableau1[],4,FALSE)</f>
        <v>RE</v>
      </c>
      <c r="I526" s="99">
        <v>42866</v>
      </c>
      <c r="J526" t="s">
        <v>380</v>
      </c>
      <c r="K526" s="90">
        <f>IF(Tableau4[[#This Row],[État]]="Remis",1,0)</f>
        <v>1</v>
      </c>
    </row>
    <row r="527" spans="2:11" x14ac:dyDescent="0.25">
      <c r="B527" t="s">
        <v>408</v>
      </c>
      <c r="C527" s="90" t="str">
        <f>VLOOKUP(Tableau4[[#This Row],[Réf matériel]],Tableau3[],2,FALSE)</f>
        <v>Clé à pipe 17</v>
      </c>
      <c r="D527" s="90">
        <f>VLOOKUP(Tableau4[[#This Row],[Réf matériel]],Tableau3[],3,FALSE)</f>
        <v>9.36</v>
      </c>
      <c r="E527" t="s">
        <v>368</v>
      </c>
      <c r="F527" s="90" t="str">
        <f>VLOOKUP(Tableau4[[#This Row],[Matricule]],Tableau1[],2,FALSE)</f>
        <v>STOPPA</v>
      </c>
      <c r="G527" s="90" t="str">
        <f>VLOOKUP(Tableau4[[#This Row],[Matricule]],Tableau1[],3,FALSE)</f>
        <v>Samy</v>
      </c>
      <c r="H527" s="90" t="str">
        <f>VLOOKUP(Tableau4[[#This Row],[Matricule]],Tableau1[],4,FALSE)</f>
        <v>RE</v>
      </c>
      <c r="I527" s="99">
        <v>42866</v>
      </c>
      <c r="J527" t="s">
        <v>380</v>
      </c>
      <c r="K527" s="90">
        <f>IF(Tableau4[[#This Row],[État]]="Remis",1,0)</f>
        <v>1</v>
      </c>
    </row>
    <row r="528" spans="2:11" x14ac:dyDescent="0.25">
      <c r="B528" t="s">
        <v>409</v>
      </c>
      <c r="C528" s="90" t="str">
        <f>VLOOKUP(Tableau4[[#This Row],[Réf matériel]],Tableau3[],2,FALSE)</f>
        <v>Clé à pipe 19</v>
      </c>
      <c r="D528" s="90">
        <f>VLOOKUP(Tableau4[[#This Row],[Réf matériel]],Tableau3[],3,FALSE)</f>
        <v>10.4</v>
      </c>
      <c r="E528" t="s">
        <v>368</v>
      </c>
      <c r="F528" s="90" t="str">
        <f>VLOOKUP(Tableau4[[#This Row],[Matricule]],Tableau1[],2,FALSE)</f>
        <v>STOPPA</v>
      </c>
      <c r="G528" s="90" t="str">
        <f>VLOOKUP(Tableau4[[#This Row],[Matricule]],Tableau1[],3,FALSE)</f>
        <v>Samy</v>
      </c>
      <c r="H528" s="90" t="str">
        <f>VLOOKUP(Tableau4[[#This Row],[Matricule]],Tableau1[],4,FALSE)</f>
        <v>RE</v>
      </c>
      <c r="I528" s="99">
        <v>42866</v>
      </c>
      <c r="J528" t="s">
        <v>380</v>
      </c>
      <c r="K528" s="90">
        <f>IF(Tableau4[[#This Row],[État]]="Remis",1,0)</f>
        <v>1</v>
      </c>
    </row>
    <row r="529" spans="2:11" x14ac:dyDescent="0.25">
      <c r="B529" t="s">
        <v>410</v>
      </c>
      <c r="C529" s="90" t="str">
        <f>VLOOKUP(Tableau4[[#This Row],[Réf matériel]],Tableau3[],2,FALSE)</f>
        <v>Clé plate 10</v>
      </c>
      <c r="D529" s="90">
        <f>VLOOKUP(Tableau4[[#This Row],[Réf matériel]],Tableau3[],3,FALSE)</f>
        <v>3.32</v>
      </c>
      <c r="E529" t="s">
        <v>368</v>
      </c>
      <c r="F529" s="90" t="str">
        <f>VLOOKUP(Tableau4[[#This Row],[Matricule]],Tableau1[],2,FALSE)</f>
        <v>STOPPA</v>
      </c>
      <c r="G529" s="90" t="str">
        <f>VLOOKUP(Tableau4[[#This Row],[Matricule]],Tableau1[],3,FALSE)</f>
        <v>Samy</v>
      </c>
      <c r="H529" s="90" t="str">
        <f>VLOOKUP(Tableau4[[#This Row],[Matricule]],Tableau1[],4,FALSE)</f>
        <v>RE</v>
      </c>
      <c r="I529" s="99">
        <v>42866</v>
      </c>
      <c r="J529" t="s">
        <v>380</v>
      </c>
      <c r="K529" s="90">
        <f>IF(Tableau4[[#This Row],[État]]="Remis",1,0)</f>
        <v>1</v>
      </c>
    </row>
    <row r="530" spans="2:11" x14ac:dyDescent="0.25">
      <c r="B530" t="s">
        <v>412</v>
      </c>
      <c r="C530" s="90" t="str">
        <f>VLOOKUP(Tableau4[[#This Row],[Réf matériel]],Tableau3[],2,FALSE)</f>
        <v>Clé plate 13</v>
      </c>
      <c r="D530" s="90">
        <f>VLOOKUP(Tableau4[[#This Row],[Réf matériel]],Tableau3[],3,FALSE)</f>
        <v>3.91</v>
      </c>
      <c r="E530" t="s">
        <v>368</v>
      </c>
      <c r="F530" s="90" t="str">
        <f>VLOOKUP(Tableau4[[#This Row],[Matricule]],Tableau1[],2,FALSE)</f>
        <v>STOPPA</v>
      </c>
      <c r="G530" s="90" t="str">
        <f>VLOOKUP(Tableau4[[#This Row],[Matricule]],Tableau1[],3,FALSE)</f>
        <v>Samy</v>
      </c>
      <c r="H530" s="90" t="str">
        <f>VLOOKUP(Tableau4[[#This Row],[Matricule]],Tableau1[],4,FALSE)</f>
        <v>RE</v>
      </c>
      <c r="I530" s="99">
        <v>42866</v>
      </c>
      <c r="J530" t="s">
        <v>380</v>
      </c>
      <c r="K530" s="90">
        <f>IF(Tableau4[[#This Row],[État]]="Remis",1,0)</f>
        <v>1</v>
      </c>
    </row>
    <row r="531" spans="2:11" x14ac:dyDescent="0.25">
      <c r="B531" t="s">
        <v>414</v>
      </c>
      <c r="C531" s="90" t="str">
        <f>VLOOKUP(Tableau4[[#This Row],[Réf matériel]],Tableau3[],2,FALSE)</f>
        <v>Clé plate 17</v>
      </c>
      <c r="D531" s="90">
        <f>VLOOKUP(Tableau4[[#This Row],[Réf matériel]],Tableau3[],3,FALSE)</f>
        <v>5.5</v>
      </c>
      <c r="E531" t="s">
        <v>368</v>
      </c>
      <c r="F531" s="90" t="str">
        <f>VLOOKUP(Tableau4[[#This Row],[Matricule]],Tableau1[],2,FALSE)</f>
        <v>STOPPA</v>
      </c>
      <c r="G531" s="90" t="str">
        <f>VLOOKUP(Tableau4[[#This Row],[Matricule]],Tableau1[],3,FALSE)</f>
        <v>Samy</v>
      </c>
      <c r="H531" s="90" t="str">
        <f>VLOOKUP(Tableau4[[#This Row],[Matricule]],Tableau1[],4,FALSE)</f>
        <v>RE</v>
      </c>
      <c r="I531" s="99">
        <v>42866</v>
      </c>
      <c r="J531" t="s">
        <v>380</v>
      </c>
      <c r="K531" s="90">
        <f>IF(Tableau4[[#This Row],[État]]="Remis",1,0)</f>
        <v>1</v>
      </c>
    </row>
    <row r="532" spans="2:11" x14ac:dyDescent="0.25">
      <c r="B532" t="s">
        <v>67</v>
      </c>
      <c r="C532" s="90" t="str">
        <f>VLOOKUP(Tableau4[[#This Row],[Réf matériel]],Tableau3[],2,FALSE)</f>
        <v>Cutter</v>
      </c>
      <c r="D532" s="90">
        <f>VLOOKUP(Tableau4[[#This Row],[Réf matériel]],Tableau3[],3,FALSE)</f>
        <v>4.8499999999999996</v>
      </c>
      <c r="E532" t="s">
        <v>368</v>
      </c>
      <c r="F532" s="90" t="str">
        <f>VLOOKUP(Tableau4[[#This Row],[Matricule]],Tableau1[],2,FALSE)</f>
        <v>STOPPA</v>
      </c>
      <c r="G532" s="90" t="str">
        <f>VLOOKUP(Tableau4[[#This Row],[Matricule]],Tableau1[],3,FALSE)</f>
        <v>Samy</v>
      </c>
      <c r="H532" s="90" t="str">
        <f>VLOOKUP(Tableau4[[#This Row],[Matricule]],Tableau1[],4,FALSE)</f>
        <v>RE</v>
      </c>
      <c r="I532" s="88">
        <v>43510</v>
      </c>
      <c r="J532" t="s">
        <v>380</v>
      </c>
      <c r="K532" s="90">
        <f>IF(Tableau4[[#This Row],[État]]="Remis",1,0)</f>
        <v>1</v>
      </c>
    </row>
    <row r="533" spans="2:11" x14ac:dyDescent="0.25">
      <c r="B533" t="s">
        <v>420</v>
      </c>
      <c r="C533" s="90" t="str">
        <f>VLOOKUP(Tableau4[[#This Row],[Réf matériel]],Tableau3[],2,FALSE)</f>
        <v>Clé allen</v>
      </c>
      <c r="D533" s="90">
        <f>VLOOKUP(Tableau4[[#This Row],[Réf matériel]],Tableau3[],3,FALSE)</f>
        <v>27.5</v>
      </c>
      <c r="E533" t="s">
        <v>368</v>
      </c>
      <c r="F533" s="90" t="str">
        <f>VLOOKUP(Tableau4[[#This Row],[Matricule]],Tableau1[],2,FALSE)</f>
        <v>STOPPA</v>
      </c>
      <c r="G533" s="90" t="str">
        <f>VLOOKUP(Tableau4[[#This Row],[Matricule]],Tableau1[],3,FALSE)</f>
        <v>Samy</v>
      </c>
      <c r="H533" s="90" t="str">
        <f>VLOOKUP(Tableau4[[#This Row],[Matricule]],Tableau1[],4,FALSE)</f>
        <v>RE</v>
      </c>
      <c r="I533" s="99">
        <v>42866</v>
      </c>
      <c r="J533" t="s">
        <v>380</v>
      </c>
      <c r="K533" s="90">
        <f>IF(Tableau4[[#This Row],[État]]="Remis",1,0)</f>
        <v>1</v>
      </c>
    </row>
    <row r="534" spans="2:11" x14ac:dyDescent="0.25">
      <c r="B534" t="s">
        <v>438</v>
      </c>
      <c r="C534" s="90" t="str">
        <f>VLOOKUP(Tableau4[[#This Row],[Réf matériel]],Tableau3[],2,FALSE)</f>
        <v>Outil à dégainer</v>
      </c>
      <c r="D534" s="90">
        <f>VLOOKUP(Tableau4[[#This Row],[Réf matériel]],Tableau3[],3,FALSE)</f>
        <v>20.5</v>
      </c>
      <c r="E534" t="s">
        <v>368</v>
      </c>
      <c r="F534" s="90" t="str">
        <f>VLOOKUP(Tableau4[[#This Row],[Matricule]],Tableau1[],2,FALSE)</f>
        <v>STOPPA</v>
      </c>
      <c r="G534" s="90" t="str">
        <f>VLOOKUP(Tableau4[[#This Row],[Matricule]],Tableau1[],3,FALSE)</f>
        <v>Samy</v>
      </c>
      <c r="H534" s="90" t="str">
        <f>VLOOKUP(Tableau4[[#This Row],[Matricule]],Tableau1[],4,FALSE)</f>
        <v>RE</v>
      </c>
      <c r="I534" s="99">
        <v>42866</v>
      </c>
      <c r="J534" t="s">
        <v>380</v>
      </c>
      <c r="K534" s="90">
        <f>IF(Tableau4[[#This Row],[État]]="Remis",1,0)</f>
        <v>1</v>
      </c>
    </row>
    <row r="535" spans="2:11" x14ac:dyDescent="0.25">
      <c r="B535" t="s">
        <v>439</v>
      </c>
      <c r="C535" s="90" t="str">
        <f>VLOOKUP(Tableau4[[#This Row],[Réf matériel]],Tableau3[],2,FALSE)</f>
        <v>Pince à Sertir</v>
      </c>
      <c r="D535" s="90">
        <f>VLOOKUP(Tableau4[[#This Row],[Réf matériel]],Tableau3[],3,FALSE)</f>
        <v>78.400000000000006</v>
      </c>
      <c r="E535" t="s">
        <v>368</v>
      </c>
      <c r="F535" s="90" t="str">
        <f>VLOOKUP(Tableau4[[#This Row],[Matricule]],Tableau1[],2,FALSE)</f>
        <v>STOPPA</v>
      </c>
      <c r="G535" s="90" t="str">
        <f>VLOOKUP(Tableau4[[#This Row],[Matricule]],Tableau1[],3,FALSE)</f>
        <v>Samy</v>
      </c>
      <c r="H535" s="90" t="str">
        <f>VLOOKUP(Tableau4[[#This Row],[Matricule]],Tableau1[],4,FALSE)</f>
        <v>RE</v>
      </c>
      <c r="I535" s="88">
        <v>43510</v>
      </c>
      <c r="J535" t="s">
        <v>380</v>
      </c>
      <c r="K535" s="90">
        <f>IF(Tableau4[[#This Row],[État]]="Remis",1,0)</f>
        <v>1</v>
      </c>
    </row>
    <row r="536" spans="2:11" x14ac:dyDescent="0.25">
      <c r="B536" t="s">
        <v>440</v>
      </c>
      <c r="C536" s="90" t="str">
        <f>VLOOKUP(Tableau4[[#This Row],[Réf matériel]],Tableau3[],2,FALSE)</f>
        <v>Testeur Fluke</v>
      </c>
      <c r="D536" s="90">
        <f>VLOOKUP(Tableau4[[#This Row],[Réf matériel]],Tableau3[],3,FALSE)</f>
        <v>0</v>
      </c>
      <c r="E536" t="s">
        <v>368</v>
      </c>
      <c r="F536" s="90" t="str">
        <f>VLOOKUP(Tableau4[[#This Row],[Matricule]],Tableau1[],2,FALSE)</f>
        <v>STOPPA</v>
      </c>
      <c r="G536" s="90" t="str">
        <f>VLOOKUP(Tableau4[[#This Row],[Matricule]],Tableau1[],3,FALSE)</f>
        <v>Samy</v>
      </c>
      <c r="H536" s="90" t="str">
        <f>VLOOKUP(Tableau4[[#This Row],[Matricule]],Tableau1[],4,FALSE)</f>
        <v>RE</v>
      </c>
      <c r="I536" s="99">
        <v>42866</v>
      </c>
      <c r="J536" t="s">
        <v>380</v>
      </c>
      <c r="K536" s="90">
        <f>IF(Tableau4[[#This Row],[État]]="Remis",1,0)</f>
        <v>1</v>
      </c>
    </row>
    <row r="537" spans="2:11" x14ac:dyDescent="0.25">
      <c r="B537" t="s">
        <v>399</v>
      </c>
      <c r="C537" s="90" t="str">
        <f>VLOOKUP(Tableau4[[#This Row],[Réf matériel]],Tableau3[],2,FALSE)</f>
        <v>Boite embouts</v>
      </c>
      <c r="D537" s="90">
        <f>VLOOKUP(Tableau4[[#This Row],[Réf matériel]],Tableau3[],3,FALSE)</f>
        <v>27.61</v>
      </c>
      <c r="E537" t="s">
        <v>368</v>
      </c>
      <c r="F537" s="90" t="str">
        <f>VLOOKUP(Tableau4[[#This Row],[Matricule]],Tableau1[],2,FALSE)</f>
        <v>STOPPA</v>
      </c>
      <c r="G537" s="90" t="str">
        <f>VLOOKUP(Tableau4[[#This Row],[Matricule]],Tableau1[],3,FALSE)</f>
        <v>Samy</v>
      </c>
      <c r="H537" s="90" t="str">
        <f>VLOOKUP(Tableau4[[#This Row],[Matricule]],Tableau1[],4,FALSE)</f>
        <v>RE</v>
      </c>
      <c r="I537" s="99">
        <v>42866</v>
      </c>
      <c r="J537" t="s">
        <v>380</v>
      </c>
      <c r="K537" s="90">
        <f>IF(Tableau4[[#This Row],[État]]="Remis",1,0)</f>
        <v>1</v>
      </c>
    </row>
    <row r="538" spans="2:11" x14ac:dyDescent="0.25">
      <c r="B538" t="s">
        <v>72</v>
      </c>
      <c r="C538" s="90" t="str">
        <f>VLOOKUP(Tableau4[[#This Row],[Réf matériel]],Tableau3[],2,FALSE)</f>
        <v>Pince colson</v>
      </c>
      <c r="D538" s="90">
        <f>VLOOKUP(Tableau4[[#This Row],[Réf matériel]],Tableau3[],3,FALSE)</f>
        <v>46.91</v>
      </c>
      <c r="E538" t="s">
        <v>368</v>
      </c>
      <c r="F538" s="90" t="str">
        <f>VLOOKUP(Tableau4[[#This Row],[Matricule]],Tableau1[],2,FALSE)</f>
        <v>STOPPA</v>
      </c>
      <c r="G538" s="90" t="str">
        <f>VLOOKUP(Tableau4[[#This Row],[Matricule]],Tableau1[],3,FALSE)</f>
        <v>Samy</v>
      </c>
      <c r="H538" s="90" t="str">
        <f>VLOOKUP(Tableau4[[#This Row],[Matricule]],Tableau1[],4,FALSE)</f>
        <v>RE</v>
      </c>
      <c r="I538" s="99">
        <v>42866</v>
      </c>
      <c r="J538" t="s">
        <v>380</v>
      </c>
      <c r="K538" s="90">
        <f>IF(Tableau4[[#This Row],[État]]="Remis",1,0)</f>
        <v>1</v>
      </c>
    </row>
    <row r="539" spans="2:11" x14ac:dyDescent="0.25">
      <c r="B539" t="s">
        <v>441</v>
      </c>
      <c r="C539" s="90" t="str">
        <f>VLOOKUP(Tableau4[[#This Row],[Réf matériel]],Tableau3[],2,FALSE)</f>
        <v>Lunette de protection</v>
      </c>
      <c r="D539" s="90">
        <f>VLOOKUP(Tableau4[[#This Row],[Réf matériel]],Tableau3[],3,FALSE)</f>
        <v>2.38</v>
      </c>
      <c r="E539" t="s">
        <v>368</v>
      </c>
      <c r="F539" s="90" t="str">
        <f>VLOOKUP(Tableau4[[#This Row],[Matricule]],Tableau1[],2,FALSE)</f>
        <v>STOPPA</v>
      </c>
      <c r="G539" s="90" t="str">
        <f>VLOOKUP(Tableau4[[#This Row],[Matricule]],Tableau1[],3,FALSE)</f>
        <v>Samy</v>
      </c>
      <c r="H539" s="90" t="str">
        <f>VLOOKUP(Tableau4[[#This Row],[Matricule]],Tableau1[],4,FALSE)</f>
        <v>RE</v>
      </c>
      <c r="I539" s="88">
        <v>43510</v>
      </c>
      <c r="J539" t="s">
        <v>380</v>
      </c>
      <c r="K539" s="90">
        <f>IF(Tableau4[[#This Row],[État]]="Remis",1,0)</f>
        <v>1</v>
      </c>
    </row>
    <row r="540" spans="2:11" x14ac:dyDescent="0.25">
      <c r="B540" t="s">
        <v>74</v>
      </c>
      <c r="C540" s="90" t="str">
        <f>VLOOKUP(Tableau4[[#This Row],[Réf matériel]],Tableau3[],2,FALSE)</f>
        <v>Casque chantier</v>
      </c>
      <c r="D540" s="90">
        <f>VLOOKUP(Tableau4[[#This Row],[Réf matériel]],Tableau3[],3,FALSE)</f>
        <v>29.05</v>
      </c>
      <c r="E540" t="s">
        <v>368</v>
      </c>
      <c r="F540" s="90" t="str">
        <f>VLOOKUP(Tableau4[[#This Row],[Matricule]],Tableau1[],2,FALSE)</f>
        <v>STOPPA</v>
      </c>
      <c r="G540" s="90" t="str">
        <f>VLOOKUP(Tableau4[[#This Row],[Matricule]],Tableau1[],3,FALSE)</f>
        <v>Samy</v>
      </c>
      <c r="H540" s="90" t="str">
        <f>VLOOKUP(Tableau4[[#This Row],[Matricule]],Tableau1[],4,FALSE)</f>
        <v>RE</v>
      </c>
      <c r="I540" s="99">
        <v>42866</v>
      </c>
      <c r="J540" t="s">
        <v>380</v>
      </c>
      <c r="K540" s="90">
        <f>IF(Tableau4[[#This Row],[État]]="Remis",1,0)</f>
        <v>1</v>
      </c>
    </row>
    <row r="541" spans="2:11" x14ac:dyDescent="0.25">
      <c r="B541" t="s">
        <v>75</v>
      </c>
      <c r="C541" s="90" t="str">
        <f>VLOOKUP(Tableau4[[#This Row],[Réf matériel]],Tableau3[],2,FALSE)</f>
        <v>Lampe frontale</v>
      </c>
      <c r="D541" s="90">
        <f>VLOOKUP(Tableau4[[#This Row],[Réf matériel]],Tableau3[],3,FALSE)</f>
        <v>42.5</v>
      </c>
      <c r="E541" t="s">
        <v>368</v>
      </c>
      <c r="F541" s="90" t="str">
        <f>VLOOKUP(Tableau4[[#This Row],[Matricule]],Tableau1[],2,FALSE)</f>
        <v>STOPPA</v>
      </c>
      <c r="G541" s="90" t="str">
        <f>VLOOKUP(Tableau4[[#This Row],[Matricule]],Tableau1[],3,FALSE)</f>
        <v>Samy</v>
      </c>
      <c r="H541" s="90" t="str">
        <f>VLOOKUP(Tableau4[[#This Row],[Matricule]],Tableau1[],4,FALSE)</f>
        <v>RE</v>
      </c>
      <c r="I541" s="99">
        <v>42866</v>
      </c>
      <c r="J541" t="s">
        <v>380</v>
      </c>
      <c r="K541" s="90">
        <f>IF(Tableau4[[#This Row],[État]]="Remis",1,0)</f>
        <v>1</v>
      </c>
    </row>
    <row r="542" spans="2:11" x14ac:dyDescent="0.25">
      <c r="B542" t="s">
        <v>124</v>
      </c>
      <c r="C542" s="90" t="str">
        <f>VLOOKUP(Tableau4[[#This Row],[Réf matériel]],Tableau3[],2,FALSE)</f>
        <v>Jeu de tournevis pro avec embouts de vissage 1/4 ref 438-008</v>
      </c>
      <c r="D542" s="90">
        <f>VLOOKUP(Tableau4[[#This Row],[Réf matériel]],Tableau3[],3,FALSE)</f>
        <v>0</v>
      </c>
      <c r="E542" t="s">
        <v>368</v>
      </c>
      <c r="F542" s="90" t="str">
        <f>VLOOKUP(Tableau4[[#This Row],[Matricule]],Tableau1[],2,FALSE)</f>
        <v>STOPPA</v>
      </c>
      <c r="G542" s="90" t="str">
        <f>VLOOKUP(Tableau4[[#This Row],[Matricule]],Tableau1[],3,FALSE)</f>
        <v>Samy</v>
      </c>
      <c r="H542" s="90" t="str">
        <f>VLOOKUP(Tableau4[[#This Row],[Matricule]],Tableau1[],4,FALSE)</f>
        <v>RE</v>
      </c>
      <c r="I542" s="88">
        <v>43521</v>
      </c>
      <c r="J542" t="s">
        <v>380</v>
      </c>
      <c r="K542" s="90">
        <f>IF(Tableau4[[#This Row],[État]]="Remis",1,0)</f>
        <v>1</v>
      </c>
    </row>
    <row r="543" spans="2:11" x14ac:dyDescent="0.25">
      <c r="B543" t="s">
        <v>128</v>
      </c>
      <c r="C543" s="90" t="str">
        <f>VLOOKUP(Tableau4[[#This Row],[Réf matériel]],Tableau3[],2,FALSE)</f>
        <v>Mètre 5m</v>
      </c>
      <c r="D543" s="90">
        <f>VLOOKUP(Tableau4[[#This Row],[Réf matériel]],Tableau3[],3,FALSE)</f>
        <v>5.28</v>
      </c>
      <c r="E543" t="s">
        <v>368</v>
      </c>
      <c r="F543" s="90" t="str">
        <f>VLOOKUP(Tableau4[[#This Row],[Matricule]],Tableau1[],2,FALSE)</f>
        <v>STOPPA</v>
      </c>
      <c r="G543" s="90" t="str">
        <f>VLOOKUP(Tableau4[[#This Row],[Matricule]],Tableau1[],3,FALSE)</f>
        <v>Samy</v>
      </c>
      <c r="H543" s="90" t="str">
        <f>VLOOKUP(Tableau4[[#This Row],[Matricule]],Tableau1[],4,FALSE)</f>
        <v>RE</v>
      </c>
      <c r="I543" s="88">
        <v>43510</v>
      </c>
      <c r="J543" t="s">
        <v>380</v>
      </c>
      <c r="K543" s="90">
        <f>IF(Tableau4[[#This Row],[État]]="Remis",1,0)</f>
        <v>1</v>
      </c>
    </row>
    <row r="544" spans="2:11" x14ac:dyDescent="0.25">
      <c r="B544" t="s">
        <v>275</v>
      </c>
      <c r="C544" s="90" t="str">
        <f>VLOOKUP(Tableau4[[#This Row],[Réf matériel]],Tableau3[],2,FALSE)</f>
        <v>Cliquet rapide 1/4</v>
      </c>
      <c r="D544" s="90">
        <f>VLOOKUP(Tableau4[[#This Row],[Réf matériel]],Tableau3[],3,FALSE)</f>
        <v>31</v>
      </c>
      <c r="E544" t="s">
        <v>368</v>
      </c>
      <c r="F544" s="90" t="str">
        <f>VLOOKUP(Tableau4[[#This Row],[Matricule]],Tableau1[],2,FALSE)</f>
        <v>STOPPA</v>
      </c>
      <c r="G544" s="90" t="str">
        <f>VLOOKUP(Tableau4[[#This Row],[Matricule]],Tableau1[],3,FALSE)</f>
        <v>Samy</v>
      </c>
      <c r="H544" s="90" t="str">
        <f>VLOOKUP(Tableau4[[#This Row],[Matricule]],Tableau1[],4,FALSE)</f>
        <v>RE</v>
      </c>
      <c r="I544" s="88">
        <v>43788</v>
      </c>
      <c r="J544" t="s">
        <v>380</v>
      </c>
      <c r="K544" s="90">
        <f>IF(Tableau4[[#This Row],[État]]="Remis",1,0)</f>
        <v>1</v>
      </c>
    </row>
    <row r="545" spans="2:11" x14ac:dyDescent="0.25">
      <c r="B545" t="s">
        <v>430</v>
      </c>
      <c r="C545" s="90" t="str">
        <f>VLOOKUP(Tableau4[[#This Row],[Réf matériel]],Tableau3[],2,FALSE)</f>
        <v>Couteau électricien</v>
      </c>
      <c r="D545" s="90">
        <f>VLOOKUP(Tableau4[[#This Row],[Réf matériel]],Tableau3[],3,FALSE)</f>
        <v>17.149999999999999</v>
      </c>
      <c r="E545" t="s">
        <v>368</v>
      </c>
      <c r="F545" s="90" t="str">
        <f>VLOOKUP(Tableau4[[#This Row],[Matricule]],Tableau1[],2,FALSE)</f>
        <v>STOPPA</v>
      </c>
      <c r="G545" s="90" t="str">
        <f>VLOOKUP(Tableau4[[#This Row],[Matricule]],Tableau1[],3,FALSE)</f>
        <v>Samy</v>
      </c>
      <c r="H545" s="90" t="str">
        <f>VLOOKUP(Tableau4[[#This Row],[Matricule]],Tableau1[],4,FALSE)</f>
        <v>RE</v>
      </c>
      <c r="I545" s="88">
        <v>43783</v>
      </c>
      <c r="J545" t="s">
        <v>380</v>
      </c>
      <c r="K545" s="90">
        <f>IF(Tableau4[[#This Row],[État]]="Remis",1,0)</f>
        <v>1</v>
      </c>
    </row>
    <row r="546" spans="2:11" x14ac:dyDescent="0.25">
      <c r="B546" t="s">
        <v>431</v>
      </c>
      <c r="C546" s="90" t="str">
        <f>VLOOKUP(Tableau4[[#This Row],[Réf matériel]],Tableau3[],2,FALSE)</f>
        <v>Clé titan</v>
      </c>
      <c r="D546" s="90">
        <f>VLOOKUP(Tableau4[[#This Row],[Réf matériel]],Tableau3[],3,FALSE)</f>
        <v>35</v>
      </c>
      <c r="E546" t="s">
        <v>368</v>
      </c>
      <c r="F546" s="90" t="str">
        <f>VLOOKUP(Tableau4[[#This Row],[Matricule]],Tableau1[],2,FALSE)</f>
        <v>STOPPA</v>
      </c>
      <c r="G546" s="90" t="str">
        <f>VLOOKUP(Tableau4[[#This Row],[Matricule]],Tableau1[],3,FALSE)</f>
        <v>Samy</v>
      </c>
      <c r="H546" s="90" t="str">
        <f>VLOOKUP(Tableau4[[#This Row],[Matricule]],Tableau1[],4,FALSE)</f>
        <v>RE</v>
      </c>
      <c r="I546" s="88">
        <v>43810</v>
      </c>
      <c r="J546" t="s">
        <v>380</v>
      </c>
      <c r="K546" s="90">
        <f>IF(Tableau4[[#This Row],[État]]="Remis",1,0)</f>
        <v>1</v>
      </c>
    </row>
    <row r="547" spans="2:11" x14ac:dyDescent="0.25">
      <c r="B547" t="s">
        <v>400</v>
      </c>
      <c r="C547" s="90" t="str">
        <f>VLOOKUP(Tableau4[[#This Row],[Réf matériel]],Tableau3[],2,FALSE)</f>
        <v>Douille impact 3/4 longueur 36mm</v>
      </c>
      <c r="D547" s="90">
        <f>VLOOKUP(Tableau4[[#This Row],[Réf matériel]],Tableau3[],3,FALSE)</f>
        <v>0</v>
      </c>
      <c r="E547" t="s">
        <v>368</v>
      </c>
      <c r="F547" s="90" t="str">
        <f>VLOOKUP(Tableau4[[#This Row],[Matricule]],Tableau1[],2,FALSE)</f>
        <v>STOPPA</v>
      </c>
      <c r="G547" s="90" t="str">
        <f>VLOOKUP(Tableau4[[#This Row],[Matricule]],Tableau1[],3,FALSE)</f>
        <v>Samy</v>
      </c>
      <c r="H547" s="90" t="str">
        <f>VLOOKUP(Tableau4[[#This Row],[Matricule]],Tableau1[],4,FALSE)</f>
        <v>RE</v>
      </c>
      <c r="I547" s="88">
        <v>43889</v>
      </c>
      <c r="J547" t="s">
        <v>380</v>
      </c>
      <c r="K547" s="90">
        <f>IF(Tableau4[[#This Row],[État]]="Remis",1,0)</f>
        <v>1</v>
      </c>
    </row>
    <row r="548" spans="2:11" x14ac:dyDescent="0.25">
      <c r="B548" t="s">
        <v>432</v>
      </c>
      <c r="C548" s="90" t="str">
        <f>VLOOKUP(Tableau4[[#This Row],[Réf matériel]],Tableau3[],2,FALSE)</f>
        <v>Augmentateur 1/2 à 3/4</v>
      </c>
      <c r="D548" s="90">
        <f>VLOOKUP(Tableau4[[#This Row],[Réf matériel]],Tableau3[],3,FALSE)</f>
        <v>20.29</v>
      </c>
      <c r="E548" t="s">
        <v>368</v>
      </c>
      <c r="F548" s="90" t="str">
        <f>VLOOKUP(Tableau4[[#This Row],[Matricule]],Tableau1[],2,FALSE)</f>
        <v>STOPPA</v>
      </c>
      <c r="G548" s="90" t="str">
        <f>VLOOKUP(Tableau4[[#This Row],[Matricule]],Tableau1[],3,FALSE)</f>
        <v>Samy</v>
      </c>
      <c r="H548" s="90" t="str">
        <f>VLOOKUP(Tableau4[[#This Row],[Matricule]],Tableau1[],4,FALSE)</f>
        <v>RE</v>
      </c>
      <c r="I548" s="88">
        <v>43889</v>
      </c>
      <c r="J548" t="s">
        <v>380</v>
      </c>
      <c r="K548" s="90">
        <f>IF(Tableau4[[#This Row],[État]]="Remis",1,0)</f>
        <v>1</v>
      </c>
    </row>
    <row r="549" spans="2:11" x14ac:dyDescent="0.25">
      <c r="B549" t="s">
        <v>449</v>
      </c>
      <c r="C549" s="90" t="str">
        <f>VLOOKUP(Tableau4[[#This Row],[Réf matériel]],Tableau3[],2,FALSE)</f>
        <v xml:space="preserve">Clé à douille cliquet 1/4 </v>
      </c>
      <c r="D549" s="90">
        <f>VLOOKUP(Tableau4[[#This Row],[Réf matériel]],Tableau3[],3,FALSE)</f>
        <v>25.9</v>
      </c>
      <c r="E549" t="s">
        <v>368</v>
      </c>
      <c r="F549" s="90" t="str">
        <f>VLOOKUP(Tableau4[[#This Row],[Matricule]],Tableau1[],2,FALSE)</f>
        <v>STOPPA</v>
      </c>
      <c r="G549" s="90" t="str">
        <f>VLOOKUP(Tableau4[[#This Row],[Matricule]],Tableau1[],3,FALSE)</f>
        <v>Samy</v>
      </c>
      <c r="H549" s="90" t="str">
        <f>VLOOKUP(Tableau4[[#This Row],[Matricule]],Tableau1[],4,FALSE)</f>
        <v>RE</v>
      </c>
      <c r="I549" s="88">
        <v>43787</v>
      </c>
      <c r="J549" t="s">
        <v>380</v>
      </c>
      <c r="K549" s="90">
        <f>IF(Tableau4[[#This Row],[État]]="Remis",1,0)</f>
        <v>1</v>
      </c>
    </row>
    <row r="550" spans="2:11" x14ac:dyDescent="0.25">
      <c r="B550" t="s">
        <v>442</v>
      </c>
      <c r="C550" s="90" t="str">
        <f>VLOOKUP(Tableau4[[#This Row],[Réf matériel]],Tableau3[],2,FALSE)</f>
        <v>Dymo LABEL MANAGER 160 P</v>
      </c>
      <c r="D550" s="90">
        <f>VLOOKUP(Tableau4[[#This Row],[Réf matériel]],Tableau3[],3,FALSE)</f>
        <v>38</v>
      </c>
      <c r="E550" t="s">
        <v>370</v>
      </c>
      <c r="F550" s="90" t="str">
        <f>VLOOKUP(Tableau4[[#This Row],[Matricule]],Tableau1[],2,FALSE)</f>
        <v xml:space="preserve">THENARD </v>
      </c>
      <c r="G550" s="90" t="str">
        <f>VLOOKUP(Tableau4[[#This Row],[Matricule]],Tableau1[],3,FALSE)</f>
        <v>Carine</v>
      </c>
      <c r="H550" s="90" t="str">
        <f>VLOOKUP(Tableau4[[#This Row],[Matricule]],Tableau1[],4,FALSE)</f>
        <v>AD</v>
      </c>
      <c r="I550" s="88">
        <v>43800</v>
      </c>
      <c r="J550" t="s">
        <v>380</v>
      </c>
      <c r="K550" s="90">
        <f>IF(Tableau4[[#This Row],[État]]="Remis",1,0)</f>
        <v>1</v>
      </c>
    </row>
    <row r="551" spans="2:11" x14ac:dyDescent="0.25">
      <c r="B551" t="s">
        <v>51</v>
      </c>
      <c r="C551" s="90" t="str">
        <f>VLOOKUP(Tableau4[[#This Row],[Réf matériel]],Tableau3[],2,FALSE)</f>
        <v>Mètre pliant</v>
      </c>
      <c r="D551" s="90">
        <f>VLOOKUP(Tableau4[[#This Row],[Réf matériel]],Tableau3[],3,FALSE)</f>
        <v>3.2</v>
      </c>
      <c r="E551" t="s">
        <v>378</v>
      </c>
      <c r="F551" s="90" t="str">
        <f>VLOOKUP(Tableau4[[#This Row],[Matricule]],Tableau1[],2,FALSE)</f>
        <v>ZERHOUNI</v>
      </c>
      <c r="G551" s="90" t="str">
        <f>VLOOKUP(Tableau4[[#This Row],[Matricule]],Tableau1[],3,FALSE)</f>
        <v>Fawzi</v>
      </c>
      <c r="H551" s="90" t="str">
        <f>VLOOKUP(Tableau4[[#This Row],[Matricule]],Tableau1[],4,FALSE)</f>
        <v>RC</v>
      </c>
      <c r="I551" s="88">
        <v>43635</v>
      </c>
      <c r="J551" t="s">
        <v>380</v>
      </c>
      <c r="K551" s="90">
        <f>IF(Tableau4[[#This Row],[État]]="Remis",1,0)</f>
        <v>1</v>
      </c>
    </row>
    <row r="552" spans="2:11" x14ac:dyDescent="0.25">
      <c r="B552" t="s">
        <v>440</v>
      </c>
      <c r="C552" s="90" t="str">
        <f>VLOOKUP(Tableau4[[#This Row],[Réf matériel]],Tableau3[],2,FALSE)</f>
        <v>Testeur Fluke</v>
      </c>
      <c r="D552" s="90">
        <f>VLOOKUP(Tableau4[[#This Row],[Réf matériel]],Tableau3[],3,FALSE)</f>
        <v>0</v>
      </c>
      <c r="E552" t="s">
        <v>378</v>
      </c>
      <c r="F552" s="90" t="str">
        <f>VLOOKUP(Tableau4[[#This Row],[Matricule]],Tableau1[],2,FALSE)</f>
        <v>ZERHOUNI</v>
      </c>
      <c r="G552" s="90" t="str">
        <f>VLOOKUP(Tableau4[[#This Row],[Matricule]],Tableau1[],3,FALSE)</f>
        <v>Fawzi</v>
      </c>
      <c r="H552" s="90" t="str">
        <f>VLOOKUP(Tableau4[[#This Row],[Matricule]],Tableau1[],4,FALSE)</f>
        <v>RC</v>
      </c>
      <c r="I552" s="88">
        <v>43741</v>
      </c>
      <c r="J552" t="s">
        <v>380</v>
      </c>
      <c r="K552" s="90">
        <f>IF(Tableau4[[#This Row],[État]]="Remis",1,0)</f>
        <v>1</v>
      </c>
    </row>
    <row r="553" spans="2:11" x14ac:dyDescent="0.25">
      <c r="B553" t="s">
        <v>74</v>
      </c>
      <c r="C553" s="90" t="str">
        <f>VLOOKUP(Tableau4[[#This Row],[Réf matériel]],Tableau3[],2,FALSE)</f>
        <v>Casque chantier</v>
      </c>
      <c r="D553" s="90">
        <f>VLOOKUP(Tableau4[[#This Row],[Réf matériel]],Tableau3[],3,FALSE)</f>
        <v>29.05</v>
      </c>
      <c r="E553" t="s">
        <v>378</v>
      </c>
      <c r="F553" s="90" t="str">
        <f>VLOOKUP(Tableau4[[#This Row],[Matricule]],Tableau1[],2,FALSE)</f>
        <v>ZERHOUNI</v>
      </c>
      <c r="G553" s="90" t="str">
        <f>VLOOKUP(Tableau4[[#This Row],[Matricule]],Tableau1[],3,FALSE)</f>
        <v>Fawzi</v>
      </c>
      <c r="H553" s="90" t="str">
        <f>VLOOKUP(Tableau4[[#This Row],[Matricule]],Tableau1[],4,FALSE)</f>
        <v>RC</v>
      </c>
      <c r="I553" s="88">
        <v>43635</v>
      </c>
      <c r="J553" t="s">
        <v>381</v>
      </c>
      <c r="K553" s="90">
        <f>IF(Tableau4[[#This Row],[État]]="Remis",1,0)</f>
        <v>0</v>
      </c>
    </row>
    <row r="554" spans="2:11" x14ac:dyDescent="0.25">
      <c r="B554" t="s">
        <v>75</v>
      </c>
      <c r="C554" s="90" t="str">
        <f>VLOOKUP(Tableau4[[#This Row],[Réf matériel]],Tableau3[],2,FALSE)</f>
        <v>Lampe frontale</v>
      </c>
      <c r="D554" s="90">
        <f>VLOOKUP(Tableau4[[#This Row],[Réf matériel]],Tableau3[],3,FALSE)</f>
        <v>42.5</v>
      </c>
      <c r="E554" t="s">
        <v>378</v>
      </c>
      <c r="F554" s="90" t="str">
        <f>VLOOKUP(Tableau4[[#This Row],[Matricule]],Tableau1[],2,FALSE)</f>
        <v>ZERHOUNI</v>
      </c>
      <c r="G554" s="90" t="str">
        <f>VLOOKUP(Tableau4[[#This Row],[Matricule]],Tableau1[],3,FALSE)</f>
        <v>Fawzi</v>
      </c>
      <c r="H554" s="90" t="str">
        <f>VLOOKUP(Tableau4[[#This Row],[Matricule]],Tableau1[],4,FALSE)</f>
        <v>RC</v>
      </c>
      <c r="I554" s="88">
        <v>43635</v>
      </c>
      <c r="J554" t="s">
        <v>380</v>
      </c>
      <c r="K554" s="90">
        <f>IF(Tableau4[[#This Row],[État]]="Remis",1,0)</f>
        <v>1</v>
      </c>
    </row>
    <row r="555" spans="2:11" x14ac:dyDescent="0.25">
      <c r="B555" t="s">
        <v>280</v>
      </c>
      <c r="C555" s="90" t="str">
        <f>VLOOKUP(Tableau4[[#This Row],[Réf matériel]],Tableau3[],2,FALSE)</f>
        <v>Pince coupante 1000v</v>
      </c>
      <c r="D555" s="90">
        <f>VLOOKUP(Tableau4[[#This Row],[Réf matériel]],Tableau3[],3,FALSE)</f>
        <v>20.87</v>
      </c>
      <c r="E555" t="s">
        <v>330</v>
      </c>
      <c r="F555" s="90" t="str">
        <f>VLOOKUP(Tableau4[[#This Row],[Matricule]],Tableau1[],2,FALSE)</f>
        <v>DEPOORTER</v>
      </c>
      <c r="G555" s="90" t="str">
        <f>VLOOKUP(Tableau4[[#This Row],[Matricule]],Tableau1[],3,FALSE)</f>
        <v>Jonathan</v>
      </c>
      <c r="H555" s="90" t="str">
        <f>VLOOKUP(Tableau4[[#This Row],[Matricule]],Tableau1[],4,FALSE)</f>
        <v>ELEC</v>
      </c>
      <c r="I555" s="88">
        <v>43472</v>
      </c>
      <c r="J555" s="98" t="s">
        <v>380</v>
      </c>
      <c r="K555" s="90">
        <f>IF(Tableau4[[#This Row],[État]]="Remis",1,0)</f>
        <v>1</v>
      </c>
    </row>
    <row r="556" spans="2:11" x14ac:dyDescent="0.25">
      <c r="B556" t="s">
        <v>397</v>
      </c>
      <c r="C556" s="90" t="str">
        <f>VLOOKUP(Tableau4[[#This Row],[Réf matériel]],Tableau3[],2,FALSE)</f>
        <v>Pince étau</v>
      </c>
      <c r="D556" s="90">
        <f>VLOOKUP(Tableau4[[#This Row],[Réf matériel]],Tableau3[],3,FALSE)</f>
        <v>16.02</v>
      </c>
      <c r="E556" t="s">
        <v>307</v>
      </c>
      <c r="F556" s="90" t="str">
        <f>VLOOKUP(Tableau4[[#This Row],[Matricule]],Tableau1[],2,FALSE)</f>
        <v>AIT RAISS</v>
      </c>
      <c r="G556" s="90" t="str">
        <f>VLOOKUP(Tableau4[[#This Row],[Matricule]],Tableau1[],3,FALSE)</f>
        <v>Omar</v>
      </c>
      <c r="H556" s="90" t="str">
        <f>VLOOKUP(Tableau4[[#This Row],[Matricule]],Tableau1[],4,FALSE)</f>
        <v>ELEC</v>
      </c>
      <c r="I556" s="88">
        <v>43510</v>
      </c>
      <c r="J556" t="s">
        <v>380</v>
      </c>
      <c r="K556" s="90">
        <f>IF(Tableau4[[#This Row],[État]]="Remis",1,0)</f>
        <v>1</v>
      </c>
    </row>
    <row r="557" spans="2:11" x14ac:dyDescent="0.25">
      <c r="B557" t="s">
        <v>72</v>
      </c>
      <c r="C557" s="90" t="str">
        <f>VLOOKUP(Tableau4[[#This Row],[Réf matériel]],Tableau3[],2,FALSE)</f>
        <v>Pince colson</v>
      </c>
      <c r="D557" s="90">
        <f>VLOOKUP(Tableau4[[#This Row],[Réf matériel]],Tableau3[],3,FALSE)</f>
        <v>46.91</v>
      </c>
      <c r="E557" t="s">
        <v>313</v>
      </c>
      <c r="F557" s="90" t="str">
        <f>VLOOKUP(Tableau4[[#This Row],[Matricule]],Tableau1[],2,FALSE)</f>
        <v>BENAMROUCHE</v>
      </c>
      <c r="G557" s="90" t="str">
        <f>VLOOKUP(Tableau4[[#This Row],[Matricule]],Tableau1[],3,FALSE)</f>
        <v>Ali</v>
      </c>
      <c r="H557" s="90" t="str">
        <f>VLOOKUP(Tableau4[[#This Row],[Matricule]],Tableau1[],4,FALSE)</f>
        <v>ELEC</v>
      </c>
      <c r="I557" s="88">
        <v>43273</v>
      </c>
      <c r="J557" t="s">
        <v>380</v>
      </c>
      <c r="K557" s="90">
        <f>IF(Tableau4[[#This Row],[État]]="Remis",1,0)</f>
        <v>1</v>
      </c>
    </row>
    <row r="558" spans="2:11" x14ac:dyDescent="0.25">
      <c r="B558" t="s">
        <v>452</v>
      </c>
      <c r="C558" s="90" t="str">
        <f>VLOOKUP(Tableau4[[#This Row],[Réf matériel]],Tableau3[],2,FALSE)</f>
        <v>Clé universelle</v>
      </c>
      <c r="D558" s="90">
        <f>VLOOKUP(Tableau4[[#This Row],[Réf matériel]],Tableau3[],3,FALSE)</f>
        <v>20.5</v>
      </c>
      <c r="E558" t="s">
        <v>322</v>
      </c>
      <c r="F558" s="90" t="str">
        <f>VLOOKUP(Tableau4[[#This Row],[Matricule]],Tableau1[],2,FALSE)</f>
        <v>CEGIELSKI</v>
      </c>
      <c r="G558" s="90" t="str">
        <f>VLOOKUP(Tableau4[[#This Row],[Matricule]],Tableau1[],3,FALSE)</f>
        <v>Damien</v>
      </c>
      <c r="H558" s="90" t="str">
        <f>VLOOKUP(Tableau4[[#This Row],[Matricule]],Tableau1[],4,FALSE)</f>
        <v>RA</v>
      </c>
      <c r="I558" s="88">
        <v>43559</v>
      </c>
      <c r="J558" t="s">
        <v>380</v>
      </c>
      <c r="K558" s="90">
        <f>IF(Tableau4[[#This Row],[État]]="Remis",1,0)</f>
        <v>1</v>
      </c>
    </row>
    <row r="559" spans="2:11" x14ac:dyDescent="0.25">
      <c r="B559" t="s">
        <v>397</v>
      </c>
      <c r="C559" s="90" t="str">
        <f>VLOOKUP(Tableau4[[#This Row],[Réf matériel]],Tableau3[],2,FALSE)</f>
        <v>Pince étau</v>
      </c>
      <c r="D559" s="90">
        <f>VLOOKUP(Tableau4[[#This Row],[Réf matériel]],Tableau3[],3,FALSE)</f>
        <v>16.02</v>
      </c>
      <c r="E559" t="s">
        <v>330</v>
      </c>
      <c r="F559" s="90" t="str">
        <f>VLOOKUP(Tableau4[[#This Row],[Matricule]],Tableau1[],2,FALSE)</f>
        <v>DEPOORTER</v>
      </c>
      <c r="G559" s="90" t="str">
        <f>VLOOKUP(Tableau4[[#This Row],[Matricule]],Tableau1[],3,FALSE)</f>
        <v>Jonathan</v>
      </c>
      <c r="H559" s="90" t="str">
        <f>VLOOKUP(Tableau4[[#This Row],[Matricule]],Tableau1[],4,FALSE)</f>
        <v>ELEC</v>
      </c>
      <c r="I559" s="88">
        <v>43510</v>
      </c>
      <c r="J559" t="s">
        <v>380</v>
      </c>
      <c r="K559" s="90">
        <f>IF(Tableau4[[#This Row],[État]]="Remis",1,0)</f>
        <v>1</v>
      </c>
    </row>
    <row r="560" spans="2:11" x14ac:dyDescent="0.25">
      <c r="B560" t="s">
        <v>428</v>
      </c>
      <c r="C560" s="90" t="str">
        <f>VLOOKUP(Tableau4[[#This Row],[Réf matériel]],Tableau3[],2,FALSE)</f>
        <v>Pince multiprise</v>
      </c>
      <c r="D560" s="90">
        <f>VLOOKUP(Tableau4[[#This Row],[Réf matériel]],Tableau3[],3,FALSE)</f>
        <v>27.2</v>
      </c>
      <c r="E560" t="s">
        <v>330</v>
      </c>
      <c r="F560" s="90" t="str">
        <f>VLOOKUP(Tableau4[[#This Row],[Matricule]],Tableau1[],2,FALSE)</f>
        <v>DEPOORTER</v>
      </c>
      <c r="G560" s="90" t="str">
        <f>VLOOKUP(Tableau4[[#This Row],[Matricule]],Tableau1[],3,FALSE)</f>
        <v>Jonathan</v>
      </c>
      <c r="H560" s="90" t="str">
        <f>VLOOKUP(Tableau4[[#This Row],[Matricule]],Tableau1[],4,FALSE)</f>
        <v>ELEC</v>
      </c>
      <c r="I560" s="88">
        <v>43510</v>
      </c>
      <c r="J560" t="s">
        <v>380</v>
      </c>
      <c r="K560" s="90">
        <f>IF(Tableau4[[#This Row],[État]]="Remis",1,0)</f>
        <v>1</v>
      </c>
    </row>
    <row r="561" spans="2:11" x14ac:dyDescent="0.25">
      <c r="B561" t="s">
        <v>170</v>
      </c>
      <c r="C561" s="90" t="str">
        <f>VLOOKUP(Tableau4[[#This Row],[Réf matériel]],Tableau3[],2,FALSE)</f>
        <v>Pioche d'égouttier</v>
      </c>
      <c r="D561" s="90">
        <f>VLOOKUP(Tableau4[[#This Row],[Réf matériel]],Tableau3[],3,FALSE)</f>
        <v>60.58</v>
      </c>
      <c r="E561" t="s">
        <v>330</v>
      </c>
      <c r="F561" s="90" t="str">
        <f>VLOOKUP(Tableau4[[#This Row],[Matricule]],Tableau1[],2,FALSE)</f>
        <v>DEPOORTER</v>
      </c>
      <c r="G561" s="90" t="str">
        <f>VLOOKUP(Tableau4[[#This Row],[Matricule]],Tableau1[],3,FALSE)</f>
        <v>Jonathan</v>
      </c>
      <c r="H561" s="90" t="str">
        <f>VLOOKUP(Tableau4[[#This Row],[Matricule]],Tableau1[],4,FALSE)</f>
        <v>ELEC</v>
      </c>
      <c r="I561" s="88">
        <v>43777</v>
      </c>
      <c r="J561" t="s">
        <v>380</v>
      </c>
      <c r="K561" s="90">
        <f>IF(Tableau4[[#This Row],[État]]="Remis",1,0)</f>
        <v>1</v>
      </c>
    </row>
    <row r="562" spans="2:11" x14ac:dyDescent="0.25">
      <c r="B562" t="s">
        <v>421</v>
      </c>
      <c r="C562" s="90" t="str">
        <f>VLOOKUP(Tableau4[[#This Row],[Réf matériel]],Tableau3[],2,FALSE)</f>
        <v>Clé mixte 8</v>
      </c>
      <c r="D562" s="90">
        <f>VLOOKUP(Tableau4[[#This Row],[Réf matériel]],Tableau3[],3,FALSE)</f>
        <v>3.05</v>
      </c>
      <c r="E562" t="s">
        <v>331</v>
      </c>
      <c r="F562" s="90" t="str">
        <f>VLOOKUP(Tableau4[[#This Row],[Matricule]],Tableau1[],2,FALSE)</f>
        <v>DIALLO</v>
      </c>
      <c r="G562" s="90" t="str">
        <f>VLOOKUP(Tableau4[[#This Row],[Matricule]],Tableau1[],3,FALSE)</f>
        <v>Oumar</v>
      </c>
      <c r="H562" s="90" t="str">
        <f>VLOOKUP(Tableau4[[#This Row],[Matricule]],Tableau1[],4,FALSE)</f>
        <v>ELEC</v>
      </c>
      <c r="I562" s="88">
        <v>43061</v>
      </c>
      <c r="J562" t="s">
        <v>380</v>
      </c>
      <c r="K562" s="90">
        <f>IF(Tableau4[[#This Row],[État]]="Remis",1,0)</f>
        <v>1</v>
      </c>
    </row>
    <row r="563" spans="2:11" x14ac:dyDescent="0.25">
      <c r="B563" t="s">
        <v>430</v>
      </c>
      <c r="C563" s="90" t="str">
        <f>VLOOKUP(Tableau4[[#This Row],[Réf matériel]],Tableau3[],2,FALSE)</f>
        <v>Couteau électricien</v>
      </c>
      <c r="D563" s="90">
        <f>VLOOKUP(Tableau4[[#This Row],[Réf matériel]],Tableau3[],3,FALSE)</f>
        <v>17.149999999999999</v>
      </c>
      <c r="E563" t="s">
        <v>331</v>
      </c>
      <c r="F563" s="90" t="str">
        <f>VLOOKUP(Tableau4[[#This Row],[Matricule]],Tableau1[],2,FALSE)</f>
        <v>DIALLO</v>
      </c>
      <c r="G563" s="90" t="str">
        <f>VLOOKUP(Tableau4[[#This Row],[Matricule]],Tableau1[],3,FALSE)</f>
        <v>Oumar</v>
      </c>
      <c r="H563" s="90" t="str">
        <f>VLOOKUP(Tableau4[[#This Row],[Matricule]],Tableau1[],4,FALSE)</f>
        <v>ELEC</v>
      </c>
      <c r="I563" s="88">
        <v>43061</v>
      </c>
      <c r="J563" t="s">
        <v>380</v>
      </c>
      <c r="K563" s="90">
        <f>IF(Tableau4[[#This Row],[État]]="Remis",1,0)</f>
        <v>1</v>
      </c>
    </row>
    <row r="564" spans="2:11" x14ac:dyDescent="0.25">
      <c r="B564" t="s">
        <v>428</v>
      </c>
      <c r="C564" s="90" t="str">
        <f>VLOOKUP(Tableau4[[#This Row],[Réf matériel]],Tableau3[],2,FALSE)</f>
        <v>Pince multiprise</v>
      </c>
      <c r="D564" s="90">
        <f>VLOOKUP(Tableau4[[#This Row],[Réf matériel]],Tableau3[],3,FALSE)</f>
        <v>27.2</v>
      </c>
      <c r="E564" t="s">
        <v>331</v>
      </c>
      <c r="F564" s="90" t="str">
        <f>VLOOKUP(Tableau4[[#This Row],[Matricule]],Tableau1[],2,FALSE)</f>
        <v>DIALLO</v>
      </c>
      <c r="G564" s="90" t="str">
        <f>VLOOKUP(Tableau4[[#This Row],[Matricule]],Tableau1[],3,FALSE)</f>
        <v>Oumar</v>
      </c>
      <c r="H564" s="90" t="str">
        <f>VLOOKUP(Tableau4[[#This Row],[Matricule]],Tableau1[],4,FALSE)</f>
        <v>ELEC</v>
      </c>
      <c r="I564" s="88">
        <v>43061</v>
      </c>
      <c r="J564" t="s">
        <v>380</v>
      </c>
      <c r="K564" s="90">
        <f>IF(Tableau4[[#This Row],[État]]="Remis",1,0)</f>
        <v>1</v>
      </c>
    </row>
    <row r="565" spans="2:11" x14ac:dyDescent="0.25">
      <c r="B565" t="s">
        <v>395</v>
      </c>
      <c r="C565" s="90" t="str">
        <f>VLOOKUP(Tableau4[[#This Row],[Réf matériel]],Tableau3[],2,FALSE)</f>
        <v>Burin plat</v>
      </c>
      <c r="D565" s="90">
        <f>VLOOKUP(Tableau4[[#This Row],[Réf matériel]],Tableau3[],3,FALSE)</f>
        <v>11.89</v>
      </c>
      <c r="E565" t="s">
        <v>355</v>
      </c>
      <c r="F565" s="90" t="str">
        <f>VLOOKUP(Tableau4[[#This Row],[Matricule]],Tableau1[],2,FALSE)</f>
        <v>MONNATE</v>
      </c>
      <c r="G565" s="90" t="str">
        <f>VLOOKUP(Tableau4[[#This Row],[Matricule]],Tableau1[],3,FALSE)</f>
        <v>Ludowic</v>
      </c>
      <c r="H565" s="90" t="str">
        <f>VLOOKUP(Tableau4[[#This Row],[Matricule]],Tableau1[],4,FALSE)</f>
        <v>RE</v>
      </c>
      <c r="J565" t="s">
        <v>380</v>
      </c>
      <c r="K565" s="90">
        <f>IF(Tableau4[[#This Row],[État]]="Remis",1,0)</f>
        <v>1</v>
      </c>
    </row>
    <row r="566" spans="2:11" x14ac:dyDescent="0.25">
      <c r="B566" t="s">
        <v>401</v>
      </c>
      <c r="C566" s="90" t="str">
        <f>VLOOKUP(Tableau4[[#This Row],[Réf matériel]],Tableau3[],2,FALSE)</f>
        <v>Burin pointu</v>
      </c>
      <c r="D566" s="90">
        <f>VLOOKUP(Tableau4[[#This Row],[Réf matériel]],Tableau3[],3,FALSE)</f>
        <v>8.7200000000000006</v>
      </c>
      <c r="E566" t="s">
        <v>355</v>
      </c>
      <c r="F566" s="90" t="str">
        <f>VLOOKUP(Tableau4[[#This Row],[Matricule]],Tableau1[],2,FALSE)</f>
        <v>MONNATE</v>
      </c>
      <c r="G566" s="90" t="str">
        <f>VLOOKUP(Tableau4[[#This Row],[Matricule]],Tableau1[],3,FALSE)</f>
        <v>Ludowic</v>
      </c>
      <c r="H566" s="90" t="str">
        <f>VLOOKUP(Tableau4[[#This Row],[Matricule]],Tableau1[],4,FALSE)</f>
        <v>RE</v>
      </c>
      <c r="J566" t="s">
        <v>380</v>
      </c>
      <c r="K566" s="90">
        <f>IF(Tableau4[[#This Row],[État]]="Remis",1,0)</f>
        <v>1</v>
      </c>
    </row>
    <row r="567" spans="2:11" x14ac:dyDescent="0.25">
      <c r="B567" t="s">
        <v>423</v>
      </c>
      <c r="C567" s="90" t="str">
        <f>VLOOKUP(Tableau4[[#This Row],[Réf matériel]],Tableau3[],2,FALSE)</f>
        <v>Clé plate 8</v>
      </c>
      <c r="D567" s="90">
        <f>VLOOKUP(Tableau4[[#This Row],[Réf matériel]],Tableau3[],3,FALSE)</f>
        <v>3.05</v>
      </c>
      <c r="E567" t="s">
        <v>357</v>
      </c>
      <c r="F567" s="90" t="str">
        <f>VLOOKUP(Tableau4[[#This Row],[Matricule]],Tableau1[],2,FALSE)</f>
        <v>MONNATE</v>
      </c>
      <c r="G567" s="90" t="str">
        <f>VLOOKUP(Tableau4[[#This Row],[Matricule]],Tableau1[],3,FALSE)</f>
        <v>Tony</v>
      </c>
      <c r="H567" s="90" t="str">
        <f>VLOOKUP(Tableau4[[#This Row],[Matricule]],Tableau1[],4,FALSE)</f>
        <v>GC</v>
      </c>
      <c r="I567" s="88">
        <v>43669</v>
      </c>
      <c r="J567" t="s">
        <v>380</v>
      </c>
      <c r="K567" s="90">
        <f>IF(Tableau4[[#This Row],[État]]="Remis",1,0)</f>
        <v>1</v>
      </c>
    </row>
    <row r="568" spans="2:11" x14ac:dyDescent="0.25">
      <c r="B568" t="s">
        <v>391</v>
      </c>
      <c r="C568" s="90" t="str">
        <f>VLOOKUP(Tableau4[[#This Row],[Réf matériel]],Tableau3[],2,FALSE)</f>
        <v>Cadena</v>
      </c>
      <c r="D568" s="90">
        <f>VLOOKUP(Tableau4[[#This Row],[Réf matériel]],Tableau3[],3,FALSE)</f>
        <v>13</v>
      </c>
      <c r="E568" t="s">
        <v>365</v>
      </c>
      <c r="F568" s="90" t="str">
        <f>VLOOKUP(Tableau4[[#This Row],[Matricule]],Tableau1[],2,FALSE)</f>
        <v>ROSA MACHADO</v>
      </c>
      <c r="G568" s="90" t="str">
        <f>VLOOKUP(Tableau4[[#This Row],[Matricule]],Tableau1[],3,FALSE)</f>
        <v xml:space="preserve">Marcelo </v>
      </c>
      <c r="H568" s="90" t="str">
        <f>VLOOKUP(Tableau4[[#This Row],[Matricule]],Tableau1[],4,FALSE)</f>
        <v>RE</v>
      </c>
      <c r="I568" s="88">
        <v>43448</v>
      </c>
      <c r="J568" t="s">
        <v>380</v>
      </c>
      <c r="K568" s="90">
        <f>IF(Tableau4[[#This Row],[État]]="Remis",1,0)</f>
        <v>1</v>
      </c>
    </row>
    <row r="569" spans="2:11" x14ac:dyDescent="0.25">
      <c r="B569" t="s">
        <v>420</v>
      </c>
      <c r="C569" s="90" t="str">
        <f>VLOOKUP(Tableau4[[#This Row],[Réf matériel]],Tableau3[],2,FALSE)</f>
        <v>Clé allen</v>
      </c>
      <c r="D569" s="90">
        <f>VLOOKUP(Tableau4[[#This Row],[Réf matériel]],Tableau3[],3,FALSE)</f>
        <v>27.5</v>
      </c>
      <c r="E569" t="s">
        <v>365</v>
      </c>
      <c r="F569" s="90" t="str">
        <f>VLOOKUP(Tableau4[[#This Row],[Matricule]],Tableau1[],2,FALSE)</f>
        <v>ROSA MACHADO</v>
      </c>
      <c r="G569" s="90" t="str">
        <f>VLOOKUP(Tableau4[[#This Row],[Matricule]],Tableau1[],3,FALSE)</f>
        <v xml:space="preserve">Marcelo </v>
      </c>
      <c r="H569" s="90" t="str">
        <f>VLOOKUP(Tableau4[[#This Row],[Matricule]],Tableau1[],4,FALSE)</f>
        <v>RE</v>
      </c>
      <c r="I569" s="88">
        <v>43318</v>
      </c>
      <c r="J569" t="s">
        <v>380</v>
      </c>
      <c r="K569" s="90">
        <f>IF(Tableau4[[#This Row],[État]]="Remis",1,0)</f>
        <v>1</v>
      </c>
    </row>
    <row r="570" spans="2:11" x14ac:dyDescent="0.25">
      <c r="B570" t="s">
        <v>420</v>
      </c>
      <c r="C570" s="90" t="str">
        <f>VLOOKUP(Tableau4[[#This Row],[Réf matériel]],Tableau3[],2,FALSE)</f>
        <v>Clé allen</v>
      </c>
      <c r="D570" s="90">
        <f>VLOOKUP(Tableau4[[#This Row],[Réf matériel]],Tableau3[],3,FALSE)</f>
        <v>27.5</v>
      </c>
      <c r="E570" t="s">
        <v>365</v>
      </c>
      <c r="F570" s="90" t="str">
        <f>VLOOKUP(Tableau4[[#This Row],[Matricule]],Tableau1[],2,FALSE)</f>
        <v>ROSA MACHADO</v>
      </c>
      <c r="G570" s="90" t="str">
        <f>VLOOKUP(Tableau4[[#This Row],[Matricule]],Tableau1[],3,FALSE)</f>
        <v xml:space="preserve">Marcelo </v>
      </c>
      <c r="H570" s="90" t="str">
        <f>VLOOKUP(Tableau4[[#This Row],[Matricule]],Tableau1[],4,FALSE)</f>
        <v>RE</v>
      </c>
      <c r="I570" s="88">
        <v>44073</v>
      </c>
      <c r="J570" t="s">
        <v>447</v>
      </c>
      <c r="K570" s="90">
        <f>IF(Tableau4[[#This Row],[État]]="Remis",1,0)</f>
        <v>0</v>
      </c>
    </row>
    <row r="571" spans="2:11" x14ac:dyDescent="0.25">
      <c r="B571" t="s">
        <v>420</v>
      </c>
      <c r="C571" s="90" t="str">
        <f>VLOOKUP(Tableau4[[#This Row],[Réf matériel]],Tableau3[],2,FALSE)</f>
        <v>Clé allen</v>
      </c>
      <c r="D571" s="90">
        <f>VLOOKUP(Tableau4[[#This Row],[Réf matériel]],Tableau3[],3,FALSE)</f>
        <v>27.5</v>
      </c>
      <c r="E571" t="s">
        <v>365</v>
      </c>
      <c r="F571" s="90" t="str">
        <f>VLOOKUP(Tableau4[[#This Row],[Matricule]],Tableau1[],2,FALSE)</f>
        <v>ROSA MACHADO</v>
      </c>
      <c r="G571" s="90" t="str">
        <f>VLOOKUP(Tableau4[[#This Row],[Matricule]],Tableau1[],3,FALSE)</f>
        <v xml:space="preserve">Marcelo </v>
      </c>
      <c r="H571" s="90" t="str">
        <f>VLOOKUP(Tableau4[[#This Row],[Matricule]],Tableau1[],4,FALSE)</f>
        <v>RE</v>
      </c>
      <c r="I571" s="88">
        <v>44074</v>
      </c>
      <c r="J571" t="s">
        <v>380</v>
      </c>
      <c r="K571" s="90">
        <f>IF(Tableau4[[#This Row],[État]]="Remis",1,0)</f>
        <v>1</v>
      </c>
    </row>
    <row r="572" spans="2:11" x14ac:dyDescent="0.25">
      <c r="B572" t="s">
        <v>398</v>
      </c>
      <c r="C572" s="90" t="str">
        <f>VLOOKUP(Tableau4[[#This Row],[Réf matériel]],Tableau3[],2,FALSE)</f>
        <v>Coffret douilles</v>
      </c>
      <c r="D572" s="90">
        <f>VLOOKUP(Tableau4[[#This Row],[Réf matériel]],Tableau3[],3,FALSE)</f>
        <v>103.22</v>
      </c>
      <c r="E572" t="s">
        <v>365</v>
      </c>
      <c r="F572" s="90" t="str">
        <f>VLOOKUP(Tableau4[[#This Row],[Matricule]],Tableau1[],2,FALSE)</f>
        <v>ROSA MACHADO</v>
      </c>
      <c r="G572" s="90" t="str">
        <f>VLOOKUP(Tableau4[[#This Row],[Matricule]],Tableau1[],3,FALSE)</f>
        <v xml:space="preserve">Marcelo </v>
      </c>
      <c r="H572" s="90" t="str">
        <f>VLOOKUP(Tableau4[[#This Row],[Matricule]],Tableau1[],4,FALSE)</f>
        <v>RE</v>
      </c>
      <c r="I572" s="88">
        <v>43318</v>
      </c>
      <c r="J572" t="s">
        <v>380</v>
      </c>
      <c r="K572" s="90">
        <f>IF(Tableau4[[#This Row],[État]]="Remis",1,0)</f>
        <v>1</v>
      </c>
    </row>
    <row r="573" spans="2:11" x14ac:dyDescent="0.25">
      <c r="B573" t="s">
        <v>398</v>
      </c>
      <c r="C573" s="90" t="str">
        <f>VLOOKUP(Tableau4[[#This Row],[Réf matériel]],Tableau3[],2,FALSE)</f>
        <v>Coffret douilles</v>
      </c>
      <c r="D573" s="90">
        <f>VLOOKUP(Tableau4[[#This Row],[Réf matériel]],Tableau3[],3,FALSE)</f>
        <v>103.22</v>
      </c>
      <c r="E573" t="s">
        <v>365</v>
      </c>
      <c r="F573" s="90" t="str">
        <f>VLOOKUP(Tableau4[[#This Row],[Matricule]],Tableau1[],2,FALSE)</f>
        <v>ROSA MACHADO</v>
      </c>
      <c r="G573" s="90" t="str">
        <f>VLOOKUP(Tableau4[[#This Row],[Matricule]],Tableau1[],3,FALSE)</f>
        <v xml:space="preserve">Marcelo </v>
      </c>
      <c r="H573" s="90" t="str">
        <f>VLOOKUP(Tableau4[[#This Row],[Matricule]],Tableau1[],4,FALSE)</f>
        <v>RE</v>
      </c>
      <c r="I573" s="88">
        <v>44073</v>
      </c>
      <c r="J573" t="s">
        <v>447</v>
      </c>
      <c r="K573" s="90">
        <f>IF(Tableau4[[#This Row],[État]]="Remis",1,0)</f>
        <v>0</v>
      </c>
    </row>
    <row r="574" spans="2:11" x14ac:dyDescent="0.25">
      <c r="B574" t="s">
        <v>398</v>
      </c>
      <c r="C574" s="90" t="str">
        <f>VLOOKUP(Tableau4[[#This Row],[Réf matériel]],Tableau3[],2,FALSE)</f>
        <v>Coffret douilles</v>
      </c>
      <c r="D574" s="90">
        <f>VLOOKUP(Tableau4[[#This Row],[Réf matériel]],Tableau3[],3,FALSE)</f>
        <v>103.22</v>
      </c>
      <c r="E574" t="s">
        <v>365</v>
      </c>
      <c r="F574" s="90" t="str">
        <f>VLOOKUP(Tableau4[[#This Row],[Matricule]],Tableau1[],2,FALSE)</f>
        <v>ROSA MACHADO</v>
      </c>
      <c r="G574" s="90" t="str">
        <f>VLOOKUP(Tableau4[[#This Row],[Matricule]],Tableau1[],3,FALSE)</f>
        <v xml:space="preserve">Marcelo </v>
      </c>
      <c r="H574" s="90" t="str">
        <f>VLOOKUP(Tableau4[[#This Row],[Matricule]],Tableau1[],4,FALSE)</f>
        <v>RE</v>
      </c>
      <c r="I574" s="88">
        <v>44074</v>
      </c>
      <c r="J574" t="s">
        <v>380</v>
      </c>
      <c r="K574" s="90">
        <f>IF(Tableau4[[#This Row],[État]]="Remis",1,0)</f>
        <v>1</v>
      </c>
    </row>
    <row r="575" spans="2:11" x14ac:dyDescent="0.25">
      <c r="B575" t="s">
        <v>438</v>
      </c>
      <c r="C575" s="90" t="str">
        <f>VLOOKUP(Tableau4[[#This Row],[Réf matériel]],Tableau3[],2,FALSE)</f>
        <v>Outil à dégainer</v>
      </c>
      <c r="D575" s="90">
        <f>VLOOKUP(Tableau4[[#This Row],[Réf matériel]],Tableau3[],3,FALSE)</f>
        <v>20.5</v>
      </c>
      <c r="E575" t="s">
        <v>365</v>
      </c>
      <c r="F575" s="90" t="str">
        <f>VLOOKUP(Tableau4[[#This Row],[Matricule]],Tableau1[],2,FALSE)</f>
        <v>ROSA MACHADO</v>
      </c>
      <c r="G575" s="90" t="str">
        <f>VLOOKUP(Tableau4[[#This Row],[Matricule]],Tableau1[],3,FALSE)</f>
        <v xml:space="preserve">Marcelo </v>
      </c>
      <c r="H575" s="90" t="str">
        <f>VLOOKUP(Tableau4[[#This Row],[Matricule]],Tableau1[],4,FALSE)</f>
        <v>RE</v>
      </c>
      <c r="I575" s="88">
        <v>43318</v>
      </c>
      <c r="J575" t="s">
        <v>380</v>
      </c>
      <c r="K575" s="90">
        <f>IF(Tableau4[[#This Row],[État]]="Remis",1,0)</f>
        <v>1</v>
      </c>
    </row>
    <row r="576" spans="2:11" x14ac:dyDescent="0.25">
      <c r="B576" t="s">
        <v>280</v>
      </c>
      <c r="C576" s="90" t="str">
        <f>VLOOKUP(Tableau4[[#This Row],[Réf matériel]],Tableau3[],2,FALSE)</f>
        <v>Pince coupante 1000v</v>
      </c>
      <c r="D576" s="90">
        <f>VLOOKUP(Tableau4[[#This Row],[Réf matériel]],Tableau3[],3,FALSE)</f>
        <v>20.87</v>
      </c>
      <c r="E576" t="s">
        <v>365</v>
      </c>
      <c r="F576" s="90" t="str">
        <f>VLOOKUP(Tableau4[[#This Row],[Matricule]],Tableau1[],2,FALSE)</f>
        <v>ROSA MACHADO</v>
      </c>
      <c r="G576" s="90" t="str">
        <f>VLOOKUP(Tableau4[[#This Row],[Matricule]],Tableau1[],3,FALSE)</f>
        <v xml:space="preserve">Marcelo </v>
      </c>
      <c r="H576" s="90" t="str">
        <f>VLOOKUP(Tableau4[[#This Row],[Matricule]],Tableau1[],4,FALSE)</f>
        <v>RE</v>
      </c>
      <c r="I576" s="88">
        <v>43318</v>
      </c>
      <c r="J576" t="s">
        <v>380</v>
      </c>
      <c r="K576" s="90">
        <f>IF(Tableau4[[#This Row],[État]]="Remis",1,0)</f>
        <v>1</v>
      </c>
    </row>
    <row r="577" spans="2:11" x14ac:dyDescent="0.25">
      <c r="B577" t="s">
        <v>415</v>
      </c>
      <c r="C577" s="90" t="str">
        <f>VLOOKUP(Tableau4[[#This Row],[Réf matériel]],Tableau3[],2,FALSE)</f>
        <v>Clé plate 19</v>
      </c>
      <c r="D577" s="90">
        <f>VLOOKUP(Tableau4[[#This Row],[Réf matériel]],Tableau3[],3,FALSE)</f>
        <v>6.07</v>
      </c>
      <c r="E577" t="s">
        <v>368</v>
      </c>
      <c r="F577" s="90" t="str">
        <f>VLOOKUP(Tableau4[[#This Row],[Matricule]],Tableau1[],2,FALSE)</f>
        <v>STOPPA</v>
      </c>
      <c r="G577" s="90" t="str">
        <f>VLOOKUP(Tableau4[[#This Row],[Matricule]],Tableau1[],3,FALSE)</f>
        <v>Samy</v>
      </c>
      <c r="H577" s="90" t="str">
        <f>VLOOKUP(Tableau4[[#This Row],[Matricule]],Tableau1[],4,FALSE)</f>
        <v>RE</v>
      </c>
      <c r="I577" s="88">
        <v>42866</v>
      </c>
      <c r="J577" t="s">
        <v>380</v>
      </c>
      <c r="K577" s="90">
        <f>IF(Tableau4[[#This Row],[État]]="Remis",1,0)</f>
        <v>1</v>
      </c>
    </row>
    <row r="578" spans="2:11" x14ac:dyDescent="0.25">
      <c r="B578" t="s">
        <v>51</v>
      </c>
      <c r="C578" s="90" t="str">
        <f>VLOOKUP(Tableau4[[#This Row],[Réf matériel]],Tableau3[],2,FALSE)</f>
        <v>Mètre pliant</v>
      </c>
      <c r="D578" s="90">
        <f>VLOOKUP(Tableau4[[#This Row],[Réf matériel]],Tableau3[],3,FALSE)</f>
        <v>3.2</v>
      </c>
      <c r="E578" t="s">
        <v>368</v>
      </c>
      <c r="F578" s="90" t="str">
        <f>VLOOKUP(Tableau4[[#This Row],[Matricule]],Tableau1[],2,FALSE)</f>
        <v>STOPPA</v>
      </c>
      <c r="G578" s="90" t="str">
        <f>VLOOKUP(Tableau4[[#This Row],[Matricule]],Tableau1[],3,FALSE)</f>
        <v>Samy</v>
      </c>
      <c r="H578" s="90" t="str">
        <f>VLOOKUP(Tableau4[[#This Row],[Matricule]],Tableau1[],4,FALSE)</f>
        <v>RE</v>
      </c>
      <c r="I578" s="88">
        <v>42866</v>
      </c>
      <c r="J578" t="s">
        <v>380</v>
      </c>
      <c r="K578" s="90">
        <f>IF(Tableau4[[#This Row],[État]]="Remis",1,0)</f>
        <v>1</v>
      </c>
    </row>
    <row r="579" spans="2:11" x14ac:dyDescent="0.25">
      <c r="B579" t="s">
        <v>399</v>
      </c>
      <c r="C579" s="90" t="str">
        <f>VLOOKUP(Tableau4[[#This Row],[Réf matériel]],Tableau3[],2,FALSE)</f>
        <v>Boite embouts</v>
      </c>
      <c r="D579" s="90">
        <f>VLOOKUP(Tableau4[[#This Row],[Réf matériel]],Tableau3[],3,FALSE)</f>
        <v>27.61</v>
      </c>
      <c r="E579" t="s">
        <v>499</v>
      </c>
      <c r="F579" s="90" t="str">
        <f>VLOOKUP(Tableau4[[#This Row],[Matricule]],Tableau1[],2,FALSE)</f>
        <v>Caisse volante1</v>
      </c>
      <c r="G579" s="90">
        <f>VLOOKUP(Tableau4[[#This Row],[Matricule]],Tableau1[],3,FALSE)</f>
        <v>0</v>
      </c>
      <c r="H579" s="90">
        <f>VLOOKUP(Tableau4[[#This Row],[Matricule]],Tableau1[],4,FALSE)</f>
        <v>0</v>
      </c>
      <c r="J579" t="s">
        <v>380</v>
      </c>
      <c r="K579" s="90">
        <f>IF(Tableau4[[#This Row],[État]]="Remis",1,0)</f>
        <v>1</v>
      </c>
    </row>
    <row r="580" spans="2:11" x14ac:dyDescent="0.25">
      <c r="B580" t="s">
        <v>395</v>
      </c>
      <c r="C580" s="90" t="str">
        <f>VLOOKUP(Tableau4[[#This Row],[Réf matériel]],Tableau3[],2,FALSE)</f>
        <v>Burin plat</v>
      </c>
      <c r="D580" s="90">
        <f>VLOOKUP(Tableau4[[#This Row],[Réf matériel]],Tableau3[],3,FALSE)</f>
        <v>11.89</v>
      </c>
      <c r="E580" t="s">
        <v>499</v>
      </c>
      <c r="F580" s="90" t="str">
        <f>VLOOKUP(Tableau4[[#This Row],[Matricule]],Tableau1[],2,FALSE)</f>
        <v>Caisse volante1</v>
      </c>
      <c r="G580" s="90">
        <f>VLOOKUP(Tableau4[[#This Row],[Matricule]],Tableau1[],3,FALSE)</f>
        <v>0</v>
      </c>
      <c r="H580" s="90">
        <f>VLOOKUP(Tableau4[[#This Row],[Matricule]],Tableau1[],4,FALSE)</f>
        <v>0</v>
      </c>
      <c r="J580" t="s">
        <v>380</v>
      </c>
      <c r="K580" s="90">
        <f>IF(Tableau4[[#This Row],[État]]="Remis",1,0)</f>
        <v>1</v>
      </c>
    </row>
    <row r="581" spans="2:11" x14ac:dyDescent="0.25">
      <c r="B581" t="s">
        <v>401</v>
      </c>
      <c r="C581" s="90" t="str">
        <f>VLOOKUP(Tableau4[[#This Row],[Réf matériel]],Tableau3[],2,FALSE)</f>
        <v>Burin pointu</v>
      </c>
      <c r="D581" s="90">
        <f>VLOOKUP(Tableau4[[#This Row],[Réf matériel]],Tableau3[],3,FALSE)</f>
        <v>8.7200000000000006</v>
      </c>
      <c r="E581" t="s">
        <v>499</v>
      </c>
      <c r="F581" s="90" t="str">
        <f>VLOOKUP(Tableau4[[#This Row],[Matricule]],Tableau1[],2,FALSE)</f>
        <v>Caisse volante1</v>
      </c>
      <c r="G581" s="90">
        <f>VLOOKUP(Tableau4[[#This Row],[Matricule]],Tableau1[],3,FALSE)</f>
        <v>0</v>
      </c>
      <c r="H581" s="90">
        <f>VLOOKUP(Tableau4[[#This Row],[Matricule]],Tableau1[],4,FALSE)</f>
        <v>0</v>
      </c>
      <c r="J581" t="s">
        <v>380</v>
      </c>
      <c r="K581" s="90">
        <f>IF(Tableau4[[#This Row],[État]]="Remis",1,0)</f>
        <v>1</v>
      </c>
    </row>
    <row r="582" spans="2:11" x14ac:dyDescent="0.25">
      <c r="B582" t="s">
        <v>391</v>
      </c>
      <c r="C582" s="90" t="str">
        <f>VLOOKUP(Tableau4[[#This Row],[Réf matériel]],Tableau3[],2,FALSE)</f>
        <v>Cadena</v>
      </c>
      <c r="D582" s="90">
        <f>VLOOKUP(Tableau4[[#This Row],[Réf matériel]],Tableau3[],3,FALSE)</f>
        <v>13</v>
      </c>
      <c r="E582" t="s">
        <v>499</v>
      </c>
      <c r="F582" s="90" t="str">
        <f>VLOOKUP(Tableau4[[#This Row],[Matricule]],Tableau1[],2,FALSE)</f>
        <v>Caisse volante1</v>
      </c>
      <c r="G582" s="90">
        <f>VLOOKUP(Tableau4[[#This Row],[Matricule]],Tableau1[],3,FALSE)</f>
        <v>0</v>
      </c>
      <c r="H582" s="90">
        <f>VLOOKUP(Tableau4[[#This Row],[Matricule]],Tableau1[],4,FALSE)</f>
        <v>0</v>
      </c>
      <c r="J582" t="s">
        <v>380</v>
      </c>
      <c r="K582" s="90">
        <f>IF(Tableau4[[#This Row],[État]]="Remis",1,0)</f>
        <v>1</v>
      </c>
    </row>
    <row r="583" spans="2:11" x14ac:dyDescent="0.25">
      <c r="B583" t="s">
        <v>393</v>
      </c>
      <c r="C583" s="90" t="str">
        <f>VLOOKUP(Tableau4[[#This Row],[Réf matériel]],Tableau3[],2,FALSE)</f>
        <v>Clé à molette</v>
      </c>
      <c r="D583" s="90">
        <f>VLOOKUP(Tableau4[[#This Row],[Réf matériel]],Tableau3[],3,FALSE)</f>
        <v>16.12</v>
      </c>
      <c r="E583" t="s">
        <v>499</v>
      </c>
      <c r="F583" s="90" t="str">
        <f>VLOOKUP(Tableau4[[#This Row],[Matricule]],Tableau1[],2,FALSE)</f>
        <v>Caisse volante1</v>
      </c>
      <c r="G583" s="90">
        <f>VLOOKUP(Tableau4[[#This Row],[Matricule]],Tableau1[],3,FALSE)</f>
        <v>0</v>
      </c>
      <c r="H583" s="90">
        <f>VLOOKUP(Tableau4[[#This Row],[Matricule]],Tableau1[],4,FALSE)</f>
        <v>0</v>
      </c>
      <c r="J583" t="s">
        <v>380</v>
      </c>
      <c r="K583" s="90">
        <f>IF(Tableau4[[#This Row],[État]]="Remis",1,0)</f>
        <v>1</v>
      </c>
    </row>
    <row r="584" spans="2:11" x14ac:dyDescent="0.25">
      <c r="B584" t="s">
        <v>403</v>
      </c>
      <c r="C584" s="90" t="str">
        <f>VLOOKUP(Tableau4[[#This Row],[Réf matériel]],Tableau3[],2,FALSE)</f>
        <v>Clé à pipe 10</v>
      </c>
      <c r="D584" s="90">
        <f>VLOOKUP(Tableau4[[#This Row],[Réf matériel]],Tableau3[],3,FALSE)</f>
        <v>5.41</v>
      </c>
      <c r="E584" t="s">
        <v>499</v>
      </c>
      <c r="F584" s="90" t="str">
        <f>VLOOKUP(Tableau4[[#This Row],[Matricule]],Tableau1[],2,FALSE)</f>
        <v>Caisse volante1</v>
      </c>
      <c r="G584" s="90">
        <f>VLOOKUP(Tableau4[[#This Row],[Matricule]],Tableau1[],3,FALSE)</f>
        <v>0</v>
      </c>
      <c r="H584" s="90">
        <f>VLOOKUP(Tableau4[[#This Row],[Matricule]],Tableau1[],4,FALSE)</f>
        <v>0</v>
      </c>
      <c r="J584" t="s">
        <v>380</v>
      </c>
      <c r="K584" s="90">
        <f>IF(Tableau4[[#This Row],[État]]="Remis",1,0)</f>
        <v>1</v>
      </c>
    </row>
    <row r="585" spans="2:11" x14ac:dyDescent="0.25">
      <c r="B585" t="s">
        <v>405</v>
      </c>
      <c r="C585" s="90" t="str">
        <f>VLOOKUP(Tableau4[[#This Row],[Réf matériel]],Tableau3[],2,FALSE)</f>
        <v>Clé à pipe 13</v>
      </c>
      <c r="D585" s="90">
        <f>VLOOKUP(Tableau4[[#This Row],[Réf matériel]],Tableau3[],3,FALSE)</f>
        <v>6.23</v>
      </c>
      <c r="E585" t="s">
        <v>499</v>
      </c>
      <c r="F585" s="90" t="str">
        <f>VLOOKUP(Tableau4[[#This Row],[Matricule]],Tableau1[],2,FALSE)</f>
        <v>Caisse volante1</v>
      </c>
      <c r="G585" s="90">
        <f>VLOOKUP(Tableau4[[#This Row],[Matricule]],Tableau1[],3,FALSE)</f>
        <v>0</v>
      </c>
      <c r="H585" s="90">
        <f>VLOOKUP(Tableau4[[#This Row],[Matricule]],Tableau1[],4,FALSE)</f>
        <v>0</v>
      </c>
      <c r="J585" t="s">
        <v>380</v>
      </c>
      <c r="K585" s="90">
        <f>IF(Tableau4[[#This Row],[État]]="Remis",1,0)</f>
        <v>1</v>
      </c>
    </row>
    <row r="586" spans="2:11" x14ac:dyDescent="0.25">
      <c r="B586" t="s">
        <v>408</v>
      </c>
      <c r="C586" s="90" t="str">
        <f>VLOOKUP(Tableau4[[#This Row],[Réf matériel]],Tableau3[],2,FALSE)</f>
        <v>Clé à pipe 17</v>
      </c>
      <c r="D586" s="90">
        <f>VLOOKUP(Tableau4[[#This Row],[Réf matériel]],Tableau3[],3,FALSE)</f>
        <v>9.36</v>
      </c>
      <c r="E586" t="s">
        <v>499</v>
      </c>
      <c r="F586" s="90" t="str">
        <f>VLOOKUP(Tableau4[[#This Row],[Matricule]],Tableau1[],2,FALSE)</f>
        <v>Caisse volante1</v>
      </c>
      <c r="G586" s="90">
        <f>VLOOKUP(Tableau4[[#This Row],[Matricule]],Tableau1[],3,FALSE)</f>
        <v>0</v>
      </c>
      <c r="H586" s="90">
        <f>VLOOKUP(Tableau4[[#This Row],[Matricule]],Tableau1[],4,FALSE)</f>
        <v>0</v>
      </c>
      <c r="J586" t="s">
        <v>380</v>
      </c>
      <c r="K586" s="90">
        <f>IF(Tableau4[[#This Row],[État]]="Remis",1,0)</f>
        <v>1</v>
      </c>
    </row>
    <row r="587" spans="2:11" x14ac:dyDescent="0.25">
      <c r="B587" t="s">
        <v>409</v>
      </c>
      <c r="C587" s="90" t="str">
        <f>VLOOKUP(Tableau4[[#This Row],[Réf matériel]],Tableau3[],2,FALSE)</f>
        <v>Clé à pipe 19</v>
      </c>
      <c r="D587" s="90">
        <f>VLOOKUP(Tableau4[[#This Row],[Réf matériel]],Tableau3[],3,FALSE)</f>
        <v>10.4</v>
      </c>
      <c r="E587" t="s">
        <v>499</v>
      </c>
      <c r="F587" s="90" t="str">
        <f>VLOOKUP(Tableau4[[#This Row],[Matricule]],Tableau1[],2,FALSE)</f>
        <v>Caisse volante1</v>
      </c>
      <c r="G587" s="90">
        <f>VLOOKUP(Tableau4[[#This Row],[Matricule]],Tableau1[],3,FALSE)</f>
        <v>0</v>
      </c>
      <c r="H587" s="90">
        <f>VLOOKUP(Tableau4[[#This Row],[Matricule]],Tableau1[],4,FALSE)</f>
        <v>0</v>
      </c>
      <c r="J587" t="s">
        <v>380</v>
      </c>
      <c r="K587" s="90">
        <f>IF(Tableau4[[#This Row],[État]]="Remis",1,0)</f>
        <v>1</v>
      </c>
    </row>
    <row r="588" spans="2:11" x14ac:dyDescent="0.25">
      <c r="B588" t="s">
        <v>420</v>
      </c>
      <c r="C588" s="90" t="str">
        <f>VLOOKUP(Tableau4[[#This Row],[Réf matériel]],Tableau3[],2,FALSE)</f>
        <v>Clé allen</v>
      </c>
      <c r="D588" s="90">
        <f>VLOOKUP(Tableau4[[#This Row],[Réf matériel]],Tableau3[],3,FALSE)</f>
        <v>27.5</v>
      </c>
      <c r="E588" t="s">
        <v>499</v>
      </c>
      <c r="F588" s="90" t="str">
        <f>VLOOKUP(Tableau4[[#This Row],[Matricule]],Tableau1[],2,FALSE)</f>
        <v>Caisse volante1</v>
      </c>
      <c r="G588" s="90">
        <f>VLOOKUP(Tableau4[[#This Row],[Matricule]],Tableau1[],3,FALSE)</f>
        <v>0</v>
      </c>
      <c r="H588" s="90">
        <f>VLOOKUP(Tableau4[[#This Row],[Matricule]],Tableau1[],4,FALSE)</f>
        <v>0</v>
      </c>
      <c r="J588" t="s">
        <v>380</v>
      </c>
      <c r="K588" s="90">
        <f>IF(Tableau4[[#This Row],[État]]="Remis",1,0)</f>
        <v>1</v>
      </c>
    </row>
    <row r="589" spans="2:11" x14ac:dyDescent="0.25">
      <c r="B589" t="s">
        <v>410</v>
      </c>
      <c r="C589" s="90" t="str">
        <f>VLOOKUP(Tableau4[[#This Row],[Réf matériel]],Tableau3[],2,FALSE)</f>
        <v>Clé plate 10</v>
      </c>
      <c r="D589" s="90">
        <f>VLOOKUP(Tableau4[[#This Row],[Réf matériel]],Tableau3[],3,FALSE)</f>
        <v>3.32</v>
      </c>
      <c r="E589" t="s">
        <v>499</v>
      </c>
      <c r="F589" s="90" t="str">
        <f>VLOOKUP(Tableau4[[#This Row],[Matricule]],Tableau1[],2,FALSE)</f>
        <v>Caisse volante1</v>
      </c>
      <c r="G589" s="90">
        <f>VLOOKUP(Tableau4[[#This Row],[Matricule]],Tableau1[],3,FALSE)</f>
        <v>0</v>
      </c>
      <c r="H589" s="90">
        <f>VLOOKUP(Tableau4[[#This Row],[Matricule]],Tableau1[],4,FALSE)</f>
        <v>0</v>
      </c>
      <c r="J589" t="s">
        <v>380</v>
      </c>
      <c r="K589" s="90">
        <f>IF(Tableau4[[#This Row],[État]]="Remis",1,0)</f>
        <v>1</v>
      </c>
    </row>
    <row r="590" spans="2:11" x14ac:dyDescent="0.25">
      <c r="B590" t="s">
        <v>412</v>
      </c>
      <c r="C590" s="90" t="str">
        <f>VLOOKUP(Tableau4[[#This Row],[Réf matériel]],Tableau3[],2,FALSE)</f>
        <v>Clé plate 13</v>
      </c>
      <c r="D590" s="90">
        <f>VLOOKUP(Tableau4[[#This Row],[Réf matériel]],Tableau3[],3,FALSE)</f>
        <v>3.91</v>
      </c>
      <c r="E590" t="s">
        <v>499</v>
      </c>
      <c r="F590" s="90" t="str">
        <f>VLOOKUP(Tableau4[[#This Row],[Matricule]],Tableau1[],2,FALSE)</f>
        <v>Caisse volante1</v>
      </c>
      <c r="G590" s="90">
        <f>VLOOKUP(Tableau4[[#This Row],[Matricule]],Tableau1[],3,FALSE)</f>
        <v>0</v>
      </c>
      <c r="H590" s="90">
        <f>VLOOKUP(Tableau4[[#This Row],[Matricule]],Tableau1[],4,FALSE)</f>
        <v>0</v>
      </c>
      <c r="J590" t="s">
        <v>380</v>
      </c>
      <c r="K590" s="90">
        <f>IF(Tableau4[[#This Row],[État]]="Remis",1,0)</f>
        <v>1</v>
      </c>
    </row>
    <row r="591" spans="2:11" x14ac:dyDescent="0.25">
      <c r="B591" t="s">
        <v>414</v>
      </c>
      <c r="C591" s="90" t="str">
        <f>VLOOKUP(Tableau4[[#This Row],[Réf matériel]],Tableau3[],2,FALSE)</f>
        <v>Clé plate 17</v>
      </c>
      <c r="D591" s="90">
        <f>VLOOKUP(Tableau4[[#This Row],[Réf matériel]],Tableau3[],3,FALSE)</f>
        <v>5.5</v>
      </c>
      <c r="E591" t="s">
        <v>499</v>
      </c>
      <c r="F591" s="90" t="str">
        <f>VLOOKUP(Tableau4[[#This Row],[Matricule]],Tableau1[],2,FALSE)</f>
        <v>Caisse volante1</v>
      </c>
      <c r="G591" s="90">
        <f>VLOOKUP(Tableau4[[#This Row],[Matricule]],Tableau1[],3,FALSE)</f>
        <v>0</v>
      </c>
      <c r="H591" s="90">
        <f>VLOOKUP(Tableau4[[#This Row],[Matricule]],Tableau1[],4,FALSE)</f>
        <v>0</v>
      </c>
      <c r="J591" t="s">
        <v>380</v>
      </c>
      <c r="K591" s="90">
        <f>IF(Tableau4[[#This Row],[État]]="Remis",1,0)</f>
        <v>1</v>
      </c>
    </row>
    <row r="592" spans="2:11" x14ac:dyDescent="0.25">
      <c r="B592" t="s">
        <v>415</v>
      </c>
      <c r="C592" s="90" t="str">
        <f>VLOOKUP(Tableau4[[#This Row],[Réf matériel]],Tableau3[],2,FALSE)</f>
        <v>Clé plate 19</v>
      </c>
      <c r="D592" s="90">
        <f>VLOOKUP(Tableau4[[#This Row],[Réf matériel]],Tableau3[],3,FALSE)</f>
        <v>6.07</v>
      </c>
      <c r="E592" t="s">
        <v>499</v>
      </c>
      <c r="F592" s="90" t="str">
        <f>VLOOKUP(Tableau4[[#This Row],[Matricule]],Tableau1[],2,FALSE)</f>
        <v>Caisse volante1</v>
      </c>
      <c r="G592" s="90">
        <f>VLOOKUP(Tableau4[[#This Row],[Matricule]],Tableau1[],3,FALSE)</f>
        <v>0</v>
      </c>
      <c r="H592" s="90">
        <f>VLOOKUP(Tableau4[[#This Row],[Matricule]],Tableau1[],4,FALSE)</f>
        <v>0</v>
      </c>
      <c r="J592" t="s">
        <v>380</v>
      </c>
      <c r="K592" s="90">
        <f>IF(Tableau4[[#This Row],[État]]="Remis",1,0)</f>
        <v>1</v>
      </c>
    </row>
    <row r="593" spans="2:11" x14ac:dyDescent="0.25">
      <c r="B593" t="s">
        <v>392</v>
      </c>
      <c r="C593" s="90" t="str">
        <f>VLOOKUP(Tableau4[[#This Row],[Réf matériel]],Tableau3[],2,FALSE)</f>
        <v>Coffre</v>
      </c>
      <c r="D593" s="90">
        <f>VLOOKUP(Tableau4[[#This Row],[Réf matériel]],Tableau3[],3,FALSE)</f>
        <v>54.54</v>
      </c>
      <c r="E593" t="s">
        <v>499</v>
      </c>
      <c r="F593" s="90" t="str">
        <f>VLOOKUP(Tableau4[[#This Row],[Matricule]],Tableau1[],2,FALSE)</f>
        <v>Caisse volante1</v>
      </c>
      <c r="G593" s="90">
        <f>VLOOKUP(Tableau4[[#This Row],[Matricule]],Tableau1[],3,FALSE)</f>
        <v>0</v>
      </c>
      <c r="H593" s="90">
        <f>VLOOKUP(Tableau4[[#This Row],[Matricule]],Tableau1[],4,FALSE)</f>
        <v>0</v>
      </c>
      <c r="J593" t="s">
        <v>380</v>
      </c>
      <c r="K593" s="90">
        <f>IF(Tableau4[[#This Row],[État]]="Remis",1,0)</f>
        <v>1</v>
      </c>
    </row>
    <row r="594" spans="2:11" x14ac:dyDescent="0.25">
      <c r="B594" t="s">
        <v>398</v>
      </c>
      <c r="C594" s="90" t="str">
        <f>VLOOKUP(Tableau4[[#This Row],[Réf matériel]],Tableau3[],2,FALSE)</f>
        <v>Coffret douilles</v>
      </c>
      <c r="D594" s="90">
        <f>VLOOKUP(Tableau4[[#This Row],[Réf matériel]],Tableau3[],3,FALSE)</f>
        <v>103.22</v>
      </c>
      <c r="E594" t="s">
        <v>499</v>
      </c>
      <c r="F594" s="90" t="str">
        <f>VLOOKUP(Tableau4[[#This Row],[Matricule]],Tableau1[],2,FALSE)</f>
        <v>Caisse volante1</v>
      </c>
      <c r="G594" s="90">
        <f>VLOOKUP(Tableau4[[#This Row],[Matricule]],Tableau1[],3,FALSE)</f>
        <v>0</v>
      </c>
      <c r="H594" s="90">
        <f>VLOOKUP(Tableau4[[#This Row],[Matricule]],Tableau1[],4,FALSE)</f>
        <v>0</v>
      </c>
      <c r="J594" t="s">
        <v>380</v>
      </c>
      <c r="K594" s="90">
        <f>IF(Tableau4[[#This Row],[État]]="Remis",1,0)</f>
        <v>1</v>
      </c>
    </row>
    <row r="595" spans="2:11" x14ac:dyDescent="0.25">
      <c r="B595" t="s">
        <v>398</v>
      </c>
      <c r="C595" s="90" t="str">
        <f>VLOOKUP(Tableau4[[#This Row],[Réf matériel]],Tableau3[],2,FALSE)</f>
        <v>Coffret douilles</v>
      </c>
      <c r="D595" s="90">
        <f>VLOOKUP(Tableau4[[#This Row],[Réf matériel]],Tableau3[],3,FALSE)</f>
        <v>103.22</v>
      </c>
      <c r="E595" t="s">
        <v>499</v>
      </c>
      <c r="F595" s="90" t="str">
        <f>VLOOKUP(Tableau4[[#This Row],[Matricule]],Tableau1[],2,FALSE)</f>
        <v>Caisse volante1</v>
      </c>
      <c r="G595" s="90">
        <f>VLOOKUP(Tableau4[[#This Row],[Matricule]],Tableau1[],3,FALSE)</f>
        <v>0</v>
      </c>
      <c r="H595" s="90">
        <f>VLOOKUP(Tableau4[[#This Row],[Matricule]],Tableau1[],4,FALSE)</f>
        <v>0</v>
      </c>
      <c r="J595" t="s">
        <v>381</v>
      </c>
      <c r="K595" s="90">
        <f>IF(Tableau4[[#This Row],[État]]="Remis",1,0)</f>
        <v>0</v>
      </c>
    </row>
    <row r="596" spans="2:11" x14ac:dyDescent="0.25">
      <c r="B596" t="s">
        <v>49</v>
      </c>
      <c r="C596" s="90" t="str">
        <f>VLOOKUP(Tableau4[[#This Row],[Réf matériel]],Tableau3[],2,FALSE)</f>
        <v>Coupe câble</v>
      </c>
      <c r="D596" s="90">
        <f>VLOOKUP(Tableau4[[#This Row],[Réf matériel]],Tableau3[],3,FALSE)</f>
        <v>41.88</v>
      </c>
      <c r="E596" t="s">
        <v>499</v>
      </c>
      <c r="F596" s="90" t="str">
        <f>VLOOKUP(Tableau4[[#This Row],[Matricule]],Tableau1[],2,FALSE)</f>
        <v>Caisse volante1</v>
      </c>
      <c r="G596" s="90">
        <f>VLOOKUP(Tableau4[[#This Row],[Matricule]],Tableau1[],3,FALSE)</f>
        <v>0</v>
      </c>
      <c r="H596" s="90">
        <f>VLOOKUP(Tableau4[[#This Row],[Matricule]],Tableau1[],4,FALSE)</f>
        <v>0</v>
      </c>
      <c r="J596" t="s">
        <v>380</v>
      </c>
      <c r="K596" s="90">
        <f>IF(Tableau4[[#This Row],[État]]="Remis",1,0)</f>
        <v>1</v>
      </c>
    </row>
    <row r="597" spans="2:11" x14ac:dyDescent="0.25">
      <c r="B597" t="s">
        <v>67</v>
      </c>
      <c r="C597" s="90" t="str">
        <f>VLOOKUP(Tableau4[[#This Row],[Réf matériel]],Tableau3[],2,FALSE)</f>
        <v>Cutter</v>
      </c>
      <c r="D597" s="90">
        <f>VLOOKUP(Tableau4[[#This Row],[Réf matériel]],Tableau3[],3,FALSE)</f>
        <v>4.8499999999999996</v>
      </c>
      <c r="E597" t="s">
        <v>499</v>
      </c>
      <c r="F597" s="90" t="str">
        <f>VLOOKUP(Tableau4[[#This Row],[Matricule]],Tableau1[],2,FALSE)</f>
        <v>Caisse volante1</v>
      </c>
      <c r="G597" s="90">
        <f>VLOOKUP(Tableau4[[#This Row],[Matricule]],Tableau1[],3,FALSE)</f>
        <v>0</v>
      </c>
      <c r="H597" s="90">
        <f>VLOOKUP(Tableau4[[#This Row],[Matricule]],Tableau1[],4,FALSE)</f>
        <v>0</v>
      </c>
      <c r="J597" t="s">
        <v>380</v>
      </c>
      <c r="K597" s="90">
        <f>IF(Tableau4[[#This Row],[État]]="Remis",1,0)</f>
        <v>1</v>
      </c>
    </row>
    <row r="598" spans="2:11" x14ac:dyDescent="0.25">
      <c r="B598" t="s">
        <v>56</v>
      </c>
      <c r="C598" s="90" t="str">
        <f>VLOOKUP(Tableau4[[#This Row],[Réf matériel]],Tableau3[],2,FALSE)</f>
        <v>Jeu tournevis</v>
      </c>
      <c r="D598" s="90">
        <f>VLOOKUP(Tableau4[[#This Row],[Réf matériel]],Tableau3[],3,FALSE)</f>
        <v>37.57</v>
      </c>
      <c r="E598" t="s">
        <v>499</v>
      </c>
      <c r="F598" s="90" t="str">
        <f>VLOOKUP(Tableau4[[#This Row],[Matricule]],Tableau1[],2,FALSE)</f>
        <v>Caisse volante1</v>
      </c>
      <c r="G598" s="90">
        <f>VLOOKUP(Tableau4[[#This Row],[Matricule]],Tableau1[],3,FALSE)</f>
        <v>0</v>
      </c>
      <c r="H598" s="90">
        <f>VLOOKUP(Tableau4[[#This Row],[Matricule]],Tableau1[],4,FALSE)</f>
        <v>0</v>
      </c>
      <c r="J598" t="s">
        <v>380</v>
      </c>
      <c r="K598" s="90">
        <f>IF(Tableau4[[#This Row],[État]]="Remis",1,0)</f>
        <v>1</v>
      </c>
    </row>
    <row r="599" spans="2:11" x14ac:dyDescent="0.25">
      <c r="B599" t="s">
        <v>394</v>
      </c>
      <c r="C599" s="90" t="str">
        <f>VLOOKUP(Tableau4[[#This Row],[Réf matériel]],Tableau3[],2,FALSE)</f>
        <v>lime demi ronde</v>
      </c>
      <c r="D599" s="90">
        <f>VLOOKUP(Tableau4[[#This Row],[Réf matériel]],Tableau3[],3,FALSE)</f>
        <v>7.59</v>
      </c>
      <c r="E599" t="s">
        <v>499</v>
      </c>
      <c r="F599" s="90" t="str">
        <f>VLOOKUP(Tableau4[[#This Row],[Matricule]],Tableau1[],2,FALSE)</f>
        <v>Caisse volante1</v>
      </c>
      <c r="G599" s="90">
        <f>VLOOKUP(Tableau4[[#This Row],[Matricule]],Tableau1[],3,FALSE)</f>
        <v>0</v>
      </c>
      <c r="H599" s="90">
        <f>VLOOKUP(Tableau4[[#This Row],[Matricule]],Tableau1[],4,FALSE)</f>
        <v>0</v>
      </c>
      <c r="J599" t="s">
        <v>380</v>
      </c>
      <c r="K599" s="90">
        <f>IF(Tableau4[[#This Row],[État]]="Remis",1,0)</f>
        <v>1</v>
      </c>
    </row>
    <row r="600" spans="2:11" x14ac:dyDescent="0.25">
      <c r="B600" t="s">
        <v>396</v>
      </c>
      <c r="C600" s="90" t="str">
        <f>VLOOKUP(Tableau4[[#This Row],[Réf matériel]],Tableau3[],2,FALSE)</f>
        <v>Massette</v>
      </c>
      <c r="D600" s="90">
        <f>VLOOKUP(Tableau4[[#This Row],[Réf matériel]],Tableau3[],3,FALSE)</f>
        <v>15.14</v>
      </c>
      <c r="E600" t="s">
        <v>499</v>
      </c>
      <c r="F600" s="90" t="str">
        <f>VLOOKUP(Tableau4[[#This Row],[Matricule]],Tableau1[],2,FALSE)</f>
        <v>Caisse volante1</v>
      </c>
      <c r="G600" s="90">
        <f>VLOOKUP(Tableau4[[#This Row],[Matricule]],Tableau1[],3,FALSE)</f>
        <v>0</v>
      </c>
      <c r="H600" s="90">
        <f>VLOOKUP(Tableau4[[#This Row],[Matricule]],Tableau1[],4,FALSE)</f>
        <v>0</v>
      </c>
      <c r="J600" t="s">
        <v>380</v>
      </c>
      <c r="K600" s="90">
        <f>IF(Tableau4[[#This Row],[État]]="Remis",1,0)</f>
        <v>1</v>
      </c>
    </row>
    <row r="601" spans="2:11" x14ac:dyDescent="0.25">
      <c r="B601" t="s">
        <v>51</v>
      </c>
      <c r="C601" s="90" t="str">
        <f>VLOOKUP(Tableau4[[#This Row],[Réf matériel]],Tableau3[],2,FALSE)</f>
        <v>Mètre pliant</v>
      </c>
      <c r="D601" s="90">
        <f>VLOOKUP(Tableau4[[#This Row],[Réf matériel]],Tableau3[],3,FALSE)</f>
        <v>3.2</v>
      </c>
      <c r="E601" t="s">
        <v>499</v>
      </c>
      <c r="F601" s="90" t="str">
        <f>VLOOKUP(Tableau4[[#This Row],[Matricule]],Tableau1[],2,FALSE)</f>
        <v>Caisse volante1</v>
      </c>
      <c r="G601" s="90">
        <f>VLOOKUP(Tableau4[[#This Row],[Matricule]],Tableau1[],3,FALSE)</f>
        <v>0</v>
      </c>
      <c r="H601" s="90">
        <f>VLOOKUP(Tableau4[[#This Row],[Matricule]],Tableau1[],4,FALSE)</f>
        <v>0</v>
      </c>
      <c r="J601" t="s">
        <v>380</v>
      </c>
      <c r="K601" s="90">
        <f>IF(Tableau4[[#This Row],[État]]="Remis",1,0)</f>
        <v>1</v>
      </c>
    </row>
    <row r="602" spans="2:11" x14ac:dyDescent="0.25">
      <c r="B602" t="s">
        <v>55</v>
      </c>
      <c r="C602" s="90" t="str">
        <f>VLOOKUP(Tableau4[[#This Row],[Réf matériel]],Tableau3[],2,FALSE)</f>
        <v>Niveau</v>
      </c>
      <c r="D602" s="90">
        <f>VLOOKUP(Tableau4[[#This Row],[Réf matériel]],Tableau3[],3,FALSE)</f>
        <v>15</v>
      </c>
      <c r="E602" t="s">
        <v>499</v>
      </c>
      <c r="F602" s="90" t="str">
        <f>VLOOKUP(Tableau4[[#This Row],[Matricule]],Tableau1[],2,FALSE)</f>
        <v>Caisse volante1</v>
      </c>
      <c r="G602" s="90">
        <f>VLOOKUP(Tableau4[[#This Row],[Matricule]],Tableau1[],3,FALSE)</f>
        <v>0</v>
      </c>
      <c r="H602" s="90">
        <f>VLOOKUP(Tableau4[[#This Row],[Matricule]],Tableau1[],4,FALSE)</f>
        <v>0</v>
      </c>
      <c r="J602" t="s">
        <v>380</v>
      </c>
      <c r="K602" s="90">
        <f>IF(Tableau4[[#This Row],[État]]="Remis",1,0)</f>
        <v>1</v>
      </c>
    </row>
    <row r="603" spans="2:11" x14ac:dyDescent="0.25">
      <c r="B603" t="s">
        <v>287</v>
      </c>
      <c r="C603" s="90" t="str">
        <f>VLOOKUP(Tableau4[[#This Row],[Réf matériel]],Tableau3[],2,FALSE)</f>
        <v>Outil à dégainer</v>
      </c>
      <c r="D603" s="90">
        <f>VLOOKUP(Tableau4[[#This Row],[Réf matériel]],Tableau3[],3,FALSE)</f>
        <v>20.5</v>
      </c>
      <c r="E603" t="s">
        <v>499</v>
      </c>
      <c r="F603" s="90" t="str">
        <f>VLOOKUP(Tableau4[[#This Row],[Matricule]],Tableau1[],2,FALSE)</f>
        <v>Caisse volante1</v>
      </c>
      <c r="G603" s="90">
        <f>VLOOKUP(Tableau4[[#This Row],[Matricule]],Tableau1[],3,FALSE)</f>
        <v>0</v>
      </c>
      <c r="H603" s="90">
        <f>VLOOKUP(Tableau4[[#This Row],[Matricule]],Tableau1[],4,FALSE)</f>
        <v>0</v>
      </c>
      <c r="J603" t="s">
        <v>380</v>
      </c>
      <c r="K603" s="90">
        <f>IF(Tableau4[[#This Row],[État]]="Remis",1,0)</f>
        <v>1</v>
      </c>
    </row>
    <row r="604" spans="2:11" x14ac:dyDescent="0.25">
      <c r="B604" t="s">
        <v>278</v>
      </c>
      <c r="C604" s="90" t="str">
        <f>VLOOKUP(Tableau4[[#This Row],[Réf matériel]],Tableau3[],2,FALSE)</f>
        <v>Pince à dénuder</v>
      </c>
      <c r="D604" s="90">
        <f>VLOOKUP(Tableau4[[#This Row],[Réf matériel]],Tableau3[],3,FALSE)</f>
        <v>24.55</v>
      </c>
      <c r="E604" t="s">
        <v>499</v>
      </c>
      <c r="F604" s="90" t="str">
        <f>VLOOKUP(Tableau4[[#This Row],[Matricule]],Tableau1[],2,FALSE)</f>
        <v>Caisse volante1</v>
      </c>
      <c r="G604" s="90">
        <f>VLOOKUP(Tableau4[[#This Row],[Matricule]],Tableau1[],3,FALSE)</f>
        <v>0</v>
      </c>
      <c r="H604" s="90">
        <f>VLOOKUP(Tableau4[[#This Row],[Matricule]],Tableau1[],4,FALSE)</f>
        <v>0</v>
      </c>
      <c r="J604" t="s">
        <v>380</v>
      </c>
      <c r="K604" s="90">
        <f>IF(Tableau4[[#This Row],[État]]="Remis",1,0)</f>
        <v>1</v>
      </c>
    </row>
    <row r="605" spans="2:11" x14ac:dyDescent="0.25">
      <c r="B605" t="s">
        <v>102</v>
      </c>
      <c r="C605" s="90" t="str">
        <f>VLOOKUP(Tableau4[[#This Row],[Réf matériel]],Tableau3[],2,FALSE)</f>
        <v>Pince à Sertir</v>
      </c>
      <c r="D605" s="90">
        <f>VLOOKUP(Tableau4[[#This Row],[Réf matériel]],Tableau3[],3,FALSE)</f>
        <v>78.400000000000006</v>
      </c>
      <c r="E605" t="s">
        <v>499</v>
      </c>
      <c r="F605" s="90" t="str">
        <f>VLOOKUP(Tableau4[[#This Row],[Matricule]],Tableau1[],2,FALSE)</f>
        <v>Caisse volante1</v>
      </c>
      <c r="G605" s="90">
        <f>VLOOKUP(Tableau4[[#This Row],[Matricule]],Tableau1[],3,FALSE)</f>
        <v>0</v>
      </c>
      <c r="H605" s="90">
        <f>VLOOKUP(Tableau4[[#This Row],[Matricule]],Tableau1[],4,FALSE)</f>
        <v>0</v>
      </c>
      <c r="J605" t="s">
        <v>380</v>
      </c>
      <c r="K605" s="90">
        <f>IF(Tableau4[[#This Row],[État]]="Remis",1,0)</f>
        <v>1</v>
      </c>
    </row>
    <row r="606" spans="2:11" x14ac:dyDescent="0.25">
      <c r="B606" t="s">
        <v>72</v>
      </c>
      <c r="C606" s="90" t="str">
        <f>VLOOKUP(Tableau4[[#This Row],[Réf matériel]],Tableau3[],2,FALSE)</f>
        <v>Pince colson</v>
      </c>
      <c r="D606" s="90">
        <f>VLOOKUP(Tableau4[[#This Row],[Réf matériel]],Tableau3[],3,FALSE)</f>
        <v>46.91</v>
      </c>
      <c r="E606" t="s">
        <v>499</v>
      </c>
      <c r="F606" s="90" t="str">
        <f>VLOOKUP(Tableau4[[#This Row],[Matricule]],Tableau1[],2,FALSE)</f>
        <v>Caisse volante1</v>
      </c>
      <c r="G606" s="90">
        <f>VLOOKUP(Tableau4[[#This Row],[Matricule]],Tableau1[],3,FALSE)</f>
        <v>0</v>
      </c>
      <c r="H606" s="90">
        <f>VLOOKUP(Tableau4[[#This Row],[Matricule]],Tableau1[],4,FALSE)</f>
        <v>0</v>
      </c>
      <c r="J606" t="s">
        <v>380</v>
      </c>
      <c r="K606" s="90">
        <f>IF(Tableau4[[#This Row],[État]]="Remis",1,0)</f>
        <v>1</v>
      </c>
    </row>
    <row r="607" spans="2:11" x14ac:dyDescent="0.25">
      <c r="B607" t="s">
        <v>280</v>
      </c>
      <c r="C607" s="90" t="str">
        <f>VLOOKUP(Tableau4[[#This Row],[Réf matériel]],Tableau3[],2,FALSE)</f>
        <v>Pince coupante 1000v</v>
      </c>
      <c r="D607" s="90">
        <f>VLOOKUP(Tableau4[[#This Row],[Réf matériel]],Tableau3[],3,FALSE)</f>
        <v>20.87</v>
      </c>
      <c r="E607" t="s">
        <v>499</v>
      </c>
      <c r="F607" s="90" t="str">
        <f>VLOOKUP(Tableau4[[#This Row],[Matricule]],Tableau1[],2,FALSE)</f>
        <v>Caisse volante1</v>
      </c>
      <c r="G607" s="90">
        <f>VLOOKUP(Tableau4[[#This Row],[Matricule]],Tableau1[],3,FALSE)</f>
        <v>0</v>
      </c>
      <c r="H607" s="90">
        <f>VLOOKUP(Tableau4[[#This Row],[Matricule]],Tableau1[],4,FALSE)</f>
        <v>0</v>
      </c>
      <c r="J607" t="s">
        <v>380</v>
      </c>
      <c r="K607" s="90">
        <f>IF(Tableau4[[#This Row],[État]]="Remis",1,0)</f>
        <v>1</v>
      </c>
    </row>
    <row r="608" spans="2:11" x14ac:dyDescent="0.25">
      <c r="B608" t="s">
        <v>397</v>
      </c>
      <c r="C608" s="90" t="str">
        <f>VLOOKUP(Tableau4[[#This Row],[Réf matériel]],Tableau3[],2,FALSE)</f>
        <v>Pince étau</v>
      </c>
      <c r="D608" s="90">
        <f>VLOOKUP(Tableau4[[#This Row],[Réf matériel]],Tableau3[],3,FALSE)</f>
        <v>16.02</v>
      </c>
      <c r="E608" t="s">
        <v>499</v>
      </c>
      <c r="F608" s="90" t="str">
        <f>VLOOKUP(Tableau4[[#This Row],[Matricule]],Tableau1[],2,FALSE)</f>
        <v>Caisse volante1</v>
      </c>
      <c r="G608" s="90">
        <f>VLOOKUP(Tableau4[[#This Row],[Matricule]],Tableau1[],3,FALSE)</f>
        <v>0</v>
      </c>
      <c r="H608" s="90">
        <f>VLOOKUP(Tableau4[[#This Row],[Matricule]],Tableau1[],4,FALSE)</f>
        <v>0</v>
      </c>
      <c r="J608" t="s">
        <v>380</v>
      </c>
      <c r="K608" s="90">
        <f>IF(Tableau4[[#This Row],[État]]="Remis",1,0)</f>
        <v>1</v>
      </c>
    </row>
    <row r="609" spans="2:11" x14ac:dyDescent="0.25">
      <c r="B609" t="s">
        <v>281</v>
      </c>
      <c r="C609" s="90" t="str">
        <f>VLOOKUP(Tableau4[[#This Row],[Réf matériel]],Tableau3[],2,FALSE)</f>
        <v>Scie à métaux</v>
      </c>
      <c r="D609" s="90">
        <f>VLOOKUP(Tableau4[[#This Row],[Réf matériel]],Tableau3[],3,FALSE)</f>
        <v>11.26</v>
      </c>
      <c r="E609" t="s">
        <v>499</v>
      </c>
      <c r="F609" s="90" t="str">
        <f>VLOOKUP(Tableau4[[#This Row],[Matricule]],Tableau1[],2,FALSE)</f>
        <v>Caisse volante1</v>
      </c>
      <c r="G609" s="90">
        <f>VLOOKUP(Tableau4[[#This Row],[Matricule]],Tableau1[],3,FALSE)</f>
        <v>0</v>
      </c>
      <c r="H609" s="90">
        <f>VLOOKUP(Tableau4[[#This Row],[Matricule]],Tableau1[],4,FALSE)</f>
        <v>0</v>
      </c>
      <c r="J609" t="s">
        <v>380</v>
      </c>
      <c r="K609" s="90">
        <f>IF(Tableau4[[#This Row],[État]]="Remis",1,0)</f>
        <v>1</v>
      </c>
    </row>
    <row r="610" spans="2:11" x14ac:dyDescent="0.25">
      <c r="B610" t="s">
        <v>70</v>
      </c>
      <c r="C610" s="90" t="str">
        <f>VLOOKUP(Tableau4[[#This Row],[Réf matériel]],Tableau3[],2,FALSE)</f>
        <v>Testeur Fluke</v>
      </c>
      <c r="D610" s="90">
        <f>VLOOKUP(Tableau4[[#This Row],[Réf matériel]],Tableau3[],3,FALSE)</f>
        <v>0</v>
      </c>
      <c r="E610" t="s">
        <v>499</v>
      </c>
      <c r="F610" s="90" t="str">
        <f>VLOOKUP(Tableau4[[#This Row],[Matricule]],Tableau1[],2,FALSE)</f>
        <v>Caisse volante1</v>
      </c>
      <c r="G610" s="90">
        <f>VLOOKUP(Tableau4[[#This Row],[Matricule]],Tableau1[],3,FALSE)</f>
        <v>0</v>
      </c>
      <c r="H610" s="90">
        <f>VLOOKUP(Tableau4[[#This Row],[Matricule]],Tableau1[],4,FALSE)</f>
        <v>0</v>
      </c>
      <c r="J610" t="s">
        <v>380</v>
      </c>
      <c r="K610" s="90">
        <f>IF(Tableau4[[#This Row],[État]]="Remis",1,0)</f>
        <v>1</v>
      </c>
    </row>
    <row r="611" spans="2:11" x14ac:dyDescent="0.25">
      <c r="B611" t="s">
        <v>399</v>
      </c>
      <c r="C611" s="90" t="str">
        <f>VLOOKUP(Tableau4[[#This Row],[Réf matériel]],Tableau3[],2,FALSE)</f>
        <v>Boite embouts</v>
      </c>
      <c r="D611" s="90">
        <f>VLOOKUP(Tableau4[[#This Row],[Réf matériel]],Tableau3[],3,FALSE)</f>
        <v>27.61</v>
      </c>
      <c r="E611" t="s">
        <v>500</v>
      </c>
      <c r="F611" s="90" t="str">
        <f>VLOOKUP(Tableau4[[#This Row],[Matricule]],Tableau1[],2,FALSE)</f>
        <v>Caisse volante2</v>
      </c>
      <c r="G611" s="90">
        <f>VLOOKUP(Tableau4[[#This Row],[Matricule]],Tableau1[],3,FALSE)</f>
        <v>0</v>
      </c>
      <c r="H611" s="90">
        <f>VLOOKUP(Tableau4[[#This Row],[Matricule]],Tableau1[],4,FALSE)</f>
        <v>0</v>
      </c>
      <c r="J611" t="s">
        <v>380</v>
      </c>
      <c r="K611" s="90">
        <f>IF(Tableau4[[#This Row],[État]]="Remis",1,0)</f>
        <v>1</v>
      </c>
    </row>
    <row r="612" spans="2:11" x14ac:dyDescent="0.25">
      <c r="B612" t="s">
        <v>395</v>
      </c>
      <c r="C612" s="90" t="str">
        <f>VLOOKUP(Tableau4[[#This Row],[Réf matériel]],Tableau3[],2,FALSE)</f>
        <v>Burin plat</v>
      </c>
      <c r="D612" s="90">
        <f>VLOOKUP(Tableau4[[#This Row],[Réf matériel]],Tableau3[],3,FALSE)</f>
        <v>11.89</v>
      </c>
      <c r="E612" t="s">
        <v>500</v>
      </c>
      <c r="F612" s="90" t="str">
        <f>VLOOKUP(Tableau4[[#This Row],[Matricule]],Tableau1[],2,FALSE)</f>
        <v>Caisse volante2</v>
      </c>
      <c r="G612" s="90">
        <f>VLOOKUP(Tableau4[[#This Row],[Matricule]],Tableau1[],3,FALSE)</f>
        <v>0</v>
      </c>
      <c r="H612" s="90">
        <f>VLOOKUP(Tableau4[[#This Row],[Matricule]],Tableau1[],4,FALSE)</f>
        <v>0</v>
      </c>
      <c r="J612" t="s">
        <v>380</v>
      </c>
      <c r="K612" s="90">
        <f>IF(Tableau4[[#This Row],[État]]="Remis",1,0)</f>
        <v>1</v>
      </c>
    </row>
    <row r="613" spans="2:11" x14ac:dyDescent="0.25">
      <c r="B613" t="s">
        <v>401</v>
      </c>
      <c r="C613" s="90" t="str">
        <f>VLOOKUP(Tableau4[[#This Row],[Réf matériel]],Tableau3[],2,FALSE)</f>
        <v>Burin pointu</v>
      </c>
      <c r="D613" s="90">
        <f>VLOOKUP(Tableau4[[#This Row],[Réf matériel]],Tableau3[],3,FALSE)</f>
        <v>8.7200000000000006</v>
      </c>
      <c r="E613" t="s">
        <v>500</v>
      </c>
      <c r="F613" s="90" t="str">
        <f>VLOOKUP(Tableau4[[#This Row],[Matricule]],Tableau1[],2,FALSE)</f>
        <v>Caisse volante2</v>
      </c>
      <c r="G613" s="90">
        <f>VLOOKUP(Tableau4[[#This Row],[Matricule]],Tableau1[],3,FALSE)</f>
        <v>0</v>
      </c>
      <c r="H613" s="90">
        <f>VLOOKUP(Tableau4[[#This Row],[Matricule]],Tableau1[],4,FALSE)</f>
        <v>0</v>
      </c>
      <c r="J613" t="s">
        <v>380</v>
      </c>
      <c r="K613" s="90">
        <f>IF(Tableau4[[#This Row],[État]]="Remis",1,0)</f>
        <v>1</v>
      </c>
    </row>
    <row r="614" spans="2:11" x14ac:dyDescent="0.25">
      <c r="B614" t="s">
        <v>391</v>
      </c>
      <c r="C614" s="90" t="str">
        <f>VLOOKUP(Tableau4[[#This Row],[Réf matériel]],Tableau3[],2,FALSE)</f>
        <v>Cadena</v>
      </c>
      <c r="D614" s="90">
        <f>VLOOKUP(Tableau4[[#This Row],[Réf matériel]],Tableau3[],3,FALSE)</f>
        <v>13</v>
      </c>
      <c r="E614" t="s">
        <v>500</v>
      </c>
      <c r="F614" s="90" t="str">
        <f>VLOOKUP(Tableau4[[#This Row],[Matricule]],Tableau1[],2,FALSE)</f>
        <v>Caisse volante2</v>
      </c>
      <c r="G614" s="90">
        <f>VLOOKUP(Tableau4[[#This Row],[Matricule]],Tableau1[],3,FALSE)</f>
        <v>0</v>
      </c>
      <c r="H614" s="90">
        <f>VLOOKUP(Tableau4[[#This Row],[Matricule]],Tableau1[],4,FALSE)</f>
        <v>0</v>
      </c>
      <c r="J614" t="s">
        <v>380</v>
      </c>
      <c r="K614" s="90">
        <f>IF(Tableau4[[#This Row],[État]]="Remis",1,0)</f>
        <v>1</v>
      </c>
    </row>
    <row r="615" spans="2:11" x14ac:dyDescent="0.25">
      <c r="B615" t="s">
        <v>393</v>
      </c>
      <c r="C615" s="90" t="str">
        <f>VLOOKUP(Tableau4[[#This Row],[Réf matériel]],Tableau3[],2,FALSE)</f>
        <v>Clé à molette</v>
      </c>
      <c r="D615" s="90">
        <f>VLOOKUP(Tableau4[[#This Row],[Réf matériel]],Tableau3[],3,FALSE)</f>
        <v>16.12</v>
      </c>
      <c r="E615" t="s">
        <v>500</v>
      </c>
      <c r="F615" s="90" t="str">
        <f>VLOOKUP(Tableau4[[#This Row],[Matricule]],Tableau1[],2,FALSE)</f>
        <v>Caisse volante2</v>
      </c>
      <c r="G615" s="90">
        <f>VLOOKUP(Tableau4[[#This Row],[Matricule]],Tableau1[],3,FALSE)</f>
        <v>0</v>
      </c>
      <c r="H615" s="90">
        <f>VLOOKUP(Tableau4[[#This Row],[Matricule]],Tableau1[],4,FALSE)</f>
        <v>0</v>
      </c>
      <c r="J615" t="s">
        <v>380</v>
      </c>
      <c r="K615" s="90">
        <f>IF(Tableau4[[#This Row],[État]]="Remis",1,0)</f>
        <v>1</v>
      </c>
    </row>
    <row r="616" spans="2:11" x14ac:dyDescent="0.25">
      <c r="B616" t="s">
        <v>403</v>
      </c>
      <c r="C616" s="90" t="str">
        <f>VLOOKUP(Tableau4[[#This Row],[Réf matériel]],Tableau3[],2,FALSE)</f>
        <v>Clé à pipe 10</v>
      </c>
      <c r="D616" s="90">
        <f>VLOOKUP(Tableau4[[#This Row],[Réf matériel]],Tableau3[],3,FALSE)</f>
        <v>5.41</v>
      </c>
      <c r="E616" t="s">
        <v>500</v>
      </c>
      <c r="F616" s="90" t="str">
        <f>VLOOKUP(Tableau4[[#This Row],[Matricule]],Tableau1[],2,FALSE)</f>
        <v>Caisse volante2</v>
      </c>
      <c r="G616" s="90">
        <f>VLOOKUP(Tableau4[[#This Row],[Matricule]],Tableau1[],3,FALSE)</f>
        <v>0</v>
      </c>
      <c r="H616" s="90">
        <f>VLOOKUP(Tableau4[[#This Row],[Matricule]],Tableau1[],4,FALSE)</f>
        <v>0</v>
      </c>
      <c r="J616" t="s">
        <v>380</v>
      </c>
      <c r="K616" s="90">
        <f>IF(Tableau4[[#This Row],[État]]="Remis",1,0)</f>
        <v>1</v>
      </c>
    </row>
    <row r="617" spans="2:11" x14ac:dyDescent="0.25">
      <c r="B617" t="s">
        <v>405</v>
      </c>
      <c r="C617" s="90" t="str">
        <f>VLOOKUP(Tableau4[[#This Row],[Réf matériel]],Tableau3[],2,FALSE)</f>
        <v>Clé à pipe 13</v>
      </c>
      <c r="D617" s="90">
        <f>VLOOKUP(Tableau4[[#This Row],[Réf matériel]],Tableau3[],3,FALSE)</f>
        <v>6.23</v>
      </c>
      <c r="E617" t="s">
        <v>500</v>
      </c>
      <c r="F617" s="90" t="str">
        <f>VLOOKUP(Tableau4[[#This Row],[Matricule]],Tableau1[],2,FALSE)</f>
        <v>Caisse volante2</v>
      </c>
      <c r="G617" s="90">
        <f>VLOOKUP(Tableau4[[#This Row],[Matricule]],Tableau1[],3,FALSE)</f>
        <v>0</v>
      </c>
      <c r="H617" s="90">
        <f>VLOOKUP(Tableau4[[#This Row],[Matricule]],Tableau1[],4,FALSE)</f>
        <v>0</v>
      </c>
      <c r="J617" t="s">
        <v>380</v>
      </c>
      <c r="K617" s="90">
        <f>IF(Tableau4[[#This Row],[État]]="Remis",1,0)</f>
        <v>1</v>
      </c>
    </row>
    <row r="618" spans="2:11" x14ac:dyDescent="0.25">
      <c r="B618" t="s">
        <v>405</v>
      </c>
      <c r="C618" s="90" t="str">
        <f>VLOOKUP(Tableau4[[#This Row],[Réf matériel]],Tableau3[],2,FALSE)</f>
        <v>Clé à pipe 13</v>
      </c>
      <c r="D618" s="90">
        <f>VLOOKUP(Tableau4[[#This Row],[Réf matériel]],Tableau3[],3,FALSE)</f>
        <v>6.23</v>
      </c>
      <c r="E618" t="s">
        <v>500</v>
      </c>
      <c r="F618" s="90" t="str">
        <f>VLOOKUP(Tableau4[[#This Row],[Matricule]],Tableau1[],2,FALSE)</f>
        <v>Caisse volante2</v>
      </c>
      <c r="G618" s="90">
        <f>VLOOKUP(Tableau4[[#This Row],[Matricule]],Tableau1[],3,FALSE)</f>
        <v>0</v>
      </c>
      <c r="H618" s="90">
        <f>VLOOKUP(Tableau4[[#This Row],[Matricule]],Tableau1[],4,FALSE)</f>
        <v>0</v>
      </c>
      <c r="J618" t="s">
        <v>381</v>
      </c>
      <c r="K618" s="90">
        <f>IF(Tableau4[[#This Row],[État]]="Remis",1,0)</f>
        <v>0</v>
      </c>
    </row>
    <row r="619" spans="2:11" x14ac:dyDescent="0.25">
      <c r="B619" t="s">
        <v>408</v>
      </c>
      <c r="C619" s="90" t="str">
        <f>VLOOKUP(Tableau4[[#This Row],[Réf matériel]],Tableau3[],2,FALSE)</f>
        <v>Clé à pipe 17</v>
      </c>
      <c r="D619" s="90">
        <f>VLOOKUP(Tableau4[[#This Row],[Réf matériel]],Tableau3[],3,FALSE)</f>
        <v>9.36</v>
      </c>
      <c r="E619" t="s">
        <v>500</v>
      </c>
      <c r="F619" s="90" t="str">
        <f>VLOOKUP(Tableau4[[#This Row],[Matricule]],Tableau1[],2,FALSE)</f>
        <v>Caisse volante2</v>
      </c>
      <c r="G619" s="90">
        <f>VLOOKUP(Tableau4[[#This Row],[Matricule]],Tableau1[],3,FALSE)</f>
        <v>0</v>
      </c>
      <c r="H619" s="90">
        <f>VLOOKUP(Tableau4[[#This Row],[Matricule]],Tableau1[],4,FALSE)</f>
        <v>0</v>
      </c>
      <c r="J619" t="s">
        <v>380</v>
      </c>
      <c r="K619" s="90">
        <f>IF(Tableau4[[#This Row],[État]]="Remis",1,0)</f>
        <v>1</v>
      </c>
    </row>
    <row r="620" spans="2:11" x14ac:dyDescent="0.25">
      <c r="B620" t="s">
        <v>409</v>
      </c>
      <c r="C620" s="90" t="str">
        <f>VLOOKUP(Tableau4[[#This Row],[Réf matériel]],Tableau3[],2,FALSE)</f>
        <v>Clé à pipe 19</v>
      </c>
      <c r="D620" s="90">
        <f>VLOOKUP(Tableau4[[#This Row],[Réf matériel]],Tableau3[],3,FALSE)</f>
        <v>10.4</v>
      </c>
      <c r="E620" t="s">
        <v>500</v>
      </c>
      <c r="F620" s="90" t="str">
        <f>VLOOKUP(Tableau4[[#This Row],[Matricule]],Tableau1[],2,FALSE)</f>
        <v>Caisse volante2</v>
      </c>
      <c r="G620" s="90">
        <f>VLOOKUP(Tableau4[[#This Row],[Matricule]],Tableau1[],3,FALSE)</f>
        <v>0</v>
      </c>
      <c r="H620" s="90">
        <f>VLOOKUP(Tableau4[[#This Row],[Matricule]],Tableau1[],4,FALSE)</f>
        <v>0</v>
      </c>
      <c r="J620" t="s">
        <v>380</v>
      </c>
      <c r="K620" s="90">
        <f>IF(Tableau4[[#This Row],[État]]="Remis",1,0)</f>
        <v>1</v>
      </c>
    </row>
    <row r="621" spans="2:11" x14ac:dyDescent="0.25">
      <c r="B621" t="s">
        <v>420</v>
      </c>
      <c r="C621" s="90" t="str">
        <f>VLOOKUP(Tableau4[[#This Row],[Réf matériel]],Tableau3[],2,FALSE)</f>
        <v>Clé allen</v>
      </c>
      <c r="D621" s="90">
        <f>VLOOKUP(Tableau4[[#This Row],[Réf matériel]],Tableau3[],3,FALSE)</f>
        <v>27.5</v>
      </c>
      <c r="E621" t="s">
        <v>500</v>
      </c>
      <c r="F621" s="90" t="str">
        <f>VLOOKUP(Tableau4[[#This Row],[Matricule]],Tableau1[],2,FALSE)</f>
        <v>Caisse volante2</v>
      </c>
      <c r="G621" s="90">
        <f>VLOOKUP(Tableau4[[#This Row],[Matricule]],Tableau1[],3,FALSE)</f>
        <v>0</v>
      </c>
      <c r="H621" s="90">
        <f>VLOOKUP(Tableau4[[#This Row],[Matricule]],Tableau1[],4,FALSE)</f>
        <v>0</v>
      </c>
      <c r="J621" t="s">
        <v>380</v>
      </c>
      <c r="K621" s="90">
        <f>IF(Tableau4[[#This Row],[État]]="Remis",1,0)</f>
        <v>1</v>
      </c>
    </row>
    <row r="622" spans="2:11" x14ac:dyDescent="0.25">
      <c r="B622" t="s">
        <v>410</v>
      </c>
      <c r="C622" s="90" t="str">
        <f>VLOOKUP(Tableau4[[#This Row],[Réf matériel]],Tableau3[],2,FALSE)</f>
        <v>Clé plate 10</v>
      </c>
      <c r="D622" s="90">
        <f>VLOOKUP(Tableau4[[#This Row],[Réf matériel]],Tableau3[],3,FALSE)</f>
        <v>3.32</v>
      </c>
      <c r="E622" t="s">
        <v>500</v>
      </c>
      <c r="F622" s="90" t="str">
        <f>VLOOKUP(Tableau4[[#This Row],[Matricule]],Tableau1[],2,FALSE)</f>
        <v>Caisse volante2</v>
      </c>
      <c r="G622" s="90">
        <f>VLOOKUP(Tableau4[[#This Row],[Matricule]],Tableau1[],3,FALSE)</f>
        <v>0</v>
      </c>
      <c r="H622" s="90">
        <f>VLOOKUP(Tableau4[[#This Row],[Matricule]],Tableau1[],4,FALSE)</f>
        <v>0</v>
      </c>
      <c r="J622" t="s">
        <v>380</v>
      </c>
      <c r="K622" s="90">
        <f>IF(Tableau4[[#This Row],[État]]="Remis",1,0)</f>
        <v>1</v>
      </c>
    </row>
    <row r="623" spans="2:11" x14ac:dyDescent="0.25">
      <c r="B623" t="s">
        <v>412</v>
      </c>
      <c r="C623" s="90" t="str">
        <f>VLOOKUP(Tableau4[[#This Row],[Réf matériel]],Tableau3[],2,FALSE)</f>
        <v>Clé plate 13</v>
      </c>
      <c r="D623" s="90">
        <f>VLOOKUP(Tableau4[[#This Row],[Réf matériel]],Tableau3[],3,FALSE)</f>
        <v>3.91</v>
      </c>
      <c r="E623" t="s">
        <v>500</v>
      </c>
      <c r="F623" s="90" t="str">
        <f>VLOOKUP(Tableau4[[#This Row],[Matricule]],Tableau1[],2,FALSE)</f>
        <v>Caisse volante2</v>
      </c>
      <c r="G623" s="90">
        <f>VLOOKUP(Tableau4[[#This Row],[Matricule]],Tableau1[],3,FALSE)</f>
        <v>0</v>
      </c>
      <c r="H623" s="90">
        <f>VLOOKUP(Tableau4[[#This Row],[Matricule]],Tableau1[],4,FALSE)</f>
        <v>0</v>
      </c>
      <c r="J623" t="s">
        <v>380</v>
      </c>
      <c r="K623" s="90">
        <f>IF(Tableau4[[#This Row],[État]]="Remis",1,0)</f>
        <v>1</v>
      </c>
    </row>
    <row r="624" spans="2:11" x14ac:dyDescent="0.25">
      <c r="B624" t="s">
        <v>414</v>
      </c>
      <c r="C624" s="90" t="str">
        <f>VLOOKUP(Tableau4[[#This Row],[Réf matériel]],Tableau3[],2,FALSE)</f>
        <v>Clé plate 17</v>
      </c>
      <c r="D624" s="90">
        <f>VLOOKUP(Tableau4[[#This Row],[Réf matériel]],Tableau3[],3,FALSE)</f>
        <v>5.5</v>
      </c>
      <c r="E624" t="s">
        <v>500</v>
      </c>
      <c r="F624" s="90" t="str">
        <f>VLOOKUP(Tableau4[[#This Row],[Matricule]],Tableau1[],2,FALSE)</f>
        <v>Caisse volante2</v>
      </c>
      <c r="G624" s="90">
        <f>VLOOKUP(Tableau4[[#This Row],[Matricule]],Tableau1[],3,FALSE)</f>
        <v>0</v>
      </c>
      <c r="H624" s="90">
        <f>VLOOKUP(Tableau4[[#This Row],[Matricule]],Tableau1[],4,FALSE)</f>
        <v>0</v>
      </c>
      <c r="J624" t="s">
        <v>380</v>
      </c>
      <c r="K624" s="90">
        <f>IF(Tableau4[[#This Row],[État]]="Remis",1,0)</f>
        <v>1</v>
      </c>
    </row>
    <row r="625" spans="2:11" x14ac:dyDescent="0.25">
      <c r="B625" t="s">
        <v>415</v>
      </c>
      <c r="C625" s="90" t="str">
        <f>VLOOKUP(Tableau4[[#This Row],[Réf matériel]],Tableau3[],2,FALSE)</f>
        <v>Clé plate 19</v>
      </c>
      <c r="D625" s="90">
        <f>VLOOKUP(Tableau4[[#This Row],[Réf matériel]],Tableau3[],3,FALSE)</f>
        <v>6.07</v>
      </c>
      <c r="E625" t="s">
        <v>500</v>
      </c>
      <c r="F625" s="90" t="str">
        <f>VLOOKUP(Tableau4[[#This Row],[Matricule]],Tableau1[],2,FALSE)</f>
        <v>Caisse volante2</v>
      </c>
      <c r="G625" s="90">
        <f>VLOOKUP(Tableau4[[#This Row],[Matricule]],Tableau1[],3,FALSE)</f>
        <v>0</v>
      </c>
      <c r="H625" s="90">
        <f>VLOOKUP(Tableau4[[#This Row],[Matricule]],Tableau1[],4,FALSE)</f>
        <v>0</v>
      </c>
      <c r="J625" t="s">
        <v>380</v>
      </c>
      <c r="K625" s="90">
        <f>IF(Tableau4[[#This Row],[État]]="Remis",1,0)</f>
        <v>1</v>
      </c>
    </row>
    <row r="626" spans="2:11" x14ac:dyDescent="0.25">
      <c r="B626" t="s">
        <v>392</v>
      </c>
      <c r="C626" s="90" t="str">
        <f>VLOOKUP(Tableau4[[#This Row],[Réf matériel]],Tableau3[],2,FALSE)</f>
        <v>Coffre</v>
      </c>
      <c r="D626" s="90">
        <f>VLOOKUP(Tableau4[[#This Row],[Réf matériel]],Tableau3[],3,FALSE)</f>
        <v>54.54</v>
      </c>
      <c r="E626" t="s">
        <v>500</v>
      </c>
      <c r="F626" s="90" t="str">
        <f>VLOOKUP(Tableau4[[#This Row],[Matricule]],Tableau1[],2,FALSE)</f>
        <v>Caisse volante2</v>
      </c>
      <c r="G626" s="90">
        <f>VLOOKUP(Tableau4[[#This Row],[Matricule]],Tableau1[],3,FALSE)</f>
        <v>0</v>
      </c>
      <c r="H626" s="90">
        <f>VLOOKUP(Tableau4[[#This Row],[Matricule]],Tableau1[],4,FALSE)</f>
        <v>0</v>
      </c>
      <c r="J626" t="s">
        <v>380</v>
      </c>
      <c r="K626" s="90">
        <f>IF(Tableau4[[#This Row],[État]]="Remis",1,0)</f>
        <v>1</v>
      </c>
    </row>
    <row r="627" spans="2:11" x14ac:dyDescent="0.25">
      <c r="B627" t="s">
        <v>398</v>
      </c>
      <c r="C627" s="90" t="str">
        <f>VLOOKUP(Tableau4[[#This Row],[Réf matériel]],Tableau3[],2,FALSE)</f>
        <v>Coffret douilles</v>
      </c>
      <c r="D627" s="90">
        <f>VLOOKUP(Tableau4[[#This Row],[Réf matériel]],Tableau3[],3,FALSE)</f>
        <v>103.22</v>
      </c>
      <c r="E627" t="s">
        <v>500</v>
      </c>
      <c r="F627" s="90" t="str">
        <f>VLOOKUP(Tableau4[[#This Row],[Matricule]],Tableau1[],2,FALSE)</f>
        <v>Caisse volante2</v>
      </c>
      <c r="G627" s="90">
        <f>VLOOKUP(Tableau4[[#This Row],[Matricule]],Tableau1[],3,FALSE)</f>
        <v>0</v>
      </c>
      <c r="H627" s="90">
        <f>VLOOKUP(Tableau4[[#This Row],[Matricule]],Tableau1[],4,FALSE)</f>
        <v>0</v>
      </c>
      <c r="J627" t="s">
        <v>380</v>
      </c>
      <c r="K627" s="90">
        <f>IF(Tableau4[[#This Row],[État]]="Remis",1,0)</f>
        <v>1</v>
      </c>
    </row>
    <row r="628" spans="2:11" x14ac:dyDescent="0.25">
      <c r="B628" t="s">
        <v>49</v>
      </c>
      <c r="C628" s="90" t="str">
        <f>VLOOKUP(Tableau4[[#This Row],[Réf matériel]],Tableau3[],2,FALSE)</f>
        <v>Coupe câble</v>
      </c>
      <c r="D628" s="90">
        <f>VLOOKUP(Tableau4[[#This Row],[Réf matériel]],Tableau3[],3,FALSE)</f>
        <v>41.88</v>
      </c>
      <c r="E628" t="s">
        <v>500</v>
      </c>
      <c r="F628" s="90" t="str">
        <f>VLOOKUP(Tableau4[[#This Row],[Matricule]],Tableau1[],2,FALSE)</f>
        <v>Caisse volante2</v>
      </c>
      <c r="G628" s="90">
        <f>VLOOKUP(Tableau4[[#This Row],[Matricule]],Tableau1[],3,FALSE)</f>
        <v>0</v>
      </c>
      <c r="H628" s="90">
        <f>VLOOKUP(Tableau4[[#This Row],[Matricule]],Tableau1[],4,FALSE)</f>
        <v>0</v>
      </c>
      <c r="J628" t="s">
        <v>380</v>
      </c>
      <c r="K628" s="90">
        <f>IF(Tableau4[[#This Row],[État]]="Remis",1,0)</f>
        <v>1</v>
      </c>
    </row>
    <row r="629" spans="2:11" x14ac:dyDescent="0.25">
      <c r="B629" t="s">
        <v>430</v>
      </c>
      <c r="C629" s="90" t="str">
        <f>VLOOKUP(Tableau4[[#This Row],[Réf matériel]],Tableau3[],2,FALSE)</f>
        <v>Couteau électricien</v>
      </c>
      <c r="D629" s="90">
        <f>VLOOKUP(Tableau4[[#This Row],[Réf matériel]],Tableau3[],3,FALSE)</f>
        <v>17.149999999999999</v>
      </c>
      <c r="E629" t="s">
        <v>500</v>
      </c>
      <c r="F629" s="90" t="str">
        <f>VLOOKUP(Tableau4[[#This Row],[Matricule]],Tableau1[],2,FALSE)</f>
        <v>Caisse volante2</v>
      </c>
      <c r="G629" s="90">
        <f>VLOOKUP(Tableau4[[#This Row],[Matricule]],Tableau1[],3,FALSE)</f>
        <v>0</v>
      </c>
      <c r="H629" s="90">
        <f>VLOOKUP(Tableau4[[#This Row],[Matricule]],Tableau1[],4,FALSE)</f>
        <v>0</v>
      </c>
      <c r="J629" t="s">
        <v>380</v>
      </c>
      <c r="K629" s="90">
        <f>IF(Tableau4[[#This Row],[État]]="Remis",1,0)</f>
        <v>1</v>
      </c>
    </row>
    <row r="630" spans="2:11" x14ac:dyDescent="0.25">
      <c r="B630" t="s">
        <v>67</v>
      </c>
      <c r="C630" s="90" t="str">
        <f>VLOOKUP(Tableau4[[#This Row],[Réf matériel]],Tableau3[],2,FALSE)</f>
        <v>Cutter</v>
      </c>
      <c r="D630" s="90">
        <f>VLOOKUP(Tableau4[[#This Row],[Réf matériel]],Tableau3[],3,FALSE)</f>
        <v>4.8499999999999996</v>
      </c>
      <c r="E630" t="s">
        <v>500</v>
      </c>
      <c r="F630" s="90" t="str">
        <f>VLOOKUP(Tableau4[[#This Row],[Matricule]],Tableau1[],2,FALSE)</f>
        <v>Caisse volante2</v>
      </c>
      <c r="G630" s="90">
        <f>VLOOKUP(Tableau4[[#This Row],[Matricule]],Tableau1[],3,FALSE)</f>
        <v>0</v>
      </c>
      <c r="H630" s="90">
        <f>VLOOKUP(Tableau4[[#This Row],[Matricule]],Tableau1[],4,FALSE)</f>
        <v>0</v>
      </c>
      <c r="J630" t="s">
        <v>380</v>
      </c>
      <c r="K630" s="90">
        <f>IF(Tableau4[[#This Row],[État]]="Remis",1,0)</f>
        <v>1</v>
      </c>
    </row>
    <row r="631" spans="2:11" x14ac:dyDescent="0.25">
      <c r="B631" t="s">
        <v>56</v>
      </c>
      <c r="C631" s="90" t="str">
        <f>VLOOKUP(Tableau4[[#This Row],[Réf matériel]],Tableau3[],2,FALSE)</f>
        <v>Jeu tournevis</v>
      </c>
      <c r="D631" s="90">
        <f>VLOOKUP(Tableau4[[#This Row],[Réf matériel]],Tableau3[],3,FALSE)</f>
        <v>37.57</v>
      </c>
      <c r="E631" t="s">
        <v>500</v>
      </c>
      <c r="F631" s="90" t="str">
        <f>VLOOKUP(Tableau4[[#This Row],[Matricule]],Tableau1[],2,FALSE)</f>
        <v>Caisse volante2</v>
      </c>
      <c r="G631" s="90">
        <f>VLOOKUP(Tableau4[[#This Row],[Matricule]],Tableau1[],3,FALSE)</f>
        <v>0</v>
      </c>
      <c r="H631" s="90">
        <f>VLOOKUP(Tableau4[[#This Row],[Matricule]],Tableau1[],4,FALSE)</f>
        <v>0</v>
      </c>
      <c r="J631" t="s">
        <v>380</v>
      </c>
      <c r="K631" s="90">
        <f>IF(Tableau4[[#This Row],[État]]="Remis",1,0)</f>
        <v>1</v>
      </c>
    </row>
    <row r="632" spans="2:11" x14ac:dyDescent="0.25">
      <c r="B632" t="s">
        <v>75</v>
      </c>
      <c r="C632" s="90" t="str">
        <f>VLOOKUP(Tableau4[[#This Row],[Réf matériel]],Tableau3[],2,FALSE)</f>
        <v>Lampe frontale</v>
      </c>
      <c r="D632" s="90">
        <f>VLOOKUP(Tableau4[[#This Row],[Réf matériel]],Tableau3[],3,FALSE)</f>
        <v>42.5</v>
      </c>
      <c r="E632" t="s">
        <v>500</v>
      </c>
      <c r="F632" s="90" t="str">
        <f>VLOOKUP(Tableau4[[#This Row],[Matricule]],Tableau1[],2,FALSE)</f>
        <v>Caisse volante2</v>
      </c>
      <c r="G632" s="90">
        <f>VLOOKUP(Tableau4[[#This Row],[Matricule]],Tableau1[],3,FALSE)</f>
        <v>0</v>
      </c>
      <c r="H632" s="90">
        <f>VLOOKUP(Tableau4[[#This Row],[Matricule]],Tableau1[],4,FALSE)</f>
        <v>0</v>
      </c>
      <c r="J632" t="s">
        <v>380</v>
      </c>
      <c r="K632" s="90">
        <f>IF(Tableau4[[#This Row],[État]]="Remis",1,0)</f>
        <v>1</v>
      </c>
    </row>
    <row r="633" spans="2:11" x14ac:dyDescent="0.25">
      <c r="B633" t="s">
        <v>394</v>
      </c>
      <c r="C633" s="90" t="str">
        <f>VLOOKUP(Tableau4[[#This Row],[Réf matériel]],Tableau3[],2,FALSE)</f>
        <v>lime demi ronde</v>
      </c>
      <c r="D633" s="90">
        <f>VLOOKUP(Tableau4[[#This Row],[Réf matériel]],Tableau3[],3,FALSE)</f>
        <v>7.59</v>
      </c>
      <c r="E633" t="s">
        <v>500</v>
      </c>
      <c r="F633" s="90" t="str">
        <f>VLOOKUP(Tableau4[[#This Row],[Matricule]],Tableau1[],2,FALSE)</f>
        <v>Caisse volante2</v>
      </c>
      <c r="G633" s="90">
        <f>VLOOKUP(Tableau4[[#This Row],[Matricule]],Tableau1[],3,FALSE)</f>
        <v>0</v>
      </c>
      <c r="H633" s="90">
        <f>VLOOKUP(Tableau4[[#This Row],[Matricule]],Tableau1[],4,FALSE)</f>
        <v>0</v>
      </c>
      <c r="J633" t="s">
        <v>380</v>
      </c>
      <c r="K633" s="90">
        <f>IF(Tableau4[[#This Row],[État]]="Remis",1,0)</f>
        <v>1</v>
      </c>
    </row>
    <row r="634" spans="2:11" x14ac:dyDescent="0.25">
      <c r="B634" t="s">
        <v>394</v>
      </c>
      <c r="C634" s="90" t="str">
        <f>VLOOKUP(Tableau4[[#This Row],[Réf matériel]],Tableau3[],2,FALSE)</f>
        <v>lime demi ronde</v>
      </c>
      <c r="D634" s="90">
        <f>VLOOKUP(Tableau4[[#This Row],[Réf matériel]],Tableau3[],3,FALSE)</f>
        <v>7.59</v>
      </c>
      <c r="E634" t="s">
        <v>500</v>
      </c>
      <c r="F634" s="90" t="str">
        <f>VLOOKUP(Tableau4[[#This Row],[Matricule]],Tableau1[],2,FALSE)</f>
        <v>Caisse volante2</v>
      </c>
      <c r="G634" s="90">
        <f>VLOOKUP(Tableau4[[#This Row],[Matricule]],Tableau1[],3,FALSE)</f>
        <v>0</v>
      </c>
      <c r="H634" s="90">
        <f>VLOOKUP(Tableau4[[#This Row],[Matricule]],Tableau1[],4,FALSE)</f>
        <v>0</v>
      </c>
      <c r="J634" t="s">
        <v>381</v>
      </c>
      <c r="K634" s="90">
        <f>IF(Tableau4[[#This Row],[État]]="Remis",1,0)</f>
        <v>0</v>
      </c>
    </row>
    <row r="635" spans="2:11" x14ac:dyDescent="0.25">
      <c r="B635" t="s">
        <v>73</v>
      </c>
      <c r="C635" s="90" t="str">
        <f>VLOOKUP(Tableau4[[#This Row],[Réf matériel]],Tableau3[],2,FALSE)</f>
        <v>Lunette de protection</v>
      </c>
      <c r="D635" s="90">
        <f>VLOOKUP(Tableau4[[#This Row],[Réf matériel]],Tableau3[],3,FALSE)</f>
        <v>2.38</v>
      </c>
      <c r="E635" t="s">
        <v>500</v>
      </c>
      <c r="F635" s="90" t="str">
        <f>VLOOKUP(Tableau4[[#This Row],[Matricule]],Tableau1[],2,FALSE)</f>
        <v>Caisse volante2</v>
      </c>
      <c r="G635" s="90">
        <f>VLOOKUP(Tableau4[[#This Row],[Matricule]],Tableau1[],3,FALSE)</f>
        <v>0</v>
      </c>
      <c r="H635" s="90">
        <f>VLOOKUP(Tableau4[[#This Row],[Matricule]],Tableau1[],4,FALSE)</f>
        <v>0</v>
      </c>
      <c r="J635" t="s">
        <v>380</v>
      </c>
      <c r="K635" s="90">
        <f>IF(Tableau4[[#This Row],[État]]="Remis",1,0)</f>
        <v>1</v>
      </c>
    </row>
    <row r="636" spans="2:11" x14ac:dyDescent="0.25">
      <c r="B636" t="s">
        <v>396</v>
      </c>
      <c r="C636" s="90" t="str">
        <f>VLOOKUP(Tableau4[[#This Row],[Réf matériel]],Tableau3[],2,FALSE)</f>
        <v>Massette</v>
      </c>
      <c r="D636" s="90">
        <f>VLOOKUP(Tableau4[[#This Row],[Réf matériel]],Tableau3[],3,FALSE)</f>
        <v>15.14</v>
      </c>
      <c r="E636" t="s">
        <v>500</v>
      </c>
      <c r="F636" s="90" t="str">
        <f>VLOOKUP(Tableau4[[#This Row],[Matricule]],Tableau1[],2,FALSE)</f>
        <v>Caisse volante2</v>
      </c>
      <c r="G636" s="90">
        <f>VLOOKUP(Tableau4[[#This Row],[Matricule]],Tableau1[],3,FALSE)</f>
        <v>0</v>
      </c>
      <c r="H636" s="90">
        <f>VLOOKUP(Tableau4[[#This Row],[Matricule]],Tableau1[],4,FALSE)</f>
        <v>0</v>
      </c>
      <c r="J636" t="s">
        <v>380</v>
      </c>
      <c r="K636" s="90">
        <f>IF(Tableau4[[#This Row],[État]]="Remis",1,0)</f>
        <v>1</v>
      </c>
    </row>
    <row r="637" spans="2:11" x14ac:dyDescent="0.25">
      <c r="B637" t="s">
        <v>51</v>
      </c>
      <c r="C637" s="90" t="str">
        <f>VLOOKUP(Tableau4[[#This Row],[Réf matériel]],Tableau3[],2,FALSE)</f>
        <v>Mètre pliant</v>
      </c>
      <c r="D637" s="90">
        <f>VLOOKUP(Tableau4[[#This Row],[Réf matériel]],Tableau3[],3,FALSE)</f>
        <v>3.2</v>
      </c>
      <c r="E637" t="s">
        <v>500</v>
      </c>
      <c r="F637" s="90" t="str">
        <f>VLOOKUP(Tableau4[[#This Row],[Matricule]],Tableau1[],2,FALSE)</f>
        <v>Caisse volante2</v>
      </c>
      <c r="G637" s="90">
        <f>VLOOKUP(Tableau4[[#This Row],[Matricule]],Tableau1[],3,FALSE)</f>
        <v>0</v>
      </c>
      <c r="H637" s="90">
        <f>VLOOKUP(Tableau4[[#This Row],[Matricule]],Tableau1[],4,FALSE)</f>
        <v>0</v>
      </c>
      <c r="J637" t="s">
        <v>380</v>
      </c>
      <c r="K637" s="90">
        <f>IF(Tableau4[[#This Row],[État]]="Remis",1,0)</f>
        <v>1</v>
      </c>
    </row>
    <row r="638" spans="2:11" x14ac:dyDescent="0.25">
      <c r="B638" t="s">
        <v>55</v>
      </c>
      <c r="C638" s="90" t="str">
        <f>VLOOKUP(Tableau4[[#This Row],[Réf matériel]],Tableau3[],2,FALSE)</f>
        <v>Niveau</v>
      </c>
      <c r="D638" s="90">
        <f>VLOOKUP(Tableau4[[#This Row],[Réf matériel]],Tableau3[],3,FALSE)</f>
        <v>15</v>
      </c>
      <c r="E638" t="s">
        <v>500</v>
      </c>
      <c r="F638" s="90" t="str">
        <f>VLOOKUP(Tableau4[[#This Row],[Matricule]],Tableau1[],2,FALSE)</f>
        <v>Caisse volante2</v>
      </c>
      <c r="G638" s="90">
        <f>VLOOKUP(Tableau4[[#This Row],[Matricule]],Tableau1[],3,FALSE)</f>
        <v>0</v>
      </c>
      <c r="H638" s="90">
        <f>VLOOKUP(Tableau4[[#This Row],[Matricule]],Tableau1[],4,FALSE)</f>
        <v>0</v>
      </c>
      <c r="J638" t="s">
        <v>380</v>
      </c>
      <c r="K638" s="90">
        <f>IF(Tableau4[[#This Row],[État]]="Remis",1,0)</f>
        <v>1</v>
      </c>
    </row>
    <row r="639" spans="2:11" x14ac:dyDescent="0.25">
      <c r="B639" t="s">
        <v>287</v>
      </c>
      <c r="C639" s="90" t="str">
        <f>VLOOKUP(Tableau4[[#This Row],[Réf matériel]],Tableau3[],2,FALSE)</f>
        <v>Outil à dégainer</v>
      </c>
      <c r="D639" s="90">
        <f>VLOOKUP(Tableau4[[#This Row],[Réf matériel]],Tableau3[],3,FALSE)</f>
        <v>20.5</v>
      </c>
      <c r="E639" t="s">
        <v>500</v>
      </c>
      <c r="F639" s="90" t="str">
        <f>VLOOKUP(Tableau4[[#This Row],[Matricule]],Tableau1[],2,FALSE)</f>
        <v>Caisse volante2</v>
      </c>
      <c r="G639" s="90">
        <f>VLOOKUP(Tableau4[[#This Row],[Matricule]],Tableau1[],3,FALSE)</f>
        <v>0</v>
      </c>
      <c r="H639" s="90">
        <f>VLOOKUP(Tableau4[[#This Row],[Matricule]],Tableau1[],4,FALSE)</f>
        <v>0</v>
      </c>
      <c r="J639" t="s">
        <v>380</v>
      </c>
      <c r="K639" s="90">
        <f>IF(Tableau4[[#This Row],[État]]="Remis",1,0)</f>
        <v>1</v>
      </c>
    </row>
    <row r="640" spans="2:11" x14ac:dyDescent="0.25">
      <c r="B640" t="s">
        <v>278</v>
      </c>
      <c r="C640" s="90" t="str">
        <f>VLOOKUP(Tableau4[[#This Row],[Réf matériel]],Tableau3[],2,FALSE)</f>
        <v>Pince à dénuder</v>
      </c>
      <c r="D640" s="90">
        <f>VLOOKUP(Tableau4[[#This Row],[Réf matériel]],Tableau3[],3,FALSE)</f>
        <v>24.55</v>
      </c>
      <c r="E640" t="s">
        <v>500</v>
      </c>
      <c r="F640" s="90" t="str">
        <f>VLOOKUP(Tableau4[[#This Row],[Matricule]],Tableau1[],2,FALSE)</f>
        <v>Caisse volante2</v>
      </c>
      <c r="G640" s="90">
        <f>VLOOKUP(Tableau4[[#This Row],[Matricule]],Tableau1[],3,FALSE)</f>
        <v>0</v>
      </c>
      <c r="H640" s="90">
        <f>VLOOKUP(Tableau4[[#This Row],[Matricule]],Tableau1[],4,FALSE)</f>
        <v>0</v>
      </c>
      <c r="J640" t="s">
        <v>380</v>
      </c>
      <c r="K640" s="90">
        <f>IF(Tableau4[[#This Row],[État]]="Remis",1,0)</f>
        <v>1</v>
      </c>
    </row>
    <row r="641" spans="2:11" x14ac:dyDescent="0.25">
      <c r="B641" t="s">
        <v>102</v>
      </c>
      <c r="C641" s="90" t="str">
        <f>VLOOKUP(Tableau4[[#This Row],[Réf matériel]],Tableau3[],2,FALSE)</f>
        <v>Pince à Sertir</v>
      </c>
      <c r="D641" s="90">
        <f>VLOOKUP(Tableau4[[#This Row],[Réf matériel]],Tableau3[],3,FALSE)</f>
        <v>78.400000000000006</v>
      </c>
      <c r="E641" t="s">
        <v>500</v>
      </c>
      <c r="F641" s="90" t="str">
        <f>VLOOKUP(Tableau4[[#This Row],[Matricule]],Tableau1[],2,FALSE)</f>
        <v>Caisse volante2</v>
      </c>
      <c r="G641" s="90">
        <f>VLOOKUP(Tableau4[[#This Row],[Matricule]],Tableau1[],3,FALSE)</f>
        <v>0</v>
      </c>
      <c r="H641" s="90">
        <f>VLOOKUP(Tableau4[[#This Row],[Matricule]],Tableau1[],4,FALSE)</f>
        <v>0</v>
      </c>
      <c r="J641" t="s">
        <v>380</v>
      </c>
      <c r="K641" s="90">
        <f>IF(Tableau4[[#This Row],[État]]="Remis",1,0)</f>
        <v>1</v>
      </c>
    </row>
    <row r="642" spans="2:11" x14ac:dyDescent="0.25">
      <c r="B642" t="s">
        <v>72</v>
      </c>
      <c r="C642" s="90" t="str">
        <f>VLOOKUP(Tableau4[[#This Row],[Réf matériel]],Tableau3[],2,FALSE)</f>
        <v>Pince colson</v>
      </c>
      <c r="D642" s="90">
        <f>VLOOKUP(Tableau4[[#This Row],[Réf matériel]],Tableau3[],3,FALSE)</f>
        <v>46.91</v>
      </c>
      <c r="E642" t="s">
        <v>500</v>
      </c>
      <c r="F642" s="90" t="str">
        <f>VLOOKUP(Tableau4[[#This Row],[Matricule]],Tableau1[],2,FALSE)</f>
        <v>Caisse volante2</v>
      </c>
      <c r="G642" s="90">
        <f>VLOOKUP(Tableau4[[#This Row],[Matricule]],Tableau1[],3,FALSE)</f>
        <v>0</v>
      </c>
      <c r="H642" s="90">
        <f>VLOOKUP(Tableau4[[#This Row],[Matricule]],Tableau1[],4,FALSE)</f>
        <v>0</v>
      </c>
      <c r="J642" t="s">
        <v>380</v>
      </c>
      <c r="K642" s="90">
        <f>IF(Tableau4[[#This Row],[État]]="Remis",1,0)</f>
        <v>1</v>
      </c>
    </row>
    <row r="643" spans="2:11" x14ac:dyDescent="0.25">
      <c r="B643" t="s">
        <v>280</v>
      </c>
      <c r="C643" s="90" t="str">
        <f>VLOOKUP(Tableau4[[#This Row],[Réf matériel]],Tableau3[],2,FALSE)</f>
        <v>Pince coupante 1000v</v>
      </c>
      <c r="D643" s="90">
        <f>VLOOKUP(Tableau4[[#This Row],[Réf matériel]],Tableau3[],3,FALSE)</f>
        <v>20.87</v>
      </c>
      <c r="E643" t="s">
        <v>500</v>
      </c>
      <c r="F643" s="90" t="str">
        <f>VLOOKUP(Tableau4[[#This Row],[Matricule]],Tableau1[],2,FALSE)</f>
        <v>Caisse volante2</v>
      </c>
      <c r="G643" s="90">
        <f>VLOOKUP(Tableau4[[#This Row],[Matricule]],Tableau1[],3,FALSE)</f>
        <v>0</v>
      </c>
      <c r="H643" s="90">
        <f>VLOOKUP(Tableau4[[#This Row],[Matricule]],Tableau1[],4,FALSE)</f>
        <v>0</v>
      </c>
      <c r="J643" t="s">
        <v>380</v>
      </c>
      <c r="K643" s="90">
        <f>IF(Tableau4[[#This Row],[État]]="Remis",1,0)</f>
        <v>1</v>
      </c>
    </row>
    <row r="644" spans="2:11" x14ac:dyDescent="0.25">
      <c r="B644" t="s">
        <v>397</v>
      </c>
      <c r="C644" s="90" t="str">
        <f>VLOOKUP(Tableau4[[#This Row],[Réf matériel]],Tableau3[],2,FALSE)</f>
        <v>Pince étau</v>
      </c>
      <c r="D644" s="90">
        <f>VLOOKUP(Tableau4[[#This Row],[Réf matériel]],Tableau3[],3,FALSE)</f>
        <v>16.02</v>
      </c>
      <c r="E644" t="s">
        <v>500</v>
      </c>
      <c r="F644" s="90" t="str">
        <f>VLOOKUP(Tableau4[[#This Row],[Matricule]],Tableau1[],2,FALSE)</f>
        <v>Caisse volante2</v>
      </c>
      <c r="G644" s="90">
        <f>VLOOKUP(Tableau4[[#This Row],[Matricule]],Tableau1[],3,FALSE)</f>
        <v>0</v>
      </c>
      <c r="H644" s="90">
        <f>VLOOKUP(Tableau4[[#This Row],[Matricule]],Tableau1[],4,FALSE)</f>
        <v>0</v>
      </c>
      <c r="J644" t="s">
        <v>380</v>
      </c>
      <c r="K644" s="90">
        <f>IF(Tableau4[[#This Row],[État]]="Remis",1,0)</f>
        <v>1</v>
      </c>
    </row>
    <row r="645" spans="2:11" x14ac:dyDescent="0.25">
      <c r="B645" t="s">
        <v>281</v>
      </c>
      <c r="C645" s="90" t="str">
        <f>VLOOKUP(Tableau4[[#This Row],[Réf matériel]],Tableau3[],2,FALSE)</f>
        <v>Scie à métaux</v>
      </c>
      <c r="D645" s="90">
        <f>VLOOKUP(Tableau4[[#This Row],[Réf matériel]],Tableau3[],3,FALSE)</f>
        <v>11.26</v>
      </c>
      <c r="E645" t="s">
        <v>500</v>
      </c>
      <c r="F645" s="90" t="str">
        <f>VLOOKUP(Tableau4[[#This Row],[Matricule]],Tableau1[],2,FALSE)</f>
        <v>Caisse volante2</v>
      </c>
      <c r="G645" s="90">
        <f>VLOOKUP(Tableau4[[#This Row],[Matricule]],Tableau1[],3,FALSE)</f>
        <v>0</v>
      </c>
      <c r="H645" s="90">
        <f>VLOOKUP(Tableau4[[#This Row],[Matricule]],Tableau1[],4,FALSE)</f>
        <v>0</v>
      </c>
      <c r="J645" t="s">
        <v>380</v>
      </c>
      <c r="K645" s="90">
        <f>IF(Tableau4[[#This Row],[État]]="Remis",1,0)</f>
        <v>1</v>
      </c>
    </row>
    <row r="646" spans="2:11" x14ac:dyDescent="0.25">
      <c r="B646" t="s">
        <v>70</v>
      </c>
      <c r="C646" s="90" t="str">
        <f>VLOOKUP(Tableau4[[#This Row],[Réf matériel]],Tableau3[],2,FALSE)</f>
        <v>Testeur Fluke</v>
      </c>
      <c r="D646" s="90">
        <f>VLOOKUP(Tableau4[[#This Row],[Réf matériel]],Tableau3[],3,FALSE)</f>
        <v>0</v>
      </c>
      <c r="E646" t="s">
        <v>500</v>
      </c>
      <c r="F646" s="90" t="str">
        <f>VLOOKUP(Tableau4[[#This Row],[Matricule]],Tableau1[],2,FALSE)</f>
        <v>Caisse volante2</v>
      </c>
      <c r="G646" s="90">
        <f>VLOOKUP(Tableau4[[#This Row],[Matricule]],Tableau1[],3,FALSE)</f>
        <v>0</v>
      </c>
      <c r="H646" s="90">
        <f>VLOOKUP(Tableau4[[#This Row],[Matricule]],Tableau1[],4,FALSE)</f>
        <v>0</v>
      </c>
      <c r="J646" t="s">
        <v>380</v>
      </c>
      <c r="K646" s="90">
        <f>IF(Tableau4[[#This Row],[État]]="Remis",1,0)</f>
        <v>1</v>
      </c>
    </row>
    <row r="647" spans="2:11" x14ac:dyDescent="0.25">
      <c r="B647" t="s">
        <v>399</v>
      </c>
      <c r="C647" s="90" t="str">
        <f>VLOOKUP(Tableau4[[#This Row],[Réf matériel]],Tableau3[],2,FALSE)</f>
        <v>Boite embouts</v>
      </c>
      <c r="D647" s="90">
        <f>VLOOKUP(Tableau4[[#This Row],[Réf matériel]],Tableau3[],3,FALSE)</f>
        <v>27.61</v>
      </c>
      <c r="E647" t="s">
        <v>501</v>
      </c>
      <c r="F647" s="90" t="str">
        <f>VLOOKUP(Tableau4[[#This Row],[Matricule]],Tableau1[],2,FALSE)</f>
        <v>Caisse volante3</v>
      </c>
      <c r="G647" s="90">
        <f>VLOOKUP(Tableau4[[#This Row],[Matricule]],Tableau1[],3,FALSE)</f>
        <v>0</v>
      </c>
      <c r="H647" s="90">
        <f>VLOOKUP(Tableau4[[#This Row],[Matricule]],Tableau1[],4,FALSE)</f>
        <v>0</v>
      </c>
      <c r="J647" t="s">
        <v>380</v>
      </c>
      <c r="K647" s="90">
        <f>IF(Tableau4[[#This Row],[État]]="Remis",1,0)</f>
        <v>1</v>
      </c>
    </row>
    <row r="648" spans="2:11" x14ac:dyDescent="0.25">
      <c r="B648" t="s">
        <v>395</v>
      </c>
      <c r="C648" s="90" t="str">
        <f>VLOOKUP(Tableau4[[#This Row],[Réf matériel]],Tableau3[],2,FALSE)</f>
        <v>Burin plat</v>
      </c>
      <c r="D648" s="90">
        <f>VLOOKUP(Tableau4[[#This Row],[Réf matériel]],Tableau3[],3,FALSE)</f>
        <v>11.89</v>
      </c>
      <c r="E648" t="s">
        <v>501</v>
      </c>
      <c r="F648" s="90" t="str">
        <f>VLOOKUP(Tableau4[[#This Row],[Matricule]],Tableau1[],2,FALSE)</f>
        <v>Caisse volante3</v>
      </c>
      <c r="G648" s="90">
        <f>VLOOKUP(Tableau4[[#This Row],[Matricule]],Tableau1[],3,FALSE)</f>
        <v>0</v>
      </c>
      <c r="H648" s="90">
        <f>VLOOKUP(Tableau4[[#This Row],[Matricule]],Tableau1[],4,FALSE)</f>
        <v>0</v>
      </c>
      <c r="J648" t="s">
        <v>380</v>
      </c>
      <c r="K648" s="90">
        <f>IF(Tableau4[[#This Row],[État]]="Remis",1,0)</f>
        <v>1</v>
      </c>
    </row>
    <row r="649" spans="2:11" x14ac:dyDescent="0.25">
      <c r="B649" t="s">
        <v>401</v>
      </c>
      <c r="C649" s="90" t="str">
        <f>VLOOKUP(Tableau4[[#This Row],[Réf matériel]],Tableau3[],2,FALSE)</f>
        <v>Burin pointu</v>
      </c>
      <c r="D649" s="90">
        <f>VLOOKUP(Tableau4[[#This Row],[Réf matériel]],Tableau3[],3,FALSE)</f>
        <v>8.7200000000000006</v>
      </c>
      <c r="E649" t="s">
        <v>501</v>
      </c>
      <c r="F649" s="90" t="str">
        <f>VLOOKUP(Tableau4[[#This Row],[Matricule]],Tableau1[],2,FALSE)</f>
        <v>Caisse volante3</v>
      </c>
      <c r="G649" s="90">
        <f>VLOOKUP(Tableau4[[#This Row],[Matricule]],Tableau1[],3,FALSE)</f>
        <v>0</v>
      </c>
      <c r="H649" s="90">
        <f>VLOOKUP(Tableau4[[#This Row],[Matricule]],Tableau1[],4,FALSE)</f>
        <v>0</v>
      </c>
      <c r="J649" t="s">
        <v>380</v>
      </c>
      <c r="K649" s="90">
        <f>IF(Tableau4[[#This Row],[État]]="Remis",1,0)</f>
        <v>1</v>
      </c>
    </row>
    <row r="650" spans="2:11" x14ac:dyDescent="0.25">
      <c r="B650" t="s">
        <v>391</v>
      </c>
      <c r="C650" s="90" t="str">
        <f>VLOOKUP(Tableau4[[#This Row],[Réf matériel]],Tableau3[],2,FALSE)</f>
        <v>Cadena</v>
      </c>
      <c r="D650" s="90">
        <f>VLOOKUP(Tableau4[[#This Row],[Réf matériel]],Tableau3[],3,FALSE)</f>
        <v>13</v>
      </c>
      <c r="E650" t="s">
        <v>501</v>
      </c>
      <c r="F650" s="90" t="str">
        <f>VLOOKUP(Tableau4[[#This Row],[Matricule]],Tableau1[],2,FALSE)</f>
        <v>Caisse volante3</v>
      </c>
      <c r="G650" s="90">
        <f>VLOOKUP(Tableau4[[#This Row],[Matricule]],Tableau1[],3,FALSE)</f>
        <v>0</v>
      </c>
      <c r="H650" s="90">
        <f>VLOOKUP(Tableau4[[#This Row],[Matricule]],Tableau1[],4,FALSE)</f>
        <v>0</v>
      </c>
      <c r="J650" t="s">
        <v>380</v>
      </c>
      <c r="K650" s="90">
        <f>IF(Tableau4[[#This Row],[État]]="Remis",1,0)</f>
        <v>1</v>
      </c>
    </row>
    <row r="651" spans="2:11" x14ac:dyDescent="0.25">
      <c r="B651" t="s">
        <v>393</v>
      </c>
      <c r="C651" s="90" t="str">
        <f>VLOOKUP(Tableau4[[#This Row],[Réf matériel]],Tableau3[],2,FALSE)</f>
        <v>Clé à molette</v>
      </c>
      <c r="D651" s="90">
        <f>VLOOKUP(Tableau4[[#This Row],[Réf matériel]],Tableau3[],3,FALSE)</f>
        <v>16.12</v>
      </c>
      <c r="E651" t="s">
        <v>501</v>
      </c>
      <c r="F651" s="90" t="str">
        <f>VLOOKUP(Tableau4[[#This Row],[Matricule]],Tableau1[],2,FALSE)</f>
        <v>Caisse volante3</v>
      </c>
      <c r="G651" s="90">
        <f>VLOOKUP(Tableau4[[#This Row],[Matricule]],Tableau1[],3,FALSE)</f>
        <v>0</v>
      </c>
      <c r="H651" s="90">
        <f>VLOOKUP(Tableau4[[#This Row],[Matricule]],Tableau1[],4,FALSE)</f>
        <v>0</v>
      </c>
      <c r="J651" t="s">
        <v>380</v>
      </c>
      <c r="K651" s="90">
        <f>IF(Tableau4[[#This Row],[État]]="Remis",1,0)</f>
        <v>1</v>
      </c>
    </row>
    <row r="652" spans="2:11" x14ac:dyDescent="0.25">
      <c r="B652" t="s">
        <v>403</v>
      </c>
      <c r="C652" s="90" t="str">
        <f>VLOOKUP(Tableau4[[#This Row],[Réf matériel]],Tableau3[],2,FALSE)</f>
        <v>Clé à pipe 10</v>
      </c>
      <c r="D652" s="90">
        <f>VLOOKUP(Tableau4[[#This Row],[Réf matériel]],Tableau3[],3,FALSE)</f>
        <v>5.41</v>
      </c>
      <c r="E652" t="s">
        <v>501</v>
      </c>
      <c r="F652" s="90" t="str">
        <f>VLOOKUP(Tableau4[[#This Row],[Matricule]],Tableau1[],2,FALSE)</f>
        <v>Caisse volante3</v>
      </c>
      <c r="G652" s="90">
        <f>VLOOKUP(Tableau4[[#This Row],[Matricule]],Tableau1[],3,FALSE)</f>
        <v>0</v>
      </c>
      <c r="H652" s="90">
        <f>VLOOKUP(Tableau4[[#This Row],[Matricule]],Tableau1[],4,FALSE)</f>
        <v>0</v>
      </c>
      <c r="J652" t="s">
        <v>380</v>
      </c>
      <c r="K652" s="90">
        <f>IF(Tableau4[[#This Row],[État]]="Remis",1,0)</f>
        <v>1</v>
      </c>
    </row>
    <row r="653" spans="2:11" x14ac:dyDescent="0.25">
      <c r="B653" t="s">
        <v>405</v>
      </c>
      <c r="C653" s="90" t="str">
        <f>VLOOKUP(Tableau4[[#This Row],[Réf matériel]],Tableau3[],2,FALSE)</f>
        <v>Clé à pipe 13</v>
      </c>
      <c r="D653" s="90">
        <f>VLOOKUP(Tableau4[[#This Row],[Réf matériel]],Tableau3[],3,FALSE)</f>
        <v>6.23</v>
      </c>
      <c r="E653" t="s">
        <v>501</v>
      </c>
      <c r="F653" s="90" t="str">
        <f>VLOOKUP(Tableau4[[#This Row],[Matricule]],Tableau1[],2,FALSE)</f>
        <v>Caisse volante3</v>
      </c>
      <c r="G653" s="90">
        <f>VLOOKUP(Tableau4[[#This Row],[Matricule]],Tableau1[],3,FALSE)</f>
        <v>0</v>
      </c>
      <c r="H653" s="90">
        <f>VLOOKUP(Tableau4[[#This Row],[Matricule]],Tableau1[],4,FALSE)</f>
        <v>0</v>
      </c>
      <c r="J653" t="s">
        <v>380</v>
      </c>
      <c r="K653" s="90">
        <f>IF(Tableau4[[#This Row],[État]]="Remis",1,0)</f>
        <v>1</v>
      </c>
    </row>
    <row r="654" spans="2:11" x14ac:dyDescent="0.25">
      <c r="B654" t="s">
        <v>408</v>
      </c>
      <c r="C654" s="90" t="str">
        <f>VLOOKUP(Tableau4[[#This Row],[Réf matériel]],Tableau3[],2,FALSE)</f>
        <v>Clé à pipe 17</v>
      </c>
      <c r="D654" s="90">
        <f>VLOOKUP(Tableau4[[#This Row],[Réf matériel]],Tableau3[],3,FALSE)</f>
        <v>9.36</v>
      </c>
      <c r="E654" t="s">
        <v>501</v>
      </c>
      <c r="F654" s="90" t="str">
        <f>VLOOKUP(Tableau4[[#This Row],[Matricule]],Tableau1[],2,FALSE)</f>
        <v>Caisse volante3</v>
      </c>
      <c r="G654" s="90">
        <f>VLOOKUP(Tableau4[[#This Row],[Matricule]],Tableau1[],3,FALSE)</f>
        <v>0</v>
      </c>
      <c r="H654" s="90">
        <f>VLOOKUP(Tableau4[[#This Row],[Matricule]],Tableau1[],4,FALSE)</f>
        <v>0</v>
      </c>
      <c r="J654" t="s">
        <v>380</v>
      </c>
      <c r="K654" s="90">
        <f>IF(Tableau4[[#This Row],[État]]="Remis",1,0)</f>
        <v>1</v>
      </c>
    </row>
    <row r="655" spans="2:11" x14ac:dyDescent="0.25">
      <c r="B655" t="s">
        <v>409</v>
      </c>
      <c r="C655" s="90" t="str">
        <f>VLOOKUP(Tableau4[[#This Row],[Réf matériel]],Tableau3[],2,FALSE)</f>
        <v>Clé à pipe 19</v>
      </c>
      <c r="D655" s="90">
        <f>VLOOKUP(Tableau4[[#This Row],[Réf matériel]],Tableau3[],3,FALSE)</f>
        <v>10.4</v>
      </c>
      <c r="E655" t="s">
        <v>501</v>
      </c>
      <c r="F655" s="90" t="str">
        <f>VLOOKUP(Tableau4[[#This Row],[Matricule]],Tableau1[],2,FALSE)</f>
        <v>Caisse volante3</v>
      </c>
      <c r="G655" s="90">
        <f>VLOOKUP(Tableau4[[#This Row],[Matricule]],Tableau1[],3,FALSE)</f>
        <v>0</v>
      </c>
      <c r="H655" s="90">
        <f>VLOOKUP(Tableau4[[#This Row],[Matricule]],Tableau1[],4,FALSE)</f>
        <v>0</v>
      </c>
      <c r="J655" t="s">
        <v>380</v>
      </c>
      <c r="K655" s="90">
        <f>IF(Tableau4[[#This Row],[État]]="Remis",1,0)</f>
        <v>1</v>
      </c>
    </row>
    <row r="656" spans="2:11" x14ac:dyDescent="0.25">
      <c r="B656" t="s">
        <v>420</v>
      </c>
      <c r="C656" s="90" t="str">
        <f>VLOOKUP(Tableau4[[#This Row],[Réf matériel]],Tableau3[],2,FALSE)</f>
        <v>Clé allen</v>
      </c>
      <c r="D656" s="90">
        <f>VLOOKUP(Tableau4[[#This Row],[Réf matériel]],Tableau3[],3,FALSE)</f>
        <v>27.5</v>
      </c>
      <c r="E656" t="s">
        <v>501</v>
      </c>
      <c r="F656" s="90" t="str">
        <f>VLOOKUP(Tableau4[[#This Row],[Matricule]],Tableau1[],2,FALSE)</f>
        <v>Caisse volante3</v>
      </c>
      <c r="G656" s="90">
        <f>VLOOKUP(Tableau4[[#This Row],[Matricule]],Tableau1[],3,FALSE)</f>
        <v>0</v>
      </c>
      <c r="H656" s="90">
        <f>VLOOKUP(Tableau4[[#This Row],[Matricule]],Tableau1[],4,FALSE)</f>
        <v>0</v>
      </c>
      <c r="J656" t="s">
        <v>380</v>
      </c>
      <c r="K656" s="90">
        <f>IF(Tableau4[[#This Row],[État]]="Remis",1,0)</f>
        <v>1</v>
      </c>
    </row>
    <row r="657" spans="2:11" x14ac:dyDescent="0.25">
      <c r="B657" t="s">
        <v>410</v>
      </c>
      <c r="C657" s="90" t="str">
        <f>VLOOKUP(Tableau4[[#This Row],[Réf matériel]],Tableau3[],2,FALSE)</f>
        <v>Clé plate 10</v>
      </c>
      <c r="D657" s="90">
        <f>VLOOKUP(Tableau4[[#This Row],[Réf matériel]],Tableau3[],3,FALSE)</f>
        <v>3.32</v>
      </c>
      <c r="E657" t="s">
        <v>501</v>
      </c>
      <c r="F657" s="90" t="str">
        <f>VLOOKUP(Tableau4[[#This Row],[Matricule]],Tableau1[],2,FALSE)</f>
        <v>Caisse volante3</v>
      </c>
      <c r="G657" s="90">
        <f>VLOOKUP(Tableau4[[#This Row],[Matricule]],Tableau1[],3,FALSE)</f>
        <v>0</v>
      </c>
      <c r="H657" s="90">
        <f>VLOOKUP(Tableau4[[#This Row],[Matricule]],Tableau1[],4,FALSE)</f>
        <v>0</v>
      </c>
      <c r="J657" t="s">
        <v>380</v>
      </c>
      <c r="K657" s="90">
        <f>IF(Tableau4[[#This Row],[État]]="Remis",1,0)</f>
        <v>1</v>
      </c>
    </row>
    <row r="658" spans="2:11" x14ac:dyDescent="0.25">
      <c r="B658" t="s">
        <v>412</v>
      </c>
      <c r="C658" s="90" t="str">
        <f>VLOOKUP(Tableau4[[#This Row],[Réf matériel]],Tableau3[],2,FALSE)</f>
        <v>Clé plate 13</v>
      </c>
      <c r="D658" s="90">
        <f>VLOOKUP(Tableau4[[#This Row],[Réf matériel]],Tableau3[],3,FALSE)</f>
        <v>3.91</v>
      </c>
      <c r="E658" t="s">
        <v>501</v>
      </c>
      <c r="F658" s="90" t="str">
        <f>VLOOKUP(Tableau4[[#This Row],[Matricule]],Tableau1[],2,FALSE)</f>
        <v>Caisse volante3</v>
      </c>
      <c r="G658" s="90">
        <f>VLOOKUP(Tableau4[[#This Row],[Matricule]],Tableau1[],3,FALSE)</f>
        <v>0</v>
      </c>
      <c r="H658" s="90">
        <f>VLOOKUP(Tableau4[[#This Row],[Matricule]],Tableau1[],4,FALSE)</f>
        <v>0</v>
      </c>
      <c r="J658" t="s">
        <v>380</v>
      </c>
      <c r="K658" s="90">
        <f>IF(Tableau4[[#This Row],[État]]="Remis",1,0)</f>
        <v>1</v>
      </c>
    </row>
    <row r="659" spans="2:11" x14ac:dyDescent="0.25">
      <c r="B659" t="s">
        <v>414</v>
      </c>
      <c r="C659" s="90" t="str">
        <f>VLOOKUP(Tableau4[[#This Row],[Réf matériel]],Tableau3[],2,FALSE)</f>
        <v>Clé plate 17</v>
      </c>
      <c r="D659" s="90">
        <f>VLOOKUP(Tableau4[[#This Row],[Réf matériel]],Tableau3[],3,FALSE)</f>
        <v>5.5</v>
      </c>
      <c r="E659" t="s">
        <v>501</v>
      </c>
      <c r="F659" s="90" t="str">
        <f>VLOOKUP(Tableau4[[#This Row],[Matricule]],Tableau1[],2,FALSE)</f>
        <v>Caisse volante3</v>
      </c>
      <c r="G659" s="90">
        <f>VLOOKUP(Tableau4[[#This Row],[Matricule]],Tableau1[],3,FALSE)</f>
        <v>0</v>
      </c>
      <c r="H659" s="90">
        <f>VLOOKUP(Tableau4[[#This Row],[Matricule]],Tableau1[],4,FALSE)</f>
        <v>0</v>
      </c>
      <c r="J659" t="s">
        <v>380</v>
      </c>
      <c r="K659" s="90">
        <f>IF(Tableau4[[#This Row],[État]]="Remis",1,0)</f>
        <v>1</v>
      </c>
    </row>
    <row r="660" spans="2:11" x14ac:dyDescent="0.25">
      <c r="B660" t="s">
        <v>415</v>
      </c>
      <c r="C660" s="90" t="str">
        <f>VLOOKUP(Tableau4[[#This Row],[Réf matériel]],Tableau3[],2,FALSE)</f>
        <v>Clé plate 19</v>
      </c>
      <c r="D660" s="90">
        <f>VLOOKUP(Tableau4[[#This Row],[Réf matériel]],Tableau3[],3,FALSE)</f>
        <v>6.07</v>
      </c>
      <c r="E660" t="s">
        <v>501</v>
      </c>
      <c r="F660" s="90" t="str">
        <f>VLOOKUP(Tableau4[[#This Row],[Matricule]],Tableau1[],2,FALSE)</f>
        <v>Caisse volante3</v>
      </c>
      <c r="G660" s="90">
        <f>VLOOKUP(Tableau4[[#This Row],[Matricule]],Tableau1[],3,FALSE)</f>
        <v>0</v>
      </c>
      <c r="H660" s="90">
        <f>VLOOKUP(Tableau4[[#This Row],[Matricule]],Tableau1[],4,FALSE)</f>
        <v>0</v>
      </c>
      <c r="J660" t="s">
        <v>380</v>
      </c>
      <c r="K660" s="90">
        <f>IF(Tableau4[[#This Row],[État]]="Remis",1,0)</f>
        <v>1</v>
      </c>
    </row>
    <row r="661" spans="2:11" x14ac:dyDescent="0.25">
      <c r="B661" t="s">
        <v>275</v>
      </c>
      <c r="C661" s="90" t="str">
        <f>VLOOKUP(Tableau4[[#This Row],[Réf matériel]],Tableau3[],2,FALSE)</f>
        <v>Cliquet rapide 1/4</v>
      </c>
      <c r="D661" s="90">
        <f>VLOOKUP(Tableau4[[#This Row],[Réf matériel]],Tableau3[],3,FALSE)</f>
        <v>31</v>
      </c>
      <c r="E661" t="s">
        <v>501</v>
      </c>
      <c r="F661" s="90" t="str">
        <f>VLOOKUP(Tableau4[[#This Row],[Matricule]],Tableau1[],2,FALSE)</f>
        <v>Caisse volante3</v>
      </c>
      <c r="G661" s="90">
        <f>VLOOKUP(Tableau4[[#This Row],[Matricule]],Tableau1[],3,FALSE)</f>
        <v>0</v>
      </c>
      <c r="H661" s="90">
        <f>VLOOKUP(Tableau4[[#This Row],[Matricule]],Tableau1[],4,FALSE)</f>
        <v>0</v>
      </c>
      <c r="J661" t="s">
        <v>380</v>
      </c>
      <c r="K661" s="90">
        <f>IF(Tableau4[[#This Row],[État]]="Remis",1,0)</f>
        <v>1</v>
      </c>
    </row>
    <row r="662" spans="2:11" x14ac:dyDescent="0.25">
      <c r="B662" t="s">
        <v>392</v>
      </c>
      <c r="C662" s="90" t="str">
        <f>VLOOKUP(Tableau4[[#This Row],[Réf matériel]],Tableau3[],2,FALSE)</f>
        <v>Coffre</v>
      </c>
      <c r="D662" s="90">
        <f>VLOOKUP(Tableau4[[#This Row],[Réf matériel]],Tableau3[],3,FALSE)</f>
        <v>54.54</v>
      </c>
      <c r="E662" t="s">
        <v>501</v>
      </c>
      <c r="F662" s="90" t="str">
        <f>VLOOKUP(Tableau4[[#This Row],[Matricule]],Tableau1[],2,FALSE)</f>
        <v>Caisse volante3</v>
      </c>
      <c r="G662" s="90">
        <f>VLOOKUP(Tableau4[[#This Row],[Matricule]],Tableau1[],3,FALSE)</f>
        <v>0</v>
      </c>
      <c r="H662" s="90">
        <f>VLOOKUP(Tableau4[[#This Row],[Matricule]],Tableau1[],4,FALSE)</f>
        <v>0</v>
      </c>
      <c r="J662" t="s">
        <v>380</v>
      </c>
      <c r="K662" s="90">
        <f>IF(Tableau4[[#This Row],[État]]="Remis",1,0)</f>
        <v>1</v>
      </c>
    </row>
    <row r="663" spans="2:11" x14ac:dyDescent="0.25">
      <c r="B663" t="s">
        <v>398</v>
      </c>
      <c r="C663" s="90" t="str">
        <f>VLOOKUP(Tableau4[[#This Row],[Réf matériel]],Tableau3[],2,FALSE)</f>
        <v>Coffret douilles</v>
      </c>
      <c r="D663" s="90">
        <f>VLOOKUP(Tableau4[[#This Row],[Réf matériel]],Tableau3[],3,FALSE)</f>
        <v>103.22</v>
      </c>
      <c r="E663" t="s">
        <v>501</v>
      </c>
      <c r="F663" s="90" t="str">
        <f>VLOOKUP(Tableau4[[#This Row],[Matricule]],Tableau1[],2,FALSE)</f>
        <v>Caisse volante3</v>
      </c>
      <c r="G663" s="90">
        <f>VLOOKUP(Tableau4[[#This Row],[Matricule]],Tableau1[],3,FALSE)</f>
        <v>0</v>
      </c>
      <c r="H663" s="90">
        <f>VLOOKUP(Tableau4[[#This Row],[Matricule]],Tableau1[],4,FALSE)</f>
        <v>0</v>
      </c>
      <c r="J663" t="s">
        <v>380</v>
      </c>
      <c r="K663" s="90">
        <f>IF(Tableau4[[#This Row],[État]]="Remis",1,0)</f>
        <v>1</v>
      </c>
    </row>
    <row r="664" spans="2:11" x14ac:dyDescent="0.25">
      <c r="B664" t="s">
        <v>49</v>
      </c>
      <c r="C664" s="90" t="str">
        <f>VLOOKUP(Tableau4[[#This Row],[Réf matériel]],Tableau3[],2,FALSE)</f>
        <v>Coupe câble</v>
      </c>
      <c r="D664" s="90">
        <f>VLOOKUP(Tableau4[[#This Row],[Réf matériel]],Tableau3[],3,FALSE)</f>
        <v>41.88</v>
      </c>
      <c r="E664" t="s">
        <v>501</v>
      </c>
      <c r="F664" s="90" t="str">
        <f>VLOOKUP(Tableau4[[#This Row],[Matricule]],Tableau1[],2,FALSE)</f>
        <v>Caisse volante3</v>
      </c>
      <c r="G664" s="90">
        <f>VLOOKUP(Tableau4[[#This Row],[Matricule]],Tableau1[],3,FALSE)</f>
        <v>0</v>
      </c>
      <c r="H664" s="90">
        <f>VLOOKUP(Tableau4[[#This Row],[Matricule]],Tableau1[],4,FALSE)</f>
        <v>0</v>
      </c>
      <c r="J664" t="s">
        <v>380</v>
      </c>
      <c r="K664" s="90">
        <f>IF(Tableau4[[#This Row],[État]]="Remis",1,0)</f>
        <v>1</v>
      </c>
    </row>
    <row r="665" spans="2:11" x14ac:dyDescent="0.25">
      <c r="B665" t="s">
        <v>67</v>
      </c>
      <c r="C665" s="90" t="str">
        <f>VLOOKUP(Tableau4[[#This Row],[Réf matériel]],Tableau3[],2,FALSE)</f>
        <v>Cutter</v>
      </c>
      <c r="D665" s="90">
        <f>VLOOKUP(Tableau4[[#This Row],[Réf matériel]],Tableau3[],3,FALSE)</f>
        <v>4.8499999999999996</v>
      </c>
      <c r="E665" t="s">
        <v>501</v>
      </c>
      <c r="F665" s="90" t="str">
        <f>VLOOKUP(Tableau4[[#This Row],[Matricule]],Tableau1[],2,FALSE)</f>
        <v>Caisse volante3</v>
      </c>
      <c r="G665" s="90">
        <f>VLOOKUP(Tableau4[[#This Row],[Matricule]],Tableau1[],3,FALSE)</f>
        <v>0</v>
      </c>
      <c r="H665" s="90">
        <f>VLOOKUP(Tableau4[[#This Row],[Matricule]],Tableau1[],4,FALSE)</f>
        <v>0</v>
      </c>
      <c r="J665" t="s">
        <v>380</v>
      </c>
      <c r="K665" s="90">
        <f>IF(Tableau4[[#This Row],[État]]="Remis",1,0)</f>
        <v>1</v>
      </c>
    </row>
    <row r="666" spans="2:11" x14ac:dyDescent="0.25">
      <c r="B666" t="s">
        <v>56</v>
      </c>
      <c r="C666" s="90" t="str">
        <f>VLOOKUP(Tableau4[[#This Row],[Réf matériel]],Tableau3[],2,FALSE)</f>
        <v>Jeu tournevis</v>
      </c>
      <c r="D666" s="90">
        <f>VLOOKUP(Tableau4[[#This Row],[Réf matériel]],Tableau3[],3,FALSE)</f>
        <v>37.57</v>
      </c>
      <c r="E666" t="s">
        <v>501</v>
      </c>
      <c r="F666" s="90" t="str">
        <f>VLOOKUP(Tableau4[[#This Row],[Matricule]],Tableau1[],2,FALSE)</f>
        <v>Caisse volante3</v>
      </c>
      <c r="G666" s="90">
        <f>VLOOKUP(Tableau4[[#This Row],[Matricule]],Tableau1[],3,FALSE)</f>
        <v>0</v>
      </c>
      <c r="H666" s="90">
        <f>VLOOKUP(Tableau4[[#This Row],[Matricule]],Tableau1[],4,FALSE)</f>
        <v>0</v>
      </c>
      <c r="J666" t="s">
        <v>380</v>
      </c>
      <c r="K666" s="90">
        <f>IF(Tableau4[[#This Row],[État]]="Remis",1,0)</f>
        <v>1</v>
      </c>
    </row>
    <row r="667" spans="2:11" x14ac:dyDescent="0.25">
      <c r="B667" t="s">
        <v>75</v>
      </c>
      <c r="C667" s="90" t="str">
        <f>VLOOKUP(Tableau4[[#This Row],[Réf matériel]],Tableau3[],2,FALSE)</f>
        <v>Lampe frontale</v>
      </c>
      <c r="D667" s="90">
        <f>VLOOKUP(Tableau4[[#This Row],[Réf matériel]],Tableau3[],3,FALSE)</f>
        <v>42.5</v>
      </c>
      <c r="E667" t="s">
        <v>501</v>
      </c>
      <c r="F667" s="90" t="str">
        <f>VLOOKUP(Tableau4[[#This Row],[Matricule]],Tableau1[],2,FALSE)</f>
        <v>Caisse volante3</v>
      </c>
      <c r="G667" s="90">
        <f>VLOOKUP(Tableau4[[#This Row],[Matricule]],Tableau1[],3,FALSE)</f>
        <v>0</v>
      </c>
      <c r="H667" s="90">
        <f>VLOOKUP(Tableau4[[#This Row],[Matricule]],Tableau1[],4,FALSE)</f>
        <v>0</v>
      </c>
      <c r="J667" t="s">
        <v>380</v>
      </c>
      <c r="K667" s="90">
        <f>IF(Tableau4[[#This Row],[État]]="Remis",1,0)</f>
        <v>1</v>
      </c>
    </row>
    <row r="668" spans="2:11" x14ac:dyDescent="0.25">
      <c r="B668" t="s">
        <v>394</v>
      </c>
      <c r="C668" s="90" t="str">
        <f>VLOOKUP(Tableau4[[#This Row],[Réf matériel]],Tableau3[],2,FALSE)</f>
        <v>lime demi ronde</v>
      </c>
      <c r="D668" s="90">
        <f>VLOOKUP(Tableau4[[#This Row],[Réf matériel]],Tableau3[],3,FALSE)</f>
        <v>7.59</v>
      </c>
      <c r="E668" t="s">
        <v>501</v>
      </c>
      <c r="F668" s="90" t="str">
        <f>VLOOKUP(Tableau4[[#This Row],[Matricule]],Tableau1[],2,FALSE)</f>
        <v>Caisse volante3</v>
      </c>
      <c r="G668" s="90">
        <f>VLOOKUP(Tableau4[[#This Row],[Matricule]],Tableau1[],3,FALSE)</f>
        <v>0</v>
      </c>
      <c r="H668" s="90">
        <f>VLOOKUP(Tableau4[[#This Row],[Matricule]],Tableau1[],4,FALSE)</f>
        <v>0</v>
      </c>
      <c r="J668" t="s">
        <v>380</v>
      </c>
      <c r="K668" s="90">
        <f>IF(Tableau4[[#This Row],[État]]="Remis",1,0)</f>
        <v>1</v>
      </c>
    </row>
    <row r="669" spans="2:11" x14ac:dyDescent="0.25">
      <c r="B669" t="s">
        <v>73</v>
      </c>
      <c r="C669" s="90" t="str">
        <f>VLOOKUP(Tableau4[[#This Row],[Réf matériel]],Tableau3[],2,FALSE)</f>
        <v>Lunette de protection</v>
      </c>
      <c r="D669" s="90">
        <f>VLOOKUP(Tableau4[[#This Row],[Réf matériel]],Tableau3[],3,FALSE)</f>
        <v>2.38</v>
      </c>
      <c r="E669" t="s">
        <v>501</v>
      </c>
      <c r="F669" s="90" t="str">
        <f>VLOOKUP(Tableau4[[#This Row],[Matricule]],Tableau1[],2,FALSE)</f>
        <v>Caisse volante3</v>
      </c>
      <c r="G669" s="90">
        <f>VLOOKUP(Tableau4[[#This Row],[Matricule]],Tableau1[],3,FALSE)</f>
        <v>0</v>
      </c>
      <c r="H669" s="90">
        <f>VLOOKUP(Tableau4[[#This Row],[Matricule]],Tableau1[],4,FALSE)</f>
        <v>0</v>
      </c>
      <c r="J669" t="s">
        <v>380</v>
      </c>
      <c r="K669" s="90">
        <f>IF(Tableau4[[#This Row],[État]]="Remis",1,0)</f>
        <v>1</v>
      </c>
    </row>
    <row r="670" spans="2:11" x14ac:dyDescent="0.25">
      <c r="B670" t="s">
        <v>396</v>
      </c>
      <c r="C670" s="90" t="str">
        <f>VLOOKUP(Tableau4[[#This Row],[Réf matériel]],Tableau3[],2,FALSE)</f>
        <v>Massette</v>
      </c>
      <c r="D670" s="90">
        <f>VLOOKUP(Tableau4[[#This Row],[Réf matériel]],Tableau3[],3,FALSE)</f>
        <v>15.14</v>
      </c>
      <c r="E670" t="s">
        <v>501</v>
      </c>
      <c r="F670" s="90" t="str">
        <f>VLOOKUP(Tableau4[[#This Row],[Matricule]],Tableau1[],2,FALSE)</f>
        <v>Caisse volante3</v>
      </c>
      <c r="G670" s="90">
        <f>VLOOKUP(Tableau4[[#This Row],[Matricule]],Tableau1[],3,FALSE)</f>
        <v>0</v>
      </c>
      <c r="H670" s="90">
        <f>VLOOKUP(Tableau4[[#This Row],[Matricule]],Tableau1[],4,FALSE)</f>
        <v>0</v>
      </c>
      <c r="J670" t="s">
        <v>380</v>
      </c>
      <c r="K670" s="90">
        <f>IF(Tableau4[[#This Row],[État]]="Remis",1,0)</f>
        <v>1</v>
      </c>
    </row>
    <row r="671" spans="2:11" x14ac:dyDescent="0.25">
      <c r="B671" t="s">
        <v>51</v>
      </c>
      <c r="C671" s="90" t="str">
        <f>VLOOKUP(Tableau4[[#This Row],[Réf matériel]],Tableau3[],2,FALSE)</f>
        <v>Mètre pliant</v>
      </c>
      <c r="D671" s="90">
        <f>VLOOKUP(Tableau4[[#This Row],[Réf matériel]],Tableau3[],3,FALSE)</f>
        <v>3.2</v>
      </c>
      <c r="E671" t="s">
        <v>501</v>
      </c>
      <c r="F671" s="90" t="str">
        <f>VLOOKUP(Tableau4[[#This Row],[Matricule]],Tableau1[],2,FALSE)</f>
        <v>Caisse volante3</v>
      </c>
      <c r="G671" s="90">
        <f>VLOOKUP(Tableau4[[#This Row],[Matricule]],Tableau1[],3,FALSE)</f>
        <v>0</v>
      </c>
      <c r="H671" s="90">
        <f>VLOOKUP(Tableau4[[#This Row],[Matricule]],Tableau1[],4,FALSE)</f>
        <v>0</v>
      </c>
      <c r="J671" t="s">
        <v>380</v>
      </c>
      <c r="K671" s="90">
        <f>IF(Tableau4[[#This Row],[État]]="Remis",1,0)</f>
        <v>1</v>
      </c>
    </row>
    <row r="672" spans="2:11" x14ac:dyDescent="0.25">
      <c r="B672" t="s">
        <v>55</v>
      </c>
      <c r="C672" s="90" t="str">
        <f>VLOOKUP(Tableau4[[#This Row],[Réf matériel]],Tableau3[],2,FALSE)</f>
        <v>Niveau</v>
      </c>
      <c r="D672" s="90">
        <f>VLOOKUP(Tableau4[[#This Row],[Réf matériel]],Tableau3[],3,FALSE)</f>
        <v>15</v>
      </c>
      <c r="E672" t="s">
        <v>501</v>
      </c>
      <c r="F672" s="90" t="str">
        <f>VLOOKUP(Tableau4[[#This Row],[Matricule]],Tableau1[],2,FALSE)</f>
        <v>Caisse volante3</v>
      </c>
      <c r="G672" s="90">
        <f>VLOOKUP(Tableau4[[#This Row],[Matricule]],Tableau1[],3,FALSE)</f>
        <v>0</v>
      </c>
      <c r="H672" s="90">
        <f>VLOOKUP(Tableau4[[#This Row],[Matricule]],Tableau1[],4,FALSE)</f>
        <v>0</v>
      </c>
      <c r="J672" t="s">
        <v>380</v>
      </c>
      <c r="K672" s="90">
        <f>IF(Tableau4[[#This Row],[État]]="Remis",1,0)</f>
        <v>1</v>
      </c>
    </row>
    <row r="673" spans="2:11" x14ac:dyDescent="0.25">
      <c r="B673" t="s">
        <v>287</v>
      </c>
      <c r="C673" s="90" t="str">
        <f>VLOOKUP(Tableau4[[#This Row],[Réf matériel]],Tableau3[],2,FALSE)</f>
        <v>Outil à dégainer</v>
      </c>
      <c r="D673" s="90">
        <f>VLOOKUP(Tableau4[[#This Row],[Réf matériel]],Tableau3[],3,FALSE)</f>
        <v>20.5</v>
      </c>
      <c r="E673" t="s">
        <v>501</v>
      </c>
      <c r="F673" s="90" t="str">
        <f>VLOOKUP(Tableau4[[#This Row],[Matricule]],Tableau1[],2,FALSE)</f>
        <v>Caisse volante3</v>
      </c>
      <c r="G673" s="90">
        <f>VLOOKUP(Tableau4[[#This Row],[Matricule]],Tableau1[],3,FALSE)</f>
        <v>0</v>
      </c>
      <c r="H673" s="90">
        <f>VLOOKUP(Tableau4[[#This Row],[Matricule]],Tableau1[],4,FALSE)</f>
        <v>0</v>
      </c>
      <c r="J673" t="s">
        <v>380</v>
      </c>
      <c r="K673" s="90">
        <f>IF(Tableau4[[#This Row],[État]]="Remis",1,0)</f>
        <v>1</v>
      </c>
    </row>
    <row r="674" spans="2:11" x14ac:dyDescent="0.25">
      <c r="B674" t="s">
        <v>278</v>
      </c>
      <c r="C674" s="90" t="str">
        <f>VLOOKUP(Tableau4[[#This Row],[Réf matériel]],Tableau3[],2,FALSE)</f>
        <v>Pince à dénuder</v>
      </c>
      <c r="D674" s="90">
        <f>VLOOKUP(Tableau4[[#This Row],[Réf matériel]],Tableau3[],3,FALSE)</f>
        <v>24.55</v>
      </c>
      <c r="E674" t="s">
        <v>501</v>
      </c>
      <c r="F674" s="90" t="str">
        <f>VLOOKUP(Tableau4[[#This Row],[Matricule]],Tableau1[],2,FALSE)</f>
        <v>Caisse volante3</v>
      </c>
      <c r="G674" s="90">
        <f>VLOOKUP(Tableau4[[#This Row],[Matricule]],Tableau1[],3,FALSE)</f>
        <v>0</v>
      </c>
      <c r="H674" s="90">
        <f>VLOOKUP(Tableau4[[#This Row],[Matricule]],Tableau1[],4,FALSE)</f>
        <v>0</v>
      </c>
      <c r="J674" t="s">
        <v>380</v>
      </c>
      <c r="K674" s="90">
        <f>IF(Tableau4[[#This Row],[État]]="Remis",1,0)</f>
        <v>1</v>
      </c>
    </row>
    <row r="675" spans="2:11" x14ac:dyDescent="0.25">
      <c r="B675" t="s">
        <v>102</v>
      </c>
      <c r="C675" s="90" t="str">
        <f>VLOOKUP(Tableau4[[#This Row],[Réf matériel]],Tableau3[],2,FALSE)</f>
        <v>Pince à Sertir</v>
      </c>
      <c r="D675" s="90">
        <f>VLOOKUP(Tableau4[[#This Row],[Réf matériel]],Tableau3[],3,FALSE)</f>
        <v>78.400000000000006</v>
      </c>
      <c r="E675" t="s">
        <v>501</v>
      </c>
      <c r="F675" s="90" t="str">
        <f>VLOOKUP(Tableau4[[#This Row],[Matricule]],Tableau1[],2,FALSE)</f>
        <v>Caisse volante3</v>
      </c>
      <c r="G675" s="90">
        <f>VLOOKUP(Tableau4[[#This Row],[Matricule]],Tableau1[],3,FALSE)</f>
        <v>0</v>
      </c>
      <c r="H675" s="90">
        <f>VLOOKUP(Tableau4[[#This Row],[Matricule]],Tableau1[],4,FALSE)</f>
        <v>0</v>
      </c>
      <c r="J675" t="s">
        <v>380</v>
      </c>
      <c r="K675" s="90">
        <f>IF(Tableau4[[#This Row],[État]]="Remis",1,0)</f>
        <v>1</v>
      </c>
    </row>
    <row r="676" spans="2:11" x14ac:dyDescent="0.25">
      <c r="B676" t="s">
        <v>72</v>
      </c>
      <c r="C676" s="90" t="str">
        <f>VLOOKUP(Tableau4[[#This Row],[Réf matériel]],Tableau3[],2,FALSE)</f>
        <v>Pince colson</v>
      </c>
      <c r="D676" s="90">
        <f>VLOOKUP(Tableau4[[#This Row],[Réf matériel]],Tableau3[],3,FALSE)</f>
        <v>46.91</v>
      </c>
      <c r="E676" t="s">
        <v>501</v>
      </c>
      <c r="F676" s="90" t="str">
        <f>VLOOKUP(Tableau4[[#This Row],[Matricule]],Tableau1[],2,FALSE)</f>
        <v>Caisse volante3</v>
      </c>
      <c r="G676" s="90">
        <f>VLOOKUP(Tableau4[[#This Row],[Matricule]],Tableau1[],3,FALSE)</f>
        <v>0</v>
      </c>
      <c r="H676" s="90">
        <f>VLOOKUP(Tableau4[[#This Row],[Matricule]],Tableau1[],4,FALSE)</f>
        <v>0</v>
      </c>
      <c r="J676" t="s">
        <v>380</v>
      </c>
      <c r="K676" s="90">
        <f>IF(Tableau4[[#This Row],[État]]="Remis",1,0)</f>
        <v>1</v>
      </c>
    </row>
    <row r="677" spans="2:11" x14ac:dyDescent="0.25">
      <c r="B677" t="s">
        <v>280</v>
      </c>
      <c r="C677" s="90" t="str">
        <f>VLOOKUP(Tableau4[[#This Row],[Réf matériel]],Tableau3[],2,FALSE)</f>
        <v>Pince coupante 1000v</v>
      </c>
      <c r="D677" s="90">
        <f>VLOOKUP(Tableau4[[#This Row],[Réf matériel]],Tableau3[],3,FALSE)</f>
        <v>20.87</v>
      </c>
      <c r="E677" t="s">
        <v>501</v>
      </c>
      <c r="F677" s="90" t="str">
        <f>VLOOKUP(Tableau4[[#This Row],[Matricule]],Tableau1[],2,FALSE)</f>
        <v>Caisse volante3</v>
      </c>
      <c r="G677" s="90">
        <f>VLOOKUP(Tableau4[[#This Row],[Matricule]],Tableau1[],3,FALSE)</f>
        <v>0</v>
      </c>
      <c r="H677" s="90">
        <f>VLOOKUP(Tableau4[[#This Row],[Matricule]],Tableau1[],4,FALSE)</f>
        <v>0</v>
      </c>
      <c r="J677" t="s">
        <v>380</v>
      </c>
      <c r="K677" s="90">
        <f>IF(Tableau4[[#This Row],[État]]="Remis",1,0)</f>
        <v>1</v>
      </c>
    </row>
    <row r="678" spans="2:11" x14ac:dyDescent="0.25">
      <c r="B678" t="s">
        <v>397</v>
      </c>
      <c r="C678" s="90" t="str">
        <f>VLOOKUP(Tableau4[[#This Row],[Réf matériel]],Tableau3[],2,FALSE)</f>
        <v>Pince étau</v>
      </c>
      <c r="D678" s="90">
        <f>VLOOKUP(Tableau4[[#This Row],[Réf matériel]],Tableau3[],3,FALSE)</f>
        <v>16.02</v>
      </c>
      <c r="E678" t="s">
        <v>501</v>
      </c>
      <c r="F678" s="90" t="str">
        <f>VLOOKUP(Tableau4[[#This Row],[Matricule]],Tableau1[],2,FALSE)</f>
        <v>Caisse volante3</v>
      </c>
      <c r="G678" s="90">
        <f>VLOOKUP(Tableau4[[#This Row],[Matricule]],Tableau1[],3,FALSE)</f>
        <v>0</v>
      </c>
      <c r="H678" s="90">
        <f>VLOOKUP(Tableau4[[#This Row],[Matricule]],Tableau1[],4,FALSE)</f>
        <v>0</v>
      </c>
      <c r="J678" t="s">
        <v>380</v>
      </c>
      <c r="K678" s="90">
        <f>IF(Tableau4[[#This Row],[État]]="Remis",1,0)</f>
        <v>1</v>
      </c>
    </row>
    <row r="679" spans="2:11" x14ac:dyDescent="0.25">
      <c r="B679" t="s">
        <v>428</v>
      </c>
      <c r="C679" s="90" t="str">
        <f>VLOOKUP(Tableau4[[#This Row],[Réf matériel]],Tableau3[],2,FALSE)</f>
        <v>Pince multiprise</v>
      </c>
      <c r="D679" s="90">
        <f>VLOOKUP(Tableau4[[#This Row],[Réf matériel]],Tableau3[],3,FALSE)</f>
        <v>27.2</v>
      </c>
      <c r="E679" t="s">
        <v>501</v>
      </c>
      <c r="F679" s="90" t="str">
        <f>VLOOKUP(Tableau4[[#This Row],[Matricule]],Tableau1[],2,FALSE)</f>
        <v>Caisse volante3</v>
      </c>
      <c r="G679" s="90">
        <f>VLOOKUP(Tableau4[[#This Row],[Matricule]],Tableau1[],3,FALSE)</f>
        <v>0</v>
      </c>
      <c r="H679" s="90">
        <f>VLOOKUP(Tableau4[[#This Row],[Matricule]],Tableau1[],4,FALSE)</f>
        <v>0</v>
      </c>
      <c r="J679" t="s">
        <v>380</v>
      </c>
      <c r="K679" s="90">
        <f>IF(Tableau4[[#This Row],[État]]="Remis",1,0)</f>
        <v>1</v>
      </c>
    </row>
    <row r="680" spans="2:11" x14ac:dyDescent="0.25">
      <c r="B680" t="s">
        <v>281</v>
      </c>
      <c r="C680" s="90" t="str">
        <f>VLOOKUP(Tableau4[[#This Row],[Réf matériel]],Tableau3[],2,FALSE)</f>
        <v>Scie à métaux</v>
      </c>
      <c r="D680" s="90">
        <f>VLOOKUP(Tableau4[[#This Row],[Réf matériel]],Tableau3[],3,FALSE)</f>
        <v>11.26</v>
      </c>
      <c r="E680" t="s">
        <v>501</v>
      </c>
      <c r="F680" s="90" t="str">
        <f>VLOOKUP(Tableau4[[#This Row],[Matricule]],Tableau1[],2,FALSE)</f>
        <v>Caisse volante3</v>
      </c>
      <c r="G680" s="90">
        <f>VLOOKUP(Tableau4[[#This Row],[Matricule]],Tableau1[],3,FALSE)</f>
        <v>0</v>
      </c>
      <c r="H680" s="90">
        <f>VLOOKUP(Tableau4[[#This Row],[Matricule]],Tableau1[],4,FALSE)</f>
        <v>0</v>
      </c>
      <c r="J680" t="s">
        <v>380</v>
      </c>
      <c r="K680" s="90">
        <f>IF(Tableau4[[#This Row],[État]]="Remis",1,0)</f>
        <v>1</v>
      </c>
    </row>
    <row r="681" spans="2:11" x14ac:dyDescent="0.25">
      <c r="B681" t="s">
        <v>505</v>
      </c>
      <c r="C681" s="90" t="str">
        <f>VLOOKUP(Tableau4[[#This Row],[Réf matériel]],Tableau3[],2,FALSE)</f>
        <v>Pince à bec rond</v>
      </c>
      <c r="D681" s="90">
        <f>VLOOKUP(Tableau4[[#This Row],[Réf matériel]],Tableau3[],3,FALSE)</f>
        <v>19.2</v>
      </c>
      <c r="E681" t="s">
        <v>501</v>
      </c>
      <c r="F681" s="90" t="str">
        <f>VLOOKUP(Tableau4[[#This Row],[Matricule]],Tableau1[],2,FALSE)</f>
        <v>Caisse volante3</v>
      </c>
      <c r="G681" s="90">
        <f>VLOOKUP(Tableau4[[#This Row],[Matricule]],Tableau1[],3,FALSE)</f>
        <v>0</v>
      </c>
      <c r="H681" s="90">
        <f>VLOOKUP(Tableau4[[#This Row],[Matricule]],Tableau1[],4,FALSE)</f>
        <v>0</v>
      </c>
      <c r="J681" t="s">
        <v>380</v>
      </c>
      <c r="K681" s="90">
        <f>IF(Tableau4[[#This Row],[État]]="Remis",1,0)</f>
        <v>1</v>
      </c>
    </row>
    <row r="682" spans="2:11" x14ac:dyDescent="0.25">
      <c r="B682" t="s">
        <v>506</v>
      </c>
      <c r="C682" s="90" t="str">
        <f>VLOOKUP(Tableau4[[#This Row],[Réf matériel]],Tableau3[],2,FALSE)</f>
        <v>Pointaux</v>
      </c>
      <c r="D682" s="90">
        <f>VLOOKUP(Tableau4[[#This Row],[Réf matériel]],Tableau3[],3,FALSE)</f>
        <v>2.2799999999999998</v>
      </c>
      <c r="E682" t="s">
        <v>501</v>
      </c>
      <c r="F682" s="90" t="str">
        <f>VLOOKUP(Tableau4[[#This Row],[Matricule]],Tableau1[],2,FALSE)</f>
        <v>Caisse volante3</v>
      </c>
      <c r="G682" s="90">
        <f>VLOOKUP(Tableau4[[#This Row],[Matricule]],Tableau1[],3,FALSE)</f>
        <v>0</v>
      </c>
      <c r="H682" s="90">
        <f>VLOOKUP(Tableau4[[#This Row],[Matricule]],Tableau1[],4,FALSE)</f>
        <v>0</v>
      </c>
      <c r="J682" t="s">
        <v>380</v>
      </c>
      <c r="K682" s="90">
        <f>IF(Tableau4[[#This Row],[État]]="Remis",1,0)</f>
        <v>1</v>
      </c>
    </row>
    <row r="683" spans="2:11" x14ac:dyDescent="0.25">
      <c r="B683" t="s">
        <v>505</v>
      </c>
      <c r="C683" s="90" t="str">
        <f>VLOOKUP(Tableau4[[#This Row],[Réf matériel]],Tableau3[],2,FALSE)</f>
        <v>Pince à bec rond</v>
      </c>
      <c r="D683" s="90">
        <f>VLOOKUP(Tableau4[[#This Row],[Réf matériel]],Tableau3[],3,FALSE)</f>
        <v>19.2</v>
      </c>
      <c r="E683" t="s">
        <v>501</v>
      </c>
      <c r="F683" s="90" t="str">
        <f>VLOOKUP(Tableau4[[#This Row],[Matricule]],Tableau1[],2,FALSE)</f>
        <v>Caisse volante3</v>
      </c>
      <c r="G683" s="90">
        <f>VLOOKUP(Tableau4[[#This Row],[Matricule]],Tableau1[],3,FALSE)</f>
        <v>0</v>
      </c>
      <c r="H683" s="90">
        <f>VLOOKUP(Tableau4[[#This Row],[Matricule]],Tableau1[],4,FALSE)</f>
        <v>0</v>
      </c>
      <c r="J683" t="s">
        <v>380</v>
      </c>
      <c r="K683" s="90">
        <f>IF(Tableau4[[#This Row],[État]]="Remis",1,0)</f>
        <v>1</v>
      </c>
    </row>
    <row r="684" spans="2:11" x14ac:dyDescent="0.25">
      <c r="B684" t="s">
        <v>506</v>
      </c>
      <c r="C684" s="90" t="str">
        <f>VLOOKUP(Tableau4[[#This Row],[Réf matériel]],Tableau3[],2,FALSE)</f>
        <v>Pointaux</v>
      </c>
      <c r="D684" s="90">
        <f>VLOOKUP(Tableau4[[#This Row],[Réf matériel]],Tableau3[],3,FALSE)</f>
        <v>2.2799999999999998</v>
      </c>
      <c r="E684" t="s">
        <v>501</v>
      </c>
      <c r="F684" s="90" t="str">
        <f>VLOOKUP(Tableau4[[#This Row],[Matricule]],Tableau1[],2,FALSE)</f>
        <v>Caisse volante3</v>
      </c>
      <c r="G684" s="90">
        <f>VLOOKUP(Tableau4[[#This Row],[Matricule]],Tableau1[],3,FALSE)</f>
        <v>0</v>
      </c>
      <c r="H684" s="90">
        <f>VLOOKUP(Tableau4[[#This Row],[Matricule]],Tableau1[],4,FALSE)</f>
        <v>0</v>
      </c>
      <c r="J684" t="s">
        <v>380</v>
      </c>
      <c r="K684" s="90">
        <f>IF(Tableau4[[#This Row],[État]]="Remis",1,0)</f>
        <v>1</v>
      </c>
    </row>
    <row r="685" spans="2:11" x14ac:dyDescent="0.25">
      <c r="B685" t="s">
        <v>506</v>
      </c>
      <c r="C685" s="90" t="str">
        <f>VLOOKUP(Tableau4[[#This Row],[Réf matériel]],Tableau3[],2,FALSE)</f>
        <v>Pointaux</v>
      </c>
      <c r="D685" s="90">
        <f>VLOOKUP(Tableau4[[#This Row],[Réf matériel]],Tableau3[],3,FALSE)</f>
        <v>2.2799999999999998</v>
      </c>
      <c r="E685" t="s">
        <v>501</v>
      </c>
      <c r="F685" s="90" t="str">
        <f>VLOOKUP(Tableau4[[#This Row],[Matricule]],Tableau1[],2,FALSE)</f>
        <v>Caisse volante3</v>
      </c>
      <c r="G685" s="90">
        <f>VLOOKUP(Tableau4[[#This Row],[Matricule]],Tableau1[],3,FALSE)</f>
        <v>0</v>
      </c>
      <c r="H685" s="90">
        <f>VLOOKUP(Tableau4[[#This Row],[Matricule]],Tableau1[],4,FALSE)</f>
        <v>0</v>
      </c>
      <c r="J685" t="s">
        <v>380</v>
      </c>
      <c r="K685" s="90">
        <f>IF(Tableau4[[#This Row],[État]]="Remis",1,0)</f>
        <v>1</v>
      </c>
    </row>
    <row r="686" spans="2:11" x14ac:dyDescent="0.25">
      <c r="B686" t="s">
        <v>506</v>
      </c>
      <c r="C686" s="90" t="str">
        <f>VLOOKUP(Tableau4[[#This Row],[Réf matériel]],Tableau3[],2,FALSE)</f>
        <v>Pointaux</v>
      </c>
      <c r="D686" s="90">
        <f>VLOOKUP(Tableau4[[#This Row],[Réf matériel]],Tableau3[],3,FALSE)</f>
        <v>2.2799999999999998</v>
      </c>
      <c r="E686" t="s">
        <v>501</v>
      </c>
      <c r="F686" s="90" t="str">
        <f>VLOOKUP(Tableau4[[#This Row],[Matricule]],Tableau1[],2,FALSE)</f>
        <v>Caisse volante3</v>
      </c>
      <c r="G686" s="90">
        <f>VLOOKUP(Tableau4[[#This Row],[Matricule]],Tableau1[],3,FALSE)</f>
        <v>0</v>
      </c>
      <c r="H686" s="90">
        <f>VLOOKUP(Tableau4[[#This Row],[Matricule]],Tableau1[],4,FALSE)</f>
        <v>0</v>
      </c>
      <c r="J686" t="s">
        <v>380</v>
      </c>
      <c r="K686" s="90">
        <f>IF(Tableau4[[#This Row],[État]]="Remis",1,0)</f>
        <v>1</v>
      </c>
    </row>
    <row r="687" spans="2:11" x14ac:dyDescent="0.25">
      <c r="B687" t="s">
        <v>432</v>
      </c>
      <c r="C687" s="90" t="str">
        <f>VLOOKUP(Tableau4[[#This Row],[Réf matériel]],Tableau3[],2,FALSE)</f>
        <v>Augmentateur 1/2 à 3/4</v>
      </c>
      <c r="D687" s="90">
        <f>VLOOKUP(Tableau4[[#This Row],[Réf matériel]],Tableau3[],3,FALSE)</f>
        <v>20.29</v>
      </c>
      <c r="E687" t="s">
        <v>326</v>
      </c>
      <c r="F687" s="90" t="str">
        <f>VLOOKUP(Tableau4[[#This Row],[Matricule]],Tableau1[],2,FALSE)</f>
        <v>CLAUX</v>
      </c>
      <c r="G687" s="90" t="str">
        <f>VLOOKUP(Tableau4[[#This Row],[Matricule]],Tableau1[],3,FALSE)</f>
        <v>Nicolas</v>
      </c>
      <c r="H687" s="90" t="str">
        <f>VLOOKUP(Tableau4[[#This Row],[Matricule]],Tableau1[],4,FALSE)</f>
        <v>AD</v>
      </c>
      <c r="J687" t="s">
        <v>454</v>
      </c>
      <c r="K687" s="90">
        <f>IF(Tableau4[[#This Row],[État]]="Remis",1,0)</f>
        <v>0</v>
      </c>
    </row>
    <row r="688" spans="2:11" x14ac:dyDescent="0.25">
      <c r="B688" t="s">
        <v>432</v>
      </c>
      <c r="C688" s="90" t="str">
        <f>VLOOKUP(Tableau4[[#This Row],[Réf matériel]],Tableau3[],2,FALSE)</f>
        <v>Augmentateur 1/2 à 3/4</v>
      </c>
      <c r="D688" s="90">
        <f>VLOOKUP(Tableau4[[#This Row],[Réf matériel]],Tableau3[],3,FALSE)</f>
        <v>20.29</v>
      </c>
      <c r="E688" t="s">
        <v>326</v>
      </c>
      <c r="F688" s="90" t="str">
        <f>VLOOKUP(Tableau4[[#This Row],[Matricule]],Tableau1[],2,FALSE)</f>
        <v>CLAUX</v>
      </c>
      <c r="G688" s="90" t="str">
        <f>VLOOKUP(Tableau4[[#This Row],[Matricule]],Tableau1[],3,FALSE)</f>
        <v>Nicolas</v>
      </c>
      <c r="H688" s="90" t="str">
        <f>VLOOKUP(Tableau4[[#This Row],[Matricule]],Tableau1[],4,FALSE)</f>
        <v>AD</v>
      </c>
      <c r="J688" t="s">
        <v>454</v>
      </c>
      <c r="K688" s="90">
        <f>IF(Tableau4[[#This Row],[État]]="Remis",1,0)</f>
        <v>0</v>
      </c>
    </row>
    <row r="689" spans="2:11" x14ac:dyDescent="0.25">
      <c r="B689" t="s">
        <v>432</v>
      </c>
      <c r="C689" s="90" t="str">
        <f>VLOOKUP(Tableau4[[#This Row],[Réf matériel]],Tableau3[],2,FALSE)</f>
        <v>Augmentateur 1/2 à 3/4</v>
      </c>
      <c r="D689" s="90">
        <f>VLOOKUP(Tableau4[[#This Row],[Réf matériel]],Tableau3[],3,FALSE)</f>
        <v>20.29</v>
      </c>
      <c r="E689" t="s">
        <v>326</v>
      </c>
      <c r="F689" s="90" t="str">
        <f>VLOOKUP(Tableau4[[#This Row],[Matricule]],Tableau1[],2,FALSE)</f>
        <v>CLAUX</v>
      </c>
      <c r="G689" s="90" t="str">
        <f>VLOOKUP(Tableau4[[#This Row],[Matricule]],Tableau1[],3,FALSE)</f>
        <v>Nicolas</v>
      </c>
      <c r="H689" s="90" t="str">
        <f>VLOOKUP(Tableau4[[#This Row],[Matricule]],Tableau1[],4,FALSE)</f>
        <v>AD</v>
      </c>
      <c r="J689" t="s">
        <v>454</v>
      </c>
      <c r="K689" s="90">
        <f>IF(Tableau4[[#This Row],[État]]="Remis",1,0)</f>
        <v>0</v>
      </c>
    </row>
    <row r="690" spans="2:11" x14ac:dyDescent="0.25">
      <c r="B690" t="s">
        <v>399</v>
      </c>
      <c r="C690" s="90" t="str">
        <f>VLOOKUP(Tableau4[[#This Row],[Réf matériel]],Tableau3[],2,FALSE)</f>
        <v>Boite embouts</v>
      </c>
      <c r="D690" s="90">
        <f>VLOOKUP(Tableau4[[#This Row],[Réf matériel]],Tableau3[],3,FALSE)</f>
        <v>27.61</v>
      </c>
      <c r="E690" t="s">
        <v>326</v>
      </c>
      <c r="F690" s="90" t="str">
        <f>VLOOKUP(Tableau4[[#This Row],[Matricule]],Tableau1[],2,FALSE)</f>
        <v>CLAUX</v>
      </c>
      <c r="G690" s="90" t="str">
        <f>VLOOKUP(Tableau4[[#This Row],[Matricule]],Tableau1[],3,FALSE)</f>
        <v>Nicolas</v>
      </c>
      <c r="H690" s="90" t="str">
        <f>VLOOKUP(Tableau4[[#This Row],[Matricule]],Tableau1[],4,FALSE)</f>
        <v>AD</v>
      </c>
      <c r="J690" t="s">
        <v>454</v>
      </c>
      <c r="K690" s="90">
        <f>IF(Tableau4[[#This Row],[État]]="Remis",1,0)</f>
        <v>0</v>
      </c>
    </row>
    <row r="691" spans="2:11" x14ac:dyDescent="0.25">
      <c r="B691" t="s">
        <v>399</v>
      </c>
      <c r="C691" s="90" t="str">
        <f>VLOOKUP(Tableau4[[#This Row],[Réf matériel]],Tableau3[],2,FALSE)</f>
        <v>Boite embouts</v>
      </c>
      <c r="D691" s="90">
        <f>VLOOKUP(Tableau4[[#This Row],[Réf matériel]],Tableau3[],3,FALSE)</f>
        <v>27.61</v>
      </c>
      <c r="E691" t="s">
        <v>326</v>
      </c>
      <c r="F691" s="90" t="str">
        <f>VLOOKUP(Tableau4[[#This Row],[Matricule]],Tableau1[],2,FALSE)</f>
        <v>CLAUX</v>
      </c>
      <c r="G691" s="90" t="str">
        <f>VLOOKUP(Tableau4[[#This Row],[Matricule]],Tableau1[],3,FALSE)</f>
        <v>Nicolas</v>
      </c>
      <c r="H691" s="90" t="str">
        <f>VLOOKUP(Tableau4[[#This Row],[Matricule]],Tableau1[],4,FALSE)</f>
        <v>AD</v>
      </c>
      <c r="J691" t="s">
        <v>454</v>
      </c>
      <c r="K691" s="90">
        <f>IF(Tableau4[[#This Row],[État]]="Remis",1,0)</f>
        <v>0</v>
      </c>
    </row>
    <row r="692" spans="2:11" x14ac:dyDescent="0.25">
      <c r="B692" t="s">
        <v>395</v>
      </c>
      <c r="C692" s="90" t="str">
        <f>VLOOKUP(Tableau4[[#This Row],[Réf matériel]],Tableau3[],2,FALSE)</f>
        <v>Burin plat</v>
      </c>
      <c r="D692" s="90">
        <f>VLOOKUP(Tableau4[[#This Row],[Réf matériel]],Tableau3[],3,FALSE)</f>
        <v>11.89</v>
      </c>
      <c r="E692" t="s">
        <v>326</v>
      </c>
      <c r="F692" s="90" t="str">
        <f>VLOOKUP(Tableau4[[#This Row],[Matricule]],Tableau1[],2,FALSE)</f>
        <v>CLAUX</v>
      </c>
      <c r="G692" s="90" t="str">
        <f>VLOOKUP(Tableau4[[#This Row],[Matricule]],Tableau1[],3,FALSE)</f>
        <v>Nicolas</v>
      </c>
      <c r="H692" s="90" t="str">
        <f>VLOOKUP(Tableau4[[#This Row],[Matricule]],Tableau1[],4,FALSE)</f>
        <v>AD</v>
      </c>
      <c r="J692" t="s">
        <v>454</v>
      </c>
      <c r="K692" s="90">
        <f>IF(Tableau4[[#This Row],[État]]="Remis",1,0)</f>
        <v>0</v>
      </c>
    </row>
    <row r="693" spans="2:11" x14ac:dyDescent="0.25">
      <c r="B693" t="s">
        <v>395</v>
      </c>
      <c r="C693" s="90" t="str">
        <f>VLOOKUP(Tableau4[[#This Row],[Réf matériel]],Tableau3[],2,FALSE)</f>
        <v>Burin plat</v>
      </c>
      <c r="D693" s="90">
        <f>VLOOKUP(Tableau4[[#This Row],[Réf matériel]],Tableau3[],3,FALSE)</f>
        <v>11.89</v>
      </c>
      <c r="E693" t="s">
        <v>326</v>
      </c>
      <c r="F693" s="90" t="str">
        <f>VLOOKUP(Tableau4[[#This Row],[Matricule]],Tableau1[],2,FALSE)</f>
        <v>CLAUX</v>
      </c>
      <c r="G693" s="90" t="str">
        <f>VLOOKUP(Tableau4[[#This Row],[Matricule]],Tableau1[],3,FALSE)</f>
        <v>Nicolas</v>
      </c>
      <c r="H693" s="90" t="str">
        <f>VLOOKUP(Tableau4[[#This Row],[Matricule]],Tableau1[],4,FALSE)</f>
        <v>AD</v>
      </c>
      <c r="J693" t="s">
        <v>454</v>
      </c>
      <c r="K693" s="90">
        <f>IF(Tableau4[[#This Row],[État]]="Remis",1,0)</f>
        <v>0</v>
      </c>
    </row>
    <row r="694" spans="2:11" x14ac:dyDescent="0.25">
      <c r="B694" t="s">
        <v>401</v>
      </c>
      <c r="C694" s="90" t="str">
        <f>VLOOKUP(Tableau4[[#This Row],[Réf matériel]],Tableau3[],2,FALSE)</f>
        <v>Burin pointu</v>
      </c>
      <c r="D694" s="90">
        <f>VLOOKUP(Tableau4[[#This Row],[Réf matériel]],Tableau3[],3,FALSE)</f>
        <v>8.7200000000000006</v>
      </c>
      <c r="E694" t="s">
        <v>326</v>
      </c>
      <c r="F694" s="90" t="str">
        <f>VLOOKUP(Tableau4[[#This Row],[Matricule]],Tableau1[],2,FALSE)</f>
        <v>CLAUX</v>
      </c>
      <c r="G694" s="90" t="str">
        <f>VLOOKUP(Tableau4[[#This Row],[Matricule]],Tableau1[],3,FALSE)</f>
        <v>Nicolas</v>
      </c>
      <c r="H694" s="90" t="str">
        <f>VLOOKUP(Tableau4[[#This Row],[Matricule]],Tableau1[],4,FALSE)</f>
        <v>AD</v>
      </c>
      <c r="J694" t="s">
        <v>454</v>
      </c>
      <c r="K694" s="90">
        <f>IF(Tableau4[[#This Row],[État]]="Remis",1,0)</f>
        <v>0</v>
      </c>
    </row>
    <row r="695" spans="2:11" x14ac:dyDescent="0.25">
      <c r="B695" t="s">
        <v>401</v>
      </c>
      <c r="C695" s="90" t="str">
        <f>VLOOKUP(Tableau4[[#This Row],[Réf matériel]],Tableau3[],2,FALSE)</f>
        <v>Burin pointu</v>
      </c>
      <c r="D695" s="90">
        <f>VLOOKUP(Tableau4[[#This Row],[Réf matériel]],Tableau3[],3,FALSE)</f>
        <v>8.7200000000000006</v>
      </c>
      <c r="E695" t="s">
        <v>326</v>
      </c>
      <c r="F695" s="90" t="str">
        <f>VLOOKUP(Tableau4[[#This Row],[Matricule]],Tableau1[],2,FALSE)</f>
        <v>CLAUX</v>
      </c>
      <c r="G695" s="90" t="str">
        <f>VLOOKUP(Tableau4[[#This Row],[Matricule]],Tableau1[],3,FALSE)</f>
        <v>Nicolas</v>
      </c>
      <c r="H695" s="90" t="str">
        <f>VLOOKUP(Tableau4[[#This Row],[Matricule]],Tableau1[],4,FALSE)</f>
        <v>AD</v>
      </c>
      <c r="J695" t="s">
        <v>454</v>
      </c>
      <c r="K695" s="90">
        <f>IF(Tableau4[[#This Row],[État]]="Remis",1,0)</f>
        <v>0</v>
      </c>
    </row>
    <row r="696" spans="2:11" x14ac:dyDescent="0.25">
      <c r="B696" t="s">
        <v>401</v>
      </c>
      <c r="C696" s="90" t="str">
        <f>VLOOKUP(Tableau4[[#This Row],[Réf matériel]],Tableau3[],2,FALSE)</f>
        <v>Burin pointu</v>
      </c>
      <c r="D696" s="90">
        <f>VLOOKUP(Tableau4[[#This Row],[Réf matériel]],Tableau3[],3,FALSE)</f>
        <v>8.7200000000000006</v>
      </c>
      <c r="E696" t="s">
        <v>326</v>
      </c>
      <c r="F696" s="90" t="str">
        <f>VLOOKUP(Tableau4[[#This Row],[Matricule]],Tableau1[],2,FALSE)</f>
        <v>CLAUX</v>
      </c>
      <c r="G696" s="90" t="str">
        <f>VLOOKUP(Tableau4[[#This Row],[Matricule]],Tableau1[],3,FALSE)</f>
        <v>Nicolas</v>
      </c>
      <c r="H696" s="90" t="str">
        <f>VLOOKUP(Tableau4[[#This Row],[Matricule]],Tableau1[],4,FALSE)</f>
        <v>AD</v>
      </c>
      <c r="J696" t="s">
        <v>454</v>
      </c>
      <c r="K696" s="90">
        <f>IF(Tableau4[[#This Row],[État]]="Remis",1,0)</f>
        <v>0</v>
      </c>
    </row>
    <row r="697" spans="2:11" x14ac:dyDescent="0.25">
      <c r="B697" t="s">
        <v>391</v>
      </c>
      <c r="C697" s="90" t="str">
        <f>VLOOKUP(Tableau4[[#This Row],[Réf matériel]],Tableau3[],2,FALSE)</f>
        <v>Cadena</v>
      </c>
      <c r="D697" s="90">
        <f>VLOOKUP(Tableau4[[#This Row],[Réf matériel]],Tableau3[],3,FALSE)</f>
        <v>13</v>
      </c>
      <c r="E697" t="s">
        <v>326</v>
      </c>
      <c r="F697" s="90" t="str">
        <f>VLOOKUP(Tableau4[[#This Row],[Matricule]],Tableau1[],2,FALSE)</f>
        <v>CLAUX</v>
      </c>
      <c r="G697" s="90" t="str">
        <f>VLOOKUP(Tableau4[[#This Row],[Matricule]],Tableau1[],3,FALSE)</f>
        <v>Nicolas</v>
      </c>
      <c r="H697" s="90" t="str">
        <f>VLOOKUP(Tableau4[[#This Row],[Matricule]],Tableau1[],4,FALSE)</f>
        <v>AD</v>
      </c>
      <c r="J697" t="s">
        <v>454</v>
      </c>
      <c r="K697" s="90">
        <f>IF(Tableau4[[#This Row],[État]]="Remis",1,0)</f>
        <v>0</v>
      </c>
    </row>
    <row r="698" spans="2:11" x14ac:dyDescent="0.25">
      <c r="B698" t="s">
        <v>391</v>
      </c>
      <c r="C698" s="90" t="str">
        <f>VLOOKUP(Tableau4[[#This Row],[Réf matériel]],Tableau3[],2,FALSE)</f>
        <v>Cadena</v>
      </c>
      <c r="D698" s="90">
        <f>VLOOKUP(Tableau4[[#This Row],[Réf matériel]],Tableau3[],3,FALSE)</f>
        <v>13</v>
      </c>
      <c r="E698" t="s">
        <v>326</v>
      </c>
      <c r="F698" s="90" t="str">
        <f>VLOOKUP(Tableau4[[#This Row],[Matricule]],Tableau1[],2,FALSE)</f>
        <v>CLAUX</v>
      </c>
      <c r="G698" s="90" t="str">
        <f>VLOOKUP(Tableau4[[#This Row],[Matricule]],Tableau1[],3,FALSE)</f>
        <v>Nicolas</v>
      </c>
      <c r="H698" s="90" t="str">
        <f>VLOOKUP(Tableau4[[#This Row],[Matricule]],Tableau1[],4,FALSE)</f>
        <v>AD</v>
      </c>
      <c r="J698" t="s">
        <v>454</v>
      </c>
      <c r="K698" s="90">
        <f>IF(Tableau4[[#This Row],[État]]="Remis",1,0)</f>
        <v>0</v>
      </c>
    </row>
    <row r="699" spans="2:11" x14ac:dyDescent="0.25">
      <c r="B699" t="s">
        <v>391</v>
      </c>
      <c r="C699" s="90" t="str">
        <f>VLOOKUP(Tableau4[[#This Row],[Réf matériel]],Tableau3[],2,FALSE)</f>
        <v>Cadena</v>
      </c>
      <c r="D699" s="90">
        <f>VLOOKUP(Tableau4[[#This Row],[Réf matériel]],Tableau3[],3,FALSE)</f>
        <v>13</v>
      </c>
      <c r="E699" t="s">
        <v>326</v>
      </c>
      <c r="F699" s="90" t="str">
        <f>VLOOKUP(Tableau4[[#This Row],[Matricule]],Tableau1[],2,FALSE)</f>
        <v>CLAUX</v>
      </c>
      <c r="G699" s="90" t="str">
        <f>VLOOKUP(Tableau4[[#This Row],[Matricule]],Tableau1[],3,FALSE)</f>
        <v>Nicolas</v>
      </c>
      <c r="H699" s="90" t="str">
        <f>VLOOKUP(Tableau4[[#This Row],[Matricule]],Tableau1[],4,FALSE)</f>
        <v>AD</v>
      </c>
      <c r="J699" t="s">
        <v>454</v>
      </c>
      <c r="K699" s="90">
        <f>IF(Tableau4[[#This Row],[État]]="Remis",1,0)</f>
        <v>0</v>
      </c>
    </row>
    <row r="700" spans="2:11" x14ac:dyDescent="0.25">
      <c r="B700" t="s">
        <v>391</v>
      </c>
      <c r="C700" s="90" t="str">
        <f>VLOOKUP(Tableau4[[#This Row],[Réf matériel]],Tableau3[],2,FALSE)</f>
        <v>Cadena</v>
      </c>
      <c r="D700" s="90">
        <f>VLOOKUP(Tableau4[[#This Row],[Réf matériel]],Tableau3[],3,FALSE)</f>
        <v>13</v>
      </c>
      <c r="E700" t="s">
        <v>326</v>
      </c>
      <c r="F700" s="90" t="str">
        <f>VLOOKUP(Tableau4[[#This Row],[Matricule]],Tableau1[],2,FALSE)</f>
        <v>CLAUX</v>
      </c>
      <c r="G700" s="90" t="str">
        <f>VLOOKUP(Tableau4[[#This Row],[Matricule]],Tableau1[],3,FALSE)</f>
        <v>Nicolas</v>
      </c>
      <c r="H700" s="90" t="str">
        <f>VLOOKUP(Tableau4[[#This Row],[Matricule]],Tableau1[],4,FALSE)</f>
        <v>AD</v>
      </c>
      <c r="J700" t="s">
        <v>454</v>
      </c>
      <c r="K700" s="90">
        <f>IF(Tableau4[[#This Row],[État]]="Remis",1,0)</f>
        <v>0</v>
      </c>
    </row>
    <row r="701" spans="2:11" x14ac:dyDescent="0.25">
      <c r="B701" t="s">
        <v>449</v>
      </c>
      <c r="C701" s="90" t="str">
        <f>VLOOKUP(Tableau4[[#This Row],[Réf matériel]],Tableau3[],2,FALSE)</f>
        <v xml:space="preserve">Clé à douille cliquet 1/4 </v>
      </c>
      <c r="D701" s="90">
        <f>VLOOKUP(Tableau4[[#This Row],[Réf matériel]],Tableau3[],3,FALSE)</f>
        <v>25.9</v>
      </c>
      <c r="E701" t="s">
        <v>326</v>
      </c>
      <c r="F701" s="90" t="str">
        <f>VLOOKUP(Tableau4[[#This Row],[Matricule]],Tableau1[],2,FALSE)</f>
        <v>CLAUX</v>
      </c>
      <c r="G701" s="90" t="str">
        <f>VLOOKUP(Tableau4[[#This Row],[Matricule]],Tableau1[],3,FALSE)</f>
        <v>Nicolas</v>
      </c>
      <c r="H701" s="90" t="str">
        <f>VLOOKUP(Tableau4[[#This Row],[Matricule]],Tableau1[],4,FALSE)</f>
        <v>AD</v>
      </c>
      <c r="J701" t="s">
        <v>454</v>
      </c>
      <c r="K701" s="90">
        <f>IF(Tableau4[[#This Row],[État]]="Remis",1,0)</f>
        <v>0</v>
      </c>
    </row>
    <row r="702" spans="2:11" x14ac:dyDescent="0.25">
      <c r="B702" t="s">
        <v>422</v>
      </c>
      <c r="C702" s="90" t="str">
        <f>VLOOKUP(Tableau4[[#This Row],[Réf matériel]],Tableau3[],2,FALSE)</f>
        <v>Clé à griffe 18p</v>
      </c>
      <c r="D702" s="90">
        <f>VLOOKUP(Tableau4[[#This Row],[Réf matériel]],Tableau3[],3,FALSE)</f>
        <v>54</v>
      </c>
      <c r="E702" t="s">
        <v>326</v>
      </c>
      <c r="F702" s="90" t="str">
        <f>VLOOKUP(Tableau4[[#This Row],[Matricule]],Tableau1[],2,FALSE)</f>
        <v>CLAUX</v>
      </c>
      <c r="G702" s="90" t="str">
        <f>VLOOKUP(Tableau4[[#This Row],[Matricule]],Tableau1[],3,FALSE)</f>
        <v>Nicolas</v>
      </c>
      <c r="H702" s="90" t="str">
        <f>VLOOKUP(Tableau4[[#This Row],[Matricule]],Tableau1[],4,FALSE)</f>
        <v>AD</v>
      </c>
      <c r="J702" t="s">
        <v>454</v>
      </c>
      <c r="K702" s="90">
        <f>IF(Tableau4[[#This Row],[État]]="Remis",1,0)</f>
        <v>0</v>
      </c>
    </row>
    <row r="703" spans="2:11" x14ac:dyDescent="0.25">
      <c r="B703" t="s">
        <v>403</v>
      </c>
      <c r="C703" s="90" t="str">
        <f>VLOOKUP(Tableau4[[#This Row],[Réf matériel]],Tableau3[],2,FALSE)</f>
        <v>Clé à pipe 10</v>
      </c>
      <c r="D703" s="90">
        <f>VLOOKUP(Tableau4[[#This Row],[Réf matériel]],Tableau3[],3,FALSE)</f>
        <v>5.41</v>
      </c>
      <c r="E703" t="s">
        <v>326</v>
      </c>
      <c r="F703" s="90" t="str">
        <f>VLOOKUP(Tableau4[[#This Row],[Matricule]],Tableau1[],2,FALSE)</f>
        <v>CLAUX</v>
      </c>
      <c r="G703" s="90" t="str">
        <f>VLOOKUP(Tableau4[[#This Row],[Matricule]],Tableau1[],3,FALSE)</f>
        <v>Nicolas</v>
      </c>
      <c r="H703" s="90" t="str">
        <f>VLOOKUP(Tableau4[[#This Row],[Matricule]],Tableau1[],4,FALSE)</f>
        <v>AD</v>
      </c>
      <c r="J703" t="s">
        <v>454</v>
      </c>
      <c r="K703" s="90">
        <f>IF(Tableau4[[#This Row],[État]]="Remis",1,0)</f>
        <v>0</v>
      </c>
    </row>
    <row r="704" spans="2:11" x14ac:dyDescent="0.25">
      <c r="B704" t="s">
        <v>404</v>
      </c>
      <c r="C704" s="90" t="str">
        <f>VLOOKUP(Tableau4[[#This Row],[Réf matériel]],Tableau3[],2,FALSE)</f>
        <v>Clé à pipe 12</v>
      </c>
      <c r="D704" s="90">
        <f>VLOOKUP(Tableau4[[#This Row],[Réf matériel]],Tableau3[],3,FALSE)</f>
        <v>6.8</v>
      </c>
      <c r="E704" t="s">
        <v>326</v>
      </c>
      <c r="F704" s="90" t="str">
        <f>VLOOKUP(Tableau4[[#This Row],[Matricule]],Tableau1[],2,FALSE)</f>
        <v>CLAUX</v>
      </c>
      <c r="G704" s="90" t="str">
        <f>VLOOKUP(Tableau4[[#This Row],[Matricule]],Tableau1[],3,FALSE)</f>
        <v>Nicolas</v>
      </c>
      <c r="H704" s="90" t="str">
        <f>VLOOKUP(Tableau4[[#This Row],[Matricule]],Tableau1[],4,FALSE)</f>
        <v>AD</v>
      </c>
      <c r="J704" t="s">
        <v>454</v>
      </c>
      <c r="K704" s="90">
        <f>IF(Tableau4[[#This Row],[État]]="Remis",1,0)</f>
        <v>0</v>
      </c>
    </row>
    <row r="705" spans="2:11" x14ac:dyDescent="0.25">
      <c r="B705" t="s">
        <v>405</v>
      </c>
      <c r="C705" s="90" t="str">
        <f>VLOOKUP(Tableau4[[#This Row],[Réf matériel]],Tableau3[],2,FALSE)</f>
        <v>Clé à pipe 13</v>
      </c>
      <c r="D705" s="90">
        <f>VLOOKUP(Tableau4[[#This Row],[Réf matériel]],Tableau3[],3,FALSE)</f>
        <v>6.23</v>
      </c>
      <c r="E705" t="s">
        <v>500</v>
      </c>
      <c r="F705" s="90" t="str">
        <f>VLOOKUP(Tableau4[[#This Row],[Matricule]],Tableau1[],2,FALSE)</f>
        <v>Caisse volante2</v>
      </c>
      <c r="G705" s="90">
        <f>VLOOKUP(Tableau4[[#This Row],[Matricule]],Tableau1[],3,FALSE)</f>
        <v>0</v>
      </c>
      <c r="H705" s="90">
        <f>VLOOKUP(Tableau4[[#This Row],[Matricule]],Tableau1[],4,FALSE)</f>
        <v>0</v>
      </c>
      <c r="J705" t="s">
        <v>380</v>
      </c>
      <c r="K705" s="90">
        <f>IF(Tableau4[[#This Row],[État]]="Remis",1,0)</f>
        <v>1</v>
      </c>
    </row>
    <row r="706" spans="2:11" x14ac:dyDescent="0.25">
      <c r="B706" t="s">
        <v>407</v>
      </c>
      <c r="C706" s="90" t="str">
        <f>VLOOKUP(Tableau4[[#This Row],[Réf matériel]],Tableau3[],2,FALSE)</f>
        <v>Clé à pipe 16</v>
      </c>
      <c r="D706" s="90">
        <f>VLOOKUP(Tableau4[[#This Row],[Réf matériel]],Tableau3[],3,FALSE)</f>
        <v>9.1999999999999993</v>
      </c>
      <c r="E706" t="s">
        <v>326</v>
      </c>
      <c r="F706" s="90" t="str">
        <f>VLOOKUP(Tableau4[[#This Row],[Matricule]],Tableau1[],2,FALSE)</f>
        <v>CLAUX</v>
      </c>
      <c r="G706" s="90" t="str">
        <f>VLOOKUP(Tableau4[[#This Row],[Matricule]],Tableau1[],3,FALSE)</f>
        <v>Nicolas</v>
      </c>
      <c r="H706" s="90" t="str">
        <f>VLOOKUP(Tableau4[[#This Row],[Matricule]],Tableau1[],4,FALSE)</f>
        <v>AD</v>
      </c>
      <c r="J706" t="s">
        <v>454</v>
      </c>
      <c r="K706" s="90">
        <f>IF(Tableau4[[#This Row],[État]]="Remis",1,0)</f>
        <v>0</v>
      </c>
    </row>
    <row r="707" spans="2:11" x14ac:dyDescent="0.25">
      <c r="B707" t="s">
        <v>281</v>
      </c>
      <c r="C707" s="90" t="str">
        <f>VLOOKUP(Tableau4[[#This Row],[Réf matériel]],Tableau3[],2,FALSE)</f>
        <v>Scie à métaux</v>
      </c>
      <c r="D707" s="90">
        <f>VLOOKUP(Tableau4[[#This Row],[Réf matériel]],Tableau3[],3,FALSE)</f>
        <v>11.26</v>
      </c>
      <c r="E707" t="s">
        <v>330</v>
      </c>
      <c r="F707" s="90" t="str">
        <f>VLOOKUP(Tableau4[[#This Row],[Matricule]],Tableau1[],2,FALSE)</f>
        <v>DEPOORTER</v>
      </c>
      <c r="G707" s="90" t="str">
        <f>VLOOKUP(Tableau4[[#This Row],[Matricule]],Tableau1[],3,FALSE)</f>
        <v>Jonathan</v>
      </c>
      <c r="H707" s="90" t="str">
        <f>VLOOKUP(Tableau4[[#This Row],[Matricule]],Tableau1[],4,FALSE)</f>
        <v>ELEC</v>
      </c>
      <c r="I707" s="88">
        <v>43472</v>
      </c>
      <c r="J707" t="s">
        <v>380</v>
      </c>
      <c r="K707" s="90">
        <f>IF(Tableau4[[#This Row],[État]]="Remis",1,0)</f>
        <v>1</v>
      </c>
    </row>
    <row r="708" spans="2:11" x14ac:dyDescent="0.25">
      <c r="B708" t="s">
        <v>408</v>
      </c>
      <c r="C708" s="90" t="str">
        <f>VLOOKUP(Tableau4[[#This Row],[Réf matériel]],Tableau3[],2,FALSE)</f>
        <v>Clé à pipe 17</v>
      </c>
      <c r="D708" s="90">
        <f>VLOOKUP(Tableau4[[#This Row],[Réf matériel]],Tableau3[],3,FALSE)</f>
        <v>9.36</v>
      </c>
      <c r="E708" t="s">
        <v>326</v>
      </c>
      <c r="F708" s="90" t="str">
        <f>VLOOKUP(Tableau4[[#This Row],[Matricule]],Tableau1[],2,FALSE)</f>
        <v>CLAUX</v>
      </c>
      <c r="G708" s="90" t="str">
        <f>VLOOKUP(Tableau4[[#This Row],[Matricule]],Tableau1[],3,FALSE)</f>
        <v>Nicolas</v>
      </c>
      <c r="H708" s="90" t="str">
        <f>VLOOKUP(Tableau4[[#This Row],[Matricule]],Tableau1[],4,FALSE)</f>
        <v>AD</v>
      </c>
      <c r="J708" t="s">
        <v>454</v>
      </c>
      <c r="K708" s="90">
        <f>IF(Tableau4[[#This Row],[État]]="Remis",1,0)</f>
        <v>0</v>
      </c>
    </row>
    <row r="709" spans="2:11" x14ac:dyDescent="0.25">
      <c r="B709" t="s">
        <v>408</v>
      </c>
      <c r="C709" s="90" t="str">
        <f>VLOOKUP(Tableau4[[#This Row],[Réf matériel]],Tableau3[],2,FALSE)</f>
        <v>Clé à pipe 17</v>
      </c>
      <c r="D709" s="90">
        <f>VLOOKUP(Tableau4[[#This Row],[Réf matériel]],Tableau3[],3,FALSE)</f>
        <v>9.36</v>
      </c>
      <c r="E709" t="s">
        <v>326</v>
      </c>
      <c r="F709" s="90" t="str">
        <f>VLOOKUP(Tableau4[[#This Row],[Matricule]],Tableau1[],2,FALSE)</f>
        <v>CLAUX</v>
      </c>
      <c r="G709" s="90" t="str">
        <f>VLOOKUP(Tableau4[[#This Row],[Matricule]],Tableau1[],3,FALSE)</f>
        <v>Nicolas</v>
      </c>
      <c r="H709" s="90" t="str">
        <f>VLOOKUP(Tableau4[[#This Row],[Matricule]],Tableau1[],4,FALSE)</f>
        <v>AD</v>
      </c>
      <c r="J709" t="s">
        <v>454</v>
      </c>
      <c r="K709" s="90">
        <f>IF(Tableau4[[#This Row],[État]]="Remis",1,0)</f>
        <v>0</v>
      </c>
    </row>
    <row r="710" spans="2:11" x14ac:dyDescent="0.25">
      <c r="B710" t="s">
        <v>409</v>
      </c>
      <c r="C710" s="90" t="str">
        <f>VLOOKUP(Tableau4[[#This Row],[Réf matériel]],Tableau3[],2,FALSE)</f>
        <v>Clé à pipe 19</v>
      </c>
      <c r="D710" s="90">
        <f>VLOOKUP(Tableau4[[#This Row],[Réf matériel]],Tableau3[],3,FALSE)</f>
        <v>10.4</v>
      </c>
      <c r="E710" t="s">
        <v>326</v>
      </c>
      <c r="F710" s="90" t="str">
        <f>VLOOKUP(Tableau4[[#This Row],[Matricule]],Tableau1[],2,FALSE)</f>
        <v>CLAUX</v>
      </c>
      <c r="G710" s="90" t="str">
        <f>VLOOKUP(Tableau4[[#This Row],[Matricule]],Tableau1[],3,FALSE)</f>
        <v>Nicolas</v>
      </c>
      <c r="H710" s="90" t="str">
        <f>VLOOKUP(Tableau4[[#This Row],[Matricule]],Tableau1[],4,FALSE)</f>
        <v>AD</v>
      </c>
      <c r="J710" t="s">
        <v>454</v>
      </c>
      <c r="K710" s="90">
        <f>IF(Tableau4[[#This Row],[État]]="Remis",1,0)</f>
        <v>0</v>
      </c>
    </row>
    <row r="711" spans="2:11" x14ac:dyDescent="0.25">
      <c r="B711" t="s">
        <v>402</v>
      </c>
      <c r="C711" s="90" t="str">
        <f>VLOOKUP(Tableau4[[#This Row],[Réf matériel]],Tableau3[],2,FALSE)</f>
        <v>Clé à pipe 8</v>
      </c>
      <c r="D711" s="90">
        <f>VLOOKUP(Tableau4[[#This Row],[Réf matériel]],Tableau3[],3,FALSE)</f>
        <v>4.8499999999999996</v>
      </c>
      <c r="E711" t="s">
        <v>326</v>
      </c>
      <c r="F711" s="90" t="str">
        <f>VLOOKUP(Tableau4[[#This Row],[Matricule]],Tableau1[],2,FALSE)</f>
        <v>CLAUX</v>
      </c>
      <c r="G711" s="90" t="str">
        <f>VLOOKUP(Tableau4[[#This Row],[Matricule]],Tableau1[],3,FALSE)</f>
        <v>Nicolas</v>
      </c>
      <c r="H711" s="90" t="str">
        <f>VLOOKUP(Tableau4[[#This Row],[Matricule]],Tableau1[],4,FALSE)</f>
        <v>AD</v>
      </c>
      <c r="J711" t="s">
        <v>454</v>
      </c>
      <c r="K711" s="90">
        <f>IF(Tableau4[[#This Row],[État]]="Remis",1,0)</f>
        <v>0</v>
      </c>
    </row>
    <row r="712" spans="2:11" x14ac:dyDescent="0.25">
      <c r="B712" t="s">
        <v>420</v>
      </c>
      <c r="C712" s="90" t="str">
        <f>VLOOKUP(Tableau4[[#This Row],[Réf matériel]],Tableau3[],2,FALSE)</f>
        <v>Clé allen</v>
      </c>
      <c r="D712" s="90">
        <f>VLOOKUP(Tableau4[[#This Row],[Réf matériel]],Tableau3[],3,FALSE)</f>
        <v>27.5</v>
      </c>
      <c r="E712" t="s">
        <v>326</v>
      </c>
      <c r="F712" s="90" t="str">
        <f>VLOOKUP(Tableau4[[#This Row],[Matricule]],Tableau1[],2,FALSE)</f>
        <v>CLAUX</v>
      </c>
      <c r="G712" s="90" t="str">
        <f>VLOOKUP(Tableau4[[#This Row],[Matricule]],Tableau1[],3,FALSE)</f>
        <v>Nicolas</v>
      </c>
      <c r="H712" s="90" t="str">
        <f>VLOOKUP(Tableau4[[#This Row],[Matricule]],Tableau1[],4,FALSE)</f>
        <v>AD</v>
      </c>
      <c r="J712" t="s">
        <v>454</v>
      </c>
      <c r="K712" s="90">
        <f>IF(Tableau4[[#This Row],[État]]="Remis",1,0)</f>
        <v>0</v>
      </c>
    </row>
    <row r="713" spans="2:11" x14ac:dyDescent="0.25">
      <c r="B713" t="s">
        <v>421</v>
      </c>
      <c r="C713" s="90" t="str">
        <f>VLOOKUP(Tableau4[[#This Row],[Réf matériel]],Tableau3[],2,FALSE)</f>
        <v>Clé mixte 8</v>
      </c>
      <c r="D713" s="90">
        <f>VLOOKUP(Tableau4[[#This Row],[Réf matériel]],Tableau3[],3,FALSE)</f>
        <v>3.05</v>
      </c>
      <c r="E713" t="s">
        <v>326</v>
      </c>
      <c r="F713" s="90" t="str">
        <f>VLOOKUP(Tableau4[[#This Row],[Matricule]],Tableau1[],2,FALSE)</f>
        <v>CLAUX</v>
      </c>
      <c r="G713" s="90" t="str">
        <f>VLOOKUP(Tableau4[[#This Row],[Matricule]],Tableau1[],3,FALSE)</f>
        <v>Nicolas</v>
      </c>
      <c r="H713" s="90" t="str">
        <f>VLOOKUP(Tableau4[[#This Row],[Matricule]],Tableau1[],4,FALSE)</f>
        <v>AD</v>
      </c>
      <c r="J713" t="s">
        <v>454</v>
      </c>
      <c r="K713" s="90">
        <f>IF(Tableau4[[#This Row],[État]]="Remis",1,0)</f>
        <v>0</v>
      </c>
    </row>
    <row r="714" spans="2:11" x14ac:dyDescent="0.25">
      <c r="B714" t="s">
        <v>424</v>
      </c>
      <c r="C714" s="90" t="str">
        <f>VLOOKUP(Tableau4[[#This Row],[Réf matériel]],Tableau3[],2,FALSE)</f>
        <v>Clé plate 9</v>
      </c>
      <c r="D714" s="90">
        <f>VLOOKUP(Tableau4[[#This Row],[Réf matériel]],Tableau3[],3,FALSE)</f>
        <v>2.5</v>
      </c>
      <c r="E714" t="s">
        <v>326</v>
      </c>
      <c r="F714" s="90" t="str">
        <f>VLOOKUP(Tableau4[[#This Row],[Matricule]],Tableau1[],2,FALSE)</f>
        <v>CLAUX</v>
      </c>
      <c r="G714" s="90" t="str">
        <f>VLOOKUP(Tableau4[[#This Row],[Matricule]],Tableau1[],3,FALSE)</f>
        <v>Nicolas</v>
      </c>
      <c r="H714" s="90" t="str">
        <f>VLOOKUP(Tableau4[[#This Row],[Matricule]],Tableau1[],4,FALSE)</f>
        <v>AD</v>
      </c>
      <c r="J714" t="s">
        <v>454</v>
      </c>
      <c r="K714" s="90">
        <f>IF(Tableau4[[#This Row],[État]]="Remis",1,0)</f>
        <v>0</v>
      </c>
    </row>
    <row r="715" spans="2:11" x14ac:dyDescent="0.25">
      <c r="B715" t="s">
        <v>424</v>
      </c>
      <c r="C715" s="90" t="str">
        <f>VLOOKUP(Tableau4[[#This Row],[Réf matériel]],Tableau3[],2,FALSE)</f>
        <v>Clé plate 9</v>
      </c>
      <c r="D715" s="90">
        <f>VLOOKUP(Tableau4[[#This Row],[Réf matériel]],Tableau3[],3,FALSE)</f>
        <v>2.5</v>
      </c>
      <c r="E715" t="s">
        <v>326</v>
      </c>
      <c r="F715" s="90" t="str">
        <f>VLOOKUP(Tableau4[[#This Row],[Matricule]],Tableau1[],2,FALSE)</f>
        <v>CLAUX</v>
      </c>
      <c r="G715" s="90" t="str">
        <f>VLOOKUP(Tableau4[[#This Row],[Matricule]],Tableau1[],3,FALSE)</f>
        <v>Nicolas</v>
      </c>
      <c r="H715" s="90" t="str">
        <f>VLOOKUP(Tableau4[[#This Row],[Matricule]],Tableau1[],4,FALSE)</f>
        <v>AD</v>
      </c>
      <c r="J715" t="s">
        <v>454</v>
      </c>
      <c r="K715" s="90">
        <f>IF(Tableau4[[#This Row],[État]]="Remis",1,0)</f>
        <v>0</v>
      </c>
    </row>
    <row r="716" spans="2:11" x14ac:dyDescent="0.25">
      <c r="B716" t="s">
        <v>410</v>
      </c>
      <c r="C716" s="90" t="str">
        <f>VLOOKUP(Tableau4[[#This Row],[Réf matériel]],Tableau3[],2,FALSE)</f>
        <v>Clé plate 10</v>
      </c>
      <c r="D716" s="90">
        <f>VLOOKUP(Tableau4[[#This Row],[Réf matériel]],Tableau3[],3,FALSE)</f>
        <v>3.32</v>
      </c>
      <c r="E716" t="s">
        <v>326</v>
      </c>
      <c r="F716" s="90" t="str">
        <f>VLOOKUP(Tableau4[[#This Row],[Matricule]],Tableau1[],2,FALSE)</f>
        <v>CLAUX</v>
      </c>
      <c r="G716" s="90" t="str">
        <f>VLOOKUP(Tableau4[[#This Row],[Matricule]],Tableau1[],3,FALSE)</f>
        <v>Nicolas</v>
      </c>
      <c r="H716" s="90" t="str">
        <f>VLOOKUP(Tableau4[[#This Row],[Matricule]],Tableau1[],4,FALSE)</f>
        <v>AD</v>
      </c>
      <c r="J716" t="s">
        <v>454</v>
      </c>
      <c r="K716" s="90">
        <f>IF(Tableau4[[#This Row],[État]]="Remis",1,0)</f>
        <v>0</v>
      </c>
    </row>
    <row r="717" spans="2:11" x14ac:dyDescent="0.25">
      <c r="B717" t="s">
        <v>410</v>
      </c>
      <c r="C717" s="90" t="str">
        <f>VLOOKUP(Tableau4[[#This Row],[Réf matériel]],Tableau3[],2,FALSE)</f>
        <v>Clé plate 10</v>
      </c>
      <c r="D717" s="90">
        <f>VLOOKUP(Tableau4[[#This Row],[Réf matériel]],Tableau3[],3,FALSE)</f>
        <v>3.32</v>
      </c>
      <c r="E717" t="s">
        <v>326</v>
      </c>
      <c r="F717" s="90" t="str">
        <f>VLOOKUP(Tableau4[[#This Row],[Matricule]],Tableau1[],2,FALSE)</f>
        <v>CLAUX</v>
      </c>
      <c r="G717" s="90" t="str">
        <f>VLOOKUP(Tableau4[[#This Row],[Matricule]],Tableau1[],3,FALSE)</f>
        <v>Nicolas</v>
      </c>
      <c r="H717" s="90" t="str">
        <f>VLOOKUP(Tableau4[[#This Row],[Matricule]],Tableau1[],4,FALSE)</f>
        <v>AD</v>
      </c>
      <c r="J717" t="s">
        <v>454</v>
      </c>
      <c r="K717" s="90">
        <f>IF(Tableau4[[#This Row],[État]]="Remis",1,0)</f>
        <v>0</v>
      </c>
    </row>
    <row r="718" spans="2:11" x14ac:dyDescent="0.25">
      <c r="B718" t="s">
        <v>410</v>
      </c>
      <c r="C718" s="90" t="str">
        <f>VLOOKUP(Tableau4[[#This Row],[Réf matériel]],Tableau3[],2,FALSE)</f>
        <v>Clé plate 10</v>
      </c>
      <c r="D718" s="90">
        <f>VLOOKUP(Tableau4[[#This Row],[Réf matériel]],Tableau3[],3,FALSE)</f>
        <v>3.32</v>
      </c>
      <c r="E718" t="s">
        <v>326</v>
      </c>
      <c r="F718" s="90" t="str">
        <f>VLOOKUP(Tableau4[[#This Row],[Matricule]],Tableau1[],2,FALSE)</f>
        <v>CLAUX</v>
      </c>
      <c r="G718" s="90" t="str">
        <f>VLOOKUP(Tableau4[[#This Row],[Matricule]],Tableau1[],3,FALSE)</f>
        <v>Nicolas</v>
      </c>
      <c r="H718" s="90" t="str">
        <f>VLOOKUP(Tableau4[[#This Row],[Matricule]],Tableau1[],4,FALSE)</f>
        <v>AD</v>
      </c>
      <c r="J718" t="s">
        <v>454</v>
      </c>
      <c r="K718" s="90">
        <f>IF(Tableau4[[#This Row],[État]]="Remis",1,0)</f>
        <v>0</v>
      </c>
    </row>
    <row r="719" spans="2:11" x14ac:dyDescent="0.25">
      <c r="B719" t="s">
        <v>425</v>
      </c>
      <c r="C719" s="90" t="str">
        <f>VLOOKUP(Tableau4[[#This Row],[Réf matériel]],Tableau3[],2,FALSE)</f>
        <v>Clé plate 11</v>
      </c>
      <c r="D719" s="90">
        <f>VLOOKUP(Tableau4[[#This Row],[Réf matériel]],Tableau3[],3,FALSE)</f>
        <v>2.75</v>
      </c>
      <c r="E719" t="s">
        <v>326</v>
      </c>
      <c r="F719" s="90" t="str">
        <f>VLOOKUP(Tableau4[[#This Row],[Matricule]],Tableau1[],2,FALSE)</f>
        <v>CLAUX</v>
      </c>
      <c r="G719" s="90" t="str">
        <f>VLOOKUP(Tableau4[[#This Row],[Matricule]],Tableau1[],3,FALSE)</f>
        <v>Nicolas</v>
      </c>
      <c r="H719" s="90" t="str">
        <f>VLOOKUP(Tableau4[[#This Row],[Matricule]],Tableau1[],4,FALSE)</f>
        <v>AD</v>
      </c>
      <c r="J719" t="s">
        <v>454</v>
      </c>
      <c r="K719" s="90">
        <f>IF(Tableau4[[#This Row],[État]]="Remis",1,0)</f>
        <v>0</v>
      </c>
    </row>
    <row r="720" spans="2:11" x14ac:dyDescent="0.25">
      <c r="B720" t="s">
        <v>425</v>
      </c>
      <c r="C720" s="90" t="str">
        <f>VLOOKUP(Tableau4[[#This Row],[Réf matériel]],Tableau3[],2,FALSE)</f>
        <v>Clé plate 11</v>
      </c>
      <c r="D720" s="90">
        <f>VLOOKUP(Tableau4[[#This Row],[Réf matériel]],Tableau3[],3,FALSE)</f>
        <v>2.75</v>
      </c>
      <c r="E720" t="s">
        <v>326</v>
      </c>
      <c r="F720" s="90" t="str">
        <f>VLOOKUP(Tableau4[[#This Row],[Matricule]],Tableau1[],2,FALSE)</f>
        <v>CLAUX</v>
      </c>
      <c r="G720" s="90" t="str">
        <f>VLOOKUP(Tableau4[[#This Row],[Matricule]],Tableau1[],3,FALSE)</f>
        <v>Nicolas</v>
      </c>
      <c r="H720" s="90" t="str">
        <f>VLOOKUP(Tableau4[[#This Row],[Matricule]],Tableau1[],4,FALSE)</f>
        <v>AD</v>
      </c>
      <c r="J720" t="s">
        <v>454</v>
      </c>
      <c r="K720" s="90">
        <f>IF(Tableau4[[#This Row],[État]]="Remis",1,0)</f>
        <v>0</v>
      </c>
    </row>
    <row r="721" spans="2:11" x14ac:dyDescent="0.25">
      <c r="B721" t="s">
        <v>411</v>
      </c>
      <c r="C721" s="90" t="str">
        <f>VLOOKUP(Tableau4[[#This Row],[Réf matériel]],Tableau3[],2,FALSE)</f>
        <v>Clé plate 12</v>
      </c>
      <c r="D721" s="90">
        <f>VLOOKUP(Tableau4[[#This Row],[Réf matériel]],Tableau3[],3,FALSE)</f>
        <v>3</v>
      </c>
      <c r="E721" t="s">
        <v>326</v>
      </c>
      <c r="F721" s="90" t="str">
        <f>VLOOKUP(Tableau4[[#This Row],[Matricule]],Tableau1[],2,FALSE)</f>
        <v>CLAUX</v>
      </c>
      <c r="G721" s="90" t="str">
        <f>VLOOKUP(Tableau4[[#This Row],[Matricule]],Tableau1[],3,FALSE)</f>
        <v>Nicolas</v>
      </c>
      <c r="H721" s="90" t="str">
        <f>VLOOKUP(Tableau4[[#This Row],[Matricule]],Tableau1[],4,FALSE)</f>
        <v>AD</v>
      </c>
      <c r="J721" t="s">
        <v>454</v>
      </c>
      <c r="K721" s="90">
        <f>IF(Tableau4[[#This Row],[État]]="Remis",1,0)</f>
        <v>0</v>
      </c>
    </row>
    <row r="722" spans="2:11" x14ac:dyDescent="0.25">
      <c r="B722" t="s">
        <v>412</v>
      </c>
      <c r="C722" s="90" t="str">
        <f>VLOOKUP(Tableau4[[#This Row],[Réf matériel]],Tableau3[],2,FALSE)</f>
        <v>Clé plate 13</v>
      </c>
      <c r="D722" s="90">
        <f>VLOOKUP(Tableau4[[#This Row],[Réf matériel]],Tableau3[],3,FALSE)</f>
        <v>3.91</v>
      </c>
      <c r="E722" t="s">
        <v>326</v>
      </c>
      <c r="F722" s="90" t="str">
        <f>VLOOKUP(Tableau4[[#This Row],[Matricule]],Tableau1[],2,FALSE)</f>
        <v>CLAUX</v>
      </c>
      <c r="G722" s="90" t="str">
        <f>VLOOKUP(Tableau4[[#This Row],[Matricule]],Tableau1[],3,FALSE)</f>
        <v>Nicolas</v>
      </c>
      <c r="H722" s="90" t="str">
        <f>VLOOKUP(Tableau4[[#This Row],[Matricule]],Tableau1[],4,FALSE)</f>
        <v>AD</v>
      </c>
      <c r="J722" t="s">
        <v>454</v>
      </c>
      <c r="K722" s="90">
        <f>IF(Tableau4[[#This Row],[État]]="Remis",1,0)</f>
        <v>0</v>
      </c>
    </row>
    <row r="723" spans="2:11" x14ac:dyDescent="0.25">
      <c r="B723" t="s">
        <v>412</v>
      </c>
      <c r="C723" s="90" t="str">
        <f>VLOOKUP(Tableau4[[#This Row],[Réf matériel]],Tableau3[],2,FALSE)</f>
        <v>Clé plate 13</v>
      </c>
      <c r="D723" s="90">
        <f>VLOOKUP(Tableau4[[#This Row],[Réf matériel]],Tableau3[],3,FALSE)</f>
        <v>3.91</v>
      </c>
      <c r="E723" t="s">
        <v>326</v>
      </c>
      <c r="F723" s="90" t="str">
        <f>VLOOKUP(Tableau4[[#This Row],[Matricule]],Tableau1[],2,FALSE)</f>
        <v>CLAUX</v>
      </c>
      <c r="G723" s="90" t="str">
        <f>VLOOKUP(Tableau4[[#This Row],[Matricule]],Tableau1[],3,FALSE)</f>
        <v>Nicolas</v>
      </c>
      <c r="H723" s="90" t="str">
        <f>VLOOKUP(Tableau4[[#This Row],[Matricule]],Tableau1[],4,FALSE)</f>
        <v>AD</v>
      </c>
      <c r="J723" t="s">
        <v>454</v>
      </c>
      <c r="K723" s="90">
        <f>IF(Tableau4[[#This Row],[État]]="Remis",1,0)</f>
        <v>0</v>
      </c>
    </row>
    <row r="724" spans="2:11" x14ac:dyDescent="0.25">
      <c r="B724" t="s">
        <v>426</v>
      </c>
      <c r="C724" s="90" t="str">
        <f>VLOOKUP(Tableau4[[#This Row],[Réf matériel]],Tableau3[],2,FALSE)</f>
        <v>Clé plate 16</v>
      </c>
      <c r="D724" s="90">
        <f>VLOOKUP(Tableau4[[#This Row],[Réf matériel]],Tableau3[],3,FALSE)</f>
        <v>3.85</v>
      </c>
      <c r="E724" t="s">
        <v>326</v>
      </c>
      <c r="F724" s="90" t="str">
        <f>VLOOKUP(Tableau4[[#This Row],[Matricule]],Tableau1[],2,FALSE)</f>
        <v>CLAUX</v>
      </c>
      <c r="G724" s="90" t="str">
        <f>VLOOKUP(Tableau4[[#This Row],[Matricule]],Tableau1[],3,FALSE)</f>
        <v>Nicolas</v>
      </c>
      <c r="H724" s="90" t="str">
        <f>VLOOKUP(Tableau4[[#This Row],[Matricule]],Tableau1[],4,FALSE)</f>
        <v>AD</v>
      </c>
      <c r="J724" t="s">
        <v>454</v>
      </c>
      <c r="K724" s="90">
        <f>IF(Tableau4[[#This Row],[État]]="Remis",1,0)</f>
        <v>0</v>
      </c>
    </row>
    <row r="725" spans="2:11" x14ac:dyDescent="0.25">
      <c r="B725" t="s">
        <v>414</v>
      </c>
      <c r="C725" s="90" t="str">
        <f>VLOOKUP(Tableau4[[#This Row],[Réf matériel]],Tableau3[],2,FALSE)</f>
        <v>Clé plate 17</v>
      </c>
      <c r="D725" s="90">
        <f>VLOOKUP(Tableau4[[#This Row],[Réf matériel]],Tableau3[],3,FALSE)</f>
        <v>5.5</v>
      </c>
      <c r="E725" t="s">
        <v>326</v>
      </c>
      <c r="F725" s="90" t="str">
        <f>VLOOKUP(Tableau4[[#This Row],[Matricule]],Tableau1[],2,FALSE)</f>
        <v>CLAUX</v>
      </c>
      <c r="G725" s="90" t="str">
        <f>VLOOKUP(Tableau4[[#This Row],[Matricule]],Tableau1[],3,FALSE)</f>
        <v>Nicolas</v>
      </c>
      <c r="H725" s="90" t="str">
        <f>VLOOKUP(Tableau4[[#This Row],[Matricule]],Tableau1[],4,FALSE)</f>
        <v>AD</v>
      </c>
      <c r="J725" t="s">
        <v>454</v>
      </c>
      <c r="K725" s="90">
        <f>IF(Tableau4[[#This Row],[État]]="Remis",1,0)</f>
        <v>0</v>
      </c>
    </row>
    <row r="726" spans="2:11" x14ac:dyDescent="0.25">
      <c r="B726" t="s">
        <v>414</v>
      </c>
      <c r="C726" s="90" t="str">
        <f>VLOOKUP(Tableau4[[#This Row],[Réf matériel]],Tableau3[],2,FALSE)</f>
        <v>Clé plate 17</v>
      </c>
      <c r="D726" s="90">
        <f>VLOOKUP(Tableau4[[#This Row],[Réf matériel]],Tableau3[],3,FALSE)</f>
        <v>5.5</v>
      </c>
      <c r="E726" t="s">
        <v>326</v>
      </c>
      <c r="F726" s="90" t="str">
        <f>VLOOKUP(Tableau4[[#This Row],[Matricule]],Tableau1[],2,FALSE)</f>
        <v>CLAUX</v>
      </c>
      <c r="G726" s="90" t="str">
        <f>VLOOKUP(Tableau4[[#This Row],[Matricule]],Tableau1[],3,FALSE)</f>
        <v>Nicolas</v>
      </c>
      <c r="H726" s="90" t="str">
        <f>VLOOKUP(Tableau4[[#This Row],[Matricule]],Tableau1[],4,FALSE)</f>
        <v>AD</v>
      </c>
      <c r="J726" t="s">
        <v>454</v>
      </c>
      <c r="K726" s="90">
        <f>IF(Tableau4[[#This Row],[État]]="Remis",1,0)</f>
        <v>0</v>
      </c>
    </row>
    <row r="727" spans="2:11" x14ac:dyDescent="0.25">
      <c r="B727" t="s">
        <v>414</v>
      </c>
      <c r="C727" s="90" t="str">
        <f>VLOOKUP(Tableau4[[#This Row],[Réf matériel]],Tableau3[],2,FALSE)</f>
        <v>Clé plate 17</v>
      </c>
      <c r="D727" s="90">
        <f>VLOOKUP(Tableau4[[#This Row],[Réf matériel]],Tableau3[],3,FALSE)</f>
        <v>5.5</v>
      </c>
      <c r="E727" t="s">
        <v>326</v>
      </c>
      <c r="F727" s="90" t="str">
        <f>VLOOKUP(Tableau4[[#This Row],[Matricule]],Tableau1[],2,FALSE)</f>
        <v>CLAUX</v>
      </c>
      <c r="G727" s="90" t="str">
        <f>VLOOKUP(Tableau4[[#This Row],[Matricule]],Tableau1[],3,FALSE)</f>
        <v>Nicolas</v>
      </c>
      <c r="H727" s="90" t="str">
        <f>VLOOKUP(Tableau4[[#This Row],[Matricule]],Tableau1[],4,FALSE)</f>
        <v>AD</v>
      </c>
      <c r="J727" t="s">
        <v>454</v>
      </c>
      <c r="K727" s="90">
        <f>IF(Tableau4[[#This Row],[État]]="Remis",1,0)</f>
        <v>0</v>
      </c>
    </row>
    <row r="728" spans="2:11" x14ac:dyDescent="0.25">
      <c r="B728" t="s">
        <v>414</v>
      </c>
      <c r="C728" s="90" t="str">
        <f>VLOOKUP(Tableau4[[#This Row],[Réf matériel]],Tableau3[],2,FALSE)</f>
        <v>Clé plate 17</v>
      </c>
      <c r="D728" s="90">
        <f>VLOOKUP(Tableau4[[#This Row],[Réf matériel]],Tableau3[],3,FALSE)</f>
        <v>5.5</v>
      </c>
      <c r="E728" t="s">
        <v>326</v>
      </c>
      <c r="F728" s="90" t="str">
        <f>VLOOKUP(Tableau4[[#This Row],[Matricule]],Tableau1[],2,FALSE)</f>
        <v>CLAUX</v>
      </c>
      <c r="G728" s="90" t="str">
        <f>VLOOKUP(Tableau4[[#This Row],[Matricule]],Tableau1[],3,FALSE)</f>
        <v>Nicolas</v>
      </c>
      <c r="H728" s="90" t="str">
        <f>VLOOKUP(Tableau4[[#This Row],[Matricule]],Tableau1[],4,FALSE)</f>
        <v>AD</v>
      </c>
      <c r="J728" t="s">
        <v>454</v>
      </c>
      <c r="K728" s="90">
        <f>IF(Tableau4[[#This Row],[État]]="Remis",1,0)</f>
        <v>0</v>
      </c>
    </row>
    <row r="729" spans="2:11" x14ac:dyDescent="0.25">
      <c r="B729" t="s">
        <v>427</v>
      </c>
      <c r="C729" s="90" t="str">
        <f>VLOOKUP(Tableau4[[#This Row],[Réf matériel]],Tableau3[],2,FALSE)</f>
        <v>Clé plate 18</v>
      </c>
      <c r="D729" s="90">
        <f>VLOOKUP(Tableau4[[#This Row],[Réf matériel]],Tableau3[],3,FALSE)</f>
        <v>4.12</v>
      </c>
      <c r="E729" t="s">
        <v>326</v>
      </c>
      <c r="F729" s="90" t="str">
        <f>VLOOKUP(Tableau4[[#This Row],[Matricule]],Tableau1[],2,FALSE)</f>
        <v>CLAUX</v>
      </c>
      <c r="G729" s="90" t="str">
        <f>VLOOKUP(Tableau4[[#This Row],[Matricule]],Tableau1[],3,FALSE)</f>
        <v>Nicolas</v>
      </c>
      <c r="H729" s="90" t="str">
        <f>VLOOKUP(Tableau4[[#This Row],[Matricule]],Tableau1[],4,FALSE)</f>
        <v>AD</v>
      </c>
      <c r="J729" t="s">
        <v>454</v>
      </c>
      <c r="K729" s="90">
        <f>IF(Tableau4[[#This Row],[État]]="Remis",1,0)</f>
        <v>0</v>
      </c>
    </row>
    <row r="730" spans="2:11" x14ac:dyDescent="0.25">
      <c r="B730" t="s">
        <v>415</v>
      </c>
      <c r="C730" s="90" t="str">
        <f>VLOOKUP(Tableau4[[#This Row],[Réf matériel]],Tableau3[],2,FALSE)</f>
        <v>Clé plate 19</v>
      </c>
      <c r="D730" s="90">
        <f>VLOOKUP(Tableau4[[#This Row],[Réf matériel]],Tableau3[],3,FALSE)</f>
        <v>6.07</v>
      </c>
      <c r="E730" t="s">
        <v>326</v>
      </c>
      <c r="F730" s="90" t="str">
        <f>VLOOKUP(Tableau4[[#This Row],[Matricule]],Tableau1[],2,FALSE)</f>
        <v>CLAUX</v>
      </c>
      <c r="G730" s="90" t="str">
        <f>VLOOKUP(Tableau4[[#This Row],[Matricule]],Tableau1[],3,FALSE)</f>
        <v>Nicolas</v>
      </c>
      <c r="H730" s="90" t="str">
        <f>VLOOKUP(Tableau4[[#This Row],[Matricule]],Tableau1[],4,FALSE)</f>
        <v>AD</v>
      </c>
      <c r="J730" t="s">
        <v>454</v>
      </c>
      <c r="K730" s="90">
        <f>IF(Tableau4[[#This Row],[État]]="Remis",1,0)</f>
        <v>0</v>
      </c>
    </row>
    <row r="731" spans="2:11" x14ac:dyDescent="0.25">
      <c r="B731" t="s">
        <v>415</v>
      </c>
      <c r="C731" s="90" t="str">
        <f>VLOOKUP(Tableau4[[#This Row],[Réf matériel]],Tableau3[],2,FALSE)</f>
        <v>Clé plate 19</v>
      </c>
      <c r="D731" s="90">
        <f>VLOOKUP(Tableau4[[#This Row],[Réf matériel]],Tableau3[],3,FALSE)</f>
        <v>6.07</v>
      </c>
      <c r="E731" t="s">
        <v>326</v>
      </c>
      <c r="F731" s="90" t="str">
        <f>VLOOKUP(Tableau4[[#This Row],[Matricule]],Tableau1[],2,FALSE)</f>
        <v>CLAUX</v>
      </c>
      <c r="G731" s="90" t="str">
        <f>VLOOKUP(Tableau4[[#This Row],[Matricule]],Tableau1[],3,FALSE)</f>
        <v>Nicolas</v>
      </c>
      <c r="H731" s="90" t="str">
        <f>VLOOKUP(Tableau4[[#This Row],[Matricule]],Tableau1[],4,FALSE)</f>
        <v>AD</v>
      </c>
      <c r="J731" t="s">
        <v>454</v>
      </c>
      <c r="K731" s="90">
        <f>IF(Tableau4[[#This Row],[État]]="Remis",1,0)</f>
        <v>0</v>
      </c>
    </row>
    <row r="732" spans="2:11" x14ac:dyDescent="0.25">
      <c r="B732" t="s">
        <v>415</v>
      </c>
      <c r="C732" s="90" t="str">
        <f>VLOOKUP(Tableau4[[#This Row],[Réf matériel]],Tableau3[],2,FALSE)</f>
        <v>Clé plate 19</v>
      </c>
      <c r="D732" s="90">
        <f>VLOOKUP(Tableau4[[#This Row],[Réf matériel]],Tableau3[],3,FALSE)</f>
        <v>6.07</v>
      </c>
      <c r="E732" t="s">
        <v>326</v>
      </c>
      <c r="F732" s="90" t="str">
        <f>VLOOKUP(Tableau4[[#This Row],[Matricule]],Tableau1[],2,FALSE)</f>
        <v>CLAUX</v>
      </c>
      <c r="G732" s="90" t="str">
        <f>VLOOKUP(Tableau4[[#This Row],[Matricule]],Tableau1[],3,FALSE)</f>
        <v>Nicolas</v>
      </c>
      <c r="H732" s="90" t="str">
        <f>VLOOKUP(Tableau4[[#This Row],[Matricule]],Tableau1[],4,FALSE)</f>
        <v>AD</v>
      </c>
      <c r="J732" t="s">
        <v>454</v>
      </c>
      <c r="K732" s="90">
        <f>IF(Tableau4[[#This Row],[État]]="Remis",1,0)</f>
        <v>0</v>
      </c>
    </row>
    <row r="733" spans="2:11" x14ac:dyDescent="0.25">
      <c r="B733" t="s">
        <v>415</v>
      </c>
      <c r="C733" s="90" t="str">
        <f>VLOOKUP(Tableau4[[#This Row],[Réf matériel]],Tableau3[],2,FALSE)</f>
        <v>Clé plate 19</v>
      </c>
      <c r="D733" s="90">
        <f>VLOOKUP(Tableau4[[#This Row],[Réf matériel]],Tableau3[],3,FALSE)</f>
        <v>6.07</v>
      </c>
      <c r="E733" t="s">
        <v>326</v>
      </c>
      <c r="F733" s="90" t="str">
        <f>VLOOKUP(Tableau4[[#This Row],[Matricule]],Tableau1[],2,FALSE)</f>
        <v>CLAUX</v>
      </c>
      <c r="G733" s="90" t="str">
        <f>VLOOKUP(Tableau4[[#This Row],[Matricule]],Tableau1[],3,FALSE)</f>
        <v>Nicolas</v>
      </c>
      <c r="H733" s="90" t="str">
        <f>VLOOKUP(Tableau4[[#This Row],[Matricule]],Tableau1[],4,FALSE)</f>
        <v>AD</v>
      </c>
      <c r="J733" t="s">
        <v>454</v>
      </c>
      <c r="K733" s="90">
        <f>IF(Tableau4[[#This Row],[État]]="Remis",1,0)</f>
        <v>0</v>
      </c>
    </row>
    <row r="734" spans="2:11" x14ac:dyDescent="0.25">
      <c r="B734" t="s">
        <v>453</v>
      </c>
      <c r="C734" s="90" t="str">
        <f>VLOOKUP(Tableau4[[#This Row],[Réf matériel]],Tableau3[],2,FALSE)</f>
        <v>Clé plate cliquet 22</v>
      </c>
      <c r="D734" s="90">
        <f>VLOOKUP(Tableau4[[#This Row],[Réf matériel]],Tableau3[],3,FALSE)</f>
        <v>23.67</v>
      </c>
      <c r="E734" t="s">
        <v>326</v>
      </c>
      <c r="F734" s="90" t="str">
        <f>VLOOKUP(Tableau4[[#This Row],[Matricule]],Tableau1[],2,FALSE)</f>
        <v>CLAUX</v>
      </c>
      <c r="G734" s="90" t="str">
        <f>VLOOKUP(Tableau4[[#This Row],[Matricule]],Tableau1[],3,FALSE)</f>
        <v>Nicolas</v>
      </c>
      <c r="H734" s="90" t="str">
        <f>VLOOKUP(Tableau4[[#This Row],[Matricule]],Tableau1[],4,FALSE)</f>
        <v>AD</v>
      </c>
      <c r="J734" t="s">
        <v>454</v>
      </c>
      <c r="K734" s="90">
        <f>IF(Tableau4[[#This Row],[État]]="Remis",1,0)</f>
        <v>0</v>
      </c>
    </row>
    <row r="735" spans="2:11" x14ac:dyDescent="0.25">
      <c r="B735" t="s">
        <v>437</v>
      </c>
      <c r="C735" s="90" t="str">
        <f>VLOOKUP(Tableau4[[#This Row],[Réf matériel]],Tableau3[],2,FALSE)</f>
        <v>Clé plate 24</v>
      </c>
      <c r="D735" s="90">
        <f>VLOOKUP(Tableau4[[#This Row],[Réf matériel]],Tableau3[],3,FALSE)</f>
        <v>6.8</v>
      </c>
      <c r="E735" t="s">
        <v>326</v>
      </c>
      <c r="F735" s="90" t="str">
        <f>VLOOKUP(Tableau4[[#This Row],[Matricule]],Tableau1[],2,FALSE)</f>
        <v>CLAUX</v>
      </c>
      <c r="G735" s="90" t="str">
        <f>VLOOKUP(Tableau4[[#This Row],[Matricule]],Tableau1[],3,FALSE)</f>
        <v>Nicolas</v>
      </c>
      <c r="H735" s="90" t="str">
        <f>VLOOKUP(Tableau4[[#This Row],[Matricule]],Tableau1[],4,FALSE)</f>
        <v>AD</v>
      </c>
      <c r="J735" t="s">
        <v>454</v>
      </c>
      <c r="K735" s="90">
        <f>IF(Tableau4[[#This Row],[État]]="Remis",1,0)</f>
        <v>0</v>
      </c>
    </row>
    <row r="736" spans="2:11" x14ac:dyDescent="0.25">
      <c r="B736" t="s">
        <v>392</v>
      </c>
      <c r="C736" s="90" t="str">
        <f>VLOOKUP(Tableau4[[#This Row],[Réf matériel]],Tableau3[],2,FALSE)</f>
        <v>Coffre</v>
      </c>
      <c r="D736" s="90">
        <f>VLOOKUP(Tableau4[[#This Row],[Réf matériel]],Tableau3[],3,FALSE)</f>
        <v>54.54</v>
      </c>
      <c r="E736" t="s">
        <v>326</v>
      </c>
      <c r="F736" s="90" t="str">
        <f>VLOOKUP(Tableau4[[#This Row],[Matricule]],Tableau1[],2,FALSE)</f>
        <v>CLAUX</v>
      </c>
      <c r="G736" s="90" t="str">
        <f>VLOOKUP(Tableau4[[#This Row],[Matricule]],Tableau1[],3,FALSE)</f>
        <v>Nicolas</v>
      </c>
      <c r="H736" s="90" t="str">
        <f>VLOOKUP(Tableau4[[#This Row],[Matricule]],Tableau1[],4,FALSE)</f>
        <v>AD</v>
      </c>
      <c r="J736" t="s">
        <v>454</v>
      </c>
      <c r="K736" s="90">
        <f>IF(Tableau4[[#This Row],[État]]="Remis",1,0)</f>
        <v>0</v>
      </c>
    </row>
    <row r="737" spans="2:11" x14ac:dyDescent="0.25">
      <c r="B737" t="s">
        <v>398</v>
      </c>
      <c r="C737" s="90" t="str">
        <f>VLOOKUP(Tableau4[[#This Row],[Réf matériel]],Tableau3[],2,FALSE)</f>
        <v>Coffret douilles</v>
      </c>
      <c r="D737" s="90">
        <f>VLOOKUP(Tableau4[[#This Row],[Réf matériel]],Tableau3[],3,FALSE)</f>
        <v>103.22</v>
      </c>
      <c r="E737" t="s">
        <v>499</v>
      </c>
      <c r="F737" s="90" t="str">
        <f>VLOOKUP(Tableau4[[#This Row],[Matricule]],Tableau1[],2,FALSE)</f>
        <v>Caisse volante1</v>
      </c>
      <c r="G737" s="90">
        <f>VLOOKUP(Tableau4[[#This Row],[Matricule]],Tableau1[],3,FALSE)</f>
        <v>0</v>
      </c>
      <c r="H737" s="90">
        <f>VLOOKUP(Tableau4[[#This Row],[Matricule]],Tableau1[],4,FALSE)</f>
        <v>0</v>
      </c>
      <c r="J737" t="s">
        <v>380</v>
      </c>
      <c r="K737" s="90">
        <f>IF(Tableau4[[#This Row],[État]]="Remis",1,0)</f>
        <v>1</v>
      </c>
    </row>
    <row r="738" spans="2:11" x14ac:dyDescent="0.25">
      <c r="B738" t="s">
        <v>398</v>
      </c>
      <c r="C738" s="90" t="str">
        <f>VLOOKUP(Tableau4[[#This Row],[Réf matériel]],Tableau3[],2,FALSE)</f>
        <v>Coffret douilles</v>
      </c>
      <c r="D738" s="90">
        <f>VLOOKUP(Tableau4[[#This Row],[Réf matériel]],Tableau3[],3,FALSE)</f>
        <v>103.22</v>
      </c>
      <c r="E738" t="s">
        <v>326</v>
      </c>
      <c r="F738" s="90" t="str">
        <f>VLOOKUP(Tableau4[[#This Row],[Matricule]],Tableau1[],2,FALSE)</f>
        <v>CLAUX</v>
      </c>
      <c r="G738" s="90" t="str">
        <f>VLOOKUP(Tableau4[[#This Row],[Matricule]],Tableau1[],3,FALSE)</f>
        <v>Nicolas</v>
      </c>
      <c r="H738" s="90" t="str">
        <f>VLOOKUP(Tableau4[[#This Row],[Matricule]],Tableau1[],4,FALSE)</f>
        <v>AD</v>
      </c>
      <c r="J738" t="s">
        <v>454</v>
      </c>
      <c r="K738" s="90">
        <f>IF(Tableau4[[#This Row],[État]]="Remis",1,0)</f>
        <v>0</v>
      </c>
    </row>
    <row r="739" spans="2:11" x14ac:dyDescent="0.25">
      <c r="B739" t="s">
        <v>430</v>
      </c>
      <c r="C739" s="90" t="str">
        <f>VLOOKUP(Tableau4[[#This Row],[Réf matériel]],Tableau3[],2,FALSE)</f>
        <v>Couteau électricien</v>
      </c>
      <c r="D739" s="90">
        <f>VLOOKUP(Tableau4[[#This Row],[Réf matériel]],Tableau3[],3,FALSE)</f>
        <v>17.149999999999999</v>
      </c>
      <c r="E739" t="s">
        <v>326</v>
      </c>
      <c r="F739" s="90" t="str">
        <f>VLOOKUP(Tableau4[[#This Row],[Matricule]],Tableau1[],2,FALSE)</f>
        <v>CLAUX</v>
      </c>
      <c r="G739" s="90" t="str">
        <f>VLOOKUP(Tableau4[[#This Row],[Matricule]],Tableau1[],3,FALSE)</f>
        <v>Nicolas</v>
      </c>
      <c r="H739" s="90" t="str">
        <f>VLOOKUP(Tableau4[[#This Row],[Matricule]],Tableau1[],4,FALSE)</f>
        <v>AD</v>
      </c>
      <c r="J739" t="s">
        <v>454</v>
      </c>
      <c r="K739" s="90">
        <f>IF(Tableau4[[#This Row],[État]]="Remis",1,0)</f>
        <v>0</v>
      </c>
    </row>
    <row r="740" spans="2:11" x14ac:dyDescent="0.25">
      <c r="B740" t="s">
        <v>430</v>
      </c>
      <c r="C740" s="90" t="str">
        <f>VLOOKUP(Tableau4[[#This Row],[Réf matériel]],Tableau3[],2,FALSE)</f>
        <v>Couteau électricien</v>
      </c>
      <c r="D740" s="90">
        <f>VLOOKUP(Tableau4[[#This Row],[Réf matériel]],Tableau3[],3,FALSE)</f>
        <v>17.149999999999999</v>
      </c>
      <c r="E740" t="s">
        <v>326</v>
      </c>
      <c r="F740" s="90" t="str">
        <f>VLOOKUP(Tableau4[[#This Row],[Matricule]],Tableau1[],2,FALSE)</f>
        <v>CLAUX</v>
      </c>
      <c r="G740" s="90" t="str">
        <f>VLOOKUP(Tableau4[[#This Row],[Matricule]],Tableau1[],3,FALSE)</f>
        <v>Nicolas</v>
      </c>
      <c r="H740" s="90" t="str">
        <f>VLOOKUP(Tableau4[[#This Row],[Matricule]],Tableau1[],4,FALSE)</f>
        <v>AD</v>
      </c>
      <c r="J740" t="s">
        <v>454</v>
      </c>
      <c r="K740" s="90">
        <f>IF(Tableau4[[#This Row],[État]]="Remis",1,0)</f>
        <v>0</v>
      </c>
    </row>
    <row r="741" spans="2:11" x14ac:dyDescent="0.25">
      <c r="B741" t="s">
        <v>430</v>
      </c>
      <c r="C741" s="90" t="str">
        <f>VLOOKUP(Tableau4[[#This Row],[Réf matériel]],Tableau3[],2,FALSE)</f>
        <v>Couteau électricien</v>
      </c>
      <c r="D741" s="90">
        <f>VLOOKUP(Tableau4[[#This Row],[Réf matériel]],Tableau3[],3,FALSE)</f>
        <v>17.149999999999999</v>
      </c>
      <c r="E741" t="s">
        <v>326</v>
      </c>
      <c r="F741" s="90" t="str">
        <f>VLOOKUP(Tableau4[[#This Row],[Matricule]],Tableau1[],2,FALSE)</f>
        <v>CLAUX</v>
      </c>
      <c r="G741" s="90" t="str">
        <f>VLOOKUP(Tableau4[[#This Row],[Matricule]],Tableau1[],3,FALSE)</f>
        <v>Nicolas</v>
      </c>
      <c r="H741" s="90" t="str">
        <f>VLOOKUP(Tableau4[[#This Row],[Matricule]],Tableau1[],4,FALSE)</f>
        <v>AD</v>
      </c>
      <c r="J741" t="s">
        <v>454</v>
      </c>
      <c r="K741" s="90">
        <f>IF(Tableau4[[#This Row],[État]]="Remis",1,0)</f>
        <v>0</v>
      </c>
    </row>
    <row r="742" spans="2:11" x14ac:dyDescent="0.25">
      <c r="B742" t="s">
        <v>400</v>
      </c>
      <c r="C742" s="90" t="str">
        <f>VLOOKUP(Tableau4[[#This Row],[Réf matériel]],Tableau3[],2,FALSE)</f>
        <v>Douille impact 3/4 longueur 36mm</v>
      </c>
      <c r="D742" s="90">
        <f>VLOOKUP(Tableau4[[#This Row],[Réf matériel]],Tableau3[],3,FALSE)</f>
        <v>0</v>
      </c>
      <c r="E742" t="s">
        <v>326</v>
      </c>
      <c r="F742" s="90" t="str">
        <f>VLOOKUP(Tableau4[[#This Row],[Matricule]],Tableau1[],2,FALSE)</f>
        <v>CLAUX</v>
      </c>
      <c r="G742" s="90" t="str">
        <f>VLOOKUP(Tableau4[[#This Row],[Matricule]],Tableau1[],3,FALSE)</f>
        <v>Nicolas</v>
      </c>
      <c r="H742" s="90" t="str">
        <f>VLOOKUP(Tableau4[[#This Row],[Matricule]],Tableau1[],4,FALSE)</f>
        <v>AD</v>
      </c>
      <c r="J742" t="s">
        <v>454</v>
      </c>
      <c r="K742" s="90">
        <f>IF(Tableau4[[#This Row],[État]]="Remis",1,0)</f>
        <v>0</v>
      </c>
    </row>
    <row r="743" spans="2:11" x14ac:dyDescent="0.25">
      <c r="B743" t="s">
        <v>400</v>
      </c>
      <c r="C743" s="90" t="str">
        <f>VLOOKUP(Tableau4[[#This Row],[Réf matériel]],Tableau3[],2,FALSE)</f>
        <v>Douille impact 3/4 longueur 36mm</v>
      </c>
      <c r="D743" s="90">
        <f>VLOOKUP(Tableau4[[#This Row],[Réf matériel]],Tableau3[],3,FALSE)</f>
        <v>0</v>
      </c>
      <c r="E743" t="s">
        <v>326</v>
      </c>
      <c r="F743" s="90" t="str">
        <f>VLOOKUP(Tableau4[[#This Row],[Matricule]],Tableau1[],2,FALSE)</f>
        <v>CLAUX</v>
      </c>
      <c r="G743" s="90" t="str">
        <f>VLOOKUP(Tableau4[[#This Row],[Matricule]],Tableau1[],3,FALSE)</f>
        <v>Nicolas</v>
      </c>
      <c r="H743" s="90" t="str">
        <f>VLOOKUP(Tableau4[[#This Row],[Matricule]],Tableau1[],4,FALSE)</f>
        <v>AD</v>
      </c>
      <c r="J743" t="s">
        <v>454</v>
      </c>
      <c r="K743" s="90">
        <f>IF(Tableau4[[#This Row],[État]]="Remis",1,0)</f>
        <v>0</v>
      </c>
    </row>
    <row r="744" spans="2:11" x14ac:dyDescent="0.25">
      <c r="B744" t="s">
        <v>400</v>
      </c>
      <c r="C744" s="90" t="str">
        <f>VLOOKUP(Tableau4[[#This Row],[Réf matériel]],Tableau3[],2,FALSE)</f>
        <v>Douille impact 3/4 longueur 36mm</v>
      </c>
      <c r="D744" s="90">
        <f>VLOOKUP(Tableau4[[#This Row],[Réf matériel]],Tableau3[],3,FALSE)</f>
        <v>0</v>
      </c>
      <c r="E744" t="s">
        <v>326</v>
      </c>
      <c r="F744" s="90" t="str">
        <f>VLOOKUP(Tableau4[[#This Row],[Matricule]],Tableau1[],2,FALSE)</f>
        <v>CLAUX</v>
      </c>
      <c r="G744" s="90" t="str">
        <f>VLOOKUP(Tableau4[[#This Row],[Matricule]],Tableau1[],3,FALSE)</f>
        <v>Nicolas</v>
      </c>
      <c r="H744" s="90" t="str">
        <f>VLOOKUP(Tableau4[[#This Row],[Matricule]],Tableau1[],4,FALSE)</f>
        <v>AD</v>
      </c>
      <c r="J744" t="s">
        <v>454</v>
      </c>
      <c r="K744" s="90">
        <f>IF(Tableau4[[#This Row],[État]]="Remis",1,0)</f>
        <v>0</v>
      </c>
    </row>
    <row r="745" spans="2:11" x14ac:dyDescent="0.25">
      <c r="B745" t="s">
        <v>289</v>
      </c>
      <c r="C745" s="90" t="str">
        <f>VLOOKUP(Tableau4[[#This Row],[Réf matériel]],Tableau3[],2,FALSE)</f>
        <v>Dymo LABEL MANAGER 160 P</v>
      </c>
      <c r="D745" s="90">
        <f>VLOOKUP(Tableau4[[#This Row],[Réf matériel]],Tableau3[],3,FALSE)</f>
        <v>38</v>
      </c>
      <c r="E745" t="s">
        <v>326</v>
      </c>
      <c r="F745" s="90" t="str">
        <f>VLOOKUP(Tableau4[[#This Row],[Matricule]],Tableau1[],2,FALSE)</f>
        <v>CLAUX</v>
      </c>
      <c r="G745" s="90" t="str">
        <f>VLOOKUP(Tableau4[[#This Row],[Matricule]],Tableau1[],3,FALSE)</f>
        <v>Nicolas</v>
      </c>
      <c r="H745" s="90" t="str">
        <f>VLOOKUP(Tableau4[[#This Row],[Matricule]],Tableau1[],4,FALSE)</f>
        <v>AD</v>
      </c>
      <c r="J745" t="s">
        <v>454</v>
      </c>
      <c r="K745" s="90">
        <f>IF(Tableau4[[#This Row],[État]]="Remis",1,0)</f>
        <v>0</v>
      </c>
    </row>
    <row r="746" spans="2:11" x14ac:dyDescent="0.25">
      <c r="B746" t="s">
        <v>124</v>
      </c>
      <c r="C746" s="90" t="str">
        <f>VLOOKUP(Tableau4[[#This Row],[Réf matériel]],Tableau3[],2,FALSE)</f>
        <v>Jeu de tournevis pro avec embouts de vissage 1/4 ref 438-008</v>
      </c>
      <c r="D746" s="90">
        <f>VLOOKUP(Tableau4[[#This Row],[Réf matériel]],Tableau3[],3,FALSE)</f>
        <v>0</v>
      </c>
      <c r="E746" t="s">
        <v>326</v>
      </c>
      <c r="F746" s="90" t="str">
        <f>VLOOKUP(Tableau4[[#This Row],[Matricule]],Tableau1[],2,FALSE)</f>
        <v>CLAUX</v>
      </c>
      <c r="G746" s="90" t="str">
        <f>VLOOKUP(Tableau4[[#This Row],[Matricule]],Tableau1[],3,FALSE)</f>
        <v>Nicolas</v>
      </c>
      <c r="H746" s="90" t="str">
        <f>VLOOKUP(Tableau4[[#This Row],[Matricule]],Tableau1[],4,FALSE)</f>
        <v>AD</v>
      </c>
      <c r="J746" t="s">
        <v>454</v>
      </c>
      <c r="K746" s="90">
        <f>IF(Tableau4[[#This Row],[État]]="Remis",1,0)</f>
        <v>0</v>
      </c>
    </row>
    <row r="747" spans="2:11" x14ac:dyDescent="0.25">
      <c r="B747" t="s">
        <v>124</v>
      </c>
      <c r="C747" s="90" t="str">
        <f>VLOOKUP(Tableau4[[#This Row],[Réf matériel]],Tableau3[],2,FALSE)</f>
        <v>Jeu de tournevis pro avec embouts de vissage 1/4 ref 438-008</v>
      </c>
      <c r="D747" s="90">
        <f>VLOOKUP(Tableau4[[#This Row],[Réf matériel]],Tableau3[],3,FALSE)</f>
        <v>0</v>
      </c>
      <c r="E747" t="s">
        <v>326</v>
      </c>
      <c r="F747" s="90" t="str">
        <f>VLOOKUP(Tableau4[[#This Row],[Matricule]],Tableau1[],2,FALSE)</f>
        <v>CLAUX</v>
      </c>
      <c r="G747" s="90" t="str">
        <f>VLOOKUP(Tableau4[[#This Row],[Matricule]],Tableau1[],3,FALSE)</f>
        <v>Nicolas</v>
      </c>
      <c r="H747" s="90" t="str">
        <f>VLOOKUP(Tableau4[[#This Row],[Matricule]],Tableau1[],4,FALSE)</f>
        <v>AD</v>
      </c>
      <c r="J747" t="s">
        <v>454</v>
      </c>
      <c r="K747" s="90">
        <f>IF(Tableau4[[#This Row],[État]]="Remis",1,0)</f>
        <v>0</v>
      </c>
    </row>
    <row r="748" spans="2:11" x14ac:dyDescent="0.25">
      <c r="B748" t="s">
        <v>124</v>
      </c>
      <c r="C748" s="90" t="str">
        <f>VLOOKUP(Tableau4[[#This Row],[Réf matériel]],Tableau3[],2,FALSE)</f>
        <v>Jeu de tournevis pro avec embouts de vissage 1/4 ref 438-008</v>
      </c>
      <c r="D748" s="90">
        <f>VLOOKUP(Tableau4[[#This Row],[Réf matériel]],Tableau3[],3,FALSE)</f>
        <v>0</v>
      </c>
      <c r="E748" t="s">
        <v>326</v>
      </c>
      <c r="F748" s="90" t="str">
        <f>VLOOKUP(Tableau4[[#This Row],[Matricule]],Tableau1[],2,FALSE)</f>
        <v>CLAUX</v>
      </c>
      <c r="G748" s="90" t="str">
        <f>VLOOKUP(Tableau4[[#This Row],[Matricule]],Tableau1[],3,FALSE)</f>
        <v>Nicolas</v>
      </c>
      <c r="H748" s="90" t="str">
        <f>VLOOKUP(Tableau4[[#This Row],[Matricule]],Tableau1[],4,FALSE)</f>
        <v>AD</v>
      </c>
      <c r="J748" t="s">
        <v>454</v>
      </c>
      <c r="K748" s="90">
        <f>IF(Tableau4[[#This Row],[État]]="Remis",1,0)</f>
        <v>0</v>
      </c>
    </row>
    <row r="749" spans="2:11" x14ac:dyDescent="0.25">
      <c r="B749" t="s">
        <v>124</v>
      </c>
      <c r="C749" s="90" t="str">
        <f>VLOOKUP(Tableau4[[#This Row],[Réf matériel]],Tableau3[],2,FALSE)</f>
        <v>Jeu de tournevis pro avec embouts de vissage 1/4 ref 438-008</v>
      </c>
      <c r="D749" s="90">
        <f>VLOOKUP(Tableau4[[#This Row],[Réf matériel]],Tableau3[],3,FALSE)</f>
        <v>0</v>
      </c>
      <c r="E749" t="s">
        <v>326</v>
      </c>
      <c r="F749" s="90" t="str">
        <f>VLOOKUP(Tableau4[[#This Row],[Matricule]],Tableau1[],2,FALSE)</f>
        <v>CLAUX</v>
      </c>
      <c r="G749" s="90" t="str">
        <f>VLOOKUP(Tableau4[[#This Row],[Matricule]],Tableau1[],3,FALSE)</f>
        <v>Nicolas</v>
      </c>
      <c r="H749" s="90" t="str">
        <f>VLOOKUP(Tableau4[[#This Row],[Matricule]],Tableau1[],4,FALSE)</f>
        <v>AD</v>
      </c>
      <c r="J749" t="s">
        <v>454</v>
      </c>
      <c r="K749" s="90">
        <f>IF(Tableau4[[#This Row],[État]]="Remis",1,0)</f>
        <v>0</v>
      </c>
    </row>
    <row r="750" spans="2:11" x14ac:dyDescent="0.25">
      <c r="B750" t="s">
        <v>56</v>
      </c>
      <c r="C750" s="90" t="str">
        <f>VLOOKUP(Tableau4[[#This Row],[Réf matériel]],Tableau3[],2,FALSE)</f>
        <v>Jeu tournevis</v>
      </c>
      <c r="D750" s="90">
        <f>VLOOKUP(Tableau4[[#This Row],[Réf matériel]],Tableau3[],3,FALSE)</f>
        <v>37.57</v>
      </c>
      <c r="E750" t="s">
        <v>326</v>
      </c>
      <c r="F750" s="90" t="str">
        <f>VLOOKUP(Tableau4[[#This Row],[Matricule]],Tableau1[],2,FALSE)</f>
        <v>CLAUX</v>
      </c>
      <c r="G750" s="90" t="str">
        <f>VLOOKUP(Tableau4[[#This Row],[Matricule]],Tableau1[],3,FALSE)</f>
        <v>Nicolas</v>
      </c>
      <c r="H750" s="90" t="str">
        <f>VLOOKUP(Tableau4[[#This Row],[Matricule]],Tableau1[],4,FALSE)</f>
        <v>AD</v>
      </c>
      <c r="J750" t="s">
        <v>454</v>
      </c>
      <c r="K750" s="90">
        <f>IF(Tableau4[[#This Row],[État]]="Remis",1,0)</f>
        <v>0</v>
      </c>
    </row>
    <row r="751" spans="2:11" x14ac:dyDescent="0.25">
      <c r="B751" t="s">
        <v>73</v>
      </c>
      <c r="C751" s="90" t="str">
        <f>VLOOKUP(Tableau4[[#This Row],[Réf matériel]],Tableau3[],2,FALSE)</f>
        <v>Lunette de protection</v>
      </c>
      <c r="D751" s="90">
        <f>VLOOKUP(Tableau4[[#This Row],[Réf matériel]],Tableau3[],3,FALSE)</f>
        <v>2.38</v>
      </c>
      <c r="E751" t="s">
        <v>326</v>
      </c>
      <c r="F751" s="90" t="str">
        <f>VLOOKUP(Tableau4[[#This Row],[Matricule]],Tableau1[],2,FALSE)</f>
        <v>CLAUX</v>
      </c>
      <c r="G751" s="90" t="str">
        <f>VLOOKUP(Tableau4[[#This Row],[Matricule]],Tableau1[],3,FALSE)</f>
        <v>Nicolas</v>
      </c>
      <c r="H751" s="90" t="str">
        <f>VLOOKUP(Tableau4[[#This Row],[Matricule]],Tableau1[],4,FALSE)</f>
        <v>AD</v>
      </c>
      <c r="J751" t="s">
        <v>454</v>
      </c>
      <c r="K751" s="90">
        <f>IF(Tableau4[[#This Row],[État]]="Remis",1,0)</f>
        <v>0</v>
      </c>
    </row>
    <row r="752" spans="2:11" x14ac:dyDescent="0.25">
      <c r="B752" t="s">
        <v>73</v>
      </c>
      <c r="C752" s="90" t="str">
        <f>VLOOKUP(Tableau4[[#This Row],[Réf matériel]],Tableau3[],2,FALSE)</f>
        <v>Lunette de protection</v>
      </c>
      <c r="D752" s="90">
        <f>VLOOKUP(Tableau4[[#This Row],[Réf matériel]],Tableau3[],3,FALSE)</f>
        <v>2.38</v>
      </c>
      <c r="E752" t="s">
        <v>326</v>
      </c>
      <c r="F752" s="90" t="str">
        <f>VLOOKUP(Tableau4[[#This Row],[Matricule]],Tableau1[],2,FALSE)</f>
        <v>CLAUX</v>
      </c>
      <c r="G752" s="90" t="str">
        <f>VLOOKUP(Tableau4[[#This Row],[Matricule]],Tableau1[],3,FALSE)</f>
        <v>Nicolas</v>
      </c>
      <c r="H752" s="90" t="str">
        <f>VLOOKUP(Tableau4[[#This Row],[Matricule]],Tableau1[],4,FALSE)</f>
        <v>AD</v>
      </c>
      <c r="J752" t="s">
        <v>454</v>
      </c>
      <c r="K752" s="90">
        <f>IF(Tableau4[[#This Row],[État]]="Remis",1,0)</f>
        <v>0</v>
      </c>
    </row>
    <row r="753" spans="2:11" x14ac:dyDescent="0.25">
      <c r="B753" t="s">
        <v>73</v>
      </c>
      <c r="C753" s="90" t="str">
        <f>VLOOKUP(Tableau4[[#This Row],[Réf matériel]],Tableau3[],2,FALSE)</f>
        <v>Lunette de protection</v>
      </c>
      <c r="D753" s="90">
        <f>VLOOKUP(Tableau4[[#This Row],[Réf matériel]],Tableau3[],3,FALSE)</f>
        <v>2.38</v>
      </c>
      <c r="E753" t="s">
        <v>326</v>
      </c>
      <c r="F753" s="90" t="str">
        <f>VLOOKUP(Tableau4[[#This Row],[Matricule]],Tableau1[],2,FALSE)</f>
        <v>CLAUX</v>
      </c>
      <c r="G753" s="90" t="str">
        <f>VLOOKUP(Tableau4[[#This Row],[Matricule]],Tableau1[],3,FALSE)</f>
        <v>Nicolas</v>
      </c>
      <c r="H753" s="90" t="str">
        <f>VLOOKUP(Tableau4[[#This Row],[Matricule]],Tableau1[],4,FALSE)</f>
        <v>AD</v>
      </c>
      <c r="J753" t="s">
        <v>454</v>
      </c>
      <c r="K753" s="90">
        <f>IF(Tableau4[[#This Row],[État]]="Remis",1,0)</f>
        <v>0</v>
      </c>
    </row>
    <row r="754" spans="2:11" x14ac:dyDescent="0.25">
      <c r="B754" t="s">
        <v>73</v>
      </c>
      <c r="C754" s="90" t="str">
        <f>VLOOKUP(Tableau4[[#This Row],[Réf matériel]],Tableau3[],2,FALSE)</f>
        <v>Lunette de protection</v>
      </c>
      <c r="D754" s="90">
        <f>VLOOKUP(Tableau4[[#This Row],[Réf matériel]],Tableau3[],3,FALSE)</f>
        <v>2.38</v>
      </c>
      <c r="E754" t="s">
        <v>326</v>
      </c>
      <c r="F754" s="90" t="str">
        <f>VLOOKUP(Tableau4[[#This Row],[Matricule]],Tableau1[],2,FALSE)</f>
        <v>CLAUX</v>
      </c>
      <c r="G754" s="90" t="str">
        <f>VLOOKUP(Tableau4[[#This Row],[Matricule]],Tableau1[],3,FALSE)</f>
        <v>Nicolas</v>
      </c>
      <c r="H754" s="90" t="str">
        <f>VLOOKUP(Tableau4[[#This Row],[Matricule]],Tableau1[],4,FALSE)</f>
        <v>AD</v>
      </c>
      <c r="J754" t="s">
        <v>454</v>
      </c>
      <c r="K754" s="90">
        <f>IF(Tableau4[[#This Row],[État]]="Remis",1,0)</f>
        <v>0</v>
      </c>
    </row>
    <row r="755" spans="2:11" x14ac:dyDescent="0.25">
      <c r="B755" t="s">
        <v>73</v>
      </c>
      <c r="C755" s="90" t="str">
        <f>VLOOKUP(Tableau4[[#This Row],[Réf matériel]],Tableau3[],2,FALSE)</f>
        <v>Lunette de protection</v>
      </c>
      <c r="D755" s="90">
        <f>VLOOKUP(Tableau4[[#This Row],[Réf matériel]],Tableau3[],3,FALSE)</f>
        <v>2.38</v>
      </c>
      <c r="E755" t="s">
        <v>326</v>
      </c>
      <c r="F755" s="90" t="str">
        <f>VLOOKUP(Tableau4[[#This Row],[Matricule]],Tableau1[],2,FALSE)</f>
        <v>CLAUX</v>
      </c>
      <c r="G755" s="90" t="str">
        <f>VLOOKUP(Tableau4[[#This Row],[Matricule]],Tableau1[],3,FALSE)</f>
        <v>Nicolas</v>
      </c>
      <c r="H755" s="90" t="str">
        <f>VLOOKUP(Tableau4[[#This Row],[Matricule]],Tableau1[],4,FALSE)</f>
        <v>AD</v>
      </c>
      <c r="J755" t="s">
        <v>454</v>
      </c>
      <c r="K755" s="90">
        <f>IF(Tableau4[[#This Row],[État]]="Remis",1,0)</f>
        <v>0</v>
      </c>
    </row>
    <row r="756" spans="2:11" x14ac:dyDescent="0.25">
      <c r="B756" t="s">
        <v>73</v>
      </c>
      <c r="C756" s="90" t="str">
        <f>VLOOKUP(Tableau4[[#This Row],[Réf matériel]],Tableau3[],2,FALSE)</f>
        <v>Lunette de protection</v>
      </c>
      <c r="D756" s="90">
        <f>VLOOKUP(Tableau4[[#This Row],[Réf matériel]],Tableau3[],3,FALSE)</f>
        <v>2.38</v>
      </c>
      <c r="E756" t="s">
        <v>326</v>
      </c>
      <c r="F756" s="90" t="str">
        <f>VLOOKUP(Tableau4[[#This Row],[Matricule]],Tableau1[],2,FALSE)</f>
        <v>CLAUX</v>
      </c>
      <c r="G756" s="90" t="str">
        <f>VLOOKUP(Tableau4[[#This Row],[Matricule]],Tableau1[],3,FALSE)</f>
        <v>Nicolas</v>
      </c>
      <c r="H756" s="90" t="str">
        <f>VLOOKUP(Tableau4[[#This Row],[Matricule]],Tableau1[],4,FALSE)</f>
        <v>AD</v>
      </c>
      <c r="J756" t="s">
        <v>454</v>
      </c>
      <c r="K756" s="90">
        <f>IF(Tableau4[[#This Row],[État]]="Remis",1,0)</f>
        <v>0</v>
      </c>
    </row>
    <row r="757" spans="2:11" x14ac:dyDescent="0.25">
      <c r="B757" t="s">
        <v>73</v>
      </c>
      <c r="C757" s="90" t="str">
        <f>VLOOKUP(Tableau4[[#This Row],[Réf matériel]],Tableau3[],2,FALSE)</f>
        <v>Lunette de protection</v>
      </c>
      <c r="D757" s="90">
        <f>VLOOKUP(Tableau4[[#This Row],[Réf matériel]],Tableau3[],3,FALSE)</f>
        <v>2.38</v>
      </c>
      <c r="E757" t="s">
        <v>326</v>
      </c>
      <c r="F757" s="90" t="str">
        <f>VLOOKUP(Tableau4[[#This Row],[Matricule]],Tableau1[],2,FALSE)</f>
        <v>CLAUX</v>
      </c>
      <c r="G757" s="90" t="str">
        <f>VLOOKUP(Tableau4[[#This Row],[Matricule]],Tableau1[],3,FALSE)</f>
        <v>Nicolas</v>
      </c>
      <c r="H757" s="90" t="str">
        <f>VLOOKUP(Tableau4[[#This Row],[Matricule]],Tableau1[],4,FALSE)</f>
        <v>AD</v>
      </c>
      <c r="J757" t="s">
        <v>454</v>
      </c>
      <c r="K757" s="90">
        <f>IF(Tableau4[[#This Row],[État]]="Remis",1,0)</f>
        <v>0</v>
      </c>
    </row>
    <row r="758" spans="2:11" x14ac:dyDescent="0.25">
      <c r="B758" t="s">
        <v>73</v>
      </c>
      <c r="C758" s="90" t="str">
        <f>VLOOKUP(Tableau4[[#This Row],[Réf matériel]],Tableau3[],2,FALSE)</f>
        <v>Lunette de protection</v>
      </c>
      <c r="D758" s="90">
        <f>VLOOKUP(Tableau4[[#This Row],[Réf matériel]],Tableau3[],3,FALSE)</f>
        <v>2.38</v>
      </c>
      <c r="E758" t="s">
        <v>326</v>
      </c>
      <c r="F758" s="90" t="str">
        <f>VLOOKUP(Tableau4[[#This Row],[Matricule]],Tableau1[],2,FALSE)</f>
        <v>CLAUX</v>
      </c>
      <c r="G758" s="90" t="str">
        <f>VLOOKUP(Tableau4[[#This Row],[Matricule]],Tableau1[],3,FALSE)</f>
        <v>Nicolas</v>
      </c>
      <c r="H758" s="90" t="str">
        <f>VLOOKUP(Tableau4[[#This Row],[Matricule]],Tableau1[],4,FALSE)</f>
        <v>AD</v>
      </c>
      <c r="J758" t="s">
        <v>454</v>
      </c>
      <c r="K758" s="90">
        <f>IF(Tableau4[[#This Row],[État]]="Remis",1,0)</f>
        <v>0</v>
      </c>
    </row>
    <row r="759" spans="2:11" x14ac:dyDescent="0.25">
      <c r="B759" t="s">
        <v>73</v>
      </c>
      <c r="C759" s="90" t="str">
        <f>VLOOKUP(Tableau4[[#This Row],[Réf matériel]],Tableau3[],2,FALSE)</f>
        <v>Lunette de protection</v>
      </c>
      <c r="D759" s="90">
        <f>VLOOKUP(Tableau4[[#This Row],[Réf matériel]],Tableau3[],3,FALSE)</f>
        <v>2.38</v>
      </c>
      <c r="E759" t="s">
        <v>326</v>
      </c>
      <c r="F759" s="90" t="str">
        <f>VLOOKUP(Tableau4[[#This Row],[Matricule]],Tableau1[],2,FALSE)</f>
        <v>CLAUX</v>
      </c>
      <c r="G759" s="90" t="str">
        <f>VLOOKUP(Tableau4[[#This Row],[Matricule]],Tableau1[],3,FALSE)</f>
        <v>Nicolas</v>
      </c>
      <c r="H759" s="90" t="str">
        <f>VLOOKUP(Tableau4[[#This Row],[Matricule]],Tableau1[],4,FALSE)</f>
        <v>AD</v>
      </c>
      <c r="J759" t="s">
        <v>454</v>
      </c>
      <c r="K759" s="90">
        <f>IF(Tableau4[[#This Row],[État]]="Remis",1,0)</f>
        <v>0</v>
      </c>
    </row>
    <row r="760" spans="2:11" x14ac:dyDescent="0.25">
      <c r="B760" t="s">
        <v>73</v>
      </c>
      <c r="C760" s="90" t="str">
        <f>VLOOKUP(Tableau4[[#This Row],[Réf matériel]],Tableau3[],2,FALSE)</f>
        <v>Lunette de protection</v>
      </c>
      <c r="D760" s="90">
        <f>VLOOKUP(Tableau4[[#This Row],[Réf matériel]],Tableau3[],3,FALSE)</f>
        <v>2.38</v>
      </c>
      <c r="E760" t="s">
        <v>326</v>
      </c>
      <c r="F760" s="90" t="str">
        <f>VLOOKUP(Tableau4[[#This Row],[Matricule]],Tableau1[],2,FALSE)</f>
        <v>CLAUX</v>
      </c>
      <c r="G760" s="90" t="str">
        <f>VLOOKUP(Tableau4[[#This Row],[Matricule]],Tableau1[],3,FALSE)</f>
        <v>Nicolas</v>
      </c>
      <c r="H760" s="90" t="str">
        <f>VLOOKUP(Tableau4[[#This Row],[Matricule]],Tableau1[],4,FALSE)</f>
        <v>AD</v>
      </c>
      <c r="J760" t="s">
        <v>454</v>
      </c>
      <c r="K760" s="90">
        <f>IF(Tableau4[[#This Row],[État]]="Remis",1,0)</f>
        <v>0</v>
      </c>
    </row>
    <row r="761" spans="2:11" x14ac:dyDescent="0.25">
      <c r="B761" t="s">
        <v>51</v>
      </c>
      <c r="C761" s="90" t="str">
        <f>VLOOKUP(Tableau4[[#This Row],[Réf matériel]],Tableau3[],2,FALSE)</f>
        <v>Mètre pliant</v>
      </c>
      <c r="D761" s="90">
        <f>VLOOKUP(Tableau4[[#This Row],[Réf matériel]],Tableau3[],3,FALSE)</f>
        <v>3.2</v>
      </c>
      <c r="E761" t="s">
        <v>326</v>
      </c>
      <c r="F761" s="90" t="str">
        <f>VLOOKUP(Tableau4[[#This Row],[Matricule]],Tableau1[],2,FALSE)</f>
        <v>CLAUX</v>
      </c>
      <c r="G761" s="90" t="str">
        <f>VLOOKUP(Tableau4[[#This Row],[Matricule]],Tableau1[],3,FALSE)</f>
        <v>Nicolas</v>
      </c>
      <c r="H761" s="90" t="str">
        <f>VLOOKUP(Tableau4[[#This Row],[Matricule]],Tableau1[],4,FALSE)</f>
        <v>AD</v>
      </c>
      <c r="J761" t="s">
        <v>454</v>
      </c>
      <c r="K761" s="90">
        <f>IF(Tableau4[[#This Row],[État]]="Remis",1,0)</f>
        <v>0</v>
      </c>
    </row>
    <row r="762" spans="2:11" x14ac:dyDescent="0.25">
      <c r="B762" t="s">
        <v>55</v>
      </c>
      <c r="C762" s="90" t="str">
        <f>VLOOKUP(Tableau4[[#This Row],[Réf matériel]],Tableau3[],2,FALSE)</f>
        <v>Niveau</v>
      </c>
      <c r="D762" s="90">
        <f>VLOOKUP(Tableau4[[#This Row],[Réf matériel]],Tableau3[],3,FALSE)</f>
        <v>15</v>
      </c>
      <c r="E762" t="s">
        <v>326</v>
      </c>
      <c r="F762" s="90" t="str">
        <f>VLOOKUP(Tableau4[[#This Row],[Matricule]],Tableau1[],2,FALSE)</f>
        <v>CLAUX</v>
      </c>
      <c r="G762" s="90" t="str">
        <f>VLOOKUP(Tableau4[[#This Row],[Matricule]],Tableau1[],3,FALSE)</f>
        <v>Nicolas</v>
      </c>
      <c r="H762" s="90" t="str">
        <f>VLOOKUP(Tableau4[[#This Row],[Matricule]],Tableau1[],4,FALSE)</f>
        <v>AD</v>
      </c>
      <c r="J762" t="s">
        <v>454</v>
      </c>
      <c r="K762" s="90">
        <f>IF(Tableau4[[#This Row],[État]]="Remis",1,0)</f>
        <v>0</v>
      </c>
    </row>
    <row r="763" spans="2:11" x14ac:dyDescent="0.25">
      <c r="B763" t="s">
        <v>287</v>
      </c>
      <c r="C763" s="90" t="str">
        <f>VLOOKUP(Tableau4[[#This Row],[Réf matériel]],Tableau3[],2,FALSE)</f>
        <v>Outil à dégainer</v>
      </c>
      <c r="D763" s="90">
        <f>VLOOKUP(Tableau4[[#This Row],[Réf matériel]],Tableau3[],3,FALSE)</f>
        <v>20.5</v>
      </c>
      <c r="E763" t="s">
        <v>326</v>
      </c>
      <c r="F763" s="90" t="str">
        <f>VLOOKUP(Tableau4[[#This Row],[Matricule]],Tableau1[],2,FALSE)</f>
        <v>CLAUX</v>
      </c>
      <c r="G763" s="90" t="str">
        <f>VLOOKUP(Tableau4[[#This Row],[Matricule]],Tableau1[],3,FALSE)</f>
        <v>Nicolas</v>
      </c>
      <c r="H763" s="90" t="str">
        <f>VLOOKUP(Tableau4[[#This Row],[Matricule]],Tableau1[],4,FALSE)</f>
        <v>AD</v>
      </c>
      <c r="J763" t="s">
        <v>454</v>
      </c>
      <c r="K763" s="90">
        <f>IF(Tableau4[[#This Row],[État]]="Remis",1,0)</f>
        <v>0</v>
      </c>
    </row>
    <row r="764" spans="2:11" x14ac:dyDescent="0.25">
      <c r="B764" t="s">
        <v>287</v>
      </c>
      <c r="C764" s="90" t="str">
        <f>VLOOKUP(Tableau4[[#This Row],[Réf matériel]],Tableau3[],2,FALSE)</f>
        <v>Outil à dégainer</v>
      </c>
      <c r="D764" s="90">
        <f>VLOOKUP(Tableau4[[#This Row],[Réf matériel]],Tableau3[],3,FALSE)</f>
        <v>20.5</v>
      </c>
      <c r="E764" t="s">
        <v>326</v>
      </c>
      <c r="F764" s="90" t="str">
        <f>VLOOKUP(Tableau4[[#This Row],[Matricule]],Tableau1[],2,FALSE)</f>
        <v>CLAUX</v>
      </c>
      <c r="G764" s="90" t="str">
        <f>VLOOKUP(Tableau4[[#This Row],[Matricule]],Tableau1[],3,FALSE)</f>
        <v>Nicolas</v>
      </c>
      <c r="H764" s="90" t="str">
        <f>VLOOKUP(Tableau4[[#This Row],[Matricule]],Tableau1[],4,FALSE)</f>
        <v>AD</v>
      </c>
      <c r="J764" t="s">
        <v>454</v>
      </c>
      <c r="K764" s="90">
        <f>IF(Tableau4[[#This Row],[État]]="Remis",1,0)</f>
        <v>0</v>
      </c>
    </row>
    <row r="765" spans="2:11" x14ac:dyDescent="0.25">
      <c r="B765" t="s">
        <v>445</v>
      </c>
      <c r="C765" s="90" t="str">
        <f>VLOOKUP(Tableau4[[#This Row],[Réf matériel]],Tableau3[],2,FALSE)</f>
        <v>Pince à bec plat</v>
      </c>
      <c r="D765" s="90">
        <f>VLOOKUP(Tableau4[[#This Row],[Réf matériel]],Tableau3[],3,FALSE)</f>
        <v>20.8</v>
      </c>
      <c r="E765" t="s">
        <v>326</v>
      </c>
      <c r="F765" s="90" t="str">
        <f>VLOOKUP(Tableau4[[#This Row],[Matricule]],Tableau1[],2,FALSE)</f>
        <v>CLAUX</v>
      </c>
      <c r="G765" s="90" t="str">
        <f>VLOOKUP(Tableau4[[#This Row],[Matricule]],Tableau1[],3,FALSE)</f>
        <v>Nicolas</v>
      </c>
      <c r="H765" s="90" t="str">
        <f>VLOOKUP(Tableau4[[#This Row],[Matricule]],Tableau1[],4,FALSE)</f>
        <v>AD</v>
      </c>
      <c r="J765" t="s">
        <v>454</v>
      </c>
      <c r="K765" s="90">
        <f>IF(Tableau4[[#This Row],[État]]="Remis",1,0)</f>
        <v>0</v>
      </c>
    </row>
    <row r="766" spans="2:11" x14ac:dyDescent="0.25">
      <c r="B766" t="s">
        <v>445</v>
      </c>
      <c r="C766" s="90" t="str">
        <f>VLOOKUP(Tableau4[[#This Row],[Réf matériel]],Tableau3[],2,FALSE)</f>
        <v>Pince à bec plat</v>
      </c>
      <c r="D766" s="90">
        <f>VLOOKUP(Tableau4[[#This Row],[Réf matériel]],Tableau3[],3,FALSE)</f>
        <v>20.8</v>
      </c>
      <c r="E766" t="s">
        <v>326</v>
      </c>
      <c r="F766" s="90" t="str">
        <f>VLOOKUP(Tableau4[[#This Row],[Matricule]],Tableau1[],2,FALSE)</f>
        <v>CLAUX</v>
      </c>
      <c r="G766" s="90" t="str">
        <f>VLOOKUP(Tableau4[[#This Row],[Matricule]],Tableau1[],3,FALSE)</f>
        <v>Nicolas</v>
      </c>
      <c r="H766" s="90" t="str">
        <f>VLOOKUP(Tableau4[[#This Row],[Matricule]],Tableau1[],4,FALSE)</f>
        <v>AD</v>
      </c>
      <c r="J766" t="s">
        <v>454</v>
      </c>
      <c r="K766" s="90">
        <f>IF(Tableau4[[#This Row],[État]]="Remis",1,0)</f>
        <v>0</v>
      </c>
    </row>
    <row r="767" spans="2:11" x14ac:dyDescent="0.25">
      <c r="B767" t="s">
        <v>102</v>
      </c>
      <c r="C767" s="90" t="str">
        <f>VLOOKUP(Tableau4[[#This Row],[Réf matériel]],Tableau3[],2,FALSE)</f>
        <v>Pince à Sertir</v>
      </c>
      <c r="D767" s="90">
        <f>VLOOKUP(Tableau4[[#This Row],[Réf matériel]],Tableau3[],3,FALSE)</f>
        <v>78.400000000000006</v>
      </c>
      <c r="E767" t="s">
        <v>326</v>
      </c>
      <c r="F767" s="90" t="str">
        <f>VLOOKUP(Tableau4[[#This Row],[Matricule]],Tableau1[],2,FALSE)</f>
        <v>CLAUX</v>
      </c>
      <c r="G767" s="90" t="str">
        <f>VLOOKUP(Tableau4[[#This Row],[Matricule]],Tableau1[],3,FALSE)</f>
        <v>Nicolas</v>
      </c>
      <c r="H767" s="90" t="str">
        <f>VLOOKUP(Tableau4[[#This Row],[Matricule]],Tableau1[],4,FALSE)</f>
        <v>AD</v>
      </c>
      <c r="J767" t="s">
        <v>454</v>
      </c>
      <c r="K767" s="90">
        <f>IF(Tableau4[[#This Row],[État]]="Remis",1,0)</f>
        <v>0</v>
      </c>
    </row>
    <row r="768" spans="2:11" x14ac:dyDescent="0.25">
      <c r="B768" t="s">
        <v>102</v>
      </c>
      <c r="C768" s="90" t="str">
        <f>VLOOKUP(Tableau4[[#This Row],[Réf matériel]],Tableau3[],2,FALSE)</f>
        <v>Pince à Sertir</v>
      </c>
      <c r="D768" s="90">
        <f>VLOOKUP(Tableau4[[#This Row],[Réf matériel]],Tableau3[],3,FALSE)</f>
        <v>78.400000000000006</v>
      </c>
      <c r="E768" t="s">
        <v>326</v>
      </c>
      <c r="F768" s="90" t="str">
        <f>VLOOKUP(Tableau4[[#This Row],[Matricule]],Tableau1[],2,FALSE)</f>
        <v>CLAUX</v>
      </c>
      <c r="G768" s="90" t="str">
        <f>VLOOKUP(Tableau4[[#This Row],[Matricule]],Tableau1[],3,FALSE)</f>
        <v>Nicolas</v>
      </c>
      <c r="H768" s="90" t="str">
        <f>VLOOKUP(Tableau4[[#This Row],[Matricule]],Tableau1[],4,FALSE)</f>
        <v>AD</v>
      </c>
      <c r="J768" t="s">
        <v>454</v>
      </c>
      <c r="K768" s="90">
        <f>IF(Tableau4[[#This Row],[État]]="Remis",1,0)</f>
        <v>0</v>
      </c>
    </row>
    <row r="769" spans="2:11" x14ac:dyDescent="0.25">
      <c r="B769" t="s">
        <v>280</v>
      </c>
      <c r="C769" s="90" t="str">
        <f>VLOOKUP(Tableau4[[#This Row],[Réf matériel]],Tableau3[],2,FALSE)</f>
        <v>Pince coupante 1000v</v>
      </c>
      <c r="D769" s="90">
        <f>VLOOKUP(Tableau4[[#This Row],[Réf matériel]],Tableau3[],3,FALSE)</f>
        <v>20.87</v>
      </c>
      <c r="E769" t="s">
        <v>326</v>
      </c>
      <c r="F769" s="90" t="str">
        <f>VLOOKUP(Tableau4[[#This Row],[Matricule]],Tableau1[],2,FALSE)</f>
        <v>CLAUX</v>
      </c>
      <c r="G769" s="90" t="str">
        <f>VLOOKUP(Tableau4[[#This Row],[Matricule]],Tableau1[],3,FALSE)</f>
        <v>Nicolas</v>
      </c>
      <c r="H769" s="90" t="str">
        <f>VLOOKUP(Tableau4[[#This Row],[Matricule]],Tableau1[],4,FALSE)</f>
        <v>AD</v>
      </c>
      <c r="J769" t="s">
        <v>454</v>
      </c>
      <c r="K769" s="90">
        <f>IF(Tableau4[[#This Row],[État]]="Remis",1,0)</f>
        <v>0</v>
      </c>
    </row>
    <row r="770" spans="2:11" x14ac:dyDescent="0.25">
      <c r="B770" t="s">
        <v>397</v>
      </c>
      <c r="C770" s="90" t="str">
        <f>VLOOKUP(Tableau4[[#This Row],[Réf matériel]],Tableau3[],2,FALSE)</f>
        <v>Pince étau</v>
      </c>
      <c r="D770" s="90">
        <f>VLOOKUP(Tableau4[[#This Row],[Réf matériel]],Tableau3[],3,FALSE)</f>
        <v>16.02</v>
      </c>
      <c r="E770" t="s">
        <v>326</v>
      </c>
      <c r="F770" s="90" t="str">
        <f>VLOOKUP(Tableau4[[#This Row],[Matricule]],Tableau1[],2,FALSE)</f>
        <v>CLAUX</v>
      </c>
      <c r="G770" s="90" t="str">
        <f>VLOOKUP(Tableau4[[#This Row],[Matricule]],Tableau1[],3,FALSE)</f>
        <v>Nicolas</v>
      </c>
      <c r="H770" s="90" t="str">
        <f>VLOOKUP(Tableau4[[#This Row],[Matricule]],Tableau1[],4,FALSE)</f>
        <v>AD</v>
      </c>
      <c r="J770" t="s">
        <v>454</v>
      </c>
      <c r="K770" s="90">
        <f>IF(Tableau4[[#This Row],[État]]="Remis",1,0)</f>
        <v>0</v>
      </c>
    </row>
    <row r="771" spans="2:11" x14ac:dyDescent="0.25">
      <c r="B771" t="s">
        <v>397</v>
      </c>
      <c r="C771" s="90" t="str">
        <f>VLOOKUP(Tableau4[[#This Row],[Réf matériel]],Tableau3[],2,FALSE)</f>
        <v>Pince étau</v>
      </c>
      <c r="D771" s="90">
        <f>VLOOKUP(Tableau4[[#This Row],[Réf matériel]],Tableau3[],3,FALSE)</f>
        <v>16.02</v>
      </c>
      <c r="E771" t="s">
        <v>326</v>
      </c>
      <c r="F771" s="90" t="str">
        <f>VLOOKUP(Tableau4[[#This Row],[Matricule]],Tableau1[],2,FALSE)</f>
        <v>CLAUX</v>
      </c>
      <c r="G771" s="90" t="str">
        <f>VLOOKUP(Tableau4[[#This Row],[Matricule]],Tableau1[],3,FALSE)</f>
        <v>Nicolas</v>
      </c>
      <c r="H771" s="90" t="str">
        <f>VLOOKUP(Tableau4[[#This Row],[Matricule]],Tableau1[],4,FALSE)</f>
        <v>AD</v>
      </c>
      <c r="J771" t="s">
        <v>454</v>
      </c>
      <c r="K771" s="90">
        <f>IF(Tableau4[[#This Row],[État]]="Remis",1,0)</f>
        <v>0</v>
      </c>
    </row>
    <row r="772" spans="2:11" x14ac:dyDescent="0.25">
      <c r="B772" t="s">
        <v>428</v>
      </c>
      <c r="C772" s="90" t="str">
        <f>VLOOKUP(Tableau4[[#This Row],[Réf matériel]],Tableau3[],2,FALSE)</f>
        <v>Pince multiprise</v>
      </c>
      <c r="D772" s="90">
        <f>VLOOKUP(Tableau4[[#This Row],[Réf matériel]],Tableau3[],3,FALSE)</f>
        <v>27.2</v>
      </c>
      <c r="E772" t="s">
        <v>326</v>
      </c>
      <c r="F772" s="90" t="str">
        <f>VLOOKUP(Tableau4[[#This Row],[Matricule]],Tableau1[],2,FALSE)</f>
        <v>CLAUX</v>
      </c>
      <c r="G772" s="90" t="str">
        <f>VLOOKUP(Tableau4[[#This Row],[Matricule]],Tableau1[],3,FALSE)</f>
        <v>Nicolas</v>
      </c>
      <c r="H772" s="90" t="str">
        <f>VLOOKUP(Tableau4[[#This Row],[Matricule]],Tableau1[],4,FALSE)</f>
        <v>AD</v>
      </c>
      <c r="J772" t="s">
        <v>454</v>
      </c>
      <c r="K772" s="90">
        <f>IF(Tableau4[[#This Row],[État]]="Remis",1,0)</f>
        <v>0</v>
      </c>
    </row>
    <row r="773" spans="2:11" x14ac:dyDescent="0.25">
      <c r="B773" t="s">
        <v>170</v>
      </c>
      <c r="C773" s="90" t="str">
        <f>VLOOKUP(Tableau4[[#This Row],[Réf matériel]],Tableau3[],2,FALSE)</f>
        <v>Pioche d'égouttier</v>
      </c>
      <c r="D773" s="90">
        <f>VLOOKUP(Tableau4[[#This Row],[Réf matériel]],Tableau3[],3,FALSE)</f>
        <v>60.58</v>
      </c>
      <c r="E773" t="s">
        <v>326</v>
      </c>
      <c r="F773" s="90" t="str">
        <f>VLOOKUP(Tableau4[[#This Row],[Matricule]],Tableau1[],2,FALSE)</f>
        <v>CLAUX</v>
      </c>
      <c r="G773" s="90" t="str">
        <f>VLOOKUP(Tableau4[[#This Row],[Matricule]],Tableau1[],3,FALSE)</f>
        <v>Nicolas</v>
      </c>
      <c r="H773" s="90" t="str">
        <f>VLOOKUP(Tableau4[[#This Row],[Matricule]],Tableau1[],4,FALSE)</f>
        <v>AD</v>
      </c>
      <c r="J773" t="s">
        <v>454</v>
      </c>
      <c r="K773" s="90">
        <f>IF(Tableau4[[#This Row],[État]]="Remis",1,0)</f>
        <v>0</v>
      </c>
    </row>
    <row r="774" spans="2:11" x14ac:dyDescent="0.25">
      <c r="B774" t="s">
        <v>170</v>
      </c>
      <c r="C774" s="90" t="str">
        <f>VLOOKUP(Tableau4[[#This Row],[Réf matériel]],Tableau3[],2,FALSE)</f>
        <v>Pioche d'égouttier</v>
      </c>
      <c r="D774" s="90">
        <f>VLOOKUP(Tableau4[[#This Row],[Réf matériel]],Tableau3[],3,FALSE)</f>
        <v>60.58</v>
      </c>
      <c r="E774" t="s">
        <v>326</v>
      </c>
      <c r="F774" s="90" t="str">
        <f>VLOOKUP(Tableau4[[#This Row],[Matricule]],Tableau1[],2,FALSE)</f>
        <v>CLAUX</v>
      </c>
      <c r="G774" s="90" t="str">
        <f>VLOOKUP(Tableau4[[#This Row],[Matricule]],Tableau1[],3,FALSE)</f>
        <v>Nicolas</v>
      </c>
      <c r="H774" s="90" t="str">
        <f>VLOOKUP(Tableau4[[#This Row],[Matricule]],Tableau1[],4,FALSE)</f>
        <v>AD</v>
      </c>
      <c r="J774" t="s">
        <v>454</v>
      </c>
      <c r="K774" s="90">
        <f>IF(Tableau4[[#This Row],[État]]="Remis",1,0)</f>
        <v>0</v>
      </c>
    </row>
    <row r="775" spans="2:11" x14ac:dyDescent="0.25">
      <c r="B775" t="s">
        <v>281</v>
      </c>
      <c r="C775" s="90" t="str">
        <f>VLOOKUP(Tableau4[[#This Row],[Réf matériel]],Tableau3[],2,FALSE)</f>
        <v>Scie à métaux</v>
      </c>
      <c r="D775" s="90">
        <f>VLOOKUP(Tableau4[[#This Row],[Réf matériel]],Tableau3[],3,FALSE)</f>
        <v>11.26</v>
      </c>
      <c r="E775" t="s">
        <v>326</v>
      </c>
      <c r="F775" s="90" t="str">
        <f>VLOOKUP(Tableau4[[#This Row],[Matricule]],Tableau1[],2,FALSE)</f>
        <v>CLAUX</v>
      </c>
      <c r="G775" s="90" t="str">
        <f>VLOOKUP(Tableau4[[#This Row],[Matricule]],Tableau1[],3,FALSE)</f>
        <v>Nicolas</v>
      </c>
      <c r="H775" s="90" t="str">
        <f>VLOOKUP(Tableau4[[#This Row],[Matricule]],Tableau1[],4,FALSE)</f>
        <v>AD</v>
      </c>
      <c r="J775" t="s">
        <v>454</v>
      </c>
      <c r="K775" s="90">
        <f>IF(Tableau4[[#This Row],[État]]="Remis",1,0)</f>
        <v>0</v>
      </c>
    </row>
    <row r="776" spans="2:11" x14ac:dyDescent="0.25">
      <c r="B776" t="s">
        <v>281</v>
      </c>
      <c r="C776" s="90" t="str">
        <f>VLOOKUP(Tableau4[[#This Row],[Réf matériel]],Tableau3[],2,FALSE)</f>
        <v>Scie à métaux</v>
      </c>
      <c r="D776" s="90">
        <f>VLOOKUP(Tableau4[[#This Row],[Réf matériel]],Tableau3[],3,FALSE)</f>
        <v>11.26</v>
      </c>
      <c r="E776" t="s">
        <v>326</v>
      </c>
      <c r="F776" s="90" t="str">
        <f>VLOOKUP(Tableau4[[#This Row],[Matricule]],Tableau1[],2,FALSE)</f>
        <v>CLAUX</v>
      </c>
      <c r="G776" s="90" t="str">
        <f>VLOOKUP(Tableau4[[#This Row],[Matricule]],Tableau1[],3,FALSE)</f>
        <v>Nicolas</v>
      </c>
      <c r="H776" s="90" t="str">
        <f>VLOOKUP(Tableau4[[#This Row],[Matricule]],Tableau1[],4,FALSE)</f>
        <v>AD</v>
      </c>
      <c r="J776" t="s">
        <v>454</v>
      </c>
      <c r="K776" s="90">
        <f>IF(Tableau4[[#This Row],[État]]="Remis",1,0)</f>
        <v>0</v>
      </c>
    </row>
    <row r="777" spans="2:11" x14ac:dyDescent="0.25">
      <c r="B777" t="s">
        <v>281</v>
      </c>
      <c r="C777" s="90" t="str">
        <f>VLOOKUP(Tableau4[[#This Row],[Réf matériel]],Tableau3[],2,FALSE)</f>
        <v>Scie à métaux</v>
      </c>
      <c r="D777" s="90">
        <f>VLOOKUP(Tableau4[[#This Row],[Réf matériel]],Tableau3[],3,FALSE)</f>
        <v>11.26</v>
      </c>
      <c r="E777" t="s">
        <v>326</v>
      </c>
      <c r="F777" s="90" t="str">
        <f>VLOOKUP(Tableau4[[#This Row],[Matricule]],Tableau1[],2,FALSE)</f>
        <v>CLAUX</v>
      </c>
      <c r="G777" s="90" t="str">
        <f>VLOOKUP(Tableau4[[#This Row],[Matricule]],Tableau1[],3,FALSE)</f>
        <v>Nicolas</v>
      </c>
      <c r="H777" s="90" t="str">
        <f>VLOOKUP(Tableau4[[#This Row],[Matricule]],Tableau1[],4,FALSE)</f>
        <v>AD</v>
      </c>
      <c r="J777" t="s">
        <v>454</v>
      </c>
      <c r="K777" s="90">
        <f>IF(Tableau4[[#This Row],[État]]="Remis",1,0)</f>
        <v>0</v>
      </c>
    </row>
    <row r="778" spans="2:11" x14ac:dyDescent="0.25">
      <c r="B778" t="s">
        <v>121</v>
      </c>
      <c r="C778" s="90" t="str">
        <f>VLOOKUP(Tableau4[[#This Row],[Réf matériel]],Tableau3[],2,FALSE)</f>
        <v>Tenaille</v>
      </c>
      <c r="D778" s="90">
        <f>VLOOKUP(Tableau4[[#This Row],[Réf matériel]],Tableau3[],3,FALSE)</f>
        <v>12.37</v>
      </c>
      <c r="E778" t="s">
        <v>326</v>
      </c>
      <c r="F778" s="90" t="str">
        <f>VLOOKUP(Tableau4[[#This Row],[Matricule]],Tableau1[],2,FALSE)</f>
        <v>CLAUX</v>
      </c>
      <c r="G778" s="90" t="str">
        <f>VLOOKUP(Tableau4[[#This Row],[Matricule]],Tableau1[],3,FALSE)</f>
        <v>Nicolas</v>
      </c>
      <c r="H778" s="90" t="str">
        <f>VLOOKUP(Tableau4[[#This Row],[Matricule]],Tableau1[],4,FALSE)</f>
        <v>AD</v>
      </c>
      <c r="J778" t="s">
        <v>454</v>
      </c>
      <c r="K778" s="90">
        <f>IF(Tableau4[[#This Row],[État]]="Remis",1,0)</f>
        <v>0</v>
      </c>
    </row>
    <row r="779" spans="2:11" x14ac:dyDescent="0.25">
      <c r="B779" t="s">
        <v>121</v>
      </c>
      <c r="C779" s="90" t="str">
        <f>VLOOKUP(Tableau4[[#This Row],[Réf matériel]],Tableau3[],2,FALSE)</f>
        <v>Tenaille</v>
      </c>
      <c r="D779" s="90">
        <f>VLOOKUP(Tableau4[[#This Row],[Réf matériel]],Tableau3[],3,FALSE)</f>
        <v>12.37</v>
      </c>
      <c r="E779" t="s">
        <v>326</v>
      </c>
      <c r="F779" s="90" t="str">
        <f>VLOOKUP(Tableau4[[#This Row],[Matricule]],Tableau1[],2,FALSE)</f>
        <v>CLAUX</v>
      </c>
      <c r="G779" s="90" t="str">
        <f>VLOOKUP(Tableau4[[#This Row],[Matricule]],Tableau1[],3,FALSE)</f>
        <v>Nicolas</v>
      </c>
      <c r="H779" s="90" t="str">
        <f>VLOOKUP(Tableau4[[#This Row],[Matricule]],Tableau1[],4,FALSE)</f>
        <v>AD</v>
      </c>
      <c r="J779" t="s">
        <v>454</v>
      </c>
      <c r="K779" s="90">
        <f>IF(Tableau4[[#This Row],[État]]="Remis",1,0)</f>
        <v>0</v>
      </c>
    </row>
    <row r="780" spans="2:11" x14ac:dyDescent="0.25">
      <c r="B780" t="s">
        <v>70</v>
      </c>
      <c r="C780" s="90" t="str">
        <f>VLOOKUP(Tableau4[[#This Row],[Réf matériel]],Tableau3[],2,FALSE)</f>
        <v>Testeur Fluke</v>
      </c>
      <c r="D780" s="90">
        <f>VLOOKUP(Tableau4[[#This Row],[Réf matériel]],Tableau3[],3,FALSE)</f>
        <v>0</v>
      </c>
      <c r="E780" t="s">
        <v>501</v>
      </c>
      <c r="F780" s="90" t="str">
        <f>VLOOKUP(Tableau4[[#This Row],[Matricule]],Tableau1[],2,FALSE)</f>
        <v>Caisse volante3</v>
      </c>
      <c r="G780" s="90">
        <f>VLOOKUP(Tableau4[[#This Row],[Matricule]],Tableau1[],3,FALSE)</f>
        <v>0</v>
      </c>
      <c r="H780" s="90">
        <f>VLOOKUP(Tableau4[[#This Row],[Matricule]],Tableau1[],4,FALSE)</f>
        <v>0</v>
      </c>
      <c r="J780" t="s">
        <v>380</v>
      </c>
      <c r="K780" s="90">
        <f>IF(Tableau4[[#This Row],[État]]="Remis",1,0)</f>
        <v>1</v>
      </c>
    </row>
    <row r="781" spans="2:11" x14ac:dyDescent="0.25">
      <c r="B781" t="s">
        <v>70</v>
      </c>
      <c r="C781" s="90" t="str">
        <f>VLOOKUP(Tableau4[[#This Row],[Réf matériel]],Tableau3[],2,FALSE)</f>
        <v>Testeur Fluke</v>
      </c>
      <c r="D781" s="90">
        <f>VLOOKUP(Tableau4[[#This Row],[Réf matériel]],Tableau3[],3,FALSE)</f>
        <v>0</v>
      </c>
      <c r="E781" t="s">
        <v>326</v>
      </c>
      <c r="F781" s="90" t="str">
        <f>VLOOKUP(Tableau4[[#This Row],[Matricule]],Tableau1[],2,FALSE)</f>
        <v>CLAUX</v>
      </c>
      <c r="G781" s="90" t="str">
        <f>VLOOKUP(Tableau4[[#This Row],[Matricule]],Tableau1[],3,FALSE)</f>
        <v>Nicolas</v>
      </c>
      <c r="H781" s="90" t="str">
        <f>VLOOKUP(Tableau4[[#This Row],[Matricule]],Tableau1[],4,FALSE)</f>
        <v>AD</v>
      </c>
      <c r="J781" t="s">
        <v>380</v>
      </c>
      <c r="K781" s="90">
        <f>IF(Tableau4[[#This Row],[État]]="Remis",1,0)</f>
        <v>1</v>
      </c>
    </row>
    <row r="782" spans="2:11" x14ac:dyDescent="0.25">
      <c r="B782" t="s">
        <v>70</v>
      </c>
      <c r="C782" s="90" t="str">
        <f>VLOOKUP(Tableau4[[#This Row],[Réf matériel]],Tableau3[],2,FALSE)</f>
        <v>Testeur Fluke</v>
      </c>
      <c r="D782" s="90">
        <f>VLOOKUP(Tableau4[[#This Row],[Réf matériel]],Tableau3[],3,FALSE)</f>
        <v>0</v>
      </c>
      <c r="E782" t="s">
        <v>326</v>
      </c>
      <c r="F782" s="90" t="str">
        <f>VLOOKUP(Tableau4[[#This Row],[Matricule]],Tableau1[],2,FALSE)</f>
        <v>CLAUX</v>
      </c>
      <c r="G782" s="90" t="str">
        <f>VLOOKUP(Tableau4[[#This Row],[Matricule]],Tableau1[],3,FALSE)</f>
        <v>Nicolas</v>
      </c>
      <c r="H782" s="90" t="str">
        <f>VLOOKUP(Tableau4[[#This Row],[Matricule]],Tableau1[],4,FALSE)</f>
        <v>AD</v>
      </c>
      <c r="J782" t="s">
        <v>381</v>
      </c>
      <c r="K782" s="90">
        <f>IF(Tableau4[[#This Row],[État]]="Remis",1,0)</f>
        <v>0</v>
      </c>
    </row>
    <row r="783" spans="2:11" x14ac:dyDescent="0.25">
      <c r="B783" t="s">
        <v>70</v>
      </c>
      <c r="C783" s="90" t="str">
        <f>VLOOKUP(Tableau4[[#This Row],[Réf matériel]],Tableau3[],2,FALSE)</f>
        <v>Testeur Fluke</v>
      </c>
      <c r="D783" s="90">
        <f>VLOOKUP(Tableau4[[#This Row],[Réf matériel]],Tableau3[],3,FALSE)</f>
        <v>0</v>
      </c>
      <c r="E783" t="s">
        <v>349</v>
      </c>
      <c r="F783" s="90" t="str">
        <f>VLOOKUP(Tableau4[[#This Row],[Matricule]],Tableau1[],2,FALSE)</f>
        <v>MEILHAC</v>
      </c>
      <c r="G783" s="90" t="str">
        <f>VLOOKUP(Tableau4[[#This Row],[Matricule]],Tableau1[],3,FALSE)</f>
        <v>Benjamin</v>
      </c>
      <c r="H783" s="90" t="str">
        <f>VLOOKUP(Tableau4[[#This Row],[Matricule]],Tableau1[],4,FALSE)</f>
        <v>RA</v>
      </c>
      <c r="J783" t="s">
        <v>380</v>
      </c>
      <c r="K783" s="90">
        <f>IF(Tableau4[[#This Row],[État]]="Remis",1,0)</f>
        <v>1</v>
      </c>
    </row>
    <row r="784" spans="2:11" x14ac:dyDescent="0.25">
      <c r="B784" t="s">
        <v>70</v>
      </c>
      <c r="C784" s="90" t="str">
        <f>VLOOKUP(Tableau4[[#This Row],[Réf matériel]],Tableau3[],2,FALSE)</f>
        <v>Testeur Fluke</v>
      </c>
      <c r="D784" s="90">
        <f>VLOOKUP(Tableau4[[#This Row],[Réf matériel]],Tableau3[],3,FALSE)</f>
        <v>0</v>
      </c>
      <c r="E784" t="s">
        <v>326</v>
      </c>
      <c r="F784" s="90" t="str">
        <f>VLOOKUP(Tableau4[[#This Row],[Matricule]],Tableau1[],2,FALSE)</f>
        <v>CLAUX</v>
      </c>
      <c r="G784" s="90" t="str">
        <f>VLOOKUP(Tableau4[[#This Row],[Matricule]],Tableau1[],3,FALSE)</f>
        <v>Nicolas</v>
      </c>
      <c r="H784" s="90" t="str">
        <f>VLOOKUP(Tableau4[[#This Row],[Matricule]],Tableau1[],4,FALSE)</f>
        <v>AD</v>
      </c>
      <c r="J784" t="s">
        <v>380</v>
      </c>
      <c r="K784" s="90">
        <f>IF(Tableau4[[#This Row],[État]]="Remis",1,0)</f>
        <v>1</v>
      </c>
    </row>
    <row r="785" spans="2:11" x14ac:dyDescent="0.25">
      <c r="B785" t="s">
        <v>70</v>
      </c>
      <c r="C785" s="90" t="str">
        <f>VLOOKUP(Tableau4[[#This Row],[Réf matériel]],Tableau3[],2,FALSE)</f>
        <v>Testeur Fluke</v>
      </c>
      <c r="D785" s="90">
        <f>VLOOKUP(Tableau4[[#This Row],[Réf matériel]],Tableau3[],3,FALSE)</f>
        <v>0</v>
      </c>
      <c r="E785" t="s">
        <v>326</v>
      </c>
      <c r="F785" s="90" t="str">
        <f>VLOOKUP(Tableau4[[#This Row],[Matricule]],Tableau1[],2,FALSE)</f>
        <v>CLAUX</v>
      </c>
      <c r="G785" s="90" t="str">
        <f>VLOOKUP(Tableau4[[#This Row],[Matricule]],Tableau1[],3,FALSE)</f>
        <v>Nicolas</v>
      </c>
      <c r="H785" s="90" t="str">
        <f>VLOOKUP(Tableau4[[#This Row],[Matricule]],Tableau1[],4,FALSE)</f>
        <v>AD</v>
      </c>
      <c r="J785" t="s">
        <v>380</v>
      </c>
      <c r="K785" s="90">
        <f>IF(Tableau4[[#This Row],[État]]="Remis",1,0)</f>
        <v>1</v>
      </c>
    </row>
    <row r="786" spans="2:11" x14ac:dyDescent="0.25">
      <c r="B786" t="s">
        <v>70</v>
      </c>
      <c r="C786" s="90" t="str">
        <f>VLOOKUP(Tableau4[[#This Row],[Réf matériel]],Tableau3[],2,FALSE)</f>
        <v>Testeur Fluke</v>
      </c>
      <c r="D786" s="90">
        <f>VLOOKUP(Tableau4[[#This Row],[Réf matériel]],Tableau3[],3,FALSE)</f>
        <v>0</v>
      </c>
      <c r="E786" t="s">
        <v>326</v>
      </c>
      <c r="F786" s="90" t="str">
        <f>VLOOKUP(Tableau4[[#This Row],[Matricule]],Tableau1[],2,FALSE)</f>
        <v>CLAUX</v>
      </c>
      <c r="G786" s="90" t="str">
        <f>VLOOKUP(Tableau4[[#This Row],[Matricule]],Tableau1[],3,FALSE)</f>
        <v>Nicolas</v>
      </c>
      <c r="H786" s="90" t="str">
        <f>VLOOKUP(Tableau4[[#This Row],[Matricule]],Tableau1[],4,FALSE)</f>
        <v>AD</v>
      </c>
      <c r="J786" t="s">
        <v>447</v>
      </c>
      <c r="K786" s="90">
        <f>IF(Tableau4[[#This Row],[État]]="Remis",1,0)</f>
        <v>0</v>
      </c>
    </row>
    <row r="787" spans="2:11" x14ac:dyDescent="0.25">
      <c r="B787" t="s">
        <v>70</v>
      </c>
      <c r="C787" s="90" t="str">
        <f>VLOOKUP(Tableau4[[#This Row],[Réf matériel]],Tableau3[],2,FALSE)</f>
        <v>Testeur Fluke</v>
      </c>
      <c r="D787" s="90">
        <f>VLOOKUP(Tableau4[[#This Row],[Réf matériel]],Tableau3[],3,FALSE)</f>
        <v>0</v>
      </c>
      <c r="E787" t="s">
        <v>346</v>
      </c>
      <c r="F787" s="90" t="str">
        <f>VLOOKUP(Tableau4[[#This Row],[Matricule]],Tableau1[],2,FALSE)</f>
        <v>MARTINS</v>
      </c>
      <c r="G787" s="90" t="str">
        <f>VLOOKUP(Tableau4[[#This Row],[Matricule]],Tableau1[],3,FALSE)</f>
        <v>Dominique</v>
      </c>
      <c r="H787" s="90" t="str">
        <f>VLOOKUP(Tableau4[[#This Row],[Matricule]],Tableau1[],4,FALSE)</f>
        <v>RC</v>
      </c>
      <c r="J787" t="s">
        <v>380</v>
      </c>
      <c r="K787" s="90">
        <f>IF(Tableau4[[#This Row],[État]]="Remis",1,0)</f>
        <v>1</v>
      </c>
    </row>
    <row r="788" spans="2:11" x14ac:dyDescent="0.25">
      <c r="B788" t="s">
        <v>429</v>
      </c>
      <c r="C788" s="90" t="str">
        <f>VLOOKUP(Tableau4[[#This Row],[Réf matériel]],Tableau3[],2,FALSE)</f>
        <v>Clé dynamométrique</v>
      </c>
      <c r="D788" s="90">
        <f>VLOOKUP(Tableau4[[#This Row],[Réf matériel]],Tableau3[],3,FALSE)</f>
        <v>214</v>
      </c>
      <c r="E788" t="s">
        <v>326</v>
      </c>
      <c r="F788" s="90" t="str">
        <f>VLOOKUP(Tableau4[[#This Row],[Matricule]],Tableau1[],2,FALSE)</f>
        <v>CLAUX</v>
      </c>
      <c r="G788" s="90" t="str">
        <f>VLOOKUP(Tableau4[[#This Row],[Matricule]],Tableau1[],3,FALSE)</f>
        <v>Nicolas</v>
      </c>
      <c r="H788" s="90" t="str">
        <f>VLOOKUP(Tableau4[[#This Row],[Matricule]],Tableau1[],4,FALSE)</f>
        <v>AD</v>
      </c>
      <c r="J788" t="s">
        <v>454</v>
      </c>
      <c r="K788" s="90">
        <f>IF(Tableau4[[#This Row],[État]]="Remis",1,0)</f>
        <v>0</v>
      </c>
    </row>
    <row r="789" spans="2:11" x14ac:dyDescent="0.25">
      <c r="B789" t="s">
        <v>429</v>
      </c>
      <c r="C789" s="90" t="str">
        <f>VLOOKUP(Tableau4[[#This Row],[Réf matériel]],Tableau3[],2,FALSE)</f>
        <v>Clé dynamométrique</v>
      </c>
      <c r="D789" s="90">
        <f>VLOOKUP(Tableau4[[#This Row],[Réf matériel]],Tableau3[],3,FALSE)</f>
        <v>214</v>
      </c>
      <c r="E789" t="s">
        <v>326</v>
      </c>
      <c r="F789" s="90" t="str">
        <f>VLOOKUP(Tableau4[[#This Row],[Matricule]],Tableau1[],2,FALSE)</f>
        <v>CLAUX</v>
      </c>
      <c r="G789" s="90" t="str">
        <f>VLOOKUP(Tableau4[[#This Row],[Matricule]],Tableau1[],3,FALSE)</f>
        <v>Nicolas</v>
      </c>
      <c r="H789" s="90" t="str">
        <f>VLOOKUP(Tableau4[[#This Row],[Matricule]],Tableau1[],4,FALSE)</f>
        <v>AD</v>
      </c>
      <c r="J789" t="s">
        <v>454</v>
      </c>
      <c r="K789" s="90">
        <f>IF(Tableau4[[#This Row],[État]]="Remis",1,0)</f>
        <v>0</v>
      </c>
    </row>
    <row r="790" spans="2:11" x14ac:dyDescent="0.25">
      <c r="B790" t="s">
        <v>429</v>
      </c>
      <c r="C790" s="90" t="str">
        <f>VLOOKUP(Tableau4[[#This Row],[Réf matériel]],Tableau3[],2,FALSE)</f>
        <v>Clé dynamométrique</v>
      </c>
      <c r="D790" s="90">
        <f>VLOOKUP(Tableau4[[#This Row],[Réf matériel]],Tableau3[],3,FALSE)</f>
        <v>214</v>
      </c>
      <c r="E790" t="s">
        <v>326</v>
      </c>
      <c r="F790" s="90" t="str">
        <f>VLOOKUP(Tableau4[[#This Row],[Matricule]],Tableau1[],2,FALSE)</f>
        <v>CLAUX</v>
      </c>
      <c r="G790" s="90" t="str">
        <f>VLOOKUP(Tableau4[[#This Row],[Matricule]],Tableau1[],3,FALSE)</f>
        <v>Nicolas</v>
      </c>
      <c r="H790" s="90" t="str">
        <f>VLOOKUP(Tableau4[[#This Row],[Matricule]],Tableau1[],4,FALSE)</f>
        <v>AD</v>
      </c>
      <c r="I790" s="88">
        <v>43862</v>
      </c>
      <c r="J790" t="s">
        <v>454</v>
      </c>
      <c r="K790" s="90">
        <f>IF(Tableau4[[#This Row],[État]]="Remis",1,0)</f>
        <v>0</v>
      </c>
    </row>
    <row r="791" spans="2:11" x14ac:dyDescent="0.25">
      <c r="B791" t="s">
        <v>429</v>
      </c>
      <c r="C791" s="90" t="str">
        <f>VLOOKUP(Tableau4[[#This Row],[Réf matériel]],Tableau3[],2,FALSE)</f>
        <v>Clé dynamométrique</v>
      </c>
      <c r="D791" s="90">
        <f>VLOOKUP(Tableau4[[#This Row],[Réf matériel]],Tableau3[],3,FALSE)</f>
        <v>214</v>
      </c>
      <c r="E791" t="s">
        <v>346</v>
      </c>
      <c r="F791" s="90" t="str">
        <f>VLOOKUP(Tableau4[[#This Row],[Matricule]],Tableau1[],2,FALSE)</f>
        <v>MARTINS</v>
      </c>
      <c r="G791" s="90" t="str">
        <f>VLOOKUP(Tableau4[[#This Row],[Matricule]],Tableau1[],3,FALSE)</f>
        <v>Dominique</v>
      </c>
      <c r="H791" s="90" t="str">
        <f>VLOOKUP(Tableau4[[#This Row],[Matricule]],Tableau1[],4,FALSE)</f>
        <v>RC</v>
      </c>
      <c r="J791" t="s">
        <v>380</v>
      </c>
      <c r="K791" s="90">
        <f>IF(Tableau4[[#This Row],[État]]="Remis",1,0)</f>
        <v>1</v>
      </c>
    </row>
    <row r="792" spans="2:11" x14ac:dyDescent="0.25">
      <c r="B792" t="s">
        <v>429</v>
      </c>
      <c r="C792" s="90" t="str">
        <f>VLOOKUP(Tableau4[[#This Row],[Réf matériel]],Tableau3[],2,FALSE)</f>
        <v>Clé dynamométrique</v>
      </c>
      <c r="D792" s="90">
        <f>VLOOKUP(Tableau4[[#This Row],[Réf matériel]],Tableau3[],3,FALSE)</f>
        <v>214</v>
      </c>
      <c r="E792" t="s">
        <v>307</v>
      </c>
      <c r="F792" s="90" t="str">
        <f>VLOOKUP(Tableau4[[#This Row],[Matricule]],Tableau1[],2,FALSE)</f>
        <v>AIT RAISS</v>
      </c>
      <c r="G792" s="90" t="str">
        <f>VLOOKUP(Tableau4[[#This Row],[Matricule]],Tableau1[],3,FALSE)</f>
        <v>Omar</v>
      </c>
      <c r="H792" s="90" t="str">
        <f>VLOOKUP(Tableau4[[#This Row],[Matricule]],Tableau1[],4,FALSE)</f>
        <v>ELEC</v>
      </c>
      <c r="J792" t="s">
        <v>380</v>
      </c>
      <c r="K792" s="90">
        <f>IF(Tableau4[[#This Row],[État]]="Remis",1,0)</f>
        <v>1</v>
      </c>
    </row>
    <row r="793" spans="2:11" x14ac:dyDescent="0.25">
      <c r="B793" t="s">
        <v>429</v>
      </c>
      <c r="C793" s="90" t="str">
        <f>VLOOKUP(Tableau4[[#This Row],[Réf matériel]],Tableau3[],2,FALSE)</f>
        <v>Clé dynamométrique</v>
      </c>
      <c r="D793" s="90">
        <f>VLOOKUP(Tableau4[[#This Row],[Réf matériel]],Tableau3[],3,FALSE)</f>
        <v>214</v>
      </c>
      <c r="E793" t="s">
        <v>307</v>
      </c>
      <c r="F793" s="90" t="str">
        <f>VLOOKUP(Tableau4[[#This Row],[Matricule]],Tableau1[],2,FALSE)</f>
        <v>AIT RAISS</v>
      </c>
      <c r="G793" s="90" t="str">
        <f>VLOOKUP(Tableau4[[#This Row],[Matricule]],Tableau1[],3,FALSE)</f>
        <v>Omar</v>
      </c>
      <c r="H793" s="90" t="str">
        <f>VLOOKUP(Tableau4[[#This Row],[Matricule]],Tableau1[],4,FALSE)</f>
        <v>ELEC</v>
      </c>
      <c r="J793" t="s">
        <v>447</v>
      </c>
      <c r="K793" s="90">
        <f>IF(Tableau4[[#This Row],[État]]="Remis",1,0)</f>
        <v>0</v>
      </c>
    </row>
    <row r="794" spans="2:11" x14ac:dyDescent="0.25">
      <c r="B794" t="s">
        <v>429</v>
      </c>
      <c r="C794" s="90" t="str">
        <f>VLOOKUP(Tableau4[[#This Row],[Réf matériel]],Tableau3[],2,FALSE)</f>
        <v>Clé dynamométrique</v>
      </c>
      <c r="D794" s="90">
        <f>VLOOKUP(Tableau4[[#This Row],[Réf matériel]],Tableau3[],3,FALSE)</f>
        <v>214</v>
      </c>
      <c r="E794" t="s">
        <v>326</v>
      </c>
      <c r="F794" s="90" t="str">
        <f>VLOOKUP(Tableau4[[#This Row],[Matricule]],Tableau1[],2,FALSE)</f>
        <v>CLAUX</v>
      </c>
      <c r="G794" s="90" t="str">
        <f>VLOOKUP(Tableau4[[#This Row],[Matricule]],Tableau1[],3,FALSE)</f>
        <v>Nicolas</v>
      </c>
      <c r="H794" s="90" t="str">
        <f>VLOOKUP(Tableau4[[#This Row],[Matricule]],Tableau1[],4,FALSE)</f>
        <v>AD</v>
      </c>
      <c r="J794" t="s">
        <v>454</v>
      </c>
      <c r="K794" s="90">
        <f>IF(Tableau4[[#This Row],[État]]="Remis",1,0)</f>
        <v>0</v>
      </c>
    </row>
    <row r="795" spans="2:11" x14ac:dyDescent="0.25">
      <c r="B795" t="s">
        <v>429</v>
      </c>
      <c r="C795" s="90" t="str">
        <f>VLOOKUP(Tableau4[[#This Row],[Réf matériel]],Tableau3[],2,FALSE)</f>
        <v>Clé dynamométrique</v>
      </c>
      <c r="D795" s="90">
        <f>VLOOKUP(Tableau4[[#This Row],[Réf matériel]],Tableau3[],3,FALSE)</f>
        <v>214</v>
      </c>
      <c r="E795" t="s">
        <v>326</v>
      </c>
      <c r="F795" s="90" t="str">
        <f>VLOOKUP(Tableau4[[#This Row],[Matricule]],Tableau1[],2,FALSE)</f>
        <v>CLAUX</v>
      </c>
      <c r="G795" s="90" t="str">
        <f>VLOOKUP(Tableau4[[#This Row],[Matricule]],Tableau1[],3,FALSE)</f>
        <v>Nicolas</v>
      </c>
      <c r="H795" s="90" t="str">
        <f>VLOOKUP(Tableau4[[#This Row],[Matricule]],Tableau1[],4,FALSE)</f>
        <v>AD</v>
      </c>
      <c r="J795" t="s">
        <v>447</v>
      </c>
      <c r="K795" s="90">
        <f>IF(Tableau4[[#This Row],[État]]="Remis",1,0)</f>
        <v>0</v>
      </c>
    </row>
    <row r="796" spans="2:11" x14ac:dyDescent="0.25">
      <c r="B796" t="s">
        <v>429</v>
      </c>
      <c r="C796" s="90" t="str">
        <f>VLOOKUP(Tableau4[[#This Row],[Réf matériel]],Tableau3[],2,FALSE)</f>
        <v>Clé dynamométrique</v>
      </c>
      <c r="D796" s="90">
        <f>VLOOKUP(Tableau4[[#This Row],[Réf matériel]],Tableau3[],3,FALSE)</f>
        <v>214</v>
      </c>
      <c r="E796" t="s">
        <v>326</v>
      </c>
      <c r="F796" s="90" t="str">
        <f>VLOOKUP(Tableau4[[#This Row],[Matricule]],Tableau1[],2,FALSE)</f>
        <v>CLAUX</v>
      </c>
      <c r="G796" s="90" t="str">
        <f>VLOOKUP(Tableau4[[#This Row],[Matricule]],Tableau1[],3,FALSE)</f>
        <v>Nicolas</v>
      </c>
      <c r="H796" s="90" t="str">
        <f>VLOOKUP(Tableau4[[#This Row],[Matricule]],Tableau1[],4,FALSE)</f>
        <v>AD</v>
      </c>
      <c r="J796" t="s">
        <v>454</v>
      </c>
      <c r="K796" s="90">
        <f>IF(Tableau4[[#This Row],[État]]="Remis",1,0)</f>
        <v>0</v>
      </c>
    </row>
    <row r="797" spans="2:11" x14ac:dyDescent="0.25">
      <c r="B797" t="s">
        <v>429</v>
      </c>
      <c r="C797" s="90" t="str">
        <f>VLOOKUP(Tableau4[[#This Row],[Réf matériel]],Tableau3[],2,FALSE)</f>
        <v>Clé dynamométrique</v>
      </c>
      <c r="D797" s="90">
        <f>VLOOKUP(Tableau4[[#This Row],[Réf matériel]],Tableau3[],3,FALSE)</f>
        <v>214</v>
      </c>
      <c r="E797" t="s">
        <v>326</v>
      </c>
      <c r="F797" s="90" t="str">
        <f>VLOOKUP(Tableau4[[#This Row],[Matricule]],Tableau1[],2,FALSE)</f>
        <v>CLAUX</v>
      </c>
      <c r="G797" s="90" t="str">
        <f>VLOOKUP(Tableau4[[#This Row],[Matricule]],Tableau1[],3,FALSE)</f>
        <v>Nicolas</v>
      </c>
      <c r="H797" s="90" t="str">
        <f>VLOOKUP(Tableau4[[#This Row],[Matricule]],Tableau1[],4,FALSE)</f>
        <v>AD</v>
      </c>
      <c r="J797" t="s">
        <v>447</v>
      </c>
      <c r="K797" s="90">
        <f>IF(Tableau4[[#This Row],[État]]="Remis",1,0)</f>
        <v>0</v>
      </c>
    </row>
    <row r="798" spans="2:11" x14ac:dyDescent="0.25">
      <c r="B798" t="s">
        <v>440</v>
      </c>
      <c r="C798" s="90" t="str">
        <f>VLOOKUP(Tableau4[[#This Row],[Réf matériel]],Tableau3[],2,FALSE)</f>
        <v>Testeur Fluke</v>
      </c>
      <c r="D798" s="90">
        <f>VLOOKUP(Tableau4[[#This Row],[Réf matériel]],Tableau3[],3,FALSE)</f>
        <v>0</v>
      </c>
      <c r="E798" t="s">
        <v>330</v>
      </c>
      <c r="F798" s="90" t="str">
        <f>VLOOKUP(Tableau4[[#This Row],[Matricule]],Tableau1[],2,FALSE)</f>
        <v>DEPOORTER</v>
      </c>
      <c r="G798" s="90" t="str">
        <f>VLOOKUP(Tableau4[[#This Row],[Matricule]],Tableau1[],3,FALSE)</f>
        <v>Jonathan</v>
      </c>
      <c r="H798" s="90" t="str">
        <f>VLOOKUP(Tableau4[[#This Row],[Matricule]],Tableau1[],4,FALSE)</f>
        <v>ELEC</v>
      </c>
      <c r="I798" s="88">
        <v>43510</v>
      </c>
      <c r="J798" t="s">
        <v>380</v>
      </c>
      <c r="K798" s="90">
        <f>IF(Tableau4[[#This Row],[État]]="Remis",1,0)</f>
        <v>1</v>
      </c>
    </row>
    <row r="799" spans="2:11" x14ac:dyDescent="0.25">
      <c r="B799" s="98" t="s">
        <v>391</v>
      </c>
      <c r="C799" s="100" t="str">
        <f>VLOOKUP(Tableau4[[#This Row],[Réf matériel]],Tableau3[],2,FALSE)</f>
        <v>Cadena</v>
      </c>
      <c r="D799" s="100">
        <f>VLOOKUP(Tableau4[[#This Row],[Réf matériel]],Tableau3[],3,FALSE)</f>
        <v>13</v>
      </c>
      <c r="E799" s="98" t="s">
        <v>336</v>
      </c>
      <c r="F799" s="100" t="str">
        <f>VLOOKUP(Tableau4[[#This Row],[Matricule]],Tableau1[],2,FALSE)</f>
        <v>GERMAIN</v>
      </c>
      <c r="G799" s="100" t="str">
        <f>VLOOKUP(Tableau4[[#This Row],[Matricule]],Tableau1[],3,FALSE)</f>
        <v>Rudy</v>
      </c>
      <c r="H799" s="100" t="str">
        <f>VLOOKUP(Tableau4[[#This Row],[Matricule]],Tableau1[],4,FALSE)</f>
        <v>ELEC</v>
      </c>
      <c r="I799" s="88">
        <v>43861</v>
      </c>
      <c r="J799" t="s">
        <v>381</v>
      </c>
      <c r="K799" s="90">
        <f>IF(Tableau4[[#This Row],[État]]="Remis",1,0)</f>
        <v>0</v>
      </c>
    </row>
    <row r="800" spans="2:11" x14ac:dyDescent="0.25">
      <c r="B800" s="98" t="s">
        <v>392</v>
      </c>
      <c r="C800" s="100" t="str">
        <f>VLOOKUP(Tableau4[[#This Row],[Réf matériel]],Tableau3[],2,FALSE)</f>
        <v>Coffre</v>
      </c>
      <c r="D800" s="100">
        <f>VLOOKUP(Tableau4[[#This Row],[Réf matériel]],Tableau3[],3,FALSE)</f>
        <v>54.54</v>
      </c>
      <c r="E800" s="97" t="s">
        <v>336</v>
      </c>
      <c r="F800" s="100" t="str">
        <f>VLOOKUP(Tableau4[[#This Row],[Matricule]],Tableau1[],2,FALSE)</f>
        <v>GERMAIN</v>
      </c>
      <c r="G800" s="100" t="str">
        <f>VLOOKUP(Tableau4[[#This Row],[Matricule]],Tableau1[],3,FALSE)</f>
        <v>Rudy</v>
      </c>
      <c r="H800" s="100" t="str">
        <f>VLOOKUP(Tableau4[[#This Row],[Matricule]],Tableau1[],4,FALSE)</f>
        <v>ELEC</v>
      </c>
      <c r="I800" s="88">
        <v>43861</v>
      </c>
      <c r="J800" t="s">
        <v>381</v>
      </c>
      <c r="K800" s="90">
        <f>IF(Tableau4[[#This Row],[État]]="Remis",1,0)</f>
        <v>0</v>
      </c>
    </row>
    <row r="801" spans="2:11" x14ac:dyDescent="0.25">
      <c r="B801" t="s">
        <v>393</v>
      </c>
      <c r="C801" s="90" t="str">
        <f>VLOOKUP(Tableau4[[#This Row],[Réf matériel]],Tableau3[],2,FALSE)</f>
        <v>Clé à molette</v>
      </c>
      <c r="D801" s="90">
        <f>VLOOKUP(Tableau4[[#This Row],[Réf matériel]],Tableau3[],3,FALSE)</f>
        <v>16.12</v>
      </c>
      <c r="E801" t="s">
        <v>336</v>
      </c>
      <c r="F801" s="90" t="str">
        <f>VLOOKUP(Tableau4[[#This Row],[Matricule]],Tableau1[],2,FALSE)</f>
        <v>GERMAIN</v>
      </c>
      <c r="G801" s="90" t="str">
        <f>VLOOKUP(Tableau4[[#This Row],[Matricule]],Tableau1[],3,FALSE)</f>
        <v>Rudy</v>
      </c>
      <c r="H801" s="90" t="str">
        <f>VLOOKUP(Tableau4[[#This Row],[Matricule]],Tableau1[],4,FALSE)</f>
        <v>ELEC</v>
      </c>
      <c r="I801" s="88">
        <v>43861</v>
      </c>
      <c r="J801" t="s">
        <v>381</v>
      </c>
      <c r="K801" s="90">
        <f>IF(Tableau4[[#This Row],[État]]="Remis",1,0)</f>
        <v>0</v>
      </c>
    </row>
    <row r="802" spans="2:11" x14ac:dyDescent="0.25">
      <c r="B802" t="s">
        <v>278</v>
      </c>
      <c r="C802" s="90" t="str">
        <f>VLOOKUP(Tableau4[[#This Row],[Réf matériel]],Tableau3[],2,FALSE)</f>
        <v>Pince à dénuder</v>
      </c>
      <c r="D802" s="90">
        <f>VLOOKUP(Tableau4[[#This Row],[Réf matériel]],Tableau3[],3,FALSE)</f>
        <v>24.55</v>
      </c>
      <c r="E802" t="s">
        <v>336</v>
      </c>
      <c r="F802" s="90" t="str">
        <f>VLOOKUP(Tableau4[[#This Row],[Matricule]],Tableau1[],2,FALSE)</f>
        <v>GERMAIN</v>
      </c>
      <c r="G802" s="90" t="str">
        <f>VLOOKUP(Tableau4[[#This Row],[Matricule]],Tableau1[],3,FALSE)</f>
        <v>Rudy</v>
      </c>
      <c r="H802" s="90" t="str">
        <f>VLOOKUP(Tableau4[[#This Row],[Matricule]],Tableau1[],4,FALSE)</f>
        <v>ELEC</v>
      </c>
      <c r="I802" s="88">
        <v>43861</v>
      </c>
      <c r="J802" t="s">
        <v>381</v>
      </c>
      <c r="K802" s="90">
        <f>IF(Tableau4[[#This Row],[État]]="Remis",1,0)</f>
        <v>0</v>
      </c>
    </row>
    <row r="803" spans="2:11" x14ac:dyDescent="0.25">
      <c r="B803" t="s">
        <v>279</v>
      </c>
      <c r="C803" s="90" t="str">
        <f>VLOOKUP(Tableau4[[#This Row],[Réf matériel]],Tableau3[],2,FALSE)</f>
        <v>lime demi ronde</v>
      </c>
      <c r="D803" s="90">
        <f>VLOOKUP(Tableau4[[#This Row],[Réf matériel]],Tableau3[],3,FALSE)</f>
        <v>7.59</v>
      </c>
      <c r="E803" t="s">
        <v>336</v>
      </c>
      <c r="F803" s="90" t="str">
        <f>VLOOKUP(Tableau4[[#This Row],[Matricule]],Tableau1[],2,FALSE)</f>
        <v>GERMAIN</v>
      </c>
      <c r="G803" s="90" t="str">
        <f>VLOOKUP(Tableau4[[#This Row],[Matricule]],Tableau1[],3,FALSE)</f>
        <v>Rudy</v>
      </c>
      <c r="H803" s="90" t="str">
        <f>VLOOKUP(Tableau4[[#This Row],[Matricule]],Tableau1[],4,FALSE)</f>
        <v>ELEC</v>
      </c>
      <c r="I803" s="88">
        <v>43861</v>
      </c>
      <c r="J803" t="s">
        <v>381</v>
      </c>
      <c r="K803" s="90">
        <f>IF(Tableau4[[#This Row],[État]]="Remis",1,0)</f>
        <v>0</v>
      </c>
    </row>
    <row r="804" spans="2:11" x14ac:dyDescent="0.25">
      <c r="B804" t="s">
        <v>280</v>
      </c>
      <c r="C804" s="90" t="str">
        <f>VLOOKUP(Tableau4[[#This Row],[Réf matériel]],Tableau3[],2,FALSE)</f>
        <v>Pince coupante 1000v</v>
      </c>
      <c r="D804" s="90">
        <f>VLOOKUP(Tableau4[[#This Row],[Réf matériel]],Tableau3[],3,FALSE)</f>
        <v>20.87</v>
      </c>
      <c r="E804" t="s">
        <v>336</v>
      </c>
      <c r="F804" s="90" t="str">
        <f>VLOOKUP(Tableau4[[#This Row],[Matricule]],Tableau1[],2,FALSE)</f>
        <v>GERMAIN</v>
      </c>
      <c r="G804" s="90" t="str">
        <f>VLOOKUP(Tableau4[[#This Row],[Matricule]],Tableau1[],3,FALSE)</f>
        <v>Rudy</v>
      </c>
      <c r="H804" s="90" t="str">
        <f>VLOOKUP(Tableau4[[#This Row],[Matricule]],Tableau1[],4,FALSE)</f>
        <v>ELEC</v>
      </c>
      <c r="I804" s="88">
        <v>43861</v>
      </c>
      <c r="J804" t="s">
        <v>381</v>
      </c>
      <c r="K804" s="90">
        <f>IF(Tableau4[[#This Row],[État]]="Remis",1,0)</f>
        <v>0</v>
      </c>
    </row>
    <row r="805" spans="2:11" x14ac:dyDescent="0.25">
      <c r="B805" t="s">
        <v>49</v>
      </c>
      <c r="C805" s="90" t="str">
        <f>VLOOKUP(Tableau4[[#This Row],[Réf matériel]],Tableau3[],2,FALSE)</f>
        <v>Coupe câble</v>
      </c>
      <c r="D805" s="90">
        <f>VLOOKUP(Tableau4[[#This Row],[Réf matériel]],Tableau3[],3,FALSE)</f>
        <v>41.88</v>
      </c>
      <c r="E805" t="s">
        <v>336</v>
      </c>
      <c r="F805" s="90" t="str">
        <f>VLOOKUP(Tableau4[[#This Row],[Matricule]],Tableau1[],2,FALSE)</f>
        <v>GERMAIN</v>
      </c>
      <c r="G805" s="90" t="str">
        <f>VLOOKUP(Tableau4[[#This Row],[Matricule]],Tableau1[],3,FALSE)</f>
        <v>Rudy</v>
      </c>
      <c r="H805" s="90" t="str">
        <f>VLOOKUP(Tableau4[[#This Row],[Matricule]],Tableau1[],4,FALSE)</f>
        <v>ELEC</v>
      </c>
      <c r="I805" s="88">
        <v>43861</v>
      </c>
      <c r="J805" t="s">
        <v>381</v>
      </c>
      <c r="K805" s="90">
        <f>IF(Tableau4[[#This Row],[État]]="Remis",1,0)</f>
        <v>0</v>
      </c>
    </row>
    <row r="806" spans="2:11" x14ac:dyDescent="0.25">
      <c r="B806" t="s">
        <v>281</v>
      </c>
      <c r="C806" s="90" t="str">
        <f>VLOOKUP(Tableau4[[#This Row],[Réf matériel]],Tableau3[],2,FALSE)</f>
        <v>Scie à métaux</v>
      </c>
      <c r="D806" s="90">
        <f>VLOOKUP(Tableau4[[#This Row],[Réf matériel]],Tableau3[],3,FALSE)</f>
        <v>11.26</v>
      </c>
      <c r="E806" t="s">
        <v>336</v>
      </c>
      <c r="F806" s="90" t="str">
        <f>VLOOKUP(Tableau4[[#This Row],[Matricule]],Tableau1[],2,FALSE)</f>
        <v>GERMAIN</v>
      </c>
      <c r="G806" s="90" t="str">
        <f>VLOOKUP(Tableau4[[#This Row],[Matricule]],Tableau1[],3,FALSE)</f>
        <v>Rudy</v>
      </c>
      <c r="H806" s="90" t="str">
        <f>VLOOKUP(Tableau4[[#This Row],[Matricule]],Tableau1[],4,FALSE)</f>
        <v>ELEC</v>
      </c>
      <c r="I806" s="88">
        <v>43861</v>
      </c>
      <c r="J806" t="s">
        <v>381</v>
      </c>
      <c r="K806" s="90">
        <f>IF(Tableau4[[#This Row],[État]]="Remis",1,0)</f>
        <v>0</v>
      </c>
    </row>
    <row r="807" spans="2:11" x14ac:dyDescent="0.25">
      <c r="B807" t="s">
        <v>51</v>
      </c>
      <c r="C807" s="90" t="str">
        <f>VLOOKUP(Tableau4[[#This Row],[Réf matériel]],Tableau3[],2,FALSE)</f>
        <v>Mètre pliant</v>
      </c>
      <c r="D807" s="90">
        <f>VLOOKUP(Tableau4[[#This Row],[Réf matériel]],Tableau3[],3,FALSE)</f>
        <v>3.2</v>
      </c>
      <c r="E807" t="s">
        <v>336</v>
      </c>
      <c r="F807" s="90" t="str">
        <f>VLOOKUP(Tableau4[[#This Row],[Matricule]],Tableau1[],2,FALSE)</f>
        <v>GERMAIN</v>
      </c>
      <c r="G807" s="90" t="str">
        <f>VLOOKUP(Tableau4[[#This Row],[Matricule]],Tableau1[],3,FALSE)</f>
        <v>Rudy</v>
      </c>
      <c r="H807" s="90" t="str">
        <f>VLOOKUP(Tableau4[[#This Row],[Matricule]],Tableau1[],4,FALSE)</f>
        <v>ELEC</v>
      </c>
      <c r="I807" s="88">
        <v>43861</v>
      </c>
      <c r="J807" t="s">
        <v>381</v>
      </c>
      <c r="K807" s="90">
        <f>IF(Tableau4[[#This Row],[État]]="Remis",1,0)</f>
        <v>0</v>
      </c>
    </row>
    <row r="808" spans="2:11" x14ac:dyDescent="0.25">
      <c r="B808" t="s">
        <v>395</v>
      </c>
      <c r="C808" s="90" t="str">
        <f>VLOOKUP(Tableau4[[#This Row],[Réf matériel]],Tableau3[],2,FALSE)</f>
        <v>Burin plat</v>
      </c>
      <c r="D808" s="90">
        <f>VLOOKUP(Tableau4[[#This Row],[Réf matériel]],Tableau3[],3,FALSE)</f>
        <v>11.89</v>
      </c>
      <c r="E808" t="s">
        <v>336</v>
      </c>
      <c r="F808" s="90" t="str">
        <f>VLOOKUP(Tableau4[[#This Row],[Matricule]],Tableau1[],2,FALSE)</f>
        <v>GERMAIN</v>
      </c>
      <c r="G808" s="90" t="str">
        <f>VLOOKUP(Tableau4[[#This Row],[Matricule]],Tableau1[],3,FALSE)</f>
        <v>Rudy</v>
      </c>
      <c r="H808" s="90" t="str">
        <f>VLOOKUP(Tableau4[[#This Row],[Matricule]],Tableau1[],4,FALSE)</f>
        <v>ELEC</v>
      </c>
      <c r="I808" s="88">
        <v>43861</v>
      </c>
      <c r="J808" t="s">
        <v>381</v>
      </c>
      <c r="K808" s="90">
        <f>IF(Tableau4[[#This Row],[État]]="Remis",1,0)</f>
        <v>0</v>
      </c>
    </row>
    <row r="809" spans="2:11" x14ac:dyDescent="0.25">
      <c r="B809" t="s">
        <v>401</v>
      </c>
      <c r="C809" s="90" t="str">
        <f>VLOOKUP(Tableau4[[#This Row],[Réf matériel]],Tableau3[],2,FALSE)</f>
        <v>Burin pointu</v>
      </c>
      <c r="D809" s="90">
        <f>VLOOKUP(Tableau4[[#This Row],[Réf matériel]],Tableau3[],3,FALSE)</f>
        <v>8.7200000000000006</v>
      </c>
      <c r="E809" t="s">
        <v>336</v>
      </c>
      <c r="F809" s="90" t="str">
        <f>VLOOKUP(Tableau4[[#This Row],[Matricule]],Tableau1[],2,FALSE)</f>
        <v>GERMAIN</v>
      </c>
      <c r="G809" s="90" t="str">
        <f>VLOOKUP(Tableau4[[#This Row],[Matricule]],Tableau1[],3,FALSE)</f>
        <v>Rudy</v>
      </c>
      <c r="H809" s="90" t="str">
        <f>VLOOKUP(Tableau4[[#This Row],[Matricule]],Tableau1[],4,FALSE)</f>
        <v>ELEC</v>
      </c>
      <c r="I809" s="88">
        <v>43861</v>
      </c>
      <c r="J809" t="s">
        <v>381</v>
      </c>
      <c r="K809" s="90">
        <f>IF(Tableau4[[#This Row],[État]]="Remis",1,0)</f>
        <v>0</v>
      </c>
    </row>
    <row r="810" spans="2:11" x14ac:dyDescent="0.25">
      <c r="B810" t="s">
        <v>396</v>
      </c>
      <c r="C810" s="90" t="str">
        <f>VLOOKUP(Tableau4[[#This Row],[Réf matériel]],Tableau3[],2,FALSE)</f>
        <v>Massette</v>
      </c>
      <c r="D810" s="90">
        <f>VLOOKUP(Tableau4[[#This Row],[Réf matériel]],Tableau3[],3,FALSE)</f>
        <v>15.14</v>
      </c>
      <c r="E810" t="s">
        <v>336</v>
      </c>
      <c r="F810" s="90" t="str">
        <f>VLOOKUP(Tableau4[[#This Row],[Matricule]],Tableau1[],2,FALSE)</f>
        <v>GERMAIN</v>
      </c>
      <c r="G810" s="90" t="str">
        <f>VLOOKUP(Tableau4[[#This Row],[Matricule]],Tableau1[],3,FALSE)</f>
        <v>Rudy</v>
      </c>
      <c r="H810" s="90" t="str">
        <f>VLOOKUP(Tableau4[[#This Row],[Matricule]],Tableau1[],4,FALSE)</f>
        <v>ELEC</v>
      </c>
      <c r="I810" s="88">
        <v>43861</v>
      </c>
      <c r="J810" t="s">
        <v>381</v>
      </c>
      <c r="K810" s="90">
        <f>IF(Tableau4[[#This Row],[État]]="Remis",1,0)</f>
        <v>0</v>
      </c>
    </row>
    <row r="811" spans="2:11" x14ac:dyDescent="0.25">
      <c r="B811" t="s">
        <v>55</v>
      </c>
      <c r="C811" s="90" t="str">
        <f>VLOOKUP(Tableau4[[#This Row],[Réf matériel]],Tableau3[],2,FALSE)</f>
        <v>Niveau</v>
      </c>
      <c r="D811" s="90">
        <f>VLOOKUP(Tableau4[[#This Row],[Réf matériel]],Tableau3[],3,FALSE)</f>
        <v>15</v>
      </c>
      <c r="E811" t="s">
        <v>336</v>
      </c>
      <c r="F811" s="90" t="str">
        <f>VLOOKUP(Tableau4[[#This Row],[Matricule]],Tableau1[],2,FALSE)</f>
        <v>GERMAIN</v>
      </c>
      <c r="G811" s="90" t="str">
        <f>VLOOKUP(Tableau4[[#This Row],[Matricule]],Tableau1[],3,FALSE)</f>
        <v>Rudy</v>
      </c>
      <c r="H811" s="90" t="str">
        <f>VLOOKUP(Tableau4[[#This Row],[Matricule]],Tableau1[],4,FALSE)</f>
        <v>ELEC</v>
      </c>
      <c r="I811" s="88">
        <v>43861</v>
      </c>
      <c r="J811" t="s">
        <v>381</v>
      </c>
      <c r="K811" s="90">
        <f>IF(Tableau4[[#This Row],[État]]="Remis",1,0)</f>
        <v>0</v>
      </c>
    </row>
    <row r="812" spans="2:11" x14ac:dyDescent="0.25">
      <c r="B812" t="s">
        <v>56</v>
      </c>
      <c r="C812" s="90" t="str">
        <f>VLOOKUP(Tableau4[[#This Row],[Réf matériel]],Tableau3[],2,FALSE)</f>
        <v>Jeu tournevis</v>
      </c>
      <c r="D812" s="90">
        <f>VLOOKUP(Tableau4[[#This Row],[Réf matériel]],Tableau3[],3,FALSE)</f>
        <v>37.57</v>
      </c>
      <c r="E812" t="s">
        <v>336</v>
      </c>
      <c r="F812" s="90" t="str">
        <f>VLOOKUP(Tableau4[[#This Row],[Matricule]],Tableau1[],2,FALSE)</f>
        <v>GERMAIN</v>
      </c>
      <c r="G812" s="90" t="str">
        <f>VLOOKUP(Tableau4[[#This Row],[Matricule]],Tableau1[],3,FALSE)</f>
        <v>Rudy</v>
      </c>
      <c r="H812" s="90" t="str">
        <f>VLOOKUP(Tableau4[[#This Row],[Matricule]],Tableau1[],4,FALSE)</f>
        <v>ELEC</v>
      </c>
      <c r="I812" s="88">
        <v>43861</v>
      </c>
      <c r="J812" t="s">
        <v>381</v>
      </c>
      <c r="K812" s="90">
        <f>IF(Tableau4[[#This Row],[État]]="Remis",1,0)</f>
        <v>0</v>
      </c>
    </row>
    <row r="813" spans="2:11" x14ac:dyDescent="0.25">
      <c r="B813" t="s">
        <v>397</v>
      </c>
      <c r="C813" s="90" t="str">
        <f>VLOOKUP(Tableau4[[#This Row],[Réf matériel]],Tableau3[],2,FALSE)</f>
        <v>Pince étau</v>
      </c>
      <c r="D813" s="90">
        <f>VLOOKUP(Tableau4[[#This Row],[Réf matériel]],Tableau3[],3,FALSE)</f>
        <v>16.02</v>
      </c>
      <c r="E813" t="s">
        <v>336</v>
      </c>
      <c r="F813" s="90" t="str">
        <f>VLOOKUP(Tableau4[[#This Row],[Matricule]],Tableau1[],2,FALSE)</f>
        <v>GERMAIN</v>
      </c>
      <c r="G813" s="90" t="str">
        <f>VLOOKUP(Tableau4[[#This Row],[Matricule]],Tableau1[],3,FALSE)</f>
        <v>Rudy</v>
      </c>
      <c r="H813" s="90" t="str">
        <f>VLOOKUP(Tableau4[[#This Row],[Matricule]],Tableau1[],4,FALSE)</f>
        <v>ELEC</v>
      </c>
      <c r="I813" s="88">
        <v>43861</v>
      </c>
      <c r="J813" t="s">
        <v>381</v>
      </c>
      <c r="K813" s="90">
        <f>IF(Tableau4[[#This Row],[État]]="Remis",1,0)</f>
        <v>0</v>
      </c>
    </row>
    <row r="814" spans="2:11" x14ac:dyDescent="0.25">
      <c r="B814" t="s">
        <v>398</v>
      </c>
      <c r="C814" s="90" t="str">
        <f>VLOOKUP(Tableau4[[#This Row],[Réf matériel]],Tableau3[],2,FALSE)</f>
        <v>Coffret douilles</v>
      </c>
      <c r="D814" s="90">
        <f>VLOOKUP(Tableau4[[#This Row],[Réf matériel]],Tableau3[],3,FALSE)</f>
        <v>103.22</v>
      </c>
      <c r="E814" t="s">
        <v>336</v>
      </c>
      <c r="F814" s="90" t="str">
        <f>VLOOKUP(Tableau4[[#This Row],[Matricule]],Tableau1[],2,FALSE)</f>
        <v>GERMAIN</v>
      </c>
      <c r="G814" s="90" t="str">
        <f>VLOOKUP(Tableau4[[#This Row],[Matricule]],Tableau1[],3,FALSE)</f>
        <v>Rudy</v>
      </c>
      <c r="H814" s="90" t="str">
        <f>VLOOKUP(Tableau4[[#This Row],[Matricule]],Tableau1[],4,FALSE)</f>
        <v>ELEC</v>
      </c>
      <c r="I814" s="88">
        <v>43861</v>
      </c>
      <c r="J814" t="s">
        <v>381</v>
      </c>
      <c r="K814" s="90">
        <f>IF(Tableau4[[#This Row],[État]]="Remis",1,0)</f>
        <v>0</v>
      </c>
    </row>
    <row r="815" spans="2:11" x14ac:dyDescent="0.25">
      <c r="B815" t="s">
        <v>403</v>
      </c>
      <c r="C815" s="90" t="str">
        <f>VLOOKUP(Tableau4[[#This Row],[Réf matériel]],Tableau3[],2,FALSE)</f>
        <v>Clé à pipe 10</v>
      </c>
      <c r="D815" s="90">
        <f>VLOOKUP(Tableau4[[#This Row],[Réf matériel]],Tableau3[],3,FALSE)</f>
        <v>5.41</v>
      </c>
      <c r="E815" t="s">
        <v>336</v>
      </c>
      <c r="F815" s="90" t="str">
        <f>VLOOKUP(Tableau4[[#This Row],[Matricule]],Tableau1[],2,FALSE)</f>
        <v>GERMAIN</v>
      </c>
      <c r="G815" s="90" t="str">
        <f>VLOOKUP(Tableau4[[#This Row],[Matricule]],Tableau1[],3,FALSE)</f>
        <v>Rudy</v>
      </c>
      <c r="H815" s="90" t="str">
        <f>VLOOKUP(Tableau4[[#This Row],[Matricule]],Tableau1[],4,FALSE)</f>
        <v>ELEC</v>
      </c>
      <c r="I815" s="88">
        <v>43861</v>
      </c>
      <c r="J815" t="s">
        <v>381</v>
      </c>
      <c r="K815" s="90">
        <f>IF(Tableau4[[#This Row],[État]]="Remis",1,0)</f>
        <v>0</v>
      </c>
    </row>
    <row r="816" spans="2:11" x14ac:dyDescent="0.25">
      <c r="B816" t="s">
        <v>405</v>
      </c>
      <c r="C816" s="90" t="str">
        <f>VLOOKUP(Tableau4[[#This Row],[Réf matériel]],Tableau3[],2,FALSE)</f>
        <v>Clé à pipe 13</v>
      </c>
      <c r="D816" s="90">
        <f>VLOOKUP(Tableau4[[#This Row],[Réf matériel]],Tableau3[],3,FALSE)</f>
        <v>6.23</v>
      </c>
      <c r="E816" t="s">
        <v>336</v>
      </c>
      <c r="F816" s="90" t="str">
        <f>VLOOKUP(Tableau4[[#This Row],[Matricule]],Tableau1[],2,FALSE)</f>
        <v>GERMAIN</v>
      </c>
      <c r="G816" s="90" t="str">
        <f>VLOOKUP(Tableau4[[#This Row],[Matricule]],Tableau1[],3,FALSE)</f>
        <v>Rudy</v>
      </c>
      <c r="H816" s="90" t="str">
        <f>VLOOKUP(Tableau4[[#This Row],[Matricule]],Tableau1[],4,FALSE)</f>
        <v>ELEC</v>
      </c>
      <c r="I816" s="88">
        <v>43861</v>
      </c>
      <c r="J816" t="s">
        <v>381</v>
      </c>
      <c r="K816" s="90">
        <f>IF(Tableau4[[#This Row],[État]]="Remis",1,0)</f>
        <v>0</v>
      </c>
    </row>
    <row r="817" spans="2:11" x14ac:dyDescent="0.25">
      <c r="B817" t="s">
        <v>408</v>
      </c>
      <c r="C817" s="90" t="str">
        <f>VLOOKUP(Tableau4[[#This Row],[Réf matériel]],Tableau3[],2,FALSE)</f>
        <v>Clé à pipe 17</v>
      </c>
      <c r="D817" s="90">
        <f>VLOOKUP(Tableau4[[#This Row],[Réf matériel]],Tableau3[],3,FALSE)</f>
        <v>9.36</v>
      </c>
      <c r="E817" t="s">
        <v>336</v>
      </c>
      <c r="F817" s="90" t="str">
        <f>VLOOKUP(Tableau4[[#This Row],[Matricule]],Tableau1[],2,FALSE)</f>
        <v>GERMAIN</v>
      </c>
      <c r="G817" s="90" t="str">
        <f>VLOOKUP(Tableau4[[#This Row],[Matricule]],Tableau1[],3,FALSE)</f>
        <v>Rudy</v>
      </c>
      <c r="H817" s="90" t="str">
        <f>VLOOKUP(Tableau4[[#This Row],[Matricule]],Tableau1[],4,FALSE)</f>
        <v>ELEC</v>
      </c>
      <c r="I817" s="88">
        <v>43861</v>
      </c>
      <c r="J817" t="s">
        <v>381</v>
      </c>
      <c r="K817" s="90">
        <f>IF(Tableau4[[#This Row],[État]]="Remis",1,0)</f>
        <v>0</v>
      </c>
    </row>
    <row r="818" spans="2:11" x14ac:dyDescent="0.25">
      <c r="B818" t="s">
        <v>409</v>
      </c>
      <c r="C818" s="90" t="str">
        <f>VLOOKUP(Tableau4[[#This Row],[Réf matériel]],Tableau3[],2,FALSE)</f>
        <v>Clé à pipe 19</v>
      </c>
      <c r="D818" s="90">
        <f>VLOOKUP(Tableau4[[#This Row],[Réf matériel]],Tableau3[],3,FALSE)</f>
        <v>10.4</v>
      </c>
      <c r="E818" t="s">
        <v>336</v>
      </c>
      <c r="F818" s="90" t="str">
        <f>VLOOKUP(Tableau4[[#This Row],[Matricule]],Tableau1[],2,FALSE)</f>
        <v>GERMAIN</v>
      </c>
      <c r="G818" s="90" t="str">
        <f>VLOOKUP(Tableau4[[#This Row],[Matricule]],Tableau1[],3,FALSE)</f>
        <v>Rudy</v>
      </c>
      <c r="H818" s="90" t="str">
        <f>VLOOKUP(Tableau4[[#This Row],[Matricule]],Tableau1[],4,FALSE)</f>
        <v>ELEC</v>
      </c>
      <c r="I818" s="88">
        <v>43861</v>
      </c>
      <c r="J818" t="s">
        <v>381</v>
      </c>
      <c r="K818" s="90">
        <f>IF(Tableau4[[#This Row],[État]]="Remis",1,0)</f>
        <v>0</v>
      </c>
    </row>
    <row r="819" spans="2:11" x14ac:dyDescent="0.25">
      <c r="B819" t="s">
        <v>410</v>
      </c>
      <c r="C819" s="90" t="str">
        <f>VLOOKUP(Tableau4[[#This Row],[Réf matériel]],Tableau3[],2,FALSE)</f>
        <v>Clé plate 10</v>
      </c>
      <c r="D819" s="90">
        <f>VLOOKUP(Tableau4[[#This Row],[Réf matériel]],Tableau3[],3,FALSE)</f>
        <v>3.32</v>
      </c>
      <c r="E819" t="s">
        <v>336</v>
      </c>
      <c r="F819" s="90" t="str">
        <f>VLOOKUP(Tableau4[[#This Row],[Matricule]],Tableau1[],2,FALSE)</f>
        <v>GERMAIN</v>
      </c>
      <c r="G819" s="90" t="str">
        <f>VLOOKUP(Tableau4[[#This Row],[Matricule]],Tableau1[],3,FALSE)</f>
        <v>Rudy</v>
      </c>
      <c r="H819" s="90" t="str">
        <f>VLOOKUP(Tableau4[[#This Row],[Matricule]],Tableau1[],4,FALSE)</f>
        <v>ELEC</v>
      </c>
      <c r="I819" s="88">
        <v>43861</v>
      </c>
      <c r="J819" t="s">
        <v>381</v>
      </c>
      <c r="K819" s="90">
        <f>IF(Tableau4[[#This Row],[État]]="Remis",1,0)</f>
        <v>0</v>
      </c>
    </row>
    <row r="820" spans="2:11" x14ac:dyDescent="0.25">
      <c r="B820" t="s">
        <v>412</v>
      </c>
      <c r="C820" s="90" t="str">
        <f>VLOOKUP(Tableau4[[#This Row],[Réf matériel]],Tableau3[],2,FALSE)</f>
        <v>Clé plate 13</v>
      </c>
      <c r="D820" s="90">
        <f>VLOOKUP(Tableau4[[#This Row],[Réf matériel]],Tableau3[],3,FALSE)</f>
        <v>3.91</v>
      </c>
      <c r="E820" t="s">
        <v>336</v>
      </c>
      <c r="F820" s="90" t="str">
        <f>VLOOKUP(Tableau4[[#This Row],[Matricule]],Tableau1[],2,FALSE)</f>
        <v>GERMAIN</v>
      </c>
      <c r="G820" s="90" t="str">
        <f>VLOOKUP(Tableau4[[#This Row],[Matricule]],Tableau1[],3,FALSE)</f>
        <v>Rudy</v>
      </c>
      <c r="H820" s="90" t="str">
        <f>VLOOKUP(Tableau4[[#This Row],[Matricule]],Tableau1[],4,FALSE)</f>
        <v>ELEC</v>
      </c>
      <c r="I820" s="88">
        <v>43861</v>
      </c>
      <c r="J820" t="s">
        <v>381</v>
      </c>
      <c r="K820" s="90">
        <f>IF(Tableau4[[#This Row],[État]]="Remis",1,0)</f>
        <v>0</v>
      </c>
    </row>
    <row r="821" spans="2:11" x14ac:dyDescent="0.25">
      <c r="B821" t="s">
        <v>414</v>
      </c>
      <c r="C821" s="90" t="str">
        <f>VLOOKUP(Tableau4[[#This Row],[Réf matériel]],Tableau3[],2,FALSE)</f>
        <v>Clé plate 17</v>
      </c>
      <c r="D821" s="90">
        <f>VLOOKUP(Tableau4[[#This Row],[Réf matériel]],Tableau3[],3,FALSE)</f>
        <v>5.5</v>
      </c>
      <c r="E821" t="s">
        <v>336</v>
      </c>
      <c r="F821" s="90" t="str">
        <f>VLOOKUP(Tableau4[[#This Row],[Matricule]],Tableau1[],2,FALSE)</f>
        <v>GERMAIN</v>
      </c>
      <c r="G821" s="90" t="str">
        <f>VLOOKUP(Tableau4[[#This Row],[Matricule]],Tableau1[],3,FALSE)</f>
        <v>Rudy</v>
      </c>
      <c r="H821" s="90" t="str">
        <f>VLOOKUP(Tableau4[[#This Row],[Matricule]],Tableau1[],4,FALSE)</f>
        <v>ELEC</v>
      </c>
      <c r="I821" s="88">
        <v>43861</v>
      </c>
      <c r="J821" t="s">
        <v>381</v>
      </c>
      <c r="K821" s="90">
        <f>IF(Tableau4[[#This Row],[État]]="Remis",1,0)</f>
        <v>0</v>
      </c>
    </row>
    <row r="822" spans="2:11" x14ac:dyDescent="0.25">
      <c r="B822" t="s">
        <v>415</v>
      </c>
      <c r="C822" s="90" t="str">
        <f>VLOOKUP(Tableau4[[#This Row],[Réf matériel]],Tableau3[],2,FALSE)</f>
        <v>Clé plate 19</v>
      </c>
      <c r="D822" s="90">
        <f>VLOOKUP(Tableau4[[#This Row],[Réf matériel]],Tableau3[],3,FALSE)</f>
        <v>6.07</v>
      </c>
      <c r="E822" t="s">
        <v>336</v>
      </c>
      <c r="F822" s="90" t="str">
        <f>VLOOKUP(Tableau4[[#This Row],[Matricule]],Tableau1[],2,FALSE)</f>
        <v>GERMAIN</v>
      </c>
      <c r="G822" s="90" t="str">
        <f>VLOOKUP(Tableau4[[#This Row],[Matricule]],Tableau1[],3,FALSE)</f>
        <v>Rudy</v>
      </c>
      <c r="H822" s="90" t="str">
        <f>VLOOKUP(Tableau4[[#This Row],[Matricule]],Tableau1[],4,FALSE)</f>
        <v>ELEC</v>
      </c>
      <c r="I822" s="88">
        <v>43861</v>
      </c>
      <c r="J822" t="s">
        <v>381</v>
      </c>
      <c r="K822" s="90">
        <f>IF(Tableau4[[#This Row],[État]]="Remis",1,0)</f>
        <v>0</v>
      </c>
    </row>
    <row r="823" spans="2:11" x14ac:dyDescent="0.25">
      <c r="B823" t="s">
        <v>67</v>
      </c>
      <c r="C823" s="90" t="str">
        <f>VLOOKUP(Tableau4[[#This Row],[Réf matériel]],Tableau3[],2,FALSE)</f>
        <v>Cutter</v>
      </c>
      <c r="D823" s="90">
        <f>VLOOKUP(Tableau4[[#This Row],[Réf matériel]],Tableau3[],3,FALSE)</f>
        <v>4.8499999999999996</v>
      </c>
      <c r="E823" t="s">
        <v>336</v>
      </c>
      <c r="F823" s="90" t="str">
        <f>VLOOKUP(Tableau4[[#This Row],[Matricule]],Tableau1[],2,FALSE)</f>
        <v>GERMAIN</v>
      </c>
      <c r="G823" s="90" t="str">
        <f>VLOOKUP(Tableau4[[#This Row],[Matricule]],Tableau1[],3,FALSE)</f>
        <v>Rudy</v>
      </c>
      <c r="H823" s="90" t="str">
        <f>VLOOKUP(Tableau4[[#This Row],[Matricule]],Tableau1[],4,FALSE)</f>
        <v>ELEC</v>
      </c>
      <c r="I823" s="88">
        <v>43861</v>
      </c>
      <c r="J823" t="s">
        <v>381</v>
      </c>
      <c r="K823" s="90">
        <f>IF(Tableau4[[#This Row],[État]]="Remis",1,0)</f>
        <v>0</v>
      </c>
    </row>
    <row r="824" spans="2:11" x14ac:dyDescent="0.25">
      <c r="B824" t="s">
        <v>420</v>
      </c>
      <c r="C824" s="90" t="str">
        <f>VLOOKUP(Tableau4[[#This Row],[Réf matériel]],Tableau3[],2,FALSE)</f>
        <v>Clé allen</v>
      </c>
      <c r="D824" s="90">
        <f>VLOOKUP(Tableau4[[#This Row],[Réf matériel]],Tableau3[],3,FALSE)</f>
        <v>27.5</v>
      </c>
      <c r="E824" t="s">
        <v>336</v>
      </c>
      <c r="F824" s="90" t="str">
        <f>VLOOKUP(Tableau4[[#This Row],[Matricule]],Tableau1[],2,FALSE)</f>
        <v>GERMAIN</v>
      </c>
      <c r="G824" s="90" t="str">
        <f>VLOOKUP(Tableau4[[#This Row],[Matricule]],Tableau1[],3,FALSE)</f>
        <v>Rudy</v>
      </c>
      <c r="H824" s="90" t="str">
        <f>VLOOKUP(Tableau4[[#This Row],[Matricule]],Tableau1[],4,FALSE)</f>
        <v>ELEC</v>
      </c>
      <c r="I824" s="88">
        <v>43861</v>
      </c>
      <c r="J824" t="s">
        <v>381</v>
      </c>
      <c r="K824" s="90">
        <f>IF(Tableau4[[#This Row],[État]]="Remis",1,0)</f>
        <v>0</v>
      </c>
    </row>
    <row r="825" spans="2:11" x14ac:dyDescent="0.25">
      <c r="B825" t="s">
        <v>438</v>
      </c>
      <c r="C825" s="90" t="str">
        <f>VLOOKUP(Tableau4[[#This Row],[Réf matériel]],Tableau3[],2,FALSE)</f>
        <v>Outil à dégainer</v>
      </c>
      <c r="D825" s="90">
        <f>VLOOKUP(Tableau4[[#This Row],[Réf matériel]],Tableau3[],3,FALSE)</f>
        <v>20.5</v>
      </c>
      <c r="E825" t="s">
        <v>336</v>
      </c>
      <c r="F825" s="90" t="str">
        <f>VLOOKUP(Tableau4[[#This Row],[Matricule]],Tableau1[],2,FALSE)</f>
        <v>GERMAIN</v>
      </c>
      <c r="G825" s="90" t="str">
        <f>VLOOKUP(Tableau4[[#This Row],[Matricule]],Tableau1[],3,FALSE)</f>
        <v>Rudy</v>
      </c>
      <c r="H825" s="90" t="str">
        <f>VLOOKUP(Tableau4[[#This Row],[Matricule]],Tableau1[],4,FALSE)</f>
        <v>ELEC</v>
      </c>
      <c r="I825" s="88">
        <v>43861</v>
      </c>
      <c r="J825" t="s">
        <v>381</v>
      </c>
      <c r="K825" s="90">
        <f>IF(Tableau4[[#This Row],[État]]="Remis",1,0)</f>
        <v>0</v>
      </c>
    </row>
    <row r="826" spans="2:11" x14ac:dyDescent="0.25">
      <c r="B826" t="s">
        <v>439</v>
      </c>
      <c r="C826" s="90" t="str">
        <f>VLOOKUP(Tableau4[[#This Row],[Réf matériel]],Tableau3[],2,FALSE)</f>
        <v>Pince à Sertir</v>
      </c>
      <c r="D826" s="90">
        <f>VLOOKUP(Tableau4[[#This Row],[Réf matériel]],Tableau3[],3,FALSE)</f>
        <v>78.400000000000006</v>
      </c>
      <c r="E826" t="s">
        <v>336</v>
      </c>
      <c r="F826" s="90" t="str">
        <f>VLOOKUP(Tableau4[[#This Row],[Matricule]],Tableau1[],2,FALSE)</f>
        <v>GERMAIN</v>
      </c>
      <c r="G826" s="90" t="str">
        <f>VLOOKUP(Tableau4[[#This Row],[Matricule]],Tableau1[],3,FALSE)</f>
        <v>Rudy</v>
      </c>
      <c r="H826" s="90" t="str">
        <f>VLOOKUP(Tableau4[[#This Row],[Matricule]],Tableau1[],4,FALSE)</f>
        <v>ELEC</v>
      </c>
      <c r="I826" s="88">
        <v>43861</v>
      </c>
      <c r="J826" t="s">
        <v>381</v>
      </c>
      <c r="K826" s="90">
        <f>IF(Tableau4[[#This Row],[État]]="Remis",1,0)</f>
        <v>0</v>
      </c>
    </row>
    <row r="827" spans="2:11" x14ac:dyDescent="0.25">
      <c r="B827" t="s">
        <v>440</v>
      </c>
      <c r="C827" s="90" t="str">
        <f>VLOOKUP(Tableau4[[#This Row],[Réf matériel]],Tableau3[],2,FALSE)</f>
        <v>Testeur Fluke</v>
      </c>
      <c r="D827" s="90">
        <f>VLOOKUP(Tableau4[[#This Row],[Réf matériel]],Tableau3[],3,FALSE)</f>
        <v>0</v>
      </c>
      <c r="E827" t="s">
        <v>336</v>
      </c>
      <c r="F827" s="90" t="str">
        <f>VLOOKUP(Tableau4[[#This Row],[Matricule]],Tableau1[],2,FALSE)</f>
        <v>GERMAIN</v>
      </c>
      <c r="G827" s="90" t="str">
        <f>VLOOKUP(Tableau4[[#This Row],[Matricule]],Tableau1[],3,FALSE)</f>
        <v>Rudy</v>
      </c>
      <c r="H827" s="90" t="str">
        <f>VLOOKUP(Tableau4[[#This Row],[Matricule]],Tableau1[],4,FALSE)</f>
        <v>ELEC</v>
      </c>
      <c r="I827" s="88">
        <v>43861</v>
      </c>
      <c r="J827" t="s">
        <v>381</v>
      </c>
      <c r="K827" s="90">
        <f>IF(Tableau4[[#This Row],[État]]="Remis",1,0)</f>
        <v>0</v>
      </c>
    </row>
    <row r="828" spans="2:11" x14ac:dyDescent="0.25">
      <c r="B828" t="s">
        <v>399</v>
      </c>
      <c r="C828" s="90" t="str">
        <f>VLOOKUP(Tableau4[[#This Row],[Réf matériel]],Tableau3[],2,FALSE)</f>
        <v>Boite embouts</v>
      </c>
      <c r="D828" s="90">
        <f>VLOOKUP(Tableau4[[#This Row],[Réf matériel]],Tableau3[],3,FALSE)</f>
        <v>27.61</v>
      </c>
      <c r="E828" t="s">
        <v>336</v>
      </c>
      <c r="F828" s="90" t="str">
        <f>VLOOKUP(Tableau4[[#This Row],[Matricule]],Tableau1[],2,FALSE)</f>
        <v>GERMAIN</v>
      </c>
      <c r="G828" s="90" t="str">
        <f>VLOOKUP(Tableau4[[#This Row],[Matricule]],Tableau1[],3,FALSE)</f>
        <v>Rudy</v>
      </c>
      <c r="H828" s="90" t="str">
        <f>VLOOKUP(Tableau4[[#This Row],[Matricule]],Tableau1[],4,FALSE)</f>
        <v>ELEC</v>
      </c>
      <c r="I828" s="88">
        <v>43861</v>
      </c>
      <c r="J828" t="s">
        <v>381</v>
      </c>
      <c r="K828" s="90">
        <f>IF(Tableau4[[#This Row],[État]]="Remis",1,0)</f>
        <v>0</v>
      </c>
    </row>
    <row r="829" spans="2:11" x14ac:dyDescent="0.25">
      <c r="B829" t="s">
        <v>72</v>
      </c>
      <c r="C829" s="90" t="str">
        <f>VLOOKUP(Tableau4[[#This Row],[Réf matériel]],Tableau3[],2,FALSE)</f>
        <v>Pince colson</v>
      </c>
      <c r="D829" s="90">
        <f>VLOOKUP(Tableau4[[#This Row],[Réf matériel]],Tableau3[],3,FALSE)</f>
        <v>46.91</v>
      </c>
      <c r="E829" t="s">
        <v>336</v>
      </c>
      <c r="F829" s="90" t="str">
        <f>VLOOKUP(Tableau4[[#This Row],[Matricule]],Tableau1[],2,FALSE)</f>
        <v>GERMAIN</v>
      </c>
      <c r="G829" s="90" t="str">
        <f>VLOOKUP(Tableau4[[#This Row],[Matricule]],Tableau1[],3,FALSE)</f>
        <v>Rudy</v>
      </c>
      <c r="H829" s="90" t="str">
        <f>VLOOKUP(Tableau4[[#This Row],[Matricule]],Tableau1[],4,FALSE)</f>
        <v>ELEC</v>
      </c>
      <c r="I829" s="88">
        <v>43861</v>
      </c>
      <c r="J829" t="s">
        <v>381</v>
      </c>
      <c r="K829" s="90">
        <f>IF(Tableau4[[#This Row],[État]]="Remis",1,0)</f>
        <v>0</v>
      </c>
    </row>
    <row r="830" spans="2:11" x14ac:dyDescent="0.25">
      <c r="B830" t="s">
        <v>441</v>
      </c>
      <c r="C830" s="90" t="str">
        <f>VLOOKUP(Tableau4[[#This Row],[Réf matériel]],Tableau3[],2,FALSE)</f>
        <v>Lunette de protection</v>
      </c>
      <c r="D830" s="90">
        <f>VLOOKUP(Tableau4[[#This Row],[Réf matériel]],Tableau3[],3,FALSE)</f>
        <v>2.38</v>
      </c>
      <c r="E830" t="s">
        <v>336</v>
      </c>
      <c r="F830" s="90" t="str">
        <f>VLOOKUP(Tableau4[[#This Row],[Matricule]],Tableau1[],2,FALSE)</f>
        <v>GERMAIN</v>
      </c>
      <c r="G830" s="90" t="str">
        <f>VLOOKUP(Tableau4[[#This Row],[Matricule]],Tableau1[],3,FALSE)</f>
        <v>Rudy</v>
      </c>
      <c r="H830" s="90" t="str">
        <f>VLOOKUP(Tableau4[[#This Row],[Matricule]],Tableau1[],4,FALSE)</f>
        <v>ELEC</v>
      </c>
      <c r="I830" s="88">
        <v>43861</v>
      </c>
      <c r="J830" t="s">
        <v>381</v>
      </c>
      <c r="K830" s="90">
        <f>IF(Tableau4[[#This Row],[État]]="Remis",1,0)</f>
        <v>0</v>
      </c>
    </row>
    <row r="831" spans="2:11" x14ac:dyDescent="0.25">
      <c r="B831" t="s">
        <v>74</v>
      </c>
      <c r="C831" s="90" t="str">
        <f>VLOOKUP(Tableau4[[#This Row],[Réf matériel]],Tableau3[],2,FALSE)</f>
        <v>Casque chantier</v>
      </c>
      <c r="D831" s="90">
        <f>VLOOKUP(Tableau4[[#This Row],[Réf matériel]],Tableau3[],3,FALSE)</f>
        <v>29.05</v>
      </c>
      <c r="E831" t="s">
        <v>336</v>
      </c>
      <c r="F831" s="90" t="str">
        <f>VLOOKUP(Tableau4[[#This Row],[Matricule]],Tableau1[],2,FALSE)</f>
        <v>GERMAIN</v>
      </c>
      <c r="G831" s="90" t="str">
        <f>VLOOKUP(Tableau4[[#This Row],[Matricule]],Tableau1[],3,FALSE)</f>
        <v>Rudy</v>
      </c>
      <c r="H831" s="90" t="str">
        <f>VLOOKUP(Tableau4[[#This Row],[Matricule]],Tableau1[],4,FALSE)</f>
        <v>ELEC</v>
      </c>
      <c r="I831" s="88">
        <v>43861</v>
      </c>
      <c r="J831" t="s">
        <v>381</v>
      </c>
      <c r="K831" s="90">
        <f>IF(Tableau4[[#This Row],[État]]="Remis",1,0)</f>
        <v>0</v>
      </c>
    </row>
    <row r="832" spans="2:11" x14ac:dyDescent="0.25">
      <c r="B832" t="s">
        <v>430</v>
      </c>
      <c r="C832" s="90" t="str">
        <f>VLOOKUP(Tableau4[[#This Row],[Réf matériel]],Tableau3[],2,FALSE)</f>
        <v>Couteau électricien</v>
      </c>
      <c r="D832" s="90">
        <f>VLOOKUP(Tableau4[[#This Row],[Réf matériel]],Tableau3[],3,FALSE)</f>
        <v>17.149999999999999</v>
      </c>
      <c r="E832" t="s">
        <v>365</v>
      </c>
      <c r="F832" s="90" t="str">
        <f>VLOOKUP(Tableau4[[#This Row],[Matricule]],Tableau1[],2,FALSE)</f>
        <v>ROSA MACHADO</v>
      </c>
      <c r="G832" s="90" t="str">
        <f>VLOOKUP(Tableau4[[#This Row],[Matricule]],Tableau1[],3,FALSE)</f>
        <v xml:space="preserve">Marcelo </v>
      </c>
      <c r="H832" s="90" t="str">
        <f>VLOOKUP(Tableau4[[#This Row],[Matricule]],Tableau1[],4,FALSE)</f>
        <v>RE</v>
      </c>
      <c r="I832" s="88">
        <v>44074</v>
      </c>
      <c r="J832" t="s">
        <v>380</v>
      </c>
      <c r="K832" s="90">
        <f>IF(Tableau4[[#This Row],[État]]="Remis",1,0)</f>
        <v>1</v>
      </c>
    </row>
    <row r="833" spans="2:11" x14ac:dyDescent="0.25">
      <c r="B833" t="s">
        <v>525</v>
      </c>
      <c r="C833" s="90" t="str">
        <f>VLOOKUP(Tableau4[[#This Row],[Réf matériel]],Tableau3[],2,FALSE)</f>
        <v>Cadena</v>
      </c>
      <c r="D833" s="90">
        <f>VLOOKUP(Tableau4[[#This Row],[Réf matériel]],Tableau3[],3,FALSE)</f>
        <v>13</v>
      </c>
      <c r="E833" t="s">
        <v>336</v>
      </c>
      <c r="F833" s="90" t="str">
        <f>VLOOKUP(Tableau4[[#This Row],[Matricule]],Tableau1[],2,FALSE)</f>
        <v>GERMAIN</v>
      </c>
      <c r="G833" s="90" t="str">
        <f>VLOOKUP(Tableau4[[#This Row],[Matricule]],Tableau1[],3,FALSE)</f>
        <v>Rudy</v>
      </c>
      <c r="H833" s="90" t="str">
        <f>VLOOKUP(Tableau4[[#This Row],[Matricule]],Tableau1[],4,FALSE)</f>
        <v>ELEC</v>
      </c>
      <c r="I833" s="88">
        <v>44074</v>
      </c>
      <c r="J833" t="s">
        <v>380</v>
      </c>
      <c r="K833" s="90">
        <f>IF(Tableau4[[#This Row],[État]]="Remis",1,0)</f>
        <v>1</v>
      </c>
    </row>
    <row r="834" spans="2:11" x14ac:dyDescent="0.25">
      <c r="B834" t="s">
        <v>525</v>
      </c>
      <c r="C834" s="90" t="str">
        <f>VLOOKUP(Tableau4[[#This Row],[Réf matériel]],Tableau3[],2,FALSE)</f>
        <v>Cadena</v>
      </c>
      <c r="D834" s="90">
        <f>VLOOKUP(Tableau4[[#This Row],[Réf matériel]],Tableau3[],3,FALSE)</f>
        <v>13</v>
      </c>
      <c r="E834" t="s">
        <v>336</v>
      </c>
      <c r="F834" s="90" t="str">
        <f>VLOOKUP(Tableau4[[#This Row],[Matricule]],Tableau1[],2,FALSE)</f>
        <v>GERMAIN</v>
      </c>
      <c r="G834" s="90" t="str">
        <f>VLOOKUP(Tableau4[[#This Row],[Matricule]],Tableau1[],3,FALSE)</f>
        <v>Rudy</v>
      </c>
      <c r="H834" s="90" t="str">
        <f>VLOOKUP(Tableau4[[#This Row],[Matricule]],Tableau1[],4,FALSE)</f>
        <v>ELEC</v>
      </c>
      <c r="I834" s="88">
        <v>44098</v>
      </c>
      <c r="J834" t="s">
        <v>447</v>
      </c>
      <c r="K834" s="90">
        <f>IF(Tableau4[[#This Row],[État]]="Remis",1,0)</f>
        <v>0</v>
      </c>
    </row>
    <row r="835" spans="2:11" x14ac:dyDescent="0.25">
      <c r="B835" t="s">
        <v>526</v>
      </c>
      <c r="C835" s="90" t="str">
        <f>VLOOKUP(Tableau4[[#This Row],[Réf matériel]],Tableau3[],2,FALSE)</f>
        <v>Coffre</v>
      </c>
      <c r="D835" s="90">
        <f>VLOOKUP(Tableau4[[#This Row],[Réf matériel]],Tableau3[],3,FALSE)</f>
        <v>54.54</v>
      </c>
      <c r="E835" t="s">
        <v>336</v>
      </c>
      <c r="F835" s="90" t="str">
        <f>VLOOKUP(Tableau4[[#This Row],[Matricule]],Tableau1[],2,FALSE)</f>
        <v>GERMAIN</v>
      </c>
      <c r="G835" s="90" t="str">
        <f>VLOOKUP(Tableau4[[#This Row],[Matricule]],Tableau1[],3,FALSE)</f>
        <v>Rudy</v>
      </c>
      <c r="H835" s="90" t="str">
        <f>VLOOKUP(Tableau4[[#This Row],[Matricule]],Tableau1[],4,FALSE)</f>
        <v>ELEC</v>
      </c>
      <c r="I835" s="88">
        <v>44074</v>
      </c>
      <c r="J835" t="s">
        <v>380</v>
      </c>
      <c r="K835" s="90">
        <f>IF(Tableau4[[#This Row],[État]]="Remis",1,0)</f>
        <v>1</v>
      </c>
    </row>
    <row r="836" spans="2:11" x14ac:dyDescent="0.25">
      <c r="B836" t="s">
        <v>393</v>
      </c>
      <c r="C836" s="90" t="str">
        <f>VLOOKUP(Tableau4[[#This Row],[Réf matériel]],Tableau3[],2,FALSE)</f>
        <v>Clé à molette</v>
      </c>
      <c r="D836" s="90">
        <f>VLOOKUP(Tableau4[[#This Row],[Réf matériel]],Tableau3[],3,FALSE)</f>
        <v>16.12</v>
      </c>
      <c r="E836" t="s">
        <v>336</v>
      </c>
      <c r="F836" s="90" t="str">
        <f>VLOOKUP(Tableau4[[#This Row],[Matricule]],Tableau1[],2,FALSE)</f>
        <v>GERMAIN</v>
      </c>
      <c r="G836" s="90" t="str">
        <f>VLOOKUP(Tableau4[[#This Row],[Matricule]],Tableau1[],3,FALSE)</f>
        <v>Rudy</v>
      </c>
      <c r="H836" s="90" t="str">
        <f>VLOOKUP(Tableau4[[#This Row],[Matricule]],Tableau1[],4,FALSE)</f>
        <v>ELEC</v>
      </c>
      <c r="I836" s="88">
        <v>44074</v>
      </c>
      <c r="J836" t="s">
        <v>380</v>
      </c>
      <c r="K836" s="90">
        <f>IF(Tableau4[[#This Row],[État]]="Remis",1,0)</f>
        <v>1</v>
      </c>
    </row>
    <row r="837" spans="2:11" x14ac:dyDescent="0.25">
      <c r="B837" t="s">
        <v>278</v>
      </c>
      <c r="C837" s="90" t="str">
        <f>VLOOKUP(Tableau4[[#This Row],[Réf matériel]],Tableau3[],2,FALSE)</f>
        <v>Pince à dénuder</v>
      </c>
      <c r="D837" s="90">
        <f>VLOOKUP(Tableau4[[#This Row],[Réf matériel]],Tableau3[],3,FALSE)</f>
        <v>24.55</v>
      </c>
      <c r="E837" t="s">
        <v>336</v>
      </c>
      <c r="F837" s="90" t="str">
        <f>VLOOKUP(Tableau4[[#This Row],[Matricule]],Tableau1[],2,FALSE)</f>
        <v>GERMAIN</v>
      </c>
      <c r="G837" s="90" t="str">
        <f>VLOOKUP(Tableau4[[#This Row],[Matricule]],Tableau1[],3,FALSE)</f>
        <v>Rudy</v>
      </c>
      <c r="H837" s="90" t="str">
        <f>VLOOKUP(Tableau4[[#This Row],[Matricule]],Tableau1[],4,FALSE)</f>
        <v>ELEC</v>
      </c>
      <c r="I837" s="88">
        <v>44074</v>
      </c>
      <c r="J837" t="s">
        <v>380</v>
      </c>
      <c r="K837" s="90">
        <f>IF(Tableau4[[#This Row],[État]]="Remis",1,0)</f>
        <v>1</v>
      </c>
    </row>
    <row r="838" spans="2:11" x14ac:dyDescent="0.25">
      <c r="B838" t="s">
        <v>279</v>
      </c>
      <c r="C838" s="90" t="str">
        <f>VLOOKUP(Tableau4[[#This Row],[Réf matériel]],Tableau3[],2,FALSE)</f>
        <v>lime demi ronde</v>
      </c>
      <c r="D838" s="90">
        <f>VLOOKUP(Tableau4[[#This Row],[Réf matériel]],Tableau3[],3,FALSE)</f>
        <v>7.59</v>
      </c>
      <c r="E838" t="s">
        <v>336</v>
      </c>
      <c r="F838" s="90" t="str">
        <f>VLOOKUP(Tableau4[[#This Row],[Matricule]],Tableau1[],2,FALSE)</f>
        <v>GERMAIN</v>
      </c>
      <c r="G838" s="90" t="str">
        <f>VLOOKUP(Tableau4[[#This Row],[Matricule]],Tableau1[],3,FALSE)</f>
        <v>Rudy</v>
      </c>
      <c r="H838" s="90" t="str">
        <f>VLOOKUP(Tableau4[[#This Row],[Matricule]],Tableau1[],4,FALSE)</f>
        <v>ELEC</v>
      </c>
      <c r="I838" s="88">
        <v>44074</v>
      </c>
      <c r="J838" t="s">
        <v>380</v>
      </c>
      <c r="K838" s="90">
        <f>IF(Tableau4[[#This Row],[État]]="Remis",1,0)</f>
        <v>1</v>
      </c>
    </row>
    <row r="839" spans="2:11" x14ac:dyDescent="0.25">
      <c r="B839" t="s">
        <v>280</v>
      </c>
      <c r="C839" s="90" t="str">
        <f>VLOOKUP(Tableau4[[#This Row],[Réf matériel]],Tableau3[],2,FALSE)</f>
        <v>Pince coupante 1000v</v>
      </c>
      <c r="D839" s="90">
        <f>VLOOKUP(Tableau4[[#This Row],[Réf matériel]],Tableau3[],3,FALSE)</f>
        <v>20.87</v>
      </c>
      <c r="E839" t="s">
        <v>336</v>
      </c>
      <c r="F839" s="90" t="str">
        <f>VLOOKUP(Tableau4[[#This Row],[Matricule]],Tableau1[],2,FALSE)</f>
        <v>GERMAIN</v>
      </c>
      <c r="G839" s="90" t="str">
        <f>VLOOKUP(Tableau4[[#This Row],[Matricule]],Tableau1[],3,FALSE)</f>
        <v>Rudy</v>
      </c>
      <c r="H839" s="90" t="str">
        <f>VLOOKUP(Tableau4[[#This Row],[Matricule]],Tableau1[],4,FALSE)</f>
        <v>ELEC</v>
      </c>
      <c r="I839" s="88">
        <v>44074</v>
      </c>
      <c r="J839" t="s">
        <v>380</v>
      </c>
      <c r="K839" s="90">
        <f>IF(Tableau4[[#This Row],[État]]="Remis",1,0)</f>
        <v>1</v>
      </c>
    </row>
    <row r="840" spans="2:11" x14ac:dyDescent="0.25">
      <c r="B840" t="s">
        <v>49</v>
      </c>
      <c r="C840" s="90" t="str">
        <f>VLOOKUP(Tableau4[[#This Row],[Réf matériel]],Tableau3[],2,FALSE)</f>
        <v>Coupe câble</v>
      </c>
      <c r="D840" s="90">
        <f>VLOOKUP(Tableau4[[#This Row],[Réf matériel]],Tableau3[],3,FALSE)</f>
        <v>41.88</v>
      </c>
      <c r="E840" t="s">
        <v>336</v>
      </c>
      <c r="F840" s="90" t="str">
        <f>VLOOKUP(Tableau4[[#This Row],[Matricule]],Tableau1[],2,FALSE)</f>
        <v>GERMAIN</v>
      </c>
      <c r="G840" s="90" t="str">
        <f>VLOOKUP(Tableau4[[#This Row],[Matricule]],Tableau1[],3,FALSE)</f>
        <v>Rudy</v>
      </c>
      <c r="H840" s="90" t="str">
        <f>VLOOKUP(Tableau4[[#This Row],[Matricule]],Tableau1[],4,FALSE)</f>
        <v>ELEC</v>
      </c>
      <c r="I840" s="88">
        <v>44074</v>
      </c>
      <c r="J840" t="s">
        <v>380</v>
      </c>
      <c r="K840" s="90">
        <f>IF(Tableau4[[#This Row],[État]]="Remis",1,0)</f>
        <v>1</v>
      </c>
    </row>
    <row r="841" spans="2:11" x14ac:dyDescent="0.25">
      <c r="B841" t="s">
        <v>281</v>
      </c>
      <c r="C841" s="90" t="str">
        <f>VLOOKUP(Tableau4[[#This Row],[Réf matériel]],Tableau3[],2,FALSE)</f>
        <v>Scie à métaux</v>
      </c>
      <c r="D841" s="90">
        <f>VLOOKUP(Tableau4[[#This Row],[Réf matériel]],Tableau3[],3,FALSE)</f>
        <v>11.26</v>
      </c>
      <c r="E841" t="s">
        <v>336</v>
      </c>
      <c r="F841" s="90" t="str">
        <f>VLOOKUP(Tableau4[[#This Row],[Matricule]],Tableau1[],2,FALSE)</f>
        <v>GERMAIN</v>
      </c>
      <c r="G841" s="90" t="str">
        <f>VLOOKUP(Tableau4[[#This Row],[Matricule]],Tableau1[],3,FALSE)</f>
        <v>Rudy</v>
      </c>
      <c r="H841" s="90" t="str">
        <f>VLOOKUP(Tableau4[[#This Row],[Matricule]],Tableau1[],4,FALSE)</f>
        <v>ELEC</v>
      </c>
      <c r="I841" s="88">
        <v>44074</v>
      </c>
      <c r="J841" t="s">
        <v>380</v>
      </c>
      <c r="K841" s="90">
        <f>IF(Tableau4[[#This Row],[État]]="Remis",1,0)</f>
        <v>1</v>
      </c>
    </row>
    <row r="842" spans="2:11" x14ac:dyDescent="0.25">
      <c r="B842" t="s">
        <v>51</v>
      </c>
      <c r="C842" s="90" t="str">
        <f>VLOOKUP(Tableau4[[#This Row],[Réf matériel]],Tableau3[],2,FALSE)</f>
        <v>Mètre pliant</v>
      </c>
      <c r="D842" s="90">
        <f>VLOOKUP(Tableau4[[#This Row],[Réf matériel]],Tableau3[],3,FALSE)</f>
        <v>3.2</v>
      </c>
      <c r="E842" t="s">
        <v>336</v>
      </c>
      <c r="F842" s="90" t="str">
        <f>VLOOKUP(Tableau4[[#This Row],[Matricule]],Tableau1[],2,FALSE)</f>
        <v>GERMAIN</v>
      </c>
      <c r="G842" s="90" t="str">
        <f>VLOOKUP(Tableau4[[#This Row],[Matricule]],Tableau1[],3,FALSE)</f>
        <v>Rudy</v>
      </c>
      <c r="H842" s="90" t="str">
        <f>VLOOKUP(Tableau4[[#This Row],[Matricule]],Tableau1[],4,FALSE)</f>
        <v>ELEC</v>
      </c>
      <c r="I842" s="88">
        <v>44074</v>
      </c>
      <c r="J842" t="s">
        <v>380</v>
      </c>
      <c r="K842" s="90">
        <f>IF(Tableau4[[#This Row],[État]]="Remis",1,0)</f>
        <v>1</v>
      </c>
    </row>
    <row r="843" spans="2:11" x14ac:dyDescent="0.25">
      <c r="B843" t="s">
        <v>395</v>
      </c>
      <c r="C843" s="90" t="str">
        <f>VLOOKUP(Tableau4[[#This Row],[Réf matériel]],Tableau3[],2,FALSE)</f>
        <v>Burin plat</v>
      </c>
      <c r="D843" s="90">
        <f>VLOOKUP(Tableau4[[#This Row],[Réf matériel]],Tableau3[],3,FALSE)</f>
        <v>11.89</v>
      </c>
      <c r="E843" t="s">
        <v>336</v>
      </c>
      <c r="F843" s="90" t="str">
        <f>VLOOKUP(Tableau4[[#This Row],[Matricule]],Tableau1[],2,FALSE)</f>
        <v>GERMAIN</v>
      </c>
      <c r="G843" s="90" t="str">
        <f>VLOOKUP(Tableau4[[#This Row],[Matricule]],Tableau1[],3,FALSE)</f>
        <v>Rudy</v>
      </c>
      <c r="H843" s="90" t="str">
        <f>VLOOKUP(Tableau4[[#This Row],[Matricule]],Tableau1[],4,FALSE)</f>
        <v>ELEC</v>
      </c>
      <c r="I843" s="88">
        <v>44074</v>
      </c>
      <c r="J843" t="s">
        <v>380</v>
      </c>
      <c r="K843" s="90">
        <f>IF(Tableau4[[#This Row],[État]]="Remis",1,0)</f>
        <v>1</v>
      </c>
    </row>
    <row r="844" spans="2:11" x14ac:dyDescent="0.25">
      <c r="B844" t="s">
        <v>401</v>
      </c>
      <c r="C844" s="90" t="str">
        <f>VLOOKUP(Tableau4[[#This Row],[Réf matériel]],Tableau3[],2,FALSE)</f>
        <v>Burin pointu</v>
      </c>
      <c r="D844" s="90">
        <f>VLOOKUP(Tableau4[[#This Row],[Réf matériel]],Tableau3[],3,FALSE)</f>
        <v>8.7200000000000006</v>
      </c>
      <c r="E844" t="s">
        <v>336</v>
      </c>
      <c r="F844" s="90" t="str">
        <f>VLOOKUP(Tableau4[[#This Row],[Matricule]],Tableau1[],2,FALSE)</f>
        <v>GERMAIN</v>
      </c>
      <c r="G844" s="90" t="str">
        <f>VLOOKUP(Tableau4[[#This Row],[Matricule]],Tableau1[],3,FALSE)</f>
        <v>Rudy</v>
      </c>
      <c r="H844" s="90" t="str">
        <f>VLOOKUP(Tableau4[[#This Row],[Matricule]],Tableau1[],4,FALSE)</f>
        <v>ELEC</v>
      </c>
      <c r="I844" s="88">
        <v>44074</v>
      </c>
      <c r="J844" t="s">
        <v>380</v>
      </c>
      <c r="K844" s="90">
        <f>IF(Tableau4[[#This Row],[État]]="Remis",1,0)</f>
        <v>1</v>
      </c>
    </row>
    <row r="845" spans="2:11" x14ac:dyDescent="0.25">
      <c r="B845" t="s">
        <v>396</v>
      </c>
      <c r="C845" s="90" t="str">
        <f>VLOOKUP(Tableau4[[#This Row],[Réf matériel]],Tableau3[],2,FALSE)</f>
        <v>Massette</v>
      </c>
      <c r="D845" s="90">
        <f>VLOOKUP(Tableau4[[#This Row],[Réf matériel]],Tableau3[],3,FALSE)</f>
        <v>15.14</v>
      </c>
      <c r="E845" t="s">
        <v>336</v>
      </c>
      <c r="F845" s="90" t="str">
        <f>VLOOKUP(Tableau4[[#This Row],[Matricule]],Tableau1[],2,FALSE)</f>
        <v>GERMAIN</v>
      </c>
      <c r="G845" s="90" t="str">
        <f>VLOOKUP(Tableau4[[#This Row],[Matricule]],Tableau1[],3,FALSE)</f>
        <v>Rudy</v>
      </c>
      <c r="H845" s="90" t="str">
        <f>VLOOKUP(Tableau4[[#This Row],[Matricule]],Tableau1[],4,FALSE)</f>
        <v>ELEC</v>
      </c>
      <c r="I845" s="88">
        <v>44074</v>
      </c>
      <c r="J845" t="s">
        <v>380</v>
      </c>
      <c r="K845" s="90">
        <f>IF(Tableau4[[#This Row],[État]]="Remis",1,0)</f>
        <v>1</v>
      </c>
    </row>
    <row r="846" spans="2:11" x14ac:dyDescent="0.25">
      <c r="B846" t="s">
        <v>55</v>
      </c>
      <c r="C846" s="90" t="str">
        <f>VLOOKUP(Tableau4[[#This Row],[Réf matériel]],Tableau3[],2,FALSE)</f>
        <v>Niveau</v>
      </c>
      <c r="D846" s="90">
        <f>VLOOKUP(Tableau4[[#This Row],[Réf matériel]],Tableau3[],3,FALSE)</f>
        <v>15</v>
      </c>
      <c r="E846" t="s">
        <v>336</v>
      </c>
      <c r="F846" s="90" t="str">
        <f>VLOOKUP(Tableau4[[#This Row],[Matricule]],Tableau1[],2,FALSE)</f>
        <v>GERMAIN</v>
      </c>
      <c r="G846" s="90" t="str">
        <f>VLOOKUP(Tableau4[[#This Row],[Matricule]],Tableau1[],3,FALSE)</f>
        <v>Rudy</v>
      </c>
      <c r="H846" s="90" t="str">
        <f>VLOOKUP(Tableau4[[#This Row],[Matricule]],Tableau1[],4,FALSE)</f>
        <v>ELEC</v>
      </c>
      <c r="I846" s="88">
        <v>44074</v>
      </c>
      <c r="J846" t="s">
        <v>380</v>
      </c>
      <c r="K846" s="90">
        <f>IF(Tableau4[[#This Row],[État]]="Remis",1,0)</f>
        <v>1</v>
      </c>
    </row>
    <row r="847" spans="2:11" x14ac:dyDescent="0.25">
      <c r="B847" t="s">
        <v>56</v>
      </c>
      <c r="C847" s="90" t="str">
        <f>VLOOKUP(Tableau4[[#This Row],[Réf matériel]],Tableau3[],2,FALSE)</f>
        <v>Jeu tournevis</v>
      </c>
      <c r="D847" s="90">
        <f>VLOOKUP(Tableau4[[#This Row],[Réf matériel]],Tableau3[],3,FALSE)</f>
        <v>37.57</v>
      </c>
      <c r="E847" t="s">
        <v>336</v>
      </c>
      <c r="F847" s="90" t="str">
        <f>VLOOKUP(Tableau4[[#This Row],[Matricule]],Tableau1[],2,FALSE)</f>
        <v>GERMAIN</v>
      </c>
      <c r="G847" s="90" t="str">
        <f>VLOOKUP(Tableau4[[#This Row],[Matricule]],Tableau1[],3,FALSE)</f>
        <v>Rudy</v>
      </c>
      <c r="H847" s="90" t="str">
        <f>VLOOKUP(Tableau4[[#This Row],[Matricule]],Tableau1[],4,FALSE)</f>
        <v>ELEC</v>
      </c>
      <c r="I847" s="88">
        <v>44074</v>
      </c>
      <c r="J847" t="s">
        <v>380</v>
      </c>
      <c r="K847" s="90">
        <f>IF(Tableau4[[#This Row],[État]]="Remis",1,0)</f>
        <v>1</v>
      </c>
    </row>
    <row r="848" spans="2:11" x14ac:dyDescent="0.25">
      <c r="B848" t="s">
        <v>397</v>
      </c>
      <c r="C848" s="90" t="str">
        <f>VLOOKUP(Tableau4[[#This Row],[Réf matériel]],Tableau3[],2,FALSE)</f>
        <v>Pince étau</v>
      </c>
      <c r="D848" s="90">
        <f>VLOOKUP(Tableau4[[#This Row],[Réf matériel]],Tableau3[],3,FALSE)</f>
        <v>16.02</v>
      </c>
      <c r="E848" t="s">
        <v>336</v>
      </c>
      <c r="F848" s="90" t="str">
        <f>VLOOKUP(Tableau4[[#This Row],[Matricule]],Tableau1[],2,FALSE)</f>
        <v>GERMAIN</v>
      </c>
      <c r="G848" s="90" t="str">
        <f>VLOOKUP(Tableau4[[#This Row],[Matricule]],Tableau1[],3,FALSE)</f>
        <v>Rudy</v>
      </c>
      <c r="H848" s="90" t="str">
        <f>VLOOKUP(Tableau4[[#This Row],[Matricule]],Tableau1[],4,FALSE)</f>
        <v>ELEC</v>
      </c>
      <c r="I848" s="88">
        <v>44074</v>
      </c>
      <c r="J848" t="s">
        <v>380</v>
      </c>
      <c r="K848" s="90">
        <f>IF(Tableau4[[#This Row],[État]]="Remis",1,0)</f>
        <v>1</v>
      </c>
    </row>
    <row r="849" spans="2:11" x14ac:dyDescent="0.25">
      <c r="B849" t="s">
        <v>398</v>
      </c>
      <c r="C849" s="90" t="str">
        <f>VLOOKUP(Tableau4[[#This Row],[Réf matériel]],Tableau3[],2,FALSE)</f>
        <v>Coffret douilles</v>
      </c>
      <c r="D849" s="90">
        <f>VLOOKUP(Tableau4[[#This Row],[Réf matériel]],Tableau3[],3,FALSE)</f>
        <v>103.22</v>
      </c>
      <c r="E849" t="s">
        <v>336</v>
      </c>
      <c r="F849" s="90" t="str">
        <f>VLOOKUP(Tableau4[[#This Row],[Matricule]],Tableau1[],2,FALSE)</f>
        <v>GERMAIN</v>
      </c>
      <c r="G849" s="90" t="str">
        <f>VLOOKUP(Tableau4[[#This Row],[Matricule]],Tableau1[],3,FALSE)</f>
        <v>Rudy</v>
      </c>
      <c r="H849" s="90" t="str">
        <f>VLOOKUP(Tableau4[[#This Row],[Matricule]],Tableau1[],4,FALSE)</f>
        <v>ELEC</v>
      </c>
      <c r="I849" s="88">
        <v>44074</v>
      </c>
      <c r="J849" t="s">
        <v>380</v>
      </c>
      <c r="K849" s="90">
        <f>IF(Tableau4[[#This Row],[État]]="Remis",1,0)</f>
        <v>1</v>
      </c>
    </row>
    <row r="850" spans="2:11" x14ac:dyDescent="0.25">
      <c r="B850" t="s">
        <v>527</v>
      </c>
      <c r="C850" s="90" t="str">
        <f>VLOOKUP(Tableau4[[#This Row],[Réf matériel]],Tableau3[],2,FALSE)</f>
        <v>Clé à pipe 10</v>
      </c>
      <c r="D850" s="90">
        <f>VLOOKUP(Tableau4[[#This Row],[Réf matériel]],Tableau3[],3,FALSE)</f>
        <v>5.41</v>
      </c>
      <c r="E850" t="s">
        <v>336</v>
      </c>
      <c r="F850" s="90" t="str">
        <f>VLOOKUP(Tableau4[[#This Row],[Matricule]],Tableau1[],2,FALSE)</f>
        <v>GERMAIN</v>
      </c>
      <c r="G850" s="90" t="str">
        <f>VLOOKUP(Tableau4[[#This Row],[Matricule]],Tableau1[],3,FALSE)</f>
        <v>Rudy</v>
      </c>
      <c r="H850" s="90" t="str">
        <f>VLOOKUP(Tableau4[[#This Row],[Matricule]],Tableau1[],4,FALSE)</f>
        <v>ELEC</v>
      </c>
      <c r="I850" s="88">
        <v>44074</v>
      </c>
      <c r="J850" t="s">
        <v>380</v>
      </c>
      <c r="K850" s="90">
        <f>IF(Tableau4[[#This Row],[État]]="Remis",1,0)</f>
        <v>1</v>
      </c>
    </row>
    <row r="851" spans="2:11" x14ac:dyDescent="0.25">
      <c r="B851" t="s">
        <v>521</v>
      </c>
      <c r="C851" s="90" t="str">
        <f>VLOOKUP(Tableau4[[#This Row],[Réf matériel]],Tableau3[],2,FALSE)</f>
        <v>Clé à pipe 13</v>
      </c>
      <c r="D851" s="90">
        <f>VLOOKUP(Tableau4[[#This Row],[Réf matériel]],Tableau3[],3,FALSE)</f>
        <v>6.23</v>
      </c>
      <c r="E851" t="s">
        <v>336</v>
      </c>
      <c r="F851" s="90" t="str">
        <f>VLOOKUP(Tableau4[[#This Row],[Matricule]],Tableau1[],2,FALSE)</f>
        <v>GERMAIN</v>
      </c>
      <c r="G851" s="90" t="str">
        <f>VLOOKUP(Tableau4[[#This Row],[Matricule]],Tableau1[],3,FALSE)</f>
        <v>Rudy</v>
      </c>
      <c r="H851" s="90" t="str">
        <f>VLOOKUP(Tableau4[[#This Row],[Matricule]],Tableau1[],4,FALSE)</f>
        <v>ELEC</v>
      </c>
      <c r="I851" s="88">
        <v>44074</v>
      </c>
      <c r="J851" t="s">
        <v>380</v>
      </c>
      <c r="K851" s="90">
        <f>IF(Tableau4[[#This Row],[État]]="Remis",1,0)</f>
        <v>1</v>
      </c>
    </row>
    <row r="852" spans="2:11" x14ac:dyDescent="0.25">
      <c r="B852" t="s">
        <v>528</v>
      </c>
      <c r="C852" s="90" t="str">
        <f>VLOOKUP(Tableau4[[#This Row],[Réf matériel]],Tableau3[],2,FALSE)</f>
        <v>Clé à pipe 17</v>
      </c>
      <c r="D852" s="90">
        <f>VLOOKUP(Tableau4[[#This Row],[Réf matériel]],Tableau3[],3,FALSE)</f>
        <v>9.36</v>
      </c>
      <c r="E852" t="s">
        <v>336</v>
      </c>
      <c r="F852" s="90" t="str">
        <f>VLOOKUP(Tableau4[[#This Row],[Matricule]],Tableau1[],2,FALSE)</f>
        <v>GERMAIN</v>
      </c>
      <c r="G852" s="90" t="str">
        <f>VLOOKUP(Tableau4[[#This Row],[Matricule]],Tableau1[],3,FALSE)</f>
        <v>Rudy</v>
      </c>
      <c r="H852" s="90" t="str">
        <f>VLOOKUP(Tableau4[[#This Row],[Matricule]],Tableau1[],4,FALSE)</f>
        <v>ELEC</v>
      </c>
      <c r="I852" s="88">
        <v>44074</v>
      </c>
      <c r="J852" t="s">
        <v>380</v>
      </c>
      <c r="K852" s="90">
        <f>IF(Tableau4[[#This Row],[État]]="Remis",1,0)</f>
        <v>1</v>
      </c>
    </row>
    <row r="853" spans="2:11" x14ac:dyDescent="0.25">
      <c r="B853" t="s">
        <v>529</v>
      </c>
      <c r="C853" s="90" t="str">
        <f>VLOOKUP(Tableau4[[#This Row],[Réf matériel]],Tableau3[],2,FALSE)</f>
        <v>Clé à pipe 19</v>
      </c>
      <c r="D853" s="90">
        <f>VLOOKUP(Tableau4[[#This Row],[Réf matériel]],Tableau3[],3,FALSE)</f>
        <v>10.4</v>
      </c>
      <c r="E853" t="s">
        <v>336</v>
      </c>
      <c r="F853" s="90" t="str">
        <f>VLOOKUP(Tableau4[[#This Row],[Matricule]],Tableau1[],2,FALSE)</f>
        <v>GERMAIN</v>
      </c>
      <c r="G853" s="90" t="str">
        <f>VLOOKUP(Tableau4[[#This Row],[Matricule]],Tableau1[],3,FALSE)</f>
        <v>Rudy</v>
      </c>
      <c r="H853" s="90" t="str">
        <f>VLOOKUP(Tableau4[[#This Row],[Matricule]],Tableau1[],4,FALSE)</f>
        <v>ELEC</v>
      </c>
      <c r="I853" s="88">
        <v>44074</v>
      </c>
      <c r="J853" t="s">
        <v>380</v>
      </c>
      <c r="K853" s="90">
        <f>IF(Tableau4[[#This Row],[État]]="Remis",1,0)</f>
        <v>1</v>
      </c>
    </row>
    <row r="854" spans="2:11" x14ac:dyDescent="0.25">
      <c r="B854" t="s">
        <v>530</v>
      </c>
      <c r="C854" s="90" t="str">
        <f>VLOOKUP(Tableau4[[#This Row],[Réf matériel]],Tableau3[],2,FALSE)</f>
        <v>Clé plate 10</v>
      </c>
      <c r="D854" s="90">
        <f>VLOOKUP(Tableau4[[#This Row],[Réf matériel]],Tableau3[],3,FALSE)</f>
        <v>3.32</v>
      </c>
      <c r="E854" t="s">
        <v>336</v>
      </c>
      <c r="F854" s="90" t="str">
        <f>VLOOKUP(Tableau4[[#This Row],[Matricule]],Tableau1[],2,FALSE)</f>
        <v>GERMAIN</v>
      </c>
      <c r="G854" s="90" t="str">
        <f>VLOOKUP(Tableau4[[#This Row],[Matricule]],Tableau1[],3,FALSE)</f>
        <v>Rudy</v>
      </c>
      <c r="H854" s="90" t="str">
        <f>VLOOKUP(Tableau4[[#This Row],[Matricule]],Tableau1[],4,FALSE)</f>
        <v>ELEC</v>
      </c>
      <c r="I854" s="88">
        <v>44074</v>
      </c>
      <c r="J854" t="s">
        <v>380</v>
      </c>
      <c r="K854" s="90">
        <f>IF(Tableau4[[#This Row],[État]]="Remis",1,0)</f>
        <v>1</v>
      </c>
    </row>
    <row r="855" spans="2:11" x14ac:dyDescent="0.25">
      <c r="B855" t="s">
        <v>531</v>
      </c>
      <c r="C855" s="90" t="str">
        <f>VLOOKUP(Tableau4[[#This Row],[Réf matériel]],Tableau3[],2,FALSE)</f>
        <v>Clé plate 13</v>
      </c>
      <c r="D855" s="90">
        <f>VLOOKUP(Tableau4[[#This Row],[Réf matériel]],Tableau3[],3,FALSE)</f>
        <v>3.91</v>
      </c>
      <c r="E855" t="s">
        <v>336</v>
      </c>
      <c r="F855" s="90" t="str">
        <f>VLOOKUP(Tableau4[[#This Row],[Matricule]],Tableau1[],2,FALSE)</f>
        <v>GERMAIN</v>
      </c>
      <c r="G855" s="90" t="str">
        <f>VLOOKUP(Tableau4[[#This Row],[Matricule]],Tableau1[],3,FALSE)</f>
        <v>Rudy</v>
      </c>
      <c r="H855" s="90" t="str">
        <f>VLOOKUP(Tableau4[[#This Row],[Matricule]],Tableau1[],4,FALSE)</f>
        <v>ELEC</v>
      </c>
      <c r="I855" s="88">
        <v>44074</v>
      </c>
      <c r="J855" t="s">
        <v>380</v>
      </c>
      <c r="K855" s="90">
        <f>IF(Tableau4[[#This Row],[État]]="Remis",1,0)</f>
        <v>1</v>
      </c>
    </row>
    <row r="856" spans="2:11" x14ac:dyDescent="0.25">
      <c r="B856" t="s">
        <v>532</v>
      </c>
      <c r="C856" s="90" t="str">
        <f>VLOOKUP(Tableau4[[#This Row],[Réf matériel]],Tableau3[],2,FALSE)</f>
        <v>Clé plate 19</v>
      </c>
      <c r="D856" s="90">
        <f>VLOOKUP(Tableau4[[#This Row],[Réf matériel]],Tableau3[],3,FALSE)</f>
        <v>6.07</v>
      </c>
      <c r="E856" t="s">
        <v>336</v>
      </c>
      <c r="F856" s="90" t="str">
        <f>VLOOKUP(Tableau4[[#This Row],[Matricule]],Tableau1[],2,FALSE)</f>
        <v>GERMAIN</v>
      </c>
      <c r="G856" s="90" t="str">
        <f>VLOOKUP(Tableau4[[#This Row],[Matricule]],Tableau1[],3,FALSE)</f>
        <v>Rudy</v>
      </c>
      <c r="H856" s="90" t="str">
        <f>VLOOKUP(Tableau4[[#This Row],[Matricule]],Tableau1[],4,FALSE)</f>
        <v>ELEC</v>
      </c>
      <c r="I856" s="88">
        <v>44074</v>
      </c>
      <c r="J856" t="s">
        <v>380</v>
      </c>
      <c r="K856" s="90">
        <f>IF(Tableau4[[#This Row],[État]]="Remis",1,0)</f>
        <v>1</v>
      </c>
    </row>
    <row r="857" spans="2:11" x14ac:dyDescent="0.25">
      <c r="B857" t="s">
        <v>533</v>
      </c>
      <c r="C857" s="90" t="str">
        <f>VLOOKUP(Tableau4[[#This Row],[Réf matériel]],Tableau3[],2,FALSE)</f>
        <v>Cutter</v>
      </c>
      <c r="D857" s="90">
        <f>VLOOKUP(Tableau4[[#This Row],[Réf matériel]],Tableau3[],3,FALSE)</f>
        <v>4.8499999999999996</v>
      </c>
      <c r="E857" t="s">
        <v>336</v>
      </c>
      <c r="F857" s="90" t="str">
        <f>VLOOKUP(Tableau4[[#This Row],[Matricule]],Tableau1[],2,FALSE)</f>
        <v>GERMAIN</v>
      </c>
      <c r="G857" s="90" t="str">
        <f>VLOOKUP(Tableau4[[#This Row],[Matricule]],Tableau1[],3,FALSE)</f>
        <v>Rudy</v>
      </c>
      <c r="H857" s="90" t="str">
        <f>VLOOKUP(Tableau4[[#This Row],[Matricule]],Tableau1[],4,FALSE)</f>
        <v>ELEC</v>
      </c>
      <c r="I857" s="88">
        <v>44074</v>
      </c>
      <c r="J857" t="s">
        <v>380</v>
      </c>
      <c r="K857" s="90">
        <f>IF(Tableau4[[#This Row],[État]]="Remis",1,0)</f>
        <v>1</v>
      </c>
    </row>
    <row r="858" spans="2:11" x14ac:dyDescent="0.25">
      <c r="B858" t="s">
        <v>420</v>
      </c>
      <c r="C858" s="90" t="str">
        <f>VLOOKUP(Tableau4[[#This Row],[Réf matériel]],Tableau3[],2,FALSE)</f>
        <v>Clé allen</v>
      </c>
      <c r="D858" s="90">
        <f>VLOOKUP(Tableau4[[#This Row],[Réf matériel]],Tableau3[],3,FALSE)</f>
        <v>27.5</v>
      </c>
      <c r="E858" t="s">
        <v>336</v>
      </c>
      <c r="F858" s="90" t="str">
        <f>VLOOKUP(Tableau4[[#This Row],[Matricule]],Tableau1[],2,FALSE)</f>
        <v>GERMAIN</v>
      </c>
      <c r="G858" s="90" t="str">
        <f>VLOOKUP(Tableau4[[#This Row],[Matricule]],Tableau1[],3,FALSE)</f>
        <v>Rudy</v>
      </c>
      <c r="H858" s="90" t="str">
        <f>VLOOKUP(Tableau4[[#This Row],[Matricule]],Tableau1[],4,FALSE)</f>
        <v>ELEC</v>
      </c>
      <c r="I858" s="88">
        <v>44074</v>
      </c>
      <c r="J858" t="s">
        <v>380</v>
      </c>
      <c r="K858" s="90">
        <f>IF(Tableau4[[#This Row],[État]]="Remis",1,0)</f>
        <v>1</v>
      </c>
    </row>
    <row r="859" spans="2:11" x14ac:dyDescent="0.25">
      <c r="B859" t="s">
        <v>287</v>
      </c>
      <c r="C859" s="90" t="str">
        <f>VLOOKUP(Tableau4[[#This Row],[Réf matériel]],Tableau3[],2,FALSE)</f>
        <v>Outil à dégainer</v>
      </c>
      <c r="D859" s="90">
        <f>VLOOKUP(Tableau4[[#This Row],[Réf matériel]],Tableau3[],3,FALSE)</f>
        <v>20.5</v>
      </c>
      <c r="E859" t="s">
        <v>336</v>
      </c>
      <c r="F859" s="90" t="str">
        <f>VLOOKUP(Tableau4[[#This Row],[Matricule]],Tableau1[],2,FALSE)</f>
        <v>GERMAIN</v>
      </c>
      <c r="G859" s="90" t="str">
        <f>VLOOKUP(Tableau4[[#This Row],[Matricule]],Tableau1[],3,FALSE)</f>
        <v>Rudy</v>
      </c>
      <c r="H859" s="90" t="str">
        <f>VLOOKUP(Tableau4[[#This Row],[Matricule]],Tableau1[],4,FALSE)</f>
        <v>ELEC</v>
      </c>
      <c r="I859" s="88">
        <v>44074</v>
      </c>
      <c r="J859" t="s">
        <v>380</v>
      </c>
      <c r="K859" s="90">
        <f>IF(Tableau4[[#This Row],[État]]="Remis",1,0)</f>
        <v>1</v>
      </c>
    </row>
    <row r="860" spans="2:11" x14ac:dyDescent="0.25">
      <c r="B860" t="s">
        <v>102</v>
      </c>
      <c r="C860" s="90" t="str">
        <f>VLOOKUP(Tableau4[[#This Row],[Réf matériel]],Tableau3[],2,FALSE)</f>
        <v>Pince à Sertir</v>
      </c>
      <c r="D860" s="90">
        <f>VLOOKUP(Tableau4[[#This Row],[Réf matériel]],Tableau3[],3,FALSE)</f>
        <v>78.400000000000006</v>
      </c>
      <c r="E860" t="s">
        <v>336</v>
      </c>
      <c r="F860" s="90" t="str">
        <f>VLOOKUP(Tableau4[[#This Row],[Matricule]],Tableau1[],2,FALSE)</f>
        <v>GERMAIN</v>
      </c>
      <c r="G860" s="90" t="str">
        <f>VLOOKUP(Tableau4[[#This Row],[Matricule]],Tableau1[],3,FALSE)</f>
        <v>Rudy</v>
      </c>
      <c r="H860" s="90" t="str">
        <f>VLOOKUP(Tableau4[[#This Row],[Matricule]],Tableau1[],4,FALSE)</f>
        <v>ELEC</v>
      </c>
      <c r="I860" s="88">
        <v>44074</v>
      </c>
      <c r="J860" t="s">
        <v>380</v>
      </c>
      <c r="K860" s="90">
        <f>IF(Tableau4[[#This Row],[État]]="Remis",1,0)</f>
        <v>1</v>
      </c>
    </row>
    <row r="861" spans="2:11" x14ac:dyDescent="0.25">
      <c r="B861" t="s">
        <v>399</v>
      </c>
      <c r="C861" s="90" t="str">
        <f>VLOOKUP(Tableau4[[#This Row],[Réf matériel]],Tableau3[],2,FALSE)</f>
        <v>Boite embouts</v>
      </c>
      <c r="D861" s="90">
        <f>VLOOKUP(Tableau4[[#This Row],[Réf matériel]],Tableau3[],3,FALSE)</f>
        <v>27.61</v>
      </c>
      <c r="E861" t="s">
        <v>336</v>
      </c>
      <c r="F861" s="90" t="str">
        <f>VLOOKUP(Tableau4[[#This Row],[Matricule]],Tableau1[],2,FALSE)</f>
        <v>GERMAIN</v>
      </c>
      <c r="G861" s="90" t="str">
        <f>VLOOKUP(Tableau4[[#This Row],[Matricule]],Tableau1[],3,FALSE)</f>
        <v>Rudy</v>
      </c>
      <c r="H861" s="90" t="str">
        <f>VLOOKUP(Tableau4[[#This Row],[Matricule]],Tableau1[],4,FALSE)</f>
        <v>ELEC</v>
      </c>
      <c r="I861" s="88">
        <v>44074</v>
      </c>
      <c r="J861" t="s">
        <v>380</v>
      </c>
      <c r="K861" s="90">
        <f>IF(Tableau4[[#This Row],[État]]="Remis",1,0)</f>
        <v>1</v>
      </c>
    </row>
    <row r="862" spans="2:11" x14ac:dyDescent="0.25">
      <c r="B862" t="s">
        <v>72</v>
      </c>
      <c r="C862" s="90" t="str">
        <f>VLOOKUP(Tableau4[[#This Row],[Réf matériel]],Tableau3[],2,FALSE)</f>
        <v>Pince colson</v>
      </c>
      <c r="D862" s="90">
        <f>VLOOKUP(Tableau4[[#This Row],[Réf matériel]],Tableau3[],3,FALSE)</f>
        <v>46.91</v>
      </c>
      <c r="E862" t="s">
        <v>336</v>
      </c>
      <c r="F862" s="90" t="str">
        <f>VLOOKUP(Tableau4[[#This Row],[Matricule]],Tableau1[],2,FALSE)</f>
        <v>GERMAIN</v>
      </c>
      <c r="G862" s="90" t="str">
        <f>VLOOKUP(Tableau4[[#This Row],[Matricule]],Tableau1[],3,FALSE)</f>
        <v>Rudy</v>
      </c>
      <c r="H862" s="90" t="str">
        <f>VLOOKUP(Tableau4[[#This Row],[Matricule]],Tableau1[],4,FALSE)</f>
        <v>ELEC</v>
      </c>
      <c r="I862" s="88">
        <v>44074</v>
      </c>
      <c r="J862" t="s">
        <v>380</v>
      </c>
      <c r="K862" s="90">
        <f>IF(Tableau4[[#This Row],[État]]="Remis",1,0)</f>
        <v>1</v>
      </c>
    </row>
    <row r="863" spans="2:11" x14ac:dyDescent="0.25">
      <c r="B863" t="s">
        <v>428</v>
      </c>
      <c r="C863" s="90" t="str">
        <f>VLOOKUP(Tableau4[[#This Row],[Réf matériel]],Tableau3[],2,FALSE)</f>
        <v>Pince multiprise</v>
      </c>
      <c r="D863" s="90">
        <f>VLOOKUP(Tableau4[[#This Row],[Réf matériel]],Tableau3[],3,FALSE)</f>
        <v>27.2</v>
      </c>
      <c r="E863" t="s">
        <v>336</v>
      </c>
      <c r="F863" s="90" t="str">
        <f>VLOOKUP(Tableau4[[#This Row],[Matricule]],Tableau1[],2,FALSE)</f>
        <v>GERMAIN</v>
      </c>
      <c r="G863" s="90" t="str">
        <f>VLOOKUP(Tableau4[[#This Row],[Matricule]],Tableau1[],3,FALSE)</f>
        <v>Rudy</v>
      </c>
      <c r="H863" s="90" t="str">
        <f>VLOOKUP(Tableau4[[#This Row],[Matricule]],Tableau1[],4,FALSE)</f>
        <v>ELEC</v>
      </c>
      <c r="I863" s="88">
        <v>44074</v>
      </c>
      <c r="J863" t="s">
        <v>380</v>
      </c>
      <c r="K863" s="90">
        <f>IF(Tableau4[[#This Row],[État]]="Remis",1,0)</f>
        <v>1</v>
      </c>
    </row>
    <row r="864" spans="2:11" x14ac:dyDescent="0.25">
      <c r="B864" t="s">
        <v>505</v>
      </c>
      <c r="C864" s="90" t="str">
        <f>VLOOKUP(Tableau4[[#This Row],[Réf matériel]],Tableau3[],2,FALSE)</f>
        <v>Pince à bec rond</v>
      </c>
      <c r="D864" s="90">
        <f>VLOOKUP(Tableau4[[#This Row],[Réf matériel]],Tableau3[],3,FALSE)</f>
        <v>19.2</v>
      </c>
      <c r="E864" t="s">
        <v>336</v>
      </c>
      <c r="F864" s="90" t="str">
        <f>VLOOKUP(Tableau4[[#This Row],[Matricule]],Tableau1[],2,FALSE)</f>
        <v>GERMAIN</v>
      </c>
      <c r="G864" s="90" t="str">
        <f>VLOOKUP(Tableau4[[#This Row],[Matricule]],Tableau1[],3,FALSE)</f>
        <v>Rudy</v>
      </c>
      <c r="H864" s="90" t="str">
        <f>VLOOKUP(Tableau4[[#This Row],[Matricule]],Tableau1[],4,FALSE)</f>
        <v>ELEC</v>
      </c>
      <c r="I864" s="88">
        <v>44074</v>
      </c>
      <c r="J864" t="s">
        <v>380</v>
      </c>
      <c r="K864" s="90">
        <f>IF(Tableau4[[#This Row],[État]]="Remis",1,0)</f>
        <v>1</v>
      </c>
    </row>
    <row r="865" spans="2:11" x14ac:dyDescent="0.25">
      <c r="B865" t="s">
        <v>534</v>
      </c>
      <c r="C865" s="90" t="str">
        <f>VLOOKUP(Tableau4[[#This Row],[Réf matériel]],Tableau3[],2,FALSE)</f>
        <v>Pince à bec rond</v>
      </c>
      <c r="D865" s="90">
        <f>VLOOKUP(Tableau4[[#This Row],[Réf matériel]],Tableau3[],3,FALSE)</f>
        <v>19.2</v>
      </c>
      <c r="E865" t="s">
        <v>336</v>
      </c>
      <c r="F865" s="90" t="str">
        <f>VLOOKUP(Tableau4[[#This Row],[Matricule]],Tableau1[],2,FALSE)</f>
        <v>GERMAIN</v>
      </c>
      <c r="G865" s="90" t="str">
        <f>VLOOKUP(Tableau4[[#This Row],[Matricule]],Tableau1[],3,FALSE)</f>
        <v>Rudy</v>
      </c>
      <c r="H865" s="90" t="str">
        <f>VLOOKUP(Tableau4[[#This Row],[Matricule]],Tableau1[],4,FALSE)</f>
        <v>ELEC</v>
      </c>
      <c r="I865" s="88">
        <v>44074</v>
      </c>
      <c r="J865" t="s">
        <v>380</v>
      </c>
      <c r="K865" s="90">
        <f>IF(Tableau4[[#This Row],[État]]="Remis",1,0)</f>
        <v>1</v>
      </c>
    </row>
    <row r="866" spans="2:11" x14ac:dyDescent="0.25">
      <c r="B866" t="s">
        <v>506</v>
      </c>
      <c r="C866" s="90" t="str">
        <f>VLOOKUP(Tableau4[[#This Row],[Réf matériel]],Tableau3[],2,FALSE)</f>
        <v>Pointaux</v>
      </c>
      <c r="D866" s="90">
        <f>VLOOKUP(Tableau4[[#This Row],[Réf matériel]],Tableau3[],3,FALSE)</f>
        <v>2.2799999999999998</v>
      </c>
      <c r="E866" t="s">
        <v>336</v>
      </c>
      <c r="F866" s="90" t="str">
        <f>VLOOKUP(Tableau4[[#This Row],[Matricule]],Tableau1[],2,FALSE)</f>
        <v>GERMAIN</v>
      </c>
      <c r="G866" s="90" t="str">
        <f>VLOOKUP(Tableau4[[#This Row],[Matricule]],Tableau1[],3,FALSE)</f>
        <v>Rudy</v>
      </c>
      <c r="H866" s="90" t="str">
        <f>VLOOKUP(Tableau4[[#This Row],[Matricule]],Tableau1[],4,FALSE)</f>
        <v>ELEC</v>
      </c>
      <c r="I866" s="88">
        <v>44074</v>
      </c>
      <c r="J866" t="s">
        <v>380</v>
      </c>
      <c r="K866" s="90">
        <f>IF(Tableau4[[#This Row],[État]]="Remis",1,0)</f>
        <v>1</v>
      </c>
    </row>
    <row r="867" spans="2:11" x14ac:dyDescent="0.25">
      <c r="B867" t="s">
        <v>506</v>
      </c>
      <c r="C867" s="90" t="str">
        <f>VLOOKUP(Tableau4[[#This Row],[Réf matériel]],Tableau3[],2,FALSE)</f>
        <v>Pointaux</v>
      </c>
      <c r="D867" s="90">
        <f>VLOOKUP(Tableau4[[#This Row],[Réf matériel]],Tableau3[],3,FALSE)</f>
        <v>2.2799999999999998</v>
      </c>
      <c r="E867" t="s">
        <v>336</v>
      </c>
      <c r="F867" s="90" t="str">
        <f>VLOOKUP(Tableau4[[#This Row],[Matricule]],Tableau1[],2,FALSE)</f>
        <v>GERMAIN</v>
      </c>
      <c r="G867" s="90" t="str">
        <f>VLOOKUP(Tableau4[[#This Row],[Matricule]],Tableau1[],3,FALSE)</f>
        <v>Rudy</v>
      </c>
      <c r="H867" s="90" t="str">
        <f>VLOOKUP(Tableau4[[#This Row],[Matricule]],Tableau1[],4,FALSE)</f>
        <v>ELEC</v>
      </c>
      <c r="I867" s="88">
        <v>44074</v>
      </c>
      <c r="J867" t="s">
        <v>380</v>
      </c>
      <c r="K867" s="90">
        <f>IF(Tableau4[[#This Row],[État]]="Remis",1,0)</f>
        <v>1</v>
      </c>
    </row>
    <row r="868" spans="2:11" x14ac:dyDescent="0.25">
      <c r="B868" t="s">
        <v>506</v>
      </c>
      <c r="C868" s="90" t="str">
        <f>VLOOKUP(Tableau4[[#This Row],[Réf matériel]],Tableau3[],2,FALSE)</f>
        <v>Pointaux</v>
      </c>
      <c r="D868" s="90">
        <f>VLOOKUP(Tableau4[[#This Row],[Réf matériel]],Tableau3[],3,FALSE)</f>
        <v>2.2799999999999998</v>
      </c>
      <c r="E868" t="s">
        <v>336</v>
      </c>
      <c r="F868" s="90" t="str">
        <f>VLOOKUP(Tableau4[[#This Row],[Matricule]],Tableau1[],2,FALSE)</f>
        <v>GERMAIN</v>
      </c>
      <c r="G868" s="90" t="str">
        <f>VLOOKUP(Tableau4[[#This Row],[Matricule]],Tableau1[],3,FALSE)</f>
        <v>Rudy</v>
      </c>
      <c r="H868" s="90" t="str">
        <f>VLOOKUP(Tableau4[[#This Row],[Matricule]],Tableau1[],4,FALSE)</f>
        <v>ELEC</v>
      </c>
      <c r="I868" s="88">
        <v>44074</v>
      </c>
      <c r="J868" t="s">
        <v>380</v>
      </c>
      <c r="K868" s="90">
        <f>IF(Tableau4[[#This Row],[État]]="Remis",1,0)</f>
        <v>1</v>
      </c>
    </row>
    <row r="869" spans="2:11" x14ac:dyDescent="0.25">
      <c r="B869" t="s">
        <v>506</v>
      </c>
      <c r="C869" s="90" t="str">
        <f>VLOOKUP(Tableau4[[#This Row],[Réf matériel]],Tableau3[],2,FALSE)</f>
        <v>Pointaux</v>
      </c>
      <c r="D869" s="90">
        <f>VLOOKUP(Tableau4[[#This Row],[Réf matériel]],Tableau3[],3,FALSE)</f>
        <v>2.2799999999999998</v>
      </c>
      <c r="E869" t="s">
        <v>336</v>
      </c>
      <c r="F869" s="90" t="str">
        <f>VLOOKUP(Tableau4[[#This Row],[Matricule]],Tableau1[],2,FALSE)</f>
        <v>GERMAIN</v>
      </c>
      <c r="G869" s="90" t="str">
        <f>VLOOKUP(Tableau4[[#This Row],[Matricule]],Tableau1[],3,FALSE)</f>
        <v>Rudy</v>
      </c>
      <c r="H869" s="90" t="str">
        <f>VLOOKUP(Tableau4[[#This Row],[Matricule]],Tableau1[],4,FALSE)</f>
        <v>ELEC</v>
      </c>
      <c r="I869" s="88">
        <v>44074</v>
      </c>
      <c r="J869" t="s">
        <v>380</v>
      </c>
      <c r="K869" s="90">
        <f>IF(Tableau4[[#This Row],[État]]="Remis",1,0)</f>
        <v>1</v>
      </c>
    </row>
    <row r="870" spans="2:11" x14ac:dyDescent="0.25">
      <c r="B870" t="s">
        <v>275</v>
      </c>
      <c r="C870" s="90" t="str">
        <f>VLOOKUP(Tableau4[[#This Row],[Réf matériel]],Tableau3[],2,FALSE)</f>
        <v>Cliquet rapide 1/4</v>
      </c>
      <c r="D870" s="90">
        <f>VLOOKUP(Tableau4[[#This Row],[Réf matériel]],Tableau3[],3,FALSE)</f>
        <v>31</v>
      </c>
      <c r="E870" t="s">
        <v>336</v>
      </c>
      <c r="F870" s="90" t="str">
        <f>VLOOKUP(Tableau4[[#This Row],[Matricule]],Tableau1[],2,FALSE)</f>
        <v>GERMAIN</v>
      </c>
      <c r="G870" s="90" t="str">
        <f>VLOOKUP(Tableau4[[#This Row],[Matricule]],Tableau1[],3,FALSE)</f>
        <v>Rudy</v>
      </c>
      <c r="H870" s="90" t="str">
        <f>VLOOKUP(Tableau4[[#This Row],[Matricule]],Tableau1[],4,FALSE)</f>
        <v>ELEC</v>
      </c>
      <c r="I870" s="88">
        <v>44074</v>
      </c>
      <c r="J870" t="s">
        <v>380</v>
      </c>
      <c r="K870" s="90">
        <f>IF(Tableau4[[#This Row],[État]]="Remis",1,0)</f>
        <v>1</v>
      </c>
    </row>
    <row r="871" spans="2:11" x14ac:dyDescent="0.25">
      <c r="B871" t="s">
        <v>441</v>
      </c>
      <c r="C871" s="90" t="str">
        <f>VLOOKUP(Tableau4[[#This Row],[Réf matériel]],Tableau3[],2,FALSE)</f>
        <v>Lunette de protection</v>
      </c>
      <c r="D871" s="90">
        <f>VLOOKUP(Tableau4[[#This Row],[Réf matériel]],Tableau3[],3,FALSE)</f>
        <v>2.38</v>
      </c>
      <c r="E871" t="s">
        <v>336</v>
      </c>
      <c r="F871" s="90" t="str">
        <f>VLOOKUP(Tableau4[[#This Row],[Matricule]],Tableau1[],2,FALSE)</f>
        <v>GERMAIN</v>
      </c>
      <c r="G871" s="90" t="str">
        <f>VLOOKUP(Tableau4[[#This Row],[Matricule]],Tableau1[],3,FALSE)</f>
        <v>Rudy</v>
      </c>
      <c r="H871" s="90" t="str">
        <f>VLOOKUP(Tableau4[[#This Row],[Matricule]],Tableau1[],4,FALSE)</f>
        <v>ELEC</v>
      </c>
      <c r="I871" s="88">
        <v>44074</v>
      </c>
      <c r="J871" t="s">
        <v>380</v>
      </c>
      <c r="K871" s="90">
        <f>IF(Tableau4[[#This Row],[État]]="Remis",1,0)</f>
        <v>1</v>
      </c>
    </row>
    <row r="872" spans="2:11" x14ac:dyDescent="0.25">
      <c r="B872" t="s">
        <v>399</v>
      </c>
      <c r="C872" s="90" t="str">
        <f>VLOOKUP(Tableau4[[#This Row],[Réf matériel]],Tableau3[],2,FALSE)</f>
        <v>Boite embouts</v>
      </c>
      <c r="D872" s="90">
        <f>VLOOKUP(Tableau4[[#This Row],[Réf matériel]],Tableau3[],3,FALSE)</f>
        <v>27.61</v>
      </c>
      <c r="E872" t="s">
        <v>536</v>
      </c>
      <c r="F872" s="90" t="str">
        <f>VLOOKUP(Tableau4[[#This Row],[Matricule]],Tableau1[],2,FALSE)</f>
        <v>Caisse volante4</v>
      </c>
      <c r="G872" s="90">
        <f>VLOOKUP(Tableau4[[#This Row],[Matricule]],Tableau1[],3,FALSE)</f>
        <v>0</v>
      </c>
      <c r="H872" s="90">
        <f>VLOOKUP(Tableau4[[#This Row],[Matricule]],Tableau1[],4,FALSE)</f>
        <v>0</v>
      </c>
      <c r="J872" t="s">
        <v>380</v>
      </c>
      <c r="K872" s="90">
        <f>IF(Tableau4[[#This Row],[État]]="Remis",1,0)</f>
        <v>1</v>
      </c>
    </row>
    <row r="873" spans="2:11" x14ac:dyDescent="0.25">
      <c r="B873" t="s">
        <v>395</v>
      </c>
      <c r="C873" s="90" t="str">
        <f>VLOOKUP(Tableau4[[#This Row],[Réf matériel]],Tableau3[],2,FALSE)</f>
        <v>Burin plat</v>
      </c>
      <c r="D873" s="90">
        <f>VLOOKUP(Tableau4[[#This Row],[Réf matériel]],Tableau3[],3,FALSE)</f>
        <v>11.89</v>
      </c>
      <c r="E873" t="s">
        <v>536</v>
      </c>
      <c r="F873" s="90" t="str">
        <f>VLOOKUP(Tableau4[[#This Row],[Matricule]],Tableau1[],2,FALSE)</f>
        <v>Caisse volante4</v>
      </c>
      <c r="G873" s="90">
        <f>VLOOKUP(Tableau4[[#This Row],[Matricule]],Tableau1[],3,FALSE)</f>
        <v>0</v>
      </c>
      <c r="H873" s="90">
        <f>VLOOKUP(Tableau4[[#This Row],[Matricule]],Tableau1[],4,FALSE)</f>
        <v>0</v>
      </c>
      <c r="J873" t="s">
        <v>380</v>
      </c>
      <c r="K873" s="90">
        <f>IF(Tableau4[[#This Row],[État]]="Remis",1,0)</f>
        <v>1</v>
      </c>
    </row>
    <row r="874" spans="2:11" x14ac:dyDescent="0.25">
      <c r="B874" t="s">
        <v>401</v>
      </c>
      <c r="C874" s="90" t="str">
        <f>VLOOKUP(Tableau4[[#This Row],[Réf matériel]],Tableau3[],2,FALSE)</f>
        <v>Burin pointu</v>
      </c>
      <c r="D874" s="90">
        <f>VLOOKUP(Tableau4[[#This Row],[Réf matériel]],Tableau3[],3,FALSE)</f>
        <v>8.7200000000000006</v>
      </c>
      <c r="E874" t="s">
        <v>536</v>
      </c>
      <c r="F874" s="90" t="str">
        <f>VLOOKUP(Tableau4[[#This Row],[Matricule]],Tableau1[],2,FALSE)</f>
        <v>Caisse volante4</v>
      </c>
      <c r="G874" s="90">
        <f>VLOOKUP(Tableau4[[#This Row],[Matricule]],Tableau1[],3,FALSE)</f>
        <v>0</v>
      </c>
      <c r="H874" s="90">
        <f>VLOOKUP(Tableau4[[#This Row],[Matricule]],Tableau1[],4,FALSE)</f>
        <v>0</v>
      </c>
      <c r="J874" t="s">
        <v>380</v>
      </c>
      <c r="K874" s="90">
        <f>IF(Tableau4[[#This Row],[État]]="Remis",1,0)</f>
        <v>1</v>
      </c>
    </row>
    <row r="875" spans="2:11" x14ac:dyDescent="0.25">
      <c r="B875" t="s">
        <v>391</v>
      </c>
      <c r="C875" s="90" t="str">
        <f>VLOOKUP(Tableau4[[#This Row],[Réf matériel]],Tableau3[],2,FALSE)</f>
        <v>Cadena</v>
      </c>
      <c r="D875" s="90">
        <f>VLOOKUP(Tableau4[[#This Row],[Réf matériel]],Tableau3[],3,FALSE)</f>
        <v>13</v>
      </c>
      <c r="E875" t="s">
        <v>536</v>
      </c>
      <c r="F875" s="90" t="str">
        <f>VLOOKUP(Tableau4[[#This Row],[Matricule]],Tableau1[],2,FALSE)</f>
        <v>Caisse volante4</v>
      </c>
      <c r="G875" s="90">
        <f>VLOOKUP(Tableau4[[#This Row],[Matricule]],Tableau1[],3,FALSE)</f>
        <v>0</v>
      </c>
      <c r="H875" s="90">
        <f>VLOOKUP(Tableau4[[#This Row],[Matricule]],Tableau1[],4,FALSE)</f>
        <v>0</v>
      </c>
      <c r="J875" t="s">
        <v>380</v>
      </c>
      <c r="K875" s="90">
        <f>IF(Tableau4[[#This Row],[État]]="Remis",1,0)</f>
        <v>1</v>
      </c>
    </row>
    <row r="876" spans="2:11" x14ac:dyDescent="0.25">
      <c r="B876" t="s">
        <v>393</v>
      </c>
      <c r="C876" s="90" t="str">
        <f>VLOOKUP(Tableau4[[#This Row],[Réf matériel]],Tableau3[],2,FALSE)</f>
        <v>Clé à molette</v>
      </c>
      <c r="D876" s="90">
        <f>VLOOKUP(Tableau4[[#This Row],[Réf matériel]],Tableau3[],3,FALSE)</f>
        <v>16.12</v>
      </c>
      <c r="E876" t="s">
        <v>536</v>
      </c>
      <c r="F876" s="90" t="str">
        <f>VLOOKUP(Tableau4[[#This Row],[Matricule]],Tableau1[],2,FALSE)</f>
        <v>Caisse volante4</v>
      </c>
      <c r="G876" s="90">
        <f>VLOOKUP(Tableau4[[#This Row],[Matricule]],Tableau1[],3,FALSE)</f>
        <v>0</v>
      </c>
      <c r="H876" s="90">
        <f>VLOOKUP(Tableau4[[#This Row],[Matricule]],Tableau1[],4,FALSE)</f>
        <v>0</v>
      </c>
      <c r="J876" t="s">
        <v>380</v>
      </c>
      <c r="K876" s="90">
        <f>IF(Tableau4[[#This Row],[État]]="Remis",1,0)</f>
        <v>1</v>
      </c>
    </row>
    <row r="877" spans="2:11" x14ac:dyDescent="0.25">
      <c r="B877" t="s">
        <v>403</v>
      </c>
      <c r="C877" s="90" t="str">
        <f>VLOOKUP(Tableau4[[#This Row],[Réf matériel]],Tableau3[],2,FALSE)</f>
        <v>Clé à pipe 10</v>
      </c>
      <c r="D877" s="90">
        <f>VLOOKUP(Tableau4[[#This Row],[Réf matériel]],Tableau3[],3,FALSE)</f>
        <v>5.41</v>
      </c>
      <c r="E877" t="s">
        <v>536</v>
      </c>
      <c r="F877" s="90" t="str">
        <f>VLOOKUP(Tableau4[[#This Row],[Matricule]],Tableau1[],2,FALSE)</f>
        <v>Caisse volante4</v>
      </c>
      <c r="G877" s="90">
        <f>VLOOKUP(Tableau4[[#This Row],[Matricule]],Tableau1[],3,FALSE)</f>
        <v>0</v>
      </c>
      <c r="H877" s="90">
        <f>VLOOKUP(Tableau4[[#This Row],[Matricule]],Tableau1[],4,FALSE)</f>
        <v>0</v>
      </c>
      <c r="J877" t="s">
        <v>380</v>
      </c>
      <c r="K877" s="90">
        <f>IF(Tableau4[[#This Row],[État]]="Remis",1,0)</f>
        <v>1</v>
      </c>
    </row>
    <row r="878" spans="2:11" x14ac:dyDescent="0.25">
      <c r="B878" t="s">
        <v>405</v>
      </c>
      <c r="C878" s="90" t="str">
        <f>VLOOKUP(Tableau4[[#This Row],[Réf matériel]],Tableau3[],2,FALSE)</f>
        <v>Clé à pipe 13</v>
      </c>
      <c r="D878" s="90">
        <f>VLOOKUP(Tableau4[[#This Row],[Réf matériel]],Tableau3[],3,FALSE)</f>
        <v>6.23</v>
      </c>
      <c r="E878" t="s">
        <v>536</v>
      </c>
      <c r="F878" s="90" t="str">
        <f>VLOOKUP(Tableau4[[#This Row],[Matricule]],Tableau1[],2,FALSE)</f>
        <v>Caisse volante4</v>
      </c>
      <c r="G878" s="90">
        <f>VLOOKUP(Tableau4[[#This Row],[Matricule]],Tableau1[],3,FALSE)</f>
        <v>0</v>
      </c>
      <c r="H878" s="90">
        <f>VLOOKUP(Tableau4[[#This Row],[Matricule]],Tableau1[],4,FALSE)</f>
        <v>0</v>
      </c>
      <c r="J878" t="s">
        <v>380</v>
      </c>
      <c r="K878" s="90">
        <f>IF(Tableau4[[#This Row],[État]]="Remis",1,0)</f>
        <v>1</v>
      </c>
    </row>
    <row r="879" spans="2:11" x14ac:dyDescent="0.25">
      <c r="B879" t="s">
        <v>407</v>
      </c>
      <c r="C879" s="90" t="str">
        <f>VLOOKUP(Tableau4[[#This Row],[Réf matériel]],Tableau3[],2,FALSE)</f>
        <v>Clé à pipe 16</v>
      </c>
      <c r="D879" s="90">
        <f>VLOOKUP(Tableau4[[#This Row],[Réf matériel]],Tableau3[],3,FALSE)</f>
        <v>9.1999999999999993</v>
      </c>
      <c r="E879" t="s">
        <v>536</v>
      </c>
      <c r="F879" s="90" t="str">
        <f>VLOOKUP(Tableau4[[#This Row],[Matricule]],Tableau1[],2,FALSE)</f>
        <v>Caisse volante4</v>
      </c>
      <c r="G879" s="90">
        <f>VLOOKUP(Tableau4[[#This Row],[Matricule]],Tableau1[],3,FALSE)</f>
        <v>0</v>
      </c>
      <c r="H879" s="90">
        <f>VLOOKUP(Tableau4[[#This Row],[Matricule]],Tableau1[],4,FALSE)</f>
        <v>0</v>
      </c>
      <c r="J879" t="s">
        <v>380</v>
      </c>
      <c r="K879" s="90">
        <f>IF(Tableau4[[#This Row],[État]]="Remis",1,0)</f>
        <v>1</v>
      </c>
    </row>
    <row r="880" spans="2:11" x14ac:dyDescent="0.25">
      <c r="B880" t="s">
        <v>408</v>
      </c>
      <c r="C880" s="90" t="str">
        <f>VLOOKUP(Tableau4[[#This Row],[Réf matériel]],Tableau3[],2,FALSE)</f>
        <v>Clé à pipe 17</v>
      </c>
      <c r="D880" s="90">
        <f>VLOOKUP(Tableau4[[#This Row],[Réf matériel]],Tableau3[],3,FALSE)</f>
        <v>9.36</v>
      </c>
      <c r="E880" t="s">
        <v>536</v>
      </c>
      <c r="F880" s="90" t="str">
        <f>VLOOKUP(Tableau4[[#This Row],[Matricule]],Tableau1[],2,FALSE)</f>
        <v>Caisse volante4</v>
      </c>
      <c r="G880" s="90">
        <f>VLOOKUP(Tableau4[[#This Row],[Matricule]],Tableau1[],3,FALSE)</f>
        <v>0</v>
      </c>
      <c r="H880" s="90">
        <f>VLOOKUP(Tableau4[[#This Row],[Matricule]],Tableau1[],4,FALSE)</f>
        <v>0</v>
      </c>
      <c r="J880" t="s">
        <v>380</v>
      </c>
      <c r="K880" s="90">
        <f>IF(Tableau4[[#This Row],[État]]="Remis",1,0)</f>
        <v>1</v>
      </c>
    </row>
    <row r="881" spans="2:11" x14ac:dyDescent="0.25">
      <c r="B881" t="s">
        <v>409</v>
      </c>
      <c r="C881" s="90" t="str">
        <f>VLOOKUP(Tableau4[[#This Row],[Réf matériel]],Tableau3[],2,FALSE)</f>
        <v>Clé à pipe 19</v>
      </c>
      <c r="D881" s="90">
        <f>VLOOKUP(Tableau4[[#This Row],[Réf matériel]],Tableau3[],3,FALSE)</f>
        <v>10.4</v>
      </c>
      <c r="E881" t="s">
        <v>536</v>
      </c>
      <c r="F881" s="90" t="str">
        <f>VLOOKUP(Tableau4[[#This Row],[Matricule]],Tableau1[],2,FALSE)</f>
        <v>Caisse volante4</v>
      </c>
      <c r="G881" s="90">
        <f>VLOOKUP(Tableau4[[#This Row],[Matricule]],Tableau1[],3,FALSE)</f>
        <v>0</v>
      </c>
      <c r="H881" s="90">
        <f>VLOOKUP(Tableau4[[#This Row],[Matricule]],Tableau1[],4,FALSE)</f>
        <v>0</v>
      </c>
      <c r="J881" t="s">
        <v>380</v>
      </c>
      <c r="K881" s="90">
        <f>IF(Tableau4[[#This Row],[État]]="Remis",1,0)</f>
        <v>1</v>
      </c>
    </row>
    <row r="882" spans="2:11" x14ac:dyDescent="0.25">
      <c r="B882" t="s">
        <v>402</v>
      </c>
      <c r="C882" s="90" t="str">
        <f>VLOOKUP(Tableau4[[#This Row],[Réf matériel]],Tableau3[],2,FALSE)</f>
        <v>Clé à pipe 8</v>
      </c>
      <c r="D882" s="90">
        <f>VLOOKUP(Tableau4[[#This Row],[Réf matériel]],Tableau3[],3,FALSE)</f>
        <v>4.8499999999999996</v>
      </c>
      <c r="E882" t="s">
        <v>536</v>
      </c>
      <c r="F882" s="90" t="str">
        <f>VLOOKUP(Tableau4[[#This Row],[Matricule]],Tableau1[],2,FALSE)</f>
        <v>Caisse volante4</v>
      </c>
      <c r="G882" s="90">
        <f>VLOOKUP(Tableau4[[#This Row],[Matricule]],Tableau1[],3,FALSE)</f>
        <v>0</v>
      </c>
      <c r="H882" s="90">
        <f>VLOOKUP(Tableau4[[#This Row],[Matricule]],Tableau1[],4,FALSE)</f>
        <v>0</v>
      </c>
      <c r="J882" t="s">
        <v>380</v>
      </c>
      <c r="K882" s="90">
        <f>IF(Tableau4[[#This Row],[État]]="Remis",1,0)</f>
        <v>1</v>
      </c>
    </row>
    <row r="883" spans="2:11" x14ac:dyDescent="0.25">
      <c r="B883" t="s">
        <v>420</v>
      </c>
      <c r="C883" s="90" t="str">
        <f>VLOOKUP(Tableau4[[#This Row],[Réf matériel]],Tableau3[],2,FALSE)</f>
        <v>Clé allen</v>
      </c>
      <c r="D883" s="90">
        <f>VLOOKUP(Tableau4[[#This Row],[Réf matériel]],Tableau3[],3,FALSE)</f>
        <v>27.5</v>
      </c>
      <c r="E883" t="s">
        <v>536</v>
      </c>
      <c r="F883" s="90" t="str">
        <f>VLOOKUP(Tableau4[[#This Row],[Matricule]],Tableau1[],2,FALSE)</f>
        <v>Caisse volante4</v>
      </c>
      <c r="G883" s="90">
        <f>VLOOKUP(Tableau4[[#This Row],[Matricule]],Tableau1[],3,FALSE)</f>
        <v>0</v>
      </c>
      <c r="H883" s="90">
        <f>VLOOKUP(Tableau4[[#This Row],[Matricule]],Tableau1[],4,FALSE)</f>
        <v>0</v>
      </c>
      <c r="J883" t="s">
        <v>380</v>
      </c>
      <c r="K883" s="90">
        <f>IF(Tableau4[[#This Row],[État]]="Remis",1,0)</f>
        <v>1</v>
      </c>
    </row>
    <row r="884" spans="2:11" x14ac:dyDescent="0.25">
      <c r="B884" t="s">
        <v>421</v>
      </c>
      <c r="C884" s="90" t="str">
        <f>VLOOKUP(Tableau4[[#This Row],[Réf matériel]],Tableau3[],2,FALSE)</f>
        <v>Clé mixte 8</v>
      </c>
      <c r="D884" s="90">
        <f>VLOOKUP(Tableau4[[#This Row],[Réf matériel]],Tableau3[],3,FALSE)</f>
        <v>3.05</v>
      </c>
      <c r="E884" t="s">
        <v>536</v>
      </c>
      <c r="F884" s="90" t="str">
        <f>VLOOKUP(Tableau4[[#This Row],[Matricule]],Tableau1[],2,FALSE)</f>
        <v>Caisse volante4</v>
      </c>
      <c r="G884" s="90">
        <f>VLOOKUP(Tableau4[[#This Row],[Matricule]],Tableau1[],3,FALSE)</f>
        <v>0</v>
      </c>
      <c r="H884" s="90">
        <f>VLOOKUP(Tableau4[[#This Row],[Matricule]],Tableau1[],4,FALSE)</f>
        <v>0</v>
      </c>
      <c r="J884" t="s">
        <v>380</v>
      </c>
      <c r="K884" s="90">
        <f>IF(Tableau4[[#This Row],[État]]="Remis",1,0)</f>
        <v>1</v>
      </c>
    </row>
    <row r="885" spans="2:11" x14ac:dyDescent="0.25">
      <c r="B885" t="s">
        <v>453</v>
      </c>
      <c r="C885" s="90" t="str">
        <f>VLOOKUP(Tableau4[[#This Row],[Réf matériel]],Tableau3[],2,FALSE)</f>
        <v>Clé plate cliquet 22</v>
      </c>
      <c r="D885" s="90">
        <f>VLOOKUP(Tableau4[[#This Row],[Réf matériel]],Tableau3[],3,FALSE)</f>
        <v>23.67</v>
      </c>
      <c r="E885" t="s">
        <v>536</v>
      </c>
      <c r="F885" s="90" t="str">
        <f>VLOOKUP(Tableau4[[#This Row],[Matricule]],Tableau1[],2,FALSE)</f>
        <v>Caisse volante4</v>
      </c>
      <c r="G885" s="90">
        <f>VLOOKUP(Tableau4[[#This Row],[Matricule]],Tableau1[],3,FALSE)</f>
        <v>0</v>
      </c>
      <c r="H885" s="90">
        <f>VLOOKUP(Tableau4[[#This Row],[Matricule]],Tableau1[],4,FALSE)</f>
        <v>0</v>
      </c>
      <c r="J885" t="s">
        <v>380</v>
      </c>
      <c r="K885" s="90">
        <f>IF(Tableau4[[#This Row],[État]]="Remis",1,0)</f>
        <v>1</v>
      </c>
    </row>
    <row r="886" spans="2:11" x14ac:dyDescent="0.25">
      <c r="B886" t="s">
        <v>275</v>
      </c>
      <c r="C886" s="90" t="str">
        <f>VLOOKUP(Tableau4[[#This Row],[Réf matériel]],Tableau3[],2,FALSE)</f>
        <v>Cliquet rapide 1/4</v>
      </c>
      <c r="D886" s="90">
        <f>VLOOKUP(Tableau4[[#This Row],[Réf matériel]],Tableau3[],3,FALSE)</f>
        <v>31</v>
      </c>
      <c r="E886" t="s">
        <v>536</v>
      </c>
      <c r="F886" s="90" t="str">
        <f>VLOOKUP(Tableau4[[#This Row],[Matricule]],Tableau1[],2,FALSE)</f>
        <v>Caisse volante4</v>
      </c>
      <c r="G886" s="90">
        <f>VLOOKUP(Tableau4[[#This Row],[Matricule]],Tableau1[],3,FALSE)</f>
        <v>0</v>
      </c>
      <c r="H886" s="90">
        <f>VLOOKUP(Tableau4[[#This Row],[Matricule]],Tableau1[],4,FALSE)</f>
        <v>0</v>
      </c>
      <c r="J886" t="s">
        <v>380</v>
      </c>
      <c r="K886" s="90">
        <f>IF(Tableau4[[#This Row],[État]]="Remis",1,0)</f>
        <v>1</v>
      </c>
    </row>
    <row r="887" spans="2:11" x14ac:dyDescent="0.25">
      <c r="B887" t="s">
        <v>392</v>
      </c>
      <c r="C887" s="90" t="str">
        <f>VLOOKUP(Tableau4[[#This Row],[Réf matériel]],Tableau3[],2,FALSE)</f>
        <v>Coffre</v>
      </c>
      <c r="D887" s="90">
        <f>VLOOKUP(Tableau4[[#This Row],[Réf matériel]],Tableau3[],3,FALSE)</f>
        <v>54.54</v>
      </c>
      <c r="E887" t="s">
        <v>536</v>
      </c>
      <c r="F887" s="90" t="str">
        <f>VLOOKUP(Tableau4[[#This Row],[Matricule]],Tableau1[],2,FALSE)</f>
        <v>Caisse volante4</v>
      </c>
      <c r="G887" s="90">
        <f>VLOOKUP(Tableau4[[#This Row],[Matricule]],Tableau1[],3,FALSE)</f>
        <v>0</v>
      </c>
      <c r="H887" s="90">
        <f>VLOOKUP(Tableau4[[#This Row],[Matricule]],Tableau1[],4,FALSE)</f>
        <v>0</v>
      </c>
      <c r="J887" t="s">
        <v>380</v>
      </c>
      <c r="K887" s="90">
        <f>IF(Tableau4[[#This Row],[État]]="Remis",1,0)</f>
        <v>1</v>
      </c>
    </row>
    <row r="888" spans="2:11" x14ac:dyDescent="0.25">
      <c r="B888" t="s">
        <v>398</v>
      </c>
      <c r="C888" s="90" t="str">
        <f>VLOOKUP(Tableau4[[#This Row],[Réf matériel]],Tableau3[],2,FALSE)</f>
        <v>Coffret douilles</v>
      </c>
      <c r="D888" s="90">
        <f>VLOOKUP(Tableau4[[#This Row],[Réf matériel]],Tableau3[],3,FALSE)</f>
        <v>103.22</v>
      </c>
      <c r="E888" t="s">
        <v>536</v>
      </c>
      <c r="F888" s="90" t="str">
        <f>VLOOKUP(Tableau4[[#This Row],[Matricule]],Tableau1[],2,FALSE)</f>
        <v>Caisse volante4</v>
      </c>
      <c r="G888" s="90">
        <f>VLOOKUP(Tableau4[[#This Row],[Matricule]],Tableau1[],3,FALSE)</f>
        <v>0</v>
      </c>
      <c r="H888" s="90">
        <f>VLOOKUP(Tableau4[[#This Row],[Matricule]],Tableau1[],4,FALSE)</f>
        <v>0</v>
      </c>
      <c r="J888" t="s">
        <v>380</v>
      </c>
      <c r="K888" s="90">
        <f>IF(Tableau4[[#This Row],[État]]="Remis",1,0)</f>
        <v>1</v>
      </c>
    </row>
    <row r="889" spans="2:11" x14ac:dyDescent="0.25">
      <c r="B889" t="s">
        <v>49</v>
      </c>
      <c r="C889" s="90" t="str">
        <f>VLOOKUP(Tableau4[[#This Row],[Réf matériel]],Tableau3[],2,FALSE)</f>
        <v>Coupe câble</v>
      </c>
      <c r="D889" s="90">
        <f>VLOOKUP(Tableau4[[#This Row],[Réf matériel]],Tableau3[],3,FALSE)</f>
        <v>41.88</v>
      </c>
      <c r="E889" t="s">
        <v>536</v>
      </c>
      <c r="F889" s="90" t="str">
        <f>VLOOKUP(Tableau4[[#This Row],[Matricule]],Tableau1[],2,FALSE)</f>
        <v>Caisse volante4</v>
      </c>
      <c r="G889" s="90">
        <f>VLOOKUP(Tableau4[[#This Row],[Matricule]],Tableau1[],3,FALSE)</f>
        <v>0</v>
      </c>
      <c r="H889" s="90">
        <f>VLOOKUP(Tableau4[[#This Row],[Matricule]],Tableau1[],4,FALSE)</f>
        <v>0</v>
      </c>
      <c r="J889" t="s">
        <v>380</v>
      </c>
      <c r="K889" s="90">
        <f>IF(Tableau4[[#This Row],[État]]="Remis",1,0)</f>
        <v>1</v>
      </c>
    </row>
    <row r="890" spans="2:11" x14ac:dyDescent="0.25">
      <c r="B890" t="s">
        <v>430</v>
      </c>
      <c r="C890" s="90" t="str">
        <f>VLOOKUP(Tableau4[[#This Row],[Réf matériel]],Tableau3[],2,FALSE)</f>
        <v>Couteau électricien</v>
      </c>
      <c r="D890" s="90">
        <f>VLOOKUP(Tableau4[[#This Row],[Réf matériel]],Tableau3[],3,FALSE)</f>
        <v>17.149999999999999</v>
      </c>
      <c r="E890" t="s">
        <v>536</v>
      </c>
      <c r="F890" s="90" t="str">
        <f>VLOOKUP(Tableau4[[#This Row],[Matricule]],Tableau1[],2,FALSE)</f>
        <v>Caisse volante4</v>
      </c>
      <c r="G890" s="90">
        <f>VLOOKUP(Tableau4[[#This Row],[Matricule]],Tableau1[],3,FALSE)</f>
        <v>0</v>
      </c>
      <c r="H890" s="90">
        <f>VLOOKUP(Tableau4[[#This Row],[Matricule]],Tableau1[],4,FALSE)</f>
        <v>0</v>
      </c>
      <c r="J890" t="s">
        <v>380</v>
      </c>
      <c r="K890" s="90">
        <f>IF(Tableau4[[#This Row],[État]]="Remis",1,0)</f>
        <v>1</v>
      </c>
    </row>
    <row r="891" spans="2:11" x14ac:dyDescent="0.25">
      <c r="B891" t="s">
        <v>67</v>
      </c>
      <c r="C891" s="90" t="str">
        <f>VLOOKUP(Tableau4[[#This Row],[Réf matériel]],Tableau3[],2,FALSE)</f>
        <v>Cutter</v>
      </c>
      <c r="D891" s="90">
        <f>VLOOKUP(Tableau4[[#This Row],[Réf matériel]],Tableau3[],3,FALSE)</f>
        <v>4.8499999999999996</v>
      </c>
      <c r="E891" t="s">
        <v>536</v>
      </c>
      <c r="F891" s="90" t="str">
        <f>VLOOKUP(Tableau4[[#This Row],[Matricule]],Tableau1[],2,FALSE)</f>
        <v>Caisse volante4</v>
      </c>
      <c r="G891" s="90">
        <f>VLOOKUP(Tableau4[[#This Row],[Matricule]],Tableau1[],3,FALSE)</f>
        <v>0</v>
      </c>
      <c r="H891" s="90">
        <f>VLOOKUP(Tableau4[[#This Row],[Matricule]],Tableau1[],4,FALSE)</f>
        <v>0</v>
      </c>
      <c r="J891" t="s">
        <v>380</v>
      </c>
      <c r="K891" s="90">
        <f>IF(Tableau4[[#This Row],[État]]="Remis",1,0)</f>
        <v>1</v>
      </c>
    </row>
    <row r="892" spans="2:11" x14ac:dyDescent="0.25">
      <c r="B892" t="s">
        <v>513</v>
      </c>
      <c r="C892" s="90" t="str">
        <f>VLOOKUP(Tableau4[[#This Row],[Réf matériel]],Tableau3[],2,FALSE)</f>
        <v>Jeu de Clés mixte à cliquet</v>
      </c>
      <c r="D892" s="90">
        <f>VLOOKUP(Tableau4[[#This Row],[Réf matériel]],Tableau3[],3,FALSE)</f>
        <v>176</v>
      </c>
      <c r="E892" t="s">
        <v>536</v>
      </c>
      <c r="F892" s="90" t="str">
        <f>VLOOKUP(Tableau4[[#This Row],[Matricule]],Tableau1[],2,FALSE)</f>
        <v>Caisse volante4</v>
      </c>
      <c r="G892" s="90">
        <f>VLOOKUP(Tableau4[[#This Row],[Matricule]],Tableau1[],3,FALSE)</f>
        <v>0</v>
      </c>
      <c r="H892" s="90">
        <f>VLOOKUP(Tableau4[[#This Row],[Matricule]],Tableau1[],4,FALSE)</f>
        <v>0</v>
      </c>
      <c r="J892" t="s">
        <v>380</v>
      </c>
      <c r="K892" s="90">
        <f>IF(Tableau4[[#This Row],[État]]="Remis",1,0)</f>
        <v>1</v>
      </c>
    </row>
    <row r="893" spans="2:11" x14ac:dyDescent="0.25">
      <c r="B893" t="s">
        <v>124</v>
      </c>
      <c r="C893" s="90" t="str">
        <f>VLOOKUP(Tableau4[[#This Row],[Réf matériel]],Tableau3[],2,FALSE)</f>
        <v>Jeu de tournevis pro avec embouts de vissage 1/4 ref 438-008</v>
      </c>
      <c r="D893" s="90">
        <f>VLOOKUP(Tableau4[[#This Row],[Réf matériel]],Tableau3[],3,FALSE)</f>
        <v>0</v>
      </c>
      <c r="E893" t="s">
        <v>536</v>
      </c>
      <c r="F893" s="90" t="str">
        <f>VLOOKUP(Tableau4[[#This Row],[Matricule]],Tableau1[],2,FALSE)</f>
        <v>Caisse volante4</v>
      </c>
      <c r="G893" s="90">
        <f>VLOOKUP(Tableau4[[#This Row],[Matricule]],Tableau1[],3,FALSE)</f>
        <v>0</v>
      </c>
      <c r="H893" s="90">
        <f>VLOOKUP(Tableau4[[#This Row],[Matricule]],Tableau1[],4,FALSE)</f>
        <v>0</v>
      </c>
      <c r="J893" t="s">
        <v>380</v>
      </c>
      <c r="K893" s="90">
        <f>IF(Tableau4[[#This Row],[État]]="Remis",1,0)</f>
        <v>1</v>
      </c>
    </row>
    <row r="894" spans="2:11" x14ac:dyDescent="0.25">
      <c r="B894" t="s">
        <v>56</v>
      </c>
      <c r="C894" s="90" t="str">
        <f>VLOOKUP(Tableau4[[#This Row],[Réf matériel]],Tableau3[],2,FALSE)</f>
        <v>Jeu tournevis</v>
      </c>
      <c r="D894" s="90">
        <f>VLOOKUP(Tableau4[[#This Row],[Réf matériel]],Tableau3[],3,FALSE)</f>
        <v>37.57</v>
      </c>
      <c r="E894" t="s">
        <v>536</v>
      </c>
      <c r="F894" s="90" t="str">
        <f>VLOOKUP(Tableau4[[#This Row],[Matricule]],Tableau1[],2,FALSE)</f>
        <v>Caisse volante4</v>
      </c>
      <c r="G894" s="90">
        <f>VLOOKUP(Tableau4[[#This Row],[Matricule]],Tableau1[],3,FALSE)</f>
        <v>0</v>
      </c>
      <c r="H894" s="90">
        <f>VLOOKUP(Tableau4[[#This Row],[Matricule]],Tableau1[],4,FALSE)</f>
        <v>0</v>
      </c>
      <c r="J894" t="s">
        <v>380</v>
      </c>
      <c r="K894" s="90">
        <f>IF(Tableau4[[#This Row],[État]]="Remis",1,0)</f>
        <v>1</v>
      </c>
    </row>
    <row r="895" spans="2:11" x14ac:dyDescent="0.25">
      <c r="B895" t="s">
        <v>75</v>
      </c>
      <c r="C895" s="90" t="str">
        <f>VLOOKUP(Tableau4[[#This Row],[Réf matériel]],Tableau3[],2,FALSE)</f>
        <v>Lampe frontale</v>
      </c>
      <c r="D895" s="90">
        <f>VLOOKUP(Tableau4[[#This Row],[Réf matériel]],Tableau3[],3,FALSE)</f>
        <v>42.5</v>
      </c>
      <c r="E895" t="s">
        <v>536</v>
      </c>
      <c r="F895" s="90" t="str">
        <f>VLOOKUP(Tableau4[[#This Row],[Matricule]],Tableau1[],2,FALSE)</f>
        <v>Caisse volante4</v>
      </c>
      <c r="G895" s="90">
        <f>VLOOKUP(Tableau4[[#This Row],[Matricule]],Tableau1[],3,FALSE)</f>
        <v>0</v>
      </c>
      <c r="H895" s="90">
        <f>VLOOKUP(Tableau4[[#This Row],[Matricule]],Tableau1[],4,FALSE)</f>
        <v>0</v>
      </c>
      <c r="J895" t="s">
        <v>380</v>
      </c>
      <c r="K895" s="90">
        <f>IF(Tableau4[[#This Row],[État]]="Remis",1,0)</f>
        <v>1</v>
      </c>
    </row>
    <row r="896" spans="2:11" x14ac:dyDescent="0.25">
      <c r="B896" t="s">
        <v>394</v>
      </c>
      <c r="C896" s="90" t="str">
        <f>VLOOKUP(Tableau4[[#This Row],[Réf matériel]],Tableau3[],2,FALSE)</f>
        <v>lime demi ronde</v>
      </c>
      <c r="D896" s="90">
        <f>VLOOKUP(Tableau4[[#This Row],[Réf matériel]],Tableau3[],3,FALSE)</f>
        <v>7.59</v>
      </c>
      <c r="E896" t="s">
        <v>536</v>
      </c>
      <c r="F896" s="90" t="str">
        <f>VLOOKUP(Tableau4[[#This Row],[Matricule]],Tableau1[],2,FALSE)</f>
        <v>Caisse volante4</v>
      </c>
      <c r="G896" s="90">
        <f>VLOOKUP(Tableau4[[#This Row],[Matricule]],Tableau1[],3,FALSE)</f>
        <v>0</v>
      </c>
      <c r="H896" s="90">
        <f>VLOOKUP(Tableau4[[#This Row],[Matricule]],Tableau1[],4,FALSE)</f>
        <v>0</v>
      </c>
      <c r="J896" t="s">
        <v>380</v>
      </c>
      <c r="K896" s="90">
        <f>IF(Tableau4[[#This Row],[État]]="Remis",1,0)</f>
        <v>1</v>
      </c>
    </row>
    <row r="897" spans="2:11" x14ac:dyDescent="0.25">
      <c r="B897" t="s">
        <v>396</v>
      </c>
      <c r="C897" s="90" t="str">
        <f>VLOOKUP(Tableau4[[#This Row],[Réf matériel]],Tableau3[],2,FALSE)</f>
        <v>Massette</v>
      </c>
      <c r="D897" s="90">
        <f>VLOOKUP(Tableau4[[#This Row],[Réf matériel]],Tableau3[],3,FALSE)</f>
        <v>15.14</v>
      </c>
      <c r="E897" t="s">
        <v>536</v>
      </c>
      <c r="F897" s="90" t="str">
        <f>VLOOKUP(Tableau4[[#This Row],[Matricule]],Tableau1[],2,FALSE)</f>
        <v>Caisse volante4</v>
      </c>
      <c r="G897" s="90">
        <f>VLOOKUP(Tableau4[[#This Row],[Matricule]],Tableau1[],3,FALSE)</f>
        <v>0</v>
      </c>
      <c r="H897" s="90">
        <f>VLOOKUP(Tableau4[[#This Row],[Matricule]],Tableau1[],4,FALSE)</f>
        <v>0</v>
      </c>
      <c r="J897" t="s">
        <v>380</v>
      </c>
      <c r="K897" s="90">
        <f>IF(Tableau4[[#This Row],[État]]="Remis",1,0)</f>
        <v>1</v>
      </c>
    </row>
    <row r="898" spans="2:11" x14ac:dyDescent="0.25">
      <c r="B898" t="s">
        <v>51</v>
      </c>
      <c r="C898" s="90" t="str">
        <f>VLOOKUP(Tableau4[[#This Row],[Réf matériel]],Tableau3[],2,FALSE)</f>
        <v>Mètre pliant</v>
      </c>
      <c r="D898" s="90">
        <f>VLOOKUP(Tableau4[[#This Row],[Réf matériel]],Tableau3[],3,FALSE)</f>
        <v>3.2</v>
      </c>
      <c r="E898" t="s">
        <v>536</v>
      </c>
      <c r="F898" s="90" t="str">
        <f>VLOOKUP(Tableau4[[#This Row],[Matricule]],Tableau1[],2,FALSE)</f>
        <v>Caisse volante4</v>
      </c>
      <c r="G898" s="90">
        <f>VLOOKUP(Tableau4[[#This Row],[Matricule]],Tableau1[],3,FALSE)</f>
        <v>0</v>
      </c>
      <c r="H898" s="90">
        <f>VLOOKUP(Tableau4[[#This Row],[Matricule]],Tableau1[],4,FALSE)</f>
        <v>0</v>
      </c>
      <c r="J898" t="s">
        <v>380</v>
      </c>
      <c r="K898" s="90">
        <f>IF(Tableau4[[#This Row],[État]]="Remis",1,0)</f>
        <v>1</v>
      </c>
    </row>
    <row r="899" spans="2:11" x14ac:dyDescent="0.25">
      <c r="B899" t="s">
        <v>55</v>
      </c>
      <c r="C899" s="90" t="str">
        <f>VLOOKUP(Tableau4[[#This Row],[Réf matériel]],Tableau3[],2,FALSE)</f>
        <v>Niveau</v>
      </c>
      <c r="D899" s="90">
        <f>VLOOKUP(Tableau4[[#This Row],[Réf matériel]],Tableau3[],3,FALSE)</f>
        <v>15</v>
      </c>
      <c r="E899" t="s">
        <v>536</v>
      </c>
      <c r="F899" s="90" t="str">
        <f>VLOOKUP(Tableau4[[#This Row],[Matricule]],Tableau1[],2,FALSE)</f>
        <v>Caisse volante4</v>
      </c>
      <c r="G899" s="90">
        <f>VLOOKUP(Tableau4[[#This Row],[Matricule]],Tableau1[],3,FALSE)</f>
        <v>0</v>
      </c>
      <c r="H899" s="90">
        <f>VLOOKUP(Tableau4[[#This Row],[Matricule]],Tableau1[],4,FALSE)</f>
        <v>0</v>
      </c>
      <c r="J899" t="s">
        <v>380</v>
      </c>
      <c r="K899" s="90">
        <f>IF(Tableau4[[#This Row],[État]]="Remis",1,0)</f>
        <v>1</v>
      </c>
    </row>
    <row r="900" spans="2:11" x14ac:dyDescent="0.25">
      <c r="B900" t="s">
        <v>287</v>
      </c>
      <c r="C900" s="90" t="str">
        <f>VLOOKUP(Tableau4[[#This Row],[Réf matériel]],Tableau3[],2,FALSE)</f>
        <v>Outil à dégainer</v>
      </c>
      <c r="D900" s="90">
        <f>VLOOKUP(Tableau4[[#This Row],[Réf matériel]],Tableau3[],3,FALSE)</f>
        <v>20.5</v>
      </c>
      <c r="E900" t="s">
        <v>536</v>
      </c>
      <c r="F900" s="90" t="str">
        <f>VLOOKUP(Tableau4[[#This Row],[Matricule]],Tableau1[],2,FALSE)</f>
        <v>Caisse volante4</v>
      </c>
      <c r="G900" s="90">
        <f>VLOOKUP(Tableau4[[#This Row],[Matricule]],Tableau1[],3,FALSE)</f>
        <v>0</v>
      </c>
      <c r="H900" s="90">
        <f>VLOOKUP(Tableau4[[#This Row],[Matricule]],Tableau1[],4,FALSE)</f>
        <v>0</v>
      </c>
      <c r="J900" t="s">
        <v>380</v>
      </c>
      <c r="K900" s="90">
        <f>IF(Tableau4[[#This Row],[État]]="Remis",1,0)</f>
        <v>1</v>
      </c>
    </row>
    <row r="901" spans="2:11" x14ac:dyDescent="0.25">
      <c r="B901" t="s">
        <v>445</v>
      </c>
      <c r="C901" s="90" t="str">
        <f>VLOOKUP(Tableau4[[#This Row],[Réf matériel]],Tableau3[],2,FALSE)</f>
        <v>Pince à bec plat</v>
      </c>
      <c r="D901" s="90">
        <f>VLOOKUP(Tableau4[[#This Row],[Réf matériel]],Tableau3[],3,FALSE)</f>
        <v>20.8</v>
      </c>
      <c r="E901" t="s">
        <v>536</v>
      </c>
      <c r="F901" s="90" t="str">
        <f>VLOOKUP(Tableau4[[#This Row],[Matricule]],Tableau1[],2,FALSE)</f>
        <v>Caisse volante4</v>
      </c>
      <c r="G901" s="90">
        <f>VLOOKUP(Tableau4[[#This Row],[Matricule]],Tableau1[],3,FALSE)</f>
        <v>0</v>
      </c>
      <c r="H901" s="90">
        <f>VLOOKUP(Tableau4[[#This Row],[Matricule]],Tableau1[],4,FALSE)</f>
        <v>0</v>
      </c>
      <c r="J901" t="s">
        <v>380</v>
      </c>
      <c r="K901" s="90">
        <f>IF(Tableau4[[#This Row],[État]]="Remis",1,0)</f>
        <v>1</v>
      </c>
    </row>
    <row r="902" spans="2:11" x14ac:dyDescent="0.25">
      <c r="B902" t="s">
        <v>278</v>
      </c>
      <c r="C902" s="90" t="str">
        <f>VLOOKUP(Tableau4[[#This Row],[Réf matériel]],Tableau3[],2,FALSE)</f>
        <v>Pince à dénuder</v>
      </c>
      <c r="D902" s="90">
        <f>VLOOKUP(Tableau4[[#This Row],[Réf matériel]],Tableau3[],3,FALSE)</f>
        <v>24.55</v>
      </c>
      <c r="E902" t="s">
        <v>536</v>
      </c>
      <c r="F902" s="90" t="str">
        <f>VLOOKUP(Tableau4[[#This Row],[Matricule]],Tableau1[],2,FALSE)</f>
        <v>Caisse volante4</v>
      </c>
      <c r="G902" s="90">
        <f>VLOOKUP(Tableau4[[#This Row],[Matricule]],Tableau1[],3,FALSE)</f>
        <v>0</v>
      </c>
      <c r="H902" s="90">
        <f>VLOOKUP(Tableau4[[#This Row],[Matricule]],Tableau1[],4,FALSE)</f>
        <v>0</v>
      </c>
      <c r="J902" t="s">
        <v>380</v>
      </c>
      <c r="K902" s="90">
        <f>IF(Tableau4[[#This Row],[État]]="Remis",1,0)</f>
        <v>1</v>
      </c>
    </row>
    <row r="903" spans="2:11" x14ac:dyDescent="0.25">
      <c r="B903" t="s">
        <v>102</v>
      </c>
      <c r="C903" s="90" t="str">
        <f>VLOOKUP(Tableau4[[#This Row],[Réf matériel]],Tableau3[],2,FALSE)</f>
        <v>Pince à Sertir</v>
      </c>
      <c r="D903" s="90">
        <f>VLOOKUP(Tableau4[[#This Row],[Réf matériel]],Tableau3[],3,FALSE)</f>
        <v>78.400000000000006</v>
      </c>
      <c r="E903" t="s">
        <v>536</v>
      </c>
      <c r="F903" s="90" t="str">
        <f>VLOOKUP(Tableau4[[#This Row],[Matricule]],Tableau1[],2,FALSE)</f>
        <v>Caisse volante4</v>
      </c>
      <c r="G903" s="90">
        <f>VLOOKUP(Tableau4[[#This Row],[Matricule]],Tableau1[],3,FALSE)</f>
        <v>0</v>
      </c>
      <c r="H903" s="90">
        <f>VLOOKUP(Tableau4[[#This Row],[Matricule]],Tableau1[],4,FALSE)</f>
        <v>0</v>
      </c>
      <c r="J903" t="s">
        <v>380</v>
      </c>
      <c r="K903" s="90">
        <f>IF(Tableau4[[#This Row],[État]]="Remis",1,0)</f>
        <v>1</v>
      </c>
    </row>
    <row r="904" spans="2:11" x14ac:dyDescent="0.25">
      <c r="B904" t="s">
        <v>72</v>
      </c>
      <c r="C904" s="90" t="str">
        <f>VLOOKUP(Tableau4[[#This Row],[Réf matériel]],Tableau3[],2,FALSE)</f>
        <v>Pince colson</v>
      </c>
      <c r="D904" s="90">
        <f>VLOOKUP(Tableau4[[#This Row],[Réf matériel]],Tableau3[],3,FALSE)</f>
        <v>46.91</v>
      </c>
      <c r="E904" t="s">
        <v>536</v>
      </c>
      <c r="F904" s="90" t="str">
        <f>VLOOKUP(Tableau4[[#This Row],[Matricule]],Tableau1[],2,FALSE)</f>
        <v>Caisse volante4</v>
      </c>
      <c r="G904" s="90">
        <f>VLOOKUP(Tableau4[[#This Row],[Matricule]],Tableau1[],3,FALSE)</f>
        <v>0</v>
      </c>
      <c r="H904" s="90">
        <f>VLOOKUP(Tableau4[[#This Row],[Matricule]],Tableau1[],4,FALSE)</f>
        <v>0</v>
      </c>
      <c r="J904" t="s">
        <v>380</v>
      </c>
      <c r="K904" s="90">
        <f>IF(Tableau4[[#This Row],[État]]="Remis",1,0)</f>
        <v>1</v>
      </c>
    </row>
    <row r="905" spans="2:11" x14ac:dyDescent="0.25">
      <c r="B905" t="s">
        <v>280</v>
      </c>
      <c r="C905" s="90" t="str">
        <f>VLOOKUP(Tableau4[[#This Row],[Réf matériel]],Tableau3[],2,FALSE)</f>
        <v>Pince coupante 1000v</v>
      </c>
      <c r="D905" s="90">
        <f>VLOOKUP(Tableau4[[#This Row],[Réf matériel]],Tableau3[],3,FALSE)</f>
        <v>20.87</v>
      </c>
      <c r="E905" t="s">
        <v>536</v>
      </c>
      <c r="F905" s="90" t="str">
        <f>VLOOKUP(Tableau4[[#This Row],[Matricule]],Tableau1[],2,FALSE)</f>
        <v>Caisse volante4</v>
      </c>
      <c r="G905" s="90">
        <f>VLOOKUP(Tableau4[[#This Row],[Matricule]],Tableau1[],3,FALSE)</f>
        <v>0</v>
      </c>
      <c r="H905" s="90">
        <f>VLOOKUP(Tableau4[[#This Row],[Matricule]],Tableau1[],4,FALSE)</f>
        <v>0</v>
      </c>
      <c r="J905" t="s">
        <v>380</v>
      </c>
      <c r="K905" s="90">
        <f>IF(Tableau4[[#This Row],[État]]="Remis",1,0)</f>
        <v>1</v>
      </c>
    </row>
    <row r="906" spans="2:11" x14ac:dyDescent="0.25">
      <c r="B906" t="s">
        <v>397</v>
      </c>
      <c r="C906" s="90" t="str">
        <f>VLOOKUP(Tableau4[[#This Row],[Réf matériel]],Tableau3[],2,FALSE)</f>
        <v>Pince étau</v>
      </c>
      <c r="D906" s="90">
        <f>VLOOKUP(Tableau4[[#This Row],[Réf matériel]],Tableau3[],3,FALSE)</f>
        <v>16.02</v>
      </c>
      <c r="E906" t="s">
        <v>536</v>
      </c>
      <c r="F906" s="90" t="str">
        <f>VLOOKUP(Tableau4[[#This Row],[Matricule]],Tableau1[],2,FALSE)</f>
        <v>Caisse volante4</v>
      </c>
      <c r="G906" s="90">
        <f>VLOOKUP(Tableau4[[#This Row],[Matricule]],Tableau1[],3,FALSE)</f>
        <v>0</v>
      </c>
      <c r="H906" s="90">
        <f>VLOOKUP(Tableau4[[#This Row],[Matricule]],Tableau1[],4,FALSE)</f>
        <v>0</v>
      </c>
      <c r="J906" t="s">
        <v>380</v>
      </c>
      <c r="K906" s="90">
        <f>IF(Tableau4[[#This Row],[État]]="Remis",1,0)</f>
        <v>1</v>
      </c>
    </row>
    <row r="907" spans="2:11" x14ac:dyDescent="0.25">
      <c r="B907" t="s">
        <v>428</v>
      </c>
      <c r="C907" s="90" t="str">
        <f>VLOOKUP(Tableau4[[#This Row],[Réf matériel]],Tableau3[],2,FALSE)</f>
        <v>Pince multiprise</v>
      </c>
      <c r="D907" s="90">
        <f>VLOOKUP(Tableau4[[#This Row],[Réf matériel]],Tableau3[],3,FALSE)</f>
        <v>27.2</v>
      </c>
      <c r="E907" t="s">
        <v>536</v>
      </c>
      <c r="F907" s="90" t="str">
        <f>VLOOKUP(Tableau4[[#This Row],[Matricule]],Tableau1[],2,FALSE)</f>
        <v>Caisse volante4</v>
      </c>
      <c r="G907" s="90">
        <f>VLOOKUP(Tableau4[[#This Row],[Matricule]],Tableau1[],3,FALSE)</f>
        <v>0</v>
      </c>
      <c r="H907" s="90">
        <f>VLOOKUP(Tableau4[[#This Row],[Matricule]],Tableau1[],4,FALSE)</f>
        <v>0</v>
      </c>
      <c r="J907" t="s">
        <v>380</v>
      </c>
      <c r="K907" s="90">
        <f>IF(Tableau4[[#This Row],[État]]="Remis",1,0)</f>
        <v>1</v>
      </c>
    </row>
    <row r="908" spans="2:11" x14ac:dyDescent="0.25">
      <c r="B908" t="s">
        <v>281</v>
      </c>
      <c r="C908" s="90" t="str">
        <f>VLOOKUP(Tableau4[[#This Row],[Réf matériel]],Tableau3[],2,FALSE)</f>
        <v>Scie à métaux</v>
      </c>
      <c r="D908" s="90">
        <f>VLOOKUP(Tableau4[[#This Row],[Réf matériel]],Tableau3[],3,FALSE)</f>
        <v>11.26</v>
      </c>
      <c r="E908" t="s">
        <v>536</v>
      </c>
      <c r="F908" s="90" t="str">
        <f>VLOOKUP(Tableau4[[#This Row],[Matricule]],Tableau1[],2,FALSE)</f>
        <v>Caisse volante4</v>
      </c>
      <c r="G908" s="90">
        <f>VLOOKUP(Tableau4[[#This Row],[Matricule]],Tableau1[],3,FALSE)</f>
        <v>0</v>
      </c>
      <c r="H908" s="90">
        <f>VLOOKUP(Tableau4[[#This Row],[Matricule]],Tableau1[],4,FALSE)</f>
        <v>0</v>
      </c>
      <c r="J908" t="s">
        <v>380</v>
      </c>
      <c r="K908" s="90">
        <f>IF(Tableau4[[#This Row],[État]]="Remis",1,0)</f>
        <v>1</v>
      </c>
    </row>
    <row r="909" spans="2:11" x14ac:dyDescent="0.25">
      <c r="B909" t="s">
        <v>70</v>
      </c>
      <c r="C909" s="90" t="str">
        <f>VLOOKUP(Tableau4[[#This Row],[Réf matériel]],Tableau3[],2,FALSE)</f>
        <v>Testeur Fluke</v>
      </c>
      <c r="D909" s="90">
        <f>VLOOKUP(Tableau4[[#This Row],[Réf matériel]],Tableau3[],3,FALSE)</f>
        <v>0</v>
      </c>
      <c r="E909" t="s">
        <v>536</v>
      </c>
      <c r="F909" s="90" t="str">
        <f>VLOOKUP(Tableau4[[#This Row],[Matricule]],Tableau1[],2,FALSE)</f>
        <v>Caisse volante4</v>
      </c>
      <c r="G909" s="90">
        <f>VLOOKUP(Tableau4[[#This Row],[Matricule]],Tableau1[],3,FALSE)</f>
        <v>0</v>
      </c>
      <c r="H909" s="90">
        <f>VLOOKUP(Tableau4[[#This Row],[Matricule]],Tableau1[],4,FALSE)</f>
        <v>0</v>
      </c>
      <c r="J909" t="s">
        <v>380</v>
      </c>
      <c r="K909" s="90">
        <f>IF(Tableau4[[#This Row],[État]]="Remis",1,0)</f>
        <v>1</v>
      </c>
    </row>
    <row r="910" spans="2:11" x14ac:dyDescent="0.25">
      <c r="B910" s="109" t="s">
        <v>525</v>
      </c>
      <c r="C910" s="110" t="str">
        <f>VLOOKUP(Tableau4[[#This Row],[Réf matériel]],Tableau3[],2,FALSE)</f>
        <v>Cadena</v>
      </c>
      <c r="D910" s="110">
        <f>VLOOKUP(Tableau4[[#This Row],[Réf matériel]],Tableau3[],3,FALSE)</f>
        <v>13</v>
      </c>
      <c r="E910" s="109" t="s">
        <v>336</v>
      </c>
      <c r="F910" s="110" t="str">
        <f>VLOOKUP(Tableau4[[#This Row],[Matricule]],Tableau1[],2,FALSE)</f>
        <v>GERMAIN</v>
      </c>
      <c r="G910" s="110" t="str">
        <f>VLOOKUP(Tableau4[[#This Row],[Matricule]],Tableau1[],3,FALSE)</f>
        <v>Rudy</v>
      </c>
      <c r="H910" s="110" t="str">
        <f>VLOOKUP(Tableau4[[#This Row],[Matricule]],Tableau1[],4,FALSE)</f>
        <v>ELEC</v>
      </c>
      <c r="I910" s="111">
        <v>44099</v>
      </c>
      <c r="J910" s="109" t="s">
        <v>380</v>
      </c>
      <c r="K910" s="90">
        <f>IF(Tableau4[[#This Row],[État]]="Remis",1,0)</f>
        <v>1</v>
      </c>
    </row>
    <row r="911" spans="2:11" x14ac:dyDescent="0.25">
      <c r="B911" t="s">
        <v>74</v>
      </c>
      <c r="C911" s="90" t="str">
        <f>VLOOKUP(Tableau4[[#This Row],[Réf matériel]],Tableau3[],2,FALSE)</f>
        <v>Casque chantier</v>
      </c>
      <c r="D911" s="90">
        <f>VLOOKUP(Tableau4[[#This Row],[Réf matériel]],Tableau3[],3,FALSE)</f>
        <v>29.05</v>
      </c>
      <c r="E911" t="s">
        <v>543</v>
      </c>
      <c r="F911" s="90" t="str">
        <f>VLOOKUP(Tableau4[[#This Row],[Matricule]],Tableau1[],2,FALSE)</f>
        <v>DUBOIS</v>
      </c>
      <c r="G911" s="90" t="str">
        <f>VLOOKUP(Tableau4[[#This Row],[Matricule]],Tableau1[],3,FALSE)</f>
        <v>Stevens</v>
      </c>
      <c r="H911" s="90" t="str">
        <f>VLOOKUP(Tableau4[[#This Row],[Matricule]],Tableau1[],4,FALSE)</f>
        <v>GC</v>
      </c>
      <c r="I911" s="88">
        <v>44054</v>
      </c>
      <c r="J911" t="s">
        <v>380</v>
      </c>
      <c r="K911" s="90">
        <f>IF(Tableau4[[#This Row],[État]]="Remis",1,0)</f>
        <v>1</v>
      </c>
    </row>
    <row r="912" spans="2:11" x14ac:dyDescent="0.25">
      <c r="B912" t="s">
        <v>74</v>
      </c>
      <c r="C912" s="90" t="str">
        <f>VLOOKUP(Tableau4[[#This Row],[Réf matériel]],Tableau3[],2,FALSE)</f>
        <v>Casque chantier</v>
      </c>
      <c r="D912" s="90">
        <f>VLOOKUP(Tableau4[[#This Row],[Réf matériel]],Tableau3[],3,FALSE)</f>
        <v>29.05</v>
      </c>
      <c r="E912" t="s">
        <v>333</v>
      </c>
      <c r="F912" s="90" t="str">
        <f>VLOOKUP(Tableau4[[#This Row],[Matricule]],Tableau1[],2,FALSE)</f>
        <v>FOURAR</v>
      </c>
      <c r="G912" s="90" t="str">
        <f>VLOOKUP(Tableau4[[#This Row],[Matricule]],Tableau1[],3,FALSE)</f>
        <v>Mohamed</v>
      </c>
      <c r="H912" s="90" t="str">
        <f>VLOOKUP(Tableau4[[#This Row],[Matricule]],Tableau1[],4,FALSE)</f>
        <v>RA</v>
      </c>
      <c r="I912" s="88">
        <v>43862</v>
      </c>
      <c r="J912" t="s">
        <v>380</v>
      </c>
      <c r="K912" s="90">
        <f>IF(Tableau4[[#This Row],[État]]="Remis",1,0)</f>
        <v>1</v>
      </c>
    </row>
    <row r="913" spans="2:11" x14ac:dyDescent="0.25">
      <c r="B913" t="s">
        <v>74</v>
      </c>
      <c r="C913" s="90" t="str">
        <f>VLOOKUP(Tableau4[[#This Row],[Réf matériel]],Tableau3[],2,FALSE)</f>
        <v>Casque chantier</v>
      </c>
      <c r="D913" s="90">
        <f>VLOOKUP(Tableau4[[#This Row],[Réf matériel]],Tableau3[],3,FALSE)</f>
        <v>29.05</v>
      </c>
      <c r="E913" t="s">
        <v>339</v>
      </c>
      <c r="F913" s="90" t="str">
        <f>VLOOKUP(Tableau4[[#This Row],[Matricule]],Tableau1[],2,FALSE)</f>
        <v>LEFEBVRE</v>
      </c>
      <c r="G913" s="90" t="str">
        <f>VLOOKUP(Tableau4[[#This Row],[Matricule]],Tableau1[],3,FALSE)</f>
        <v>Joël</v>
      </c>
      <c r="H913" s="90" t="str">
        <f>VLOOKUP(Tableau4[[#This Row],[Matricule]],Tableau1[],4,FALSE)</f>
        <v>RA</v>
      </c>
      <c r="I913" s="88">
        <v>43497</v>
      </c>
      <c r="J913" t="s">
        <v>380</v>
      </c>
      <c r="K913" s="90">
        <f>IF(Tableau4[[#This Row],[État]]="Remis",1,0)</f>
        <v>1</v>
      </c>
    </row>
    <row r="914" spans="2:11" x14ac:dyDescent="0.25">
      <c r="B914" t="s">
        <v>74</v>
      </c>
      <c r="C914" s="90" t="str">
        <f>VLOOKUP(Tableau4[[#This Row],[Réf matériel]],Tableau3[],2,FALSE)</f>
        <v>Casque chantier</v>
      </c>
      <c r="D914" s="90">
        <f>VLOOKUP(Tableau4[[#This Row],[Réf matériel]],Tableau3[],3,FALSE)</f>
        <v>29.05</v>
      </c>
      <c r="E914" t="s">
        <v>349</v>
      </c>
      <c r="F914" s="90" t="str">
        <f>VLOOKUP(Tableau4[[#This Row],[Matricule]],Tableau1[],2,FALSE)</f>
        <v>MEILHAC</v>
      </c>
      <c r="G914" s="90" t="str">
        <f>VLOOKUP(Tableau4[[#This Row],[Matricule]],Tableau1[],3,FALSE)</f>
        <v>Benjamin</v>
      </c>
      <c r="H914" s="90" t="str">
        <f>VLOOKUP(Tableau4[[#This Row],[Matricule]],Tableau1[],4,FALSE)</f>
        <v>RA</v>
      </c>
      <c r="I914" s="88">
        <v>43132</v>
      </c>
      <c r="J914" t="s">
        <v>380</v>
      </c>
      <c r="K914" s="90">
        <f>IF(Tableau4[[#This Row],[État]]="Remis",1,0)</f>
        <v>1</v>
      </c>
    </row>
    <row r="915" spans="2:11" x14ac:dyDescent="0.25">
      <c r="B915" t="s">
        <v>74</v>
      </c>
      <c r="C915" s="90" t="str">
        <f>VLOOKUP(Tableau4[[#This Row],[Réf matériel]],Tableau3[],2,FALSE)</f>
        <v>Casque chantier</v>
      </c>
      <c r="D915" s="90">
        <f>VLOOKUP(Tableau4[[#This Row],[Réf matériel]],Tableau3[],3,FALSE)</f>
        <v>29.05</v>
      </c>
      <c r="E915" t="s">
        <v>375</v>
      </c>
      <c r="F915" s="90" t="str">
        <f>VLOOKUP(Tableau4[[#This Row],[Matricule]],Tableau1[],2,FALSE)</f>
        <v>WONEGOU</v>
      </c>
      <c r="G915" s="90" t="str">
        <f>VLOOKUP(Tableau4[[#This Row],[Matricule]],Tableau1[],3,FALSE)</f>
        <v>Eli</v>
      </c>
      <c r="H915" s="90" t="str">
        <f>VLOOKUP(Tableau4[[#This Row],[Matricule]],Tableau1[],4,FALSE)</f>
        <v>BE</v>
      </c>
      <c r="I915" s="88">
        <v>43678</v>
      </c>
      <c r="J915" t="s">
        <v>380</v>
      </c>
      <c r="K915" s="90">
        <f>IF(Tableau4[[#This Row],[État]]="Remis",1,0)</f>
        <v>1</v>
      </c>
    </row>
    <row r="916" spans="2:11" x14ac:dyDescent="0.25">
      <c r="B916" t="s">
        <v>74</v>
      </c>
      <c r="C916" s="90" t="str">
        <f>VLOOKUP(Tableau4[[#This Row],[Réf matériel]],Tableau3[],2,FALSE)</f>
        <v>Casque chantier</v>
      </c>
      <c r="D916" s="90">
        <f>VLOOKUP(Tableau4[[#This Row],[Réf matériel]],Tableau3[],3,FALSE)</f>
        <v>29.05</v>
      </c>
      <c r="E916" t="s">
        <v>378</v>
      </c>
      <c r="F916" s="90" t="str">
        <f>VLOOKUP(Tableau4[[#This Row],[Matricule]],Tableau1[],2,FALSE)</f>
        <v>ZERHOUNI</v>
      </c>
      <c r="G916" s="90" t="str">
        <f>VLOOKUP(Tableau4[[#This Row],[Matricule]],Tableau1[],3,FALSE)</f>
        <v>Fawzi</v>
      </c>
      <c r="H916" s="90" t="str">
        <f>VLOOKUP(Tableau4[[#This Row],[Matricule]],Tableau1[],4,FALSE)</f>
        <v>RC</v>
      </c>
      <c r="I916" s="88">
        <v>43847</v>
      </c>
      <c r="J916" t="s">
        <v>380</v>
      </c>
      <c r="K916" s="90">
        <f>IF(Tableau4[[#This Row],[État]]="Remis",1,0)</f>
        <v>1</v>
      </c>
    </row>
    <row r="917" spans="2:11" x14ac:dyDescent="0.25">
      <c r="B917" t="s">
        <v>391</v>
      </c>
      <c r="C917" s="90" t="str">
        <f>VLOOKUP(Tableau4[[#This Row],[Réf matériel]],Tableau3[],2,FALSE)</f>
        <v>Cadena</v>
      </c>
      <c r="D917" s="90">
        <f>VLOOKUP(Tableau4[[#This Row],[Réf matériel]],Tableau3[],3,FALSE)</f>
        <v>13</v>
      </c>
      <c r="E917" t="s">
        <v>546</v>
      </c>
      <c r="F917" s="90" t="str">
        <f>VLOOKUP(Tableau4[[#This Row],[Matricule]],Tableau1[],2,FALSE)</f>
        <v>VUKSANOVIC</v>
      </c>
      <c r="G917" s="90" t="str">
        <f>VLOOKUP(Tableau4[[#This Row],[Matricule]],Tableau1[],3,FALSE)</f>
        <v>Amine</v>
      </c>
      <c r="H917" s="90" t="str">
        <f>VLOOKUP(Tableau4[[#This Row],[Matricule]],Tableau1[],4,FALSE)</f>
        <v>ELEC</v>
      </c>
      <c r="I917" s="88">
        <v>44109</v>
      </c>
      <c r="J917" t="s">
        <v>380</v>
      </c>
      <c r="K917" s="90">
        <f>IF(Tableau4[[#This Row],[État]]="Remis",1,0)</f>
        <v>1</v>
      </c>
    </row>
    <row r="918" spans="2:11" x14ac:dyDescent="0.25">
      <c r="B918" t="s">
        <v>526</v>
      </c>
      <c r="C918" s="90" t="str">
        <f>VLOOKUP(Tableau4[[#This Row],[Réf matériel]],Tableau3[],2,FALSE)</f>
        <v>Coffre</v>
      </c>
      <c r="D918" s="90">
        <f>VLOOKUP(Tableau4[[#This Row],[Réf matériel]],Tableau3[],3,FALSE)</f>
        <v>54.54</v>
      </c>
      <c r="E918" t="s">
        <v>546</v>
      </c>
      <c r="F918" s="90" t="str">
        <f>VLOOKUP(Tableau4[[#This Row],[Matricule]],Tableau1[],2,FALSE)</f>
        <v>VUKSANOVIC</v>
      </c>
      <c r="G918" s="90" t="str">
        <f>VLOOKUP(Tableau4[[#This Row],[Matricule]],Tableau1[],3,FALSE)</f>
        <v>Amine</v>
      </c>
      <c r="H918" s="90" t="str">
        <f>VLOOKUP(Tableau4[[#This Row],[Matricule]],Tableau1[],4,FALSE)</f>
        <v>ELEC</v>
      </c>
      <c r="I918" s="88">
        <v>44109</v>
      </c>
      <c r="J918" t="s">
        <v>380</v>
      </c>
      <c r="K918" s="90">
        <f>IF(Tableau4[[#This Row],[État]]="Remis",1,0)</f>
        <v>1</v>
      </c>
    </row>
    <row r="919" spans="2:11" x14ac:dyDescent="0.25">
      <c r="B919" t="s">
        <v>393</v>
      </c>
      <c r="C919" s="90" t="str">
        <f>VLOOKUP(Tableau4[[#This Row],[Réf matériel]],Tableau3[],2,FALSE)</f>
        <v>Clé à molette</v>
      </c>
      <c r="D919" s="90">
        <f>VLOOKUP(Tableau4[[#This Row],[Réf matériel]],Tableau3[],3,FALSE)</f>
        <v>16.12</v>
      </c>
      <c r="E919" t="s">
        <v>546</v>
      </c>
      <c r="F919" s="90" t="str">
        <f>VLOOKUP(Tableau4[[#This Row],[Matricule]],Tableau1[],2,FALSE)</f>
        <v>VUKSANOVIC</v>
      </c>
      <c r="G919" s="90" t="str">
        <f>VLOOKUP(Tableau4[[#This Row],[Matricule]],Tableau1[],3,FALSE)</f>
        <v>Amine</v>
      </c>
      <c r="H919" s="90" t="str">
        <f>VLOOKUP(Tableau4[[#This Row],[Matricule]],Tableau1[],4,FALSE)</f>
        <v>ELEC</v>
      </c>
      <c r="I919" s="88">
        <v>44109</v>
      </c>
      <c r="J919" t="s">
        <v>380</v>
      </c>
      <c r="K919" s="90">
        <f>IF(Tableau4[[#This Row],[État]]="Remis",1,0)</f>
        <v>1</v>
      </c>
    </row>
    <row r="920" spans="2:11" x14ac:dyDescent="0.25">
      <c r="B920" t="s">
        <v>278</v>
      </c>
      <c r="C920" s="90" t="str">
        <f>VLOOKUP(Tableau4[[#This Row],[Réf matériel]],Tableau3[],2,FALSE)</f>
        <v>Pince à dénuder</v>
      </c>
      <c r="D920" s="90">
        <f>VLOOKUP(Tableau4[[#This Row],[Réf matériel]],Tableau3[],3,FALSE)</f>
        <v>24.55</v>
      </c>
      <c r="E920" t="s">
        <v>546</v>
      </c>
      <c r="F920" s="90" t="str">
        <f>VLOOKUP(Tableau4[[#This Row],[Matricule]],Tableau1[],2,FALSE)</f>
        <v>VUKSANOVIC</v>
      </c>
      <c r="G920" s="90" t="str">
        <f>VLOOKUP(Tableau4[[#This Row],[Matricule]],Tableau1[],3,FALSE)</f>
        <v>Amine</v>
      </c>
      <c r="H920" s="90" t="str">
        <f>VLOOKUP(Tableau4[[#This Row],[Matricule]],Tableau1[],4,FALSE)</f>
        <v>ELEC</v>
      </c>
      <c r="I920" s="88">
        <v>44109</v>
      </c>
      <c r="J920" t="s">
        <v>380</v>
      </c>
      <c r="K920" s="90">
        <f>IF(Tableau4[[#This Row],[État]]="Remis",1,0)</f>
        <v>1</v>
      </c>
    </row>
    <row r="921" spans="2:11" x14ac:dyDescent="0.25">
      <c r="B921" t="s">
        <v>394</v>
      </c>
      <c r="C921" s="90" t="str">
        <f>VLOOKUP(Tableau4[[#This Row],[Réf matériel]],Tableau3[],2,FALSE)</f>
        <v>lime demi ronde</v>
      </c>
      <c r="D921" s="90">
        <f>VLOOKUP(Tableau4[[#This Row],[Réf matériel]],Tableau3[],3,FALSE)</f>
        <v>7.59</v>
      </c>
      <c r="E921" t="s">
        <v>546</v>
      </c>
      <c r="F921" s="90" t="str">
        <f>VLOOKUP(Tableau4[[#This Row],[Matricule]],Tableau1[],2,FALSE)</f>
        <v>VUKSANOVIC</v>
      </c>
      <c r="G921" s="90" t="str">
        <f>VLOOKUP(Tableau4[[#This Row],[Matricule]],Tableau1[],3,FALSE)</f>
        <v>Amine</v>
      </c>
      <c r="H921" s="90" t="str">
        <f>VLOOKUP(Tableau4[[#This Row],[Matricule]],Tableau1[],4,FALSE)</f>
        <v>ELEC</v>
      </c>
      <c r="I921" s="88">
        <v>44109</v>
      </c>
      <c r="J921" t="s">
        <v>380</v>
      </c>
      <c r="K921" s="90">
        <f>IF(Tableau4[[#This Row],[État]]="Remis",1,0)</f>
        <v>1</v>
      </c>
    </row>
    <row r="922" spans="2:11" x14ac:dyDescent="0.25">
      <c r="B922" t="s">
        <v>280</v>
      </c>
      <c r="C922" s="90" t="str">
        <f>VLOOKUP(Tableau4[[#This Row],[Réf matériel]],Tableau3[],2,FALSE)</f>
        <v>Pince coupante 1000v</v>
      </c>
      <c r="D922" s="90">
        <f>VLOOKUP(Tableau4[[#This Row],[Réf matériel]],Tableau3[],3,FALSE)</f>
        <v>20.87</v>
      </c>
      <c r="E922" t="s">
        <v>546</v>
      </c>
      <c r="F922" s="90" t="str">
        <f>VLOOKUP(Tableau4[[#This Row],[Matricule]],Tableau1[],2,FALSE)</f>
        <v>VUKSANOVIC</v>
      </c>
      <c r="G922" s="90" t="str">
        <f>VLOOKUP(Tableau4[[#This Row],[Matricule]],Tableau1[],3,FALSE)</f>
        <v>Amine</v>
      </c>
      <c r="H922" s="90" t="str">
        <f>VLOOKUP(Tableau4[[#This Row],[Matricule]],Tableau1[],4,FALSE)</f>
        <v>ELEC</v>
      </c>
      <c r="I922" s="88">
        <v>44109</v>
      </c>
      <c r="J922" t="s">
        <v>380</v>
      </c>
      <c r="K922" s="90">
        <f>IF(Tableau4[[#This Row],[État]]="Remis",1,0)</f>
        <v>1</v>
      </c>
    </row>
    <row r="923" spans="2:11" x14ac:dyDescent="0.25">
      <c r="B923" t="s">
        <v>49</v>
      </c>
      <c r="C923" s="90" t="str">
        <f>VLOOKUP(Tableau4[[#This Row],[Réf matériel]],Tableau3[],2,FALSE)</f>
        <v>Coupe câble</v>
      </c>
      <c r="D923" s="90">
        <f>VLOOKUP(Tableau4[[#This Row],[Réf matériel]],Tableau3[],3,FALSE)</f>
        <v>41.88</v>
      </c>
      <c r="E923" t="s">
        <v>546</v>
      </c>
      <c r="F923" s="90" t="str">
        <f>VLOOKUP(Tableau4[[#This Row],[Matricule]],Tableau1[],2,FALSE)</f>
        <v>VUKSANOVIC</v>
      </c>
      <c r="G923" s="90" t="str">
        <f>VLOOKUP(Tableau4[[#This Row],[Matricule]],Tableau1[],3,FALSE)</f>
        <v>Amine</v>
      </c>
      <c r="H923" s="90" t="str">
        <f>VLOOKUP(Tableau4[[#This Row],[Matricule]],Tableau1[],4,FALSE)</f>
        <v>ELEC</v>
      </c>
      <c r="I923" s="88">
        <v>44109</v>
      </c>
      <c r="J923" t="s">
        <v>380</v>
      </c>
      <c r="K923" s="90">
        <f>IF(Tableau4[[#This Row],[État]]="Remis",1,0)</f>
        <v>1</v>
      </c>
    </row>
    <row r="924" spans="2:11" x14ac:dyDescent="0.25">
      <c r="B924" t="s">
        <v>281</v>
      </c>
      <c r="C924" s="90" t="str">
        <f>VLOOKUP(Tableau4[[#This Row],[Réf matériel]],Tableau3[],2,FALSE)</f>
        <v>Scie à métaux</v>
      </c>
      <c r="D924" s="90">
        <f>VLOOKUP(Tableau4[[#This Row],[Réf matériel]],Tableau3[],3,FALSE)</f>
        <v>11.26</v>
      </c>
      <c r="E924" t="s">
        <v>546</v>
      </c>
      <c r="F924" s="90" t="str">
        <f>VLOOKUP(Tableau4[[#This Row],[Matricule]],Tableau1[],2,FALSE)</f>
        <v>VUKSANOVIC</v>
      </c>
      <c r="G924" s="90" t="str">
        <f>VLOOKUP(Tableau4[[#This Row],[Matricule]],Tableau1[],3,FALSE)</f>
        <v>Amine</v>
      </c>
      <c r="H924" s="90" t="str">
        <f>VLOOKUP(Tableau4[[#This Row],[Matricule]],Tableau1[],4,FALSE)</f>
        <v>ELEC</v>
      </c>
      <c r="I924" s="88">
        <v>44109</v>
      </c>
      <c r="J924" t="s">
        <v>380</v>
      </c>
      <c r="K924" s="90">
        <f>IF(Tableau4[[#This Row],[État]]="Remis",1,0)</f>
        <v>1</v>
      </c>
    </row>
    <row r="925" spans="2:11" x14ac:dyDescent="0.25">
      <c r="B925" t="s">
        <v>51</v>
      </c>
      <c r="C925" s="90" t="str">
        <f>VLOOKUP(Tableau4[[#This Row],[Réf matériel]],Tableau3[],2,FALSE)</f>
        <v>Mètre pliant</v>
      </c>
      <c r="D925" s="90">
        <f>VLOOKUP(Tableau4[[#This Row],[Réf matériel]],Tableau3[],3,FALSE)</f>
        <v>3.2</v>
      </c>
      <c r="E925" t="s">
        <v>546</v>
      </c>
      <c r="F925" s="90" t="str">
        <f>VLOOKUP(Tableau4[[#This Row],[Matricule]],Tableau1[],2,FALSE)</f>
        <v>VUKSANOVIC</v>
      </c>
      <c r="G925" s="90" t="str">
        <f>VLOOKUP(Tableau4[[#This Row],[Matricule]],Tableau1[],3,FALSE)</f>
        <v>Amine</v>
      </c>
      <c r="H925" s="90" t="str">
        <f>VLOOKUP(Tableau4[[#This Row],[Matricule]],Tableau1[],4,FALSE)</f>
        <v>ELEC</v>
      </c>
      <c r="I925" s="88">
        <v>44109</v>
      </c>
      <c r="J925" t="s">
        <v>380</v>
      </c>
      <c r="K925" s="90">
        <f>IF(Tableau4[[#This Row],[État]]="Remis",1,0)</f>
        <v>1</v>
      </c>
    </row>
    <row r="926" spans="2:11" x14ac:dyDescent="0.25">
      <c r="B926" t="s">
        <v>548</v>
      </c>
      <c r="C926" s="90" t="str">
        <f>VLOOKUP(Tableau4[[#This Row],[Réf matériel]],Tableau3[],2,FALSE)</f>
        <v>Burin plat</v>
      </c>
      <c r="D926" s="90">
        <f>VLOOKUP(Tableau4[[#This Row],[Réf matériel]],Tableau3[],3,FALSE)</f>
        <v>11.89</v>
      </c>
      <c r="E926" t="s">
        <v>546</v>
      </c>
      <c r="F926" s="90" t="str">
        <f>VLOOKUP(Tableau4[[#This Row],[Matricule]],Tableau1[],2,FALSE)</f>
        <v>VUKSANOVIC</v>
      </c>
      <c r="G926" s="90" t="str">
        <f>VLOOKUP(Tableau4[[#This Row],[Matricule]],Tableau1[],3,FALSE)</f>
        <v>Amine</v>
      </c>
      <c r="H926" s="90" t="str">
        <f>VLOOKUP(Tableau4[[#This Row],[Matricule]],Tableau1[],4,FALSE)</f>
        <v>ELEC</v>
      </c>
      <c r="I926" s="88">
        <v>44109</v>
      </c>
      <c r="J926" t="s">
        <v>380</v>
      </c>
      <c r="K926" s="90">
        <f>IF(Tableau4[[#This Row],[État]]="Remis",1,0)</f>
        <v>1</v>
      </c>
    </row>
    <row r="927" spans="2:11" x14ac:dyDescent="0.25">
      <c r="B927" t="s">
        <v>401</v>
      </c>
      <c r="C927" s="90" t="str">
        <f>VLOOKUP(Tableau4[[#This Row],[Réf matériel]],Tableau3[],2,FALSE)</f>
        <v>Burin pointu</v>
      </c>
      <c r="D927" s="90">
        <f>VLOOKUP(Tableau4[[#This Row],[Réf matériel]],Tableau3[],3,FALSE)</f>
        <v>8.7200000000000006</v>
      </c>
      <c r="E927" t="s">
        <v>546</v>
      </c>
      <c r="F927" s="90" t="str">
        <f>VLOOKUP(Tableau4[[#This Row],[Matricule]],Tableau1[],2,FALSE)</f>
        <v>VUKSANOVIC</v>
      </c>
      <c r="G927" s="90" t="str">
        <f>VLOOKUP(Tableau4[[#This Row],[Matricule]],Tableau1[],3,FALSE)</f>
        <v>Amine</v>
      </c>
      <c r="H927" s="90" t="str">
        <f>VLOOKUP(Tableau4[[#This Row],[Matricule]],Tableau1[],4,FALSE)</f>
        <v>ELEC</v>
      </c>
      <c r="I927" s="88">
        <v>44109</v>
      </c>
      <c r="J927" t="s">
        <v>380</v>
      </c>
      <c r="K927" s="90">
        <f>IF(Tableau4[[#This Row],[État]]="Remis",1,0)</f>
        <v>1</v>
      </c>
    </row>
    <row r="928" spans="2:11" x14ac:dyDescent="0.25">
      <c r="B928" t="s">
        <v>396</v>
      </c>
      <c r="C928" s="90" t="str">
        <f>VLOOKUP(Tableau4[[#This Row],[Réf matériel]],Tableau3[],2,FALSE)</f>
        <v>Massette</v>
      </c>
      <c r="D928" s="90">
        <f>VLOOKUP(Tableau4[[#This Row],[Réf matériel]],Tableau3[],3,FALSE)</f>
        <v>15.14</v>
      </c>
      <c r="E928" t="s">
        <v>546</v>
      </c>
      <c r="F928" s="90" t="str">
        <f>VLOOKUP(Tableau4[[#This Row],[Matricule]],Tableau1[],2,FALSE)</f>
        <v>VUKSANOVIC</v>
      </c>
      <c r="G928" s="90" t="str">
        <f>VLOOKUP(Tableau4[[#This Row],[Matricule]],Tableau1[],3,FALSE)</f>
        <v>Amine</v>
      </c>
      <c r="H928" s="90" t="str">
        <f>VLOOKUP(Tableau4[[#This Row],[Matricule]],Tableau1[],4,FALSE)</f>
        <v>ELEC</v>
      </c>
      <c r="I928" s="88">
        <v>44109</v>
      </c>
      <c r="J928" t="s">
        <v>380</v>
      </c>
      <c r="K928" s="90">
        <f>IF(Tableau4[[#This Row],[État]]="Remis",1,0)</f>
        <v>1</v>
      </c>
    </row>
    <row r="929" spans="2:11" x14ac:dyDescent="0.25">
      <c r="B929" t="s">
        <v>55</v>
      </c>
      <c r="C929" s="90" t="str">
        <f>VLOOKUP(Tableau4[[#This Row],[Réf matériel]],Tableau3[],2,FALSE)</f>
        <v>Niveau</v>
      </c>
      <c r="D929" s="90">
        <f>VLOOKUP(Tableau4[[#This Row],[Réf matériel]],Tableau3[],3,FALSE)</f>
        <v>15</v>
      </c>
      <c r="E929" t="s">
        <v>546</v>
      </c>
      <c r="F929" s="90" t="str">
        <f>VLOOKUP(Tableau4[[#This Row],[Matricule]],Tableau1[],2,FALSE)</f>
        <v>VUKSANOVIC</v>
      </c>
      <c r="G929" s="90" t="str">
        <f>VLOOKUP(Tableau4[[#This Row],[Matricule]],Tableau1[],3,FALSE)</f>
        <v>Amine</v>
      </c>
      <c r="H929" s="90" t="str">
        <f>VLOOKUP(Tableau4[[#This Row],[Matricule]],Tableau1[],4,FALSE)</f>
        <v>ELEC</v>
      </c>
      <c r="I929" s="88">
        <v>44109</v>
      </c>
      <c r="J929" t="s">
        <v>380</v>
      </c>
      <c r="K929" s="90">
        <f>IF(Tableau4[[#This Row],[État]]="Remis",1,0)</f>
        <v>1</v>
      </c>
    </row>
    <row r="930" spans="2:11" x14ac:dyDescent="0.25">
      <c r="B930" t="s">
        <v>56</v>
      </c>
      <c r="C930" s="90" t="str">
        <f>VLOOKUP(Tableau4[[#This Row],[Réf matériel]],Tableau3[],2,FALSE)</f>
        <v>Jeu tournevis</v>
      </c>
      <c r="D930" s="90">
        <f>VLOOKUP(Tableau4[[#This Row],[Réf matériel]],Tableau3[],3,FALSE)</f>
        <v>37.57</v>
      </c>
      <c r="E930" t="s">
        <v>546</v>
      </c>
      <c r="F930" s="90" t="str">
        <f>VLOOKUP(Tableau4[[#This Row],[Matricule]],Tableau1[],2,FALSE)</f>
        <v>VUKSANOVIC</v>
      </c>
      <c r="G930" s="90" t="str">
        <f>VLOOKUP(Tableau4[[#This Row],[Matricule]],Tableau1[],3,FALSE)</f>
        <v>Amine</v>
      </c>
      <c r="H930" s="90" t="str">
        <f>VLOOKUP(Tableau4[[#This Row],[Matricule]],Tableau1[],4,FALSE)</f>
        <v>ELEC</v>
      </c>
      <c r="I930" s="88">
        <v>44109</v>
      </c>
      <c r="J930" t="s">
        <v>380</v>
      </c>
      <c r="K930" s="90">
        <f>IF(Tableau4[[#This Row],[État]]="Remis",1,0)</f>
        <v>1</v>
      </c>
    </row>
    <row r="931" spans="2:11" x14ac:dyDescent="0.25">
      <c r="B931" t="s">
        <v>397</v>
      </c>
      <c r="C931" s="90" t="str">
        <f>VLOOKUP(Tableau4[[#This Row],[Réf matériel]],Tableau3[],2,FALSE)</f>
        <v>Pince étau</v>
      </c>
      <c r="D931" s="90">
        <f>VLOOKUP(Tableau4[[#This Row],[Réf matériel]],Tableau3[],3,FALSE)</f>
        <v>16.02</v>
      </c>
      <c r="E931" t="s">
        <v>546</v>
      </c>
      <c r="F931" s="90" t="str">
        <f>VLOOKUP(Tableau4[[#This Row],[Matricule]],Tableau1[],2,FALSE)</f>
        <v>VUKSANOVIC</v>
      </c>
      <c r="G931" s="90" t="str">
        <f>VLOOKUP(Tableau4[[#This Row],[Matricule]],Tableau1[],3,FALSE)</f>
        <v>Amine</v>
      </c>
      <c r="H931" s="90" t="str">
        <f>VLOOKUP(Tableau4[[#This Row],[Matricule]],Tableau1[],4,FALSE)</f>
        <v>ELEC</v>
      </c>
      <c r="I931" s="88">
        <v>44109</v>
      </c>
      <c r="J931" t="s">
        <v>380</v>
      </c>
      <c r="K931" s="90">
        <f>IF(Tableau4[[#This Row],[État]]="Remis",1,0)</f>
        <v>1</v>
      </c>
    </row>
    <row r="932" spans="2:11" x14ac:dyDescent="0.25">
      <c r="B932" t="s">
        <v>527</v>
      </c>
      <c r="C932" s="90" t="str">
        <f>VLOOKUP(Tableau4[[#This Row],[Réf matériel]],Tableau3[],2,FALSE)</f>
        <v>Clé à pipe 10</v>
      </c>
      <c r="D932" s="90">
        <f>VLOOKUP(Tableau4[[#This Row],[Réf matériel]],Tableau3[],3,FALSE)</f>
        <v>5.41</v>
      </c>
      <c r="E932" t="s">
        <v>546</v>
      </c>
      <c r="F932" s="90" t="str">
        <f>VLOOKUP(Tableau4[[#This Row],[Matricule]],Tableau1[],2,FALSE)</f>
        <v>VUKSANOVIC</v>
      </c>
      <c r="G932" s="90" t="str">
        <f>VLOOKUP(Tableau4[[#This Row],[Matricule]],Tableau1[],3,FALSE)</f>
        <v>Amine</v>
      </c>
      <c r="H932" s="90" t="str">
        <f>VLOOKUP(Tableau4[[#This Row],[Matricule]],Tableau1[],4,FALSE)</f>
        <v>ELEC</v>
      </c>
      <c r="I932" s="88">
        <v>44109</v>
      </c>
      <c r="J932" t="s">
        <v>380</v>
      </c>
      <c r="K932" s="90">
        <f>IF(Tableau4[[#This Row],[État]]="Remis",1,0)</f>
        <v>1</v>
      </c>
    </row>
    <row r="933" spans="2:11" x14ac:dyDescent="0.25">
      <c r="B933" t="s">
        <v>521</v>
      </c>
      <c r="C933" s="90" t="str">
        <f>VLOOKUP(Tableau4[[#This Row],[Réf matériel]],Tableau3[],2,FALSE)</f>
        <v>Clé à pipe 13</v>
      </c>
      <c r="D933" s="90">
        <f>VLOOKUP(Tableau4[[#This Row],[Réf matériel]],Tableau3[],3,FALSE)</f>
        <v>6.23</v>
      </c>
      <c r="E933" t="s">
        <v>546</v>
      </c>
      <c r="F933" s="90" t="str">
        <f>VLOOKUP(Tableau4[[#This Row],[Matricule]],Tableau1[],2,FALSE)</f>
        <v>VUKSANOVIC</v>
      </c>
      <c r="G933" s="90" t="str">
        <f>VLOOKUP(Tableau4[[#This Row],[Matricule]],Tableau1[],3,FALSE)</f>
        <v>Amine</v>
      </c>
      <c r="H933" s="90" t="str">
        <f>VLOOKUP(Tableau4[[#This Row],[Matricule]],Tableau1[],4,FALSE)</f>
        <v>ELEC</v>
      </c>
      <c r="I933" s="88">
        <v>44109</v>
      </c>
      <c r="J933" t="s">
        <v>380</v>
      </c>
      <c r="K933" s="90">
        <f>IF(Tableau4[[#This Row],[État]]="Remis",1,0)</f>
        <v>1</v>
      </c>
    </row>
    <row r="934" spans="2:11" x14ac:dyDescent="0.25">
      <c r="B934" t="s">
        <v>528</v>
      </c>
      <c r="C934" s="90" t="str">
        <f>VLOOKUP(Tableau4[[#This Row],[Réf matériel]],Tableau3[],2,FALSE)</f>
        <v>Clé à pipe 17</v>
      </c>
      <c r="D934" s="90">
        <f>VLOOKUP(Tableau4[[#This Row],[Réf matériel]],Tableau3[],3,FALSE)</f>
        <v>9.36</v>
      </c>
      <c r="E934" t="s">
        <v>546</v>
      </c>
      <c r="F934" s="90" t="str">
        <f>VLOOKUP(Tableau4[[#This Row],[Matricule]],Tableau1[],2,FALSE)</f>
        <v>VUKSANOVIC</v>
      </c>
      <c r="G934" s="90" t="str">
        <f>VLOOKUP(Tableau4[[#This Row],[Matricule]],Tableau1[],3,FALSE)</f>
        <v>Amine</v>
      </c>
      <c r="H934" s="90" t="str">
        <f>VLOOKUP(Tableau4[[#This Row],[Matricule]],Tableau1[],4,FALSE)</f>
        <v>ELEC</v>
      </c>
      <c r="I934" s="88">
        <v>44109</v>
      </c>
      <c r="J934" t="s">
        <v>380</v>
      </c>
      <c r="K934" s="90">
        <f>IF(Tableau4[[#This Row],[État]]="Remis",1,0)</f>
        <v>1</v>
      </c>
    </row>
    <row r="935" spans="2:11" x14ac:dyDescent="0.25">
      <c r="B935" t="s">
        <v>529</v>
      </c>
      <c r="C935" s="90" t="str">
        <f>VLOOKUP(Tableau4[[#This Row],[Réf matériel]],Tableau3[],2,FALSE)</f>
        <v>Clé à pipe 19</v>
      </c>
      <c r="D935" s="90">
        <f>VLOOKUP(Tableau4[[#This Row],[Réf matériel]],Tableau3[],3,FALSE)</f>
        <v>10.4</v>
      </c>
      <c r="E935" t="s">
        <v>546</v>
      </c>
      <c r="F935" s="90" t="str">
        <f>VLOOKUP(Tableau4[[#This Row],[Matricule]],Tableau1[],2,FALSE)</f>
        <v>VUKSANOVIC</v>
      </c>
      <c r="G935" s="90" t="str">
        <f>VLOOKUP(Tableau4[[#This Row],[Matricule]],Tableau1[],3,FALSE)</f>
        <v>Amine</v>
      </c>
      <c r="H935" s="90" t="str">
        <f>VLOOKUP(Tableau4[[#This Row],[Matricule]],Tableau1[],4,FALSE)</f>
        <v>ELEC</v>
      </c>
      <c r="I935" s="88">
        <v>44109</v>
      </c>
      <c r="J935" t="s">
        <v>380</v>
      </c>
      <c r="K935" s="90">
        <f>IF(Tableau4[[#This Row],[État]]="Remis",1,0)</f>
        <v>1</v>
      </c>
    </row>
    <row r="936" spans="2:11" x14ac:dyDescent="0.25">
      <c r="B936" t="s">
        <v>530</v>
      </c>
      <c r="C936" s="90" t="str">
        <f>VLOOKUP(Tableau4[[#This Row],[Réf matériel]],Tableau3[],2,FALSE)</f>
        <v>Clé plate 10</v>
      </c>
      <c r="D936" s="90">
        <f>VLOOKUP(Tableau4[[#This Row],[Réf matériel]],Tableau3[],3,FALSE)</f>
        <v>3.32</v>
      </c>
      <c r="E936" t="s">
        <v>546</v>
      </c>
      <c r="F936" s="90" t="str">
        <f>VLOOKUP(Tableau4[[#This Row],[Matricule]],Tableau1[],2,FALSE)</f>
        <v>VUKSANOVIC</v>
      </c>
      <c r="G936" s="90" t="str">
        <f>VLOOKUP(Tableau4[[#This Row],[Matricule]],Tableau1[],3,FALSE)</f>
        <v>Amine</v>
      </c>
      <c r="H936" s="90" t="str">
        <f>VLOOKUP(Tableau4[[#This Row],[Matricule]],Tableau1[],4,FALSE)</f>
        <v>ELEC</v>
      </c>
      <c r="I936" s="88">
        <v>44109</v>
      </c>
      <c r="J936" t="s">
        <v>380</v>
      </c>
      <c r="K936" s="90">
        <f>IF(Tableau4[[#This Row],[État]]="Remis",1,0)</f>
        <v>1</v>
      </c>
    </row>
    <row r="937" spans="2:11" x14ac:dyDescent="0.25">
      <c r="B937" t="s">
        <v>531</v>
      </c>
      <c r="C937" s="90" t="str">
        <f>VLOOKUP(Tableau4[[#This Row],[Réf matériel]],Tableau3[],2,FALSE)</f>
        <v>Clé plate 13</v>
      </c>
      <c r="D937" s="90">
        <f>VLOOKUP(Tableau4[[#This Row],[Réf matériel]],Tableau3[],3,FALSE)</f>
        <v>3.91</v>
      </c>
      <c r="E937" t="s">
        <v>546</v>
      </c>
      <c r="F937" s="90" t="str">
        <f>VLOOKUP(Tableau4[[#This Row],[Matricule]],Tableau1[],2,FALSE)</f>
        <v>VUKSANOVIC</v>
      </c>
      <c r="G937" s="90" t="str">
        <f>VLOOKUP(Tableau4[[#This Row],[Matricule]],Tableau1[],3,FALSE)</f>
        <v>Amine</v>
      </c>
      <c r="H937" s="90" t="str">
        <f>VLOOKUP(Tableau4[[#This Row],[Matricule]],Tableau1[],4,FALSE)</f>
        <v>ELEC</v>
      </c>
      <c r="I937" s="88">
        <v>44109</v>
      </c>
      <c r="J937" t="s">
        <v>380</v>
      </c>
      <c r="K937" s="90">
        <f>IF(Tableau4[[#This Row],[État]]="Remis",1,0)</f>
        <v>1</v>
      </c>
    </row>
    <row r="938" spans="2:11" x14ac:dyDescent="0.25">
      <c r="B938" t="s">
        <v>549</v>
      </c>
      <c r="C938" s="90" t="str">
        <f>VLOOKUP(Tableau4[[#This Row],[Réf matériel]],Tableau3[],2,FALSE)</f>
        <v>Clé plate 17</v>
      </c>
      <c r="D938" s="90">
        <f>VLOOKUP(Tableau4[[#This Row],[Réf matériel]],Tableau3[],3,FALSE)</f>
        <v>5.5</v>
      </c>
      <c r="E938" t="s">
        <v>546</v>
      </c>
      <c r="F938" s="90" t="str">
        <f>VLOOKUP(Tableau4[[#This Row],[Matricule]],Tableau1[],2,FALSE)</f>
        <v>VUKSANOVIC</v>
      </c>
      <c r="G938" s="90" t="str">
        <f>VLOOKUP(Tableau4[[#This Row],[Matricule]],Tableau1[],3,FALSE)</f>
        <v>Amine</v>
      </c>
      <c r="H938" s="90" t="str">
        <f>VLOOKUP(Tableau4[[#This Row],[Matricule]],Tableau1[],4,FALSE)</f>
        <v>ELEC</v>
      </c>
      <c r="I938" s="88">
        <v>44109</v>
      </c>
      <c r="J938" t="s">
        <v>380</v>
      </c>
      <c r="K938" s="90">
        <f>IF(Tableau4[[#This Row],[État]]="Remis",1,0)</f>
        <v>1</v>
      </c>
    </row>
    <row r="939" spans="2:11" x14ac:dyDescent="0.25">
      <c r="B939" t="s">
        <v>532</v>
      </c>
      <c r="C939" s="90" t="str">
        <f>VLOOKUP(Tableau4[[#This Row],[Réf matériel]],Tableau3[],2,FALSE)</f>
        <v>Clé plate 19</v>
      </c>
      <c r="D939" s="90">
        <f>VLOOKUP(Tableau4[[#This Row],[Réf matériel]],Tableau3[],3,FALSE)</f>
        <v>6.07</v>
      </c>
      <c r="E939" t="s">
        <v>546</v>
      </c>
      <c r="F939" s="90" t="str">
        <f>VLOOKUP(Tableau4[[#This Row],[Matricule]],Tableau1[],2,FALSE)</f>
        <v>VUKSANOVIC</v>
      </c>
      <c r="G939" s="90" t="str">
        <f>VLOOKUP(Tableau4[[#This Row],[Matricule]],Tableau1[],3,FALSE)</f>
        <v>Amine</v>
      </c>
      <c r="H939" s="90" t="str">
        <f>VLOOKUP(Tableau4[[#This Row],[Matricule]],Tableau1[],4,FALSE)</f>
        <v>ELEC</v>
      </c>
      <c r="I939" s="88">
        <v>44109</v>
      </c>
      <c r="J939" t="s">
        <v>380</v>
      </c>
      <c r="K939" s="90">
        <f>IF(Tableau4[[#This Row],[État]]="Remis",1,0)</f>
        <v>1</v>
      </c>
    </row>
    <row r="940" spans="2:11" x14ac:dyDescent="0.25">
      <c r="B940" t="s">
        <v>420</v>
      </c>
      <c r="C940" s="90" t="str">
        <f>VLOOKUP(Tableau4[[#This Row],[Réf matériel]],Tableau3[],2,FALSE)</f>
        <v>Clé allen</v>
      </c>
      <c r="D940" s="90">
        <f>VLOOKUP(Tableau4[[#This Row],[Réf matériel]],Tableau3[],3,FALSE)</f>
        <v>27.5</v>
      </c>
      <c r="E940" t="s">
        <v>546</v>
      </c>
      <c r="F940" s="90" t="str">
        <f>VLOOKUP(Tableau4[[#This Row],[Matricule]],Tableau1[],2,FALSE)</f>
        <v>VUKSANOVIC</v>
      </c>
      <c r="G940" s="90" t="str">
        <f>VLOOKUP(Tableau4[[#This Row],[Matricule]],Tableau1[],3,FALSE)</f>
        <v>Amine</v>
      </c>
      <c r="H940" s="90" t="str">
        <f>VLOOKUP(Tableau4[[#This Row],[Matricule]],Tableau1[],4,FALSE)</f>
        <v>ELEC</v>
      </c>
      <c r="I940" s="88">
        <v>44109</v>
      </c>
      <c r="J940" t="s">
        <v>380</v>
      </c>
      <c r="K940" s="90">
        <f>IF(Tableau4[[#This Row],[État]]="Remis",1,0)</f>
        <v>1</v>
      </c>
    </row>
    <row r="941" spans="2:11" x14ac:dyDescent="0.25">
      <c r="B941" t="s">
        <v>287</v>
      </c>
      <c r="C941" s="90" t="str">
        <f>VLOOKUP(Tableau4[[#This Row],[Réf matériel]],Tableau3[],2,FALSE)</f>
        <v>Outil à dégainer</v>
      </c>
      <c r="D941" s="90">
        <f>VLOOKUP(Tableau4[[#This Row],[Réf matériel]],Tableau3[],3,FALSE)</f>
        <v>20.5</v>
      </c>
      <c r="E941" t="s">
        <v>546</v>
      </c>
      <c r="F941" s="90" t="str">
        <f>VLOOKUP(Tableau4[[#This Row],[Matricule]],Tableau1[],2,FALSE)</f>
        <v>VUKSANOVIC</v>
      </c>
      <c r="G941" s="90" t="str">
        <f>VLOOKUP(Tableau4[[#This Row],[Matricule]],Tableau1[],3,FALSE)</f>
        <v>Amine</v>
      </c>
      <c r="H941" s="90" t="str">
        <f>VLOOKUP(Tableau4[[#This Row],[Matricule]],Tableau1[],4,FALSE)</f>
        <v>ELEC</v>
      </c>
      <c r="I941" s="88">
        <v>44109</v>
      </c>
      <c r="J941" t="s">
        <v>380</v>
      </c>
      <c r="K941" s="90">
        <f>IF(Tableau4[[#This Row],[État]]="Remis",1,0)</f>
        <v>1</v>
      </c>
    </row>
    <row r="942" spans="2:11" x14ac:dyDescent="0.25">
      <c r="B942" t="s">
        <v>102</v>
      </c>
      <c r="C942" s="90" t="str">
        <f>VLOOKUP(Tableau4[[#This Row],[Réf matériel]],Tableau3[],2,FALSE)</f>
        <v>Pince à Sertir</v>
      </c>
      <c r="D942" s="90">
        <f>VLOOKUP(Tableau4[[#This Row],[Réf matériel]],Tableau3[],3,FALSE)</f>
        <v>78.400000000000006</v>
      </c>
      <c r="E942" t="s">
        <v>546</v>
      </c>
      <c r="F942" s="90" t="str">
        <f>VLOOKUP(Tableau4[[#This Row],[Matricule]],Tableau1[],2,FALSE)</f>
        <v>VUKSANOVIC</v>
      </c>
      <c r="G942" s="90" t="str">
        <f>VLOOKUP(Tableau4[[#This Row],[Matricule]],Tableau1[],3,FALSE)</f>
        <v>Amine</v>
      </c>
      <c r="H942" s="90" t="str">
        <f>VLOOKUP(Tableau4[[#This Row],[Matricule]],Tableau1[],4,FALSE)</f>
        <v>ELEC</v>
      </c>
      <c r="I942" s="88">
        <v>44109</v>
      </c>
      <c r="J942" t="s">
        <v>380</v>
      </c>
      <c r="K942" s="90">
        <f>IF(Tableau4[[#This Row],[État]]="Remis",1,0)</f>
        <v>1</v>
      </c>
    </row>
    <row r="943" spans="2:11" x14ac:dyDescent="0.25">
      <c r="B943" t="s">
        <v>70</v>
      </c>
      <c r="C943" s="90" t="str">
        <f>VLOOKUP(Tableau4[[#This Row],[Réf matériel]],Tableau3[],2,FALSE)</f>
        <v>Testeur Fluke</v>
      </c>
      <c r="D943" s="90">
        <f>VLOOKUP(Tableau4[[#This Row],[Réf matériel]],Tableau3[],3,FALSE)</f>
        <v>0</v>
      </c>
      <c r="E943" t="s">
        <v>546</v>
      </c>
      <c r="F943" s="90" t="str">
        <f>VLOOKUP(Tableau4[[#This Row],[Matricule]],Tableau1[],2,FALSE)</f>
        <v>VUKSANOVIC</v>
      </c>
      <c r="G943" s="90" t="str">
        <f>VLOOKUP(Tableau4[[#This Row],[Matricule]],Tableau1[],3,FALSE)</f>
        <v>Amine</v>
      </c>
      <c r="H943" s="90" t="str">
        <f>VLOOKUP(Tableau4[[#This Row],[Matricule]],Tableau1[],4,FALSE)</f>
        <v>ELEC</v>
      </c>
      <c r="I943" s="88">
        <v>44109</v>
      </c>
      <c r="J943" t="s">
        <v>380</v>
      </c>
      <c r="K943" s="90">
        <f>IF(Tableau4[[#This Row],[État]]="Remis",1,0)</f>
        <v>1</v>
      </c>
    </row>
    <row r="944" spans="2:11" x14ac:dyDescent="0.25">
      <c r="B944" t="s">
        <v>399</v>
      </c>
      <c r="C944" s="90" t="str">
        <f>VLOOKUP(Tableau4[[#This Row],[Réf matériel]],Tableau3[],2,FALSE)</f>
        <v>Boite embouts</v>
      </c>
      <c r="D944" s="90">
        <f>VLOOKUP(Tableau4[[#This Row],[Réf matériel]],Tableau3[],3,FALSE)</f>
        <v>27.61</v>
      </c>
      <c r="E944" t="s">
        <v>546</v>
      </c>
      <c r="F944" s="90" t="str">
        <f>VLOOKUP(Tableau4[[#This Row],[Matricule]],Tableau1[],2,FALSE)</f>
        <v>VUKSANOVIC</v>
      </c>
      <c r="G944" s="90" t="str">
        <f>VLOOKUP(Tableau4[[#This Row],[Matricule]],Tableau1[],3,FALSE)</f>
        <v>Amine</v>
      </c>
      <c r="H944" s="90" t="str">
        <f>VLOOKUP(Tableau4[[#This Row],[Matricule]],Tableau1[],4,FALSE)</f>
        <v>ELEC</v>
      </c>
      <c r="I944" s="88">
        <v>44109</v>
      </c>
      <c r="J944" t="s">
        <v>380</v>
      </c>
      <c r="K944" s="90">
        <f>IF(Tableau4[[#This Row],[État]]="Remis",1,0)</f>
        <v>1</v>
      </c>
    </row>
    <row r="945" spans="2:11" x14ac:dyDescent="0.25">
      <c r="B945" t="s">
        <v>552</v>
      </c>
      <c r="C945" s="90" t="str">
        <f>VLOOKUP(Tableau4[[#This Row],[Réf matériel]],Tableau3[],2,FALSE)</f>
        <v>Pince colson</v>
      </c>
      <c r="D945" s="90">
        <f>VLOOKUP(Tableau4[[#This Row],[Réf matériel]],Tableau3[],3,FALSE)</f>
        <v>46.91</v>
      </c>
      <c r="E945" t="s">
        <v>546</v>
      </c>
      <c r="F945" s="90" t="str">
        <f>VLOOKUP(Tableau4[[#This Row],[Matricule]],Tableau1[],2,FALSE)</f>
        <v>VUKSANOVIC</v>
      </c>
      <c r="G945" s="90" t="str">
        <f>VLOOKUP(Tableau4[[#This Row],[Matricule]],Tableau1[],3,FALSE)</f>
        <v>Amine</v>
      </c>
      <c r="H945" s="90" t="str">
        <f>VLOOKUP(Tableau4[[#This Row],[Matricule]],Tableau1[],4,FALSE)</f>
        <v>ELEC</v>
      </c>
      <c r="I945" s="88">
        <v>44109</v>
      </c>
      <c r="J945" t="s">
        <v>380</v>
      </c>
      <c r="K945" s="90">
        <f>IF(Tableau4[[#This Row],[État]]="Remis",1,0)</f>
        <v>1</v>
      </c>
    </row>
    <row r="946" spans="2:11" x14ac:dyDescent="0.25">
      <c r="B946" t="s">
        <v>49</v>
      </c>
      <c r="C946" s="90" t="str">
        <f>VLOOKUP(Tableau4[[#This Row],[Réf matériel]],Tableau3[],2,FALSE)</f>
        <v>Coupe câble</v>
      </c>
      <c r="D946" s="90">
        <f>VLOOKUP(Tableau4[[#This Row],[Réf matériel]],Tableau3[],3,FALSE)</f>
        <v>41.88</v>
      </c>
      <c r="E946" t="s">
        <v>361</v>
      </c>
      <c r="F946" s="90" t="str">
        <f>VLOOKUP(Tableau4[[#This Row],[Matricule]],Tableau1[],2,FALSE)</f>
        <v xml:space="preserve">PERNEY </v>
      </c>
      <c r="G946" s="90" t="str">
        <f>VLOOKUP(Tableau4[[#This Row],[Matricule]],Tableau1[],3,FALSE)</f>
        <v>Maxime</v>
      </c>
      <c r="H946" s="90" t="str">
        <f>VLOOKUP(Tableau4[[#This Row],[Matricule]],Tableau1[],4,FALSE)</f>
        <v>GC</v>
      </c>
      <c r="I946" s="88">
        <v>44103</v>
      </c>
      <c r="J946" t="s">
        <v>381</v>
      </c>
      <c r="K946" s="90">
        <f>IF(Tableau4[[#This Row],[État]]="Remis",1,0)</f>
        <v>0</v>
      </c>
    </row>
    <row r="947" spans="2:11" x14ac:dyDescent="0.25">
      <c r="B947" t="s">
        <v>281</v>
      </c>
      <c r="C947" s="90" t="str">
        <f>VLOOKUP(Tableau4[[#This Row],[Réf matériel]],Tableau3[],2,FALSE)</f>
        <v>Scie à métaux</v>
      </c>
      <c r="D947" s="90">
        <f>VLOOKUP(Tableau4[[#This Row],[Réf matériel]],Tableau3[],3,FALSE)</f>
        <v>11.26</v>
      </c>
      <c r="E947" t="s">
        <v>361</v>
      </c>
      <c r="F947" s="90" t="str">
        <f>VLOOKUP(Tableau4[[#This Row],[Matricule]],Tableau1[],2,FALSE)</f>
        <v xml:space="preserve">PERNEY </v>
      </c>
      <c r="G947" s="90" t="str">
        <f>VLOOKUP(Tableau4[[#This Row],[Matricule]],Tableau1[],3,FALSE)</f>
        <v>Maxime</v>
      </c>
      <c r="H947" s="90" t="str">
        <f>VLOOKUP(Tableau4[[#This Row],[Matricule]],Tableau1[],4,FALSE)</f>
        <v>GC</v>
      </c>
      <c r="I947" s="88">
        <v>44103</v>
      </c>
      <c r="J947" t="s">
        <v>547</v>
      </c>
      <c r="K947" s="90">
        <f>IF(Tableau4[[#This Row],[État]]="Remis",1,0)</f>
        <v>0</v>
      </c>
    </row>
    <row r="948" spans="2:11" x14ac:dyDescent="0.25">
      <c r="B948" t="s">
        <v>396</v>
      </c>
      <c r="C948" s="90" t="str">
        <f>VLOOKUP(Tableau4[[#This Row],[Réf matériel]],Tableau3[],2,FALSE)</f>
        <v>Massette</v>
      </c>
      <c r="D948" s="90">
        <f>VLOOKUP(Tableau4[[#This Row],[Réf matériel]],Tableau3[],3,FALSE)</f>
        <v>15.14</v>
      </c>
      <c r="E948" t="s">
        <v>361</v>
      </c>
      <c r="F948" s="90" t="str">
        <f>VLOOKUP(Tableau4[[#This Row],[Matricule]],Tableau1[],2,FALSE)</f>
        <v xml:space="preserve">PERNEY </v>
      </c>
      <c r="G948" s="90" t="str">
        <f>VLOOKUP(Tableau4[[#This Row],[Matricule]],Tableau1[],3,FALSE)</f>
        <v>Maxime</v>
      </c>
      <c r="H948" s="90" t="str">
        <f>VLOOKUP(Tableau4[[#This Row],[Matricule]],Tableau1[],4,FALSE)</f>
        <v>GC</v>
      </c>
      <c r="I948" s="88">
        <v>44103</v>
      </c>
      <c r="J948" t="s">
        <v>547</v>
      </c>
      <c r="K948" s="90">
        <f>IF(Tableau4[[#This Row],[État]]="Remis",1,0)</f>
        <v>0</v>
      </c>
    </row>
    <row r="949" spans="2:11" x14ac:dyDescent="0.25">
      <c r="B949" t="s">
        <v>55</v>
      </c>
      <c r="C949" s="90" t="str">
        <f>VLOOKUP(Tableau4[[#This Row],[Réf matériel]],Tableau3[],2,FALSE)</f>
        <v>Niveau</v>
      </c>
      <c r="D949" s="90">
        <f>VLOOKUP(Tableau4[[#This Row],[Réf matériel]],Tableau3[],3,FALSE)</f>
        <v>15</v>
      </c>
      <c r="E949" t="s">
        <v>361</v>
      </c>
      <c r="F949" s="90" t="str">
        <f>VLOOKUP(Tableau4[[#This Row],[Matricule]],Tableau1[],2,FALSE)</f>
        <v xml:space="preserve">PERNEY </v>
      </c>
      <c r="G949" s="90" t="str">
        <f>VLOOKUP(Tableau4[[#This Row],[Matricule]],Tableau1[],3,FALSE)</f>
        <v>Maxime</v>
      </c>
      <c r="H949" s="90" t="str">
        <f>VLOOKUP(Tableau4[[#This Row],[Matricule]],Tableau1[],4,FALSE)</f>
        <v>GC</v>
      </c>
      <c r="I949" s="88">
        <v>44103</v>
      </c>
      <c r="J949" t="s">
        <v>547</v>
      </c>
      <c r="K949" s="90">
        <f>IF(Tableau4[[#This Row],[État]]="Remis",1,0)</f>
        <v>0</v>
      </c>
    </row>
    <row r="950" spans="2:11" x14ac:dyDescent="0.25">
      <c r="B950" t="s">
        <v>56</v>
      </c>
      <c r="C950" s="90" t="str">
        <f>VLOOKUP(Tableau4[[#This Row],[Réf matériel]],Tableau3[],2,FALSE)</f>
        <v>Jeu tournevis</v>
      </c>
      <c r="D950" s="90">
        <f>VLOOKUP(Tableau4[[#This Row],[Réf matériel]],Tableau3[],3,FALSE)</f>
        <v>37.57</v>
      </c>
      <c r="E950" t="s">
        <v>361</v>
      </c>
      <c r="F950" s="90" t="str">
        <f>VLOOKUP(Tableau4[[#This Row],[Matricule]],Tableau1[],2,FALSE)</f>
        <v xml:space="preserve">PERNEY </v>
      </c>
      <c r="G950" s="90" t="str">
        <f>VLOOKUP(Tableau4[[#This Row],[Matricule]],Tableau1[],3,FALSE)</f>
        <v>Maxime</v>
      </c>
      <c r="H950" s="90" t="str">
        <f>VLOOKUP(Tableau4[[#This Row],[Matricule]],Tableau1[],4,FALSE)</f>
        <v>GC</v>
      </c>
      <c r="I950" s="88">
        <v>44103</v>
      </c>
      <c r="J950" t="s">
        <v>547</v>
      </c>
      <c r="K950" s="90">
        <f>IF(Tableau4[[#This Row],[État]]="Remis",1,0)</f>
        <v>0</v>
      </c>
    </row>
    <row r="951" spans="2:11" x14ac:dyDescent="0.25">
      <c r="B951" t="s">
        <v>403</v>
      </c>
      <c r="C951" s="90" t="str">
        <f>VLOOKUP(Tableau4[[#This Row],[Réf matériel]],Tableau3[],2,FALSE)</f>
        <v>Clé à pipe 10</v>
      </c>
      <c r="D951" s="90">
        <f>VLOOKUP(Tableau4[[#This Row],[Réf matériel]],Tableau3[],3,FALSE)</f>
        <v>5.41</v>
      </c>
      <c r="E951" t="s">
        <v>361</v>
      </c>
      <c r="F951" s="90" t="str">
        <f>VLOOKUP(Tableau4[[#This Row],[Matricule]],Tableau1[],2,FALSE)</f>
        <v xml:space="preserve">PERNEY </v>
      </c>
      <c r="G951" s="90" t="str">
        <f>VLOOKUP(Tableau4[[#This Row],[Matricule]],Tableau1[],3,FALSE)</f>
        <v>Maxime</v>
      </c>
      <c r="H951" s="90" t="str">
        <f>VLOOKUP(Tableau4[[#This Row],[Matricule]],Tableau1[],4,FALSE)</f>
        <v>GC</v>
      </c>
      <c r="I951" s="88">
        <v>44103</v>
      </c>
      <c r="J951" t="s">
        <v>547</v>
      </c>
      <c r="K951" s="90">
        <f>IF(Tableau4[[#This Row],[État]]="Remis",1,0)</f>
        <v>0</v>
      </c>
    </row>
    <row r="952" spans="2:11" x14ac:dyDescent="0.25">
      <c r="B952" t="s">
        <v>404</v>
      </c>
      <c r="C952" s="90" t="str">
        <f>VLOOKUP(Tableau4[[#This Row],[Réf matériel]],Tableau3[],2,FALSE)</f>
        <v>Clé à pipe 12</v>
      </c>
      <c r="D952" s="90">
        <f>VLOOKUP(Tableau4[[#This Row],[Réf matériel]],Tableau3[],3,FALSE)</f>
        <v>6.8</v>
      </c>
      <c r="E952" t="s">
        <v>361</v>
      </c>
      <c r="F952" s="90" t="str">
        <f>VLOOKUP(Tableau4[[#This Row],[Matricule]],Tableau1[],2,FALSE)</f>
        <v xml:space="preserve">PERNEY </v>
      </c>
      <c r="G952" s="90" t="str">
        <f>VLOOKUP(Tableau4[[#This Row],[Matricule]],Tableau1[],3,FALSE)</f>
        <v>Maxime</v>
      </c>
      <c r="H952" s="90" t="str">
        <f>VLOOKUP(Tableau4[[#This Row],[Matricule]],Tableau1[],4,FALSE)</f>
        <v>GC</v>
      </c>
      <c r="I952" s="88">
        <v>44103</v>
      </c>
      <c r="J952" t="s">
        <v>547</v>
      </c>
      <c r="K952" s="90">
        <f>IF(Tableau4[[#This Row],[État]]="Remis",1,0)</f>
        <v>0</v>
      </c>
    </row>
    <row r="953" spans="2:11" x14ac:dyDescent="0.25">
      <c r="B953" t="s">
        <v>410</v>
      </c>
      <c r="C953" s="90" t="str">
        <f>VLOOKUP(Tableau4[[#This Row],[Réf matériel]],Tableau3[],2,FALSE)</f>
        <v>Clé plate 10</v>
      </c>
      <c r="D953" s="90">
        <f>VLOOKUP(Tableau4[[#This Row],[Réf matériel]],Tableau3[],3,FALSE)</f>
        <v>3.32</v>
      </c>
      <c r="E953" t="s">
        <v>361</v>
      </c>
      <c r="F953" s="90" t="str">
        <f>VLOOKUP(Tableau4[[#This Row],[Matricule]],Tableau1[],2,FALSE)</f>
        <v xml:space="preserve">PERNEY </v>
      </c>
      <c r="G953" s="90" t="str">
        <f>VLOOKUP(Tableau4[[#This Row],[Matricule]],Tableau1[],3,FALSE)</f>
        <v>Maxime</v>
      </c>
      <c r="H953" s="90" t="str">
        <f>VLOOKUP(Tableau4[[#This Row],[Matricule]],Tableau1[],4,FALSE)</f>
        <v>GC</v>
      </c>
      <c r="I953" s="88">
        <v>44103</v>
      </c>
      <c r="J953" t="s">
        <v>547</v>
      </c>
      <c r="K953" s="90">
        <f>IF(Tableau4[[#This Row],[État]]="Remis",1,0)</f>
        <v>0</v>
      </c>
    </row>
    <row r="954" spans="2:11" x14ac:dyDescent="0.25">
      <c r="B954" t="s">
        <v>411</v>
      </c>
      <c r="C954" s="90" t="str">
        <f>VLOOKUP(Tableau4[[#This Row],[Réf matériel]],Tableau3[],2,FALSE)</f>
        <v>Clé plate 12</v>
      </c>
      <c r="D954" s="90">
        <f>VLOOKUP(Tableau4[[#This Row],[Réf matériel]],Tableau3[],3,FALSE)</f>
        <v>3</v>
      </c>
      <c r="E954" t="s">
        <v>361</v>
      </c>
      <c r="F954" s="90" t="str">
        <f>VLOOKUP(Tableau4[[#This Row],[Matricule]],Tableau1[],2,FALSE)</f>
        <v xml:space="preserve">PERNEY </v>
      </c>
      <c r="G954" s="90" t="str">
        <f>VLOOKUP(Tableau4[[#This Row],[Matricule]],Tableau1[],3,FALSE)</f>
        <v>Maxime</v>
      </c>
      <c r="H954" s="90" t="str">
        <f>VLOOKUP(Tableau4[[#This Row],[Matricule]],Tableau1[],4,FALSE)</f>
        <v>GC</v>
      </c>
      <c r="I954" s="88">
        <v>44103</v>
      </c>
      <c r="J954" t="s">
        <v>547</v>
      </c>
      <c r="K954" s="90">
        <f>IF(Tableau4[[#This Row],[État]]="Remis",1,0)</f>
        <v>0</v>
      </c>
    </row>
    <row r="955" spans="2:11" x14ac:dyDescent="0.25">
      <c r="B955" t="s">
        <v>440</v>
      </c>
      <c r="C955" s="90" t="str">
        <f>VLOOKUP(Tableau4[[#This Row],[Réf matériel]],Tableau3[],2,FALSE)</f>
        <v>Testeur Fluke</v>
      </c>
      <c r="D955" s="90">
        <f>VLOOKUP(Tableau4[[#This Row],[Réf matériel]],Tableau3[],3,FALSE)</f>
        <v>0</v>
      </c>
      <c r="E955" t="s">
        <v>361</v>
      </c>
      <c r="F955" s="90" t="str">
        <f>VLOOKUP(Tableau4[[#This Row],[Matricule]],Tableau1[],2,FALSE)</f>
        <v xml:space="preserve">PERNEY </v>
      </c>
      <c r="G955" s="90" t="str">
        <f>VLOOKUP(Tableau4[[#This Row],[Matricule]],Tableau1[],3,FALSE)</f>
        <v>Maxime</v>
      </c>
      <c r="H955" s="90" t="str">
        <f>VLOOKUP(Tableau4[[#This Row],[Matricule]],Tableau1[],4,FALSE)</f>
        <v>GC</v>
      </c>
      <c r="I955" s="88">
        <v>44103</v>
      </c>
      <c r="J955" t="s">
        <v>381</v>
      </c>
      <c r="K955" s="90">
        <f>IF(Tableau4[[#This Row],[État]]="Remis",1,0)</f>
        <v>0</v>
      </c>
    </row>
    <row r="956" spans="2:11" x14ac:dyDescent="0.25">
      <c r="B956" t="s">
        <v>74</v>
      </c>
      <c r="C956" s="90" t="str">
        <f>VLOOKUP(Tableau4[[#This Row],[Réf matériel]],Tableau3[],2,FALSE)</f>
        <v>Casque chantier</v>
      </c>
      <c r="D956" s="90">
        <f>VLOOKUP(Tableau4[[#This Row],[Réf matériel]],Tableau3[],3,FALSE)</f>
        <v>29.05</v>
      </c>
      <c r="E956" t="s">
        <v>361</v>
      </c>
      <c r="F956" s="90" t="str">
        <f>VLOOKUP(Tableau4[[#This Row],[Matricule]],Tableau1[],2,FALSE)</f>
        <v xml:space="preserve">PERNEY </v>
      </c>
      <c r="G956" s="90" t="str">
        <f>VLOOKUP(Tableau4[[#This Row],[Matricule]],Tableau1[],3,FALSE)</f>
        <v>Maxime</v>
      </c>
      <c r="H956" s="90" t="str">
        <f>VLOOKUP(Tableau4[[#This Row],[Matricule]],Tableau1[],4,FALSE)</f>
        <v>GC</v>
      </c>
      <c r="I956" s="88">
        <v>44103</v>
      </c>
      <c r="J956" t="s">
        <v>447</v>
      </c>
      <c r="K956" s="90">
        <f>IF(Tableau4[[#This Row],[État]]="Remis",1,0)</f>
        <v>0</v>
      </c>
    </row>
    <row r="957" spans="2:11" x14ac:dyDescent="0.25">
      <c r="B957" t="s">
        <v>75</v>
      </c>
      <c r="C957" s="90" t="str">
        <f>VLOOKUP(Tableau4[[#This Row],[Réf matériel]],Tableau3[],2,FALSE)</f>
        <v>Lampe frontale</v>
      </c>
      <c r="D957" s="90">
        <f>VLOOKUP(Tableau4[[#This Row],[Réf matériel]],Tableau3[],3,FALSE)</f>
        <v>42.5</v>
      </c>
      <c r="E957" t="s">
        <v>361</v>
      </c>
      <c r="F957" s="90" t="str">
        <f>VLOOKUP(Tableau4[[#This Row],[Matricule]],Tableau1[],2,FALSE)</f>
        <v xml:space="preserve">PERNEY </v>
      </c>
      <c r="G957" s="90" t="str">
        <f>VLOOKUP(Tableau4[[#This Row],[Matricule]],Tableau1[],3,FALSE)</f>
        <v>Maxime</v>
      </c>
      <c r="H957" s="90" t="str">
        <f>VLOOKUP(Tableau4[[#This Row],[Matricule]],Tableau1[],4,FALSE)</f>
        <v>GC</v>
      </c>
      <c r="I957" s="88">
        <v>44103</v>
      </c>
      <c r="J957" t="s">
        <v>447</v>
      </c>
      <c r="K957" s="90">
        <f>IF(Tableau4[[#This Row],[État]]="Remis",1,0)</f>
        <v>0</v>
      </c>
    </row>
    <row r="958" spans="2:11" x14ac:dyDescent="0.25">
      <c r="B958" t="s">
        <v>199</v>
      </c>
      <c r="C958" s="90" t="str">
        <f>VLOOKUP(Tableau4[[#This Row],[Réf matériel]],Tableau3[],2,FALSE)</f>
        <v>Douille de 16</v>
      </c>
      <c r="D958" s="90">
        <f>VLOOKUP(Tableau4[[#This Row],[Réf matériel]],Tableau3[],3,FALSE)</f>
        <v>2.67</v>
      </c>
      <c r="E958" t="s">
        <v>361</v>
      </c>
      <c r="F958" s="90" t="str">
        <f>VLOOKUP(Tableau4[[#This Row],[Matricule]],Tableau1[],2,FALSE)</f>
        <v xml:space="preserve">PERNEY </v>
      </c>
      <c r="G958" s="90" t="str">
        <f>VLOOKUP(Tableau4[[#This Row],[Matricule]],Tableau1[],3,FALSE)</f>
        <v>Maxime</v>
      </c>
      <c r="H958" s="90" t="str">
        <f>VLOOKUP(Tableau4[[#This Row],[Matricule]],Tableau1[],4,FALSE)</f>
        <v>GC</v>
      </c>
      <c r="I958" s="88">
        <v>44103</v>
      </c>
      <c r="J958" t="s">
        <v>547</v>
      </c>
      <c r="K958" s="90">
        <f>IF(Tableau4[[#This Row],[État]]="Remis",1,0)</f>
        <v>0</v>
      </c>
    </row>
    <row r="959" spans="2:11" x14ac:dyDescent="0.25">
      <c r="B959" t="s">
        <v>432</v>
      </c>
      <c r="C959" s="90" t="str">
        <f>VLOOKUP(Tableau4[[#This Row],[Réf matériel]],Tableau3[],2,FALSE)</f>
        <v>Augmentateur 1/2 à 3/4</v>
      </c>
      <c r="D959" s="90">
        <f>VLOOKUP(Tableau4[[#This Row],[Réf matériel]],Tableau3[],3,FALSE)</f>
        <v>20.29</v>
      </c>
      <c r="E959" t="s">
        <v>330</v>
      </c>
      <c r="F959" s="90" t="str">
        <f>VLOOKUP(Tableau4[[#This Row],[Matricule]],Tableau1[],2,FALSE)</f>
        <v>DEPOORTER</v>
      </c>
      <c r="G959" s="90" t="str">
        <f>VLOOKUP(Tableau4[[#This Row],[Matricule]],Tableau1[],3,FALSE)</f>
        <v>Jonathan</v>
      </c>
      <c r="H959" s="90" t="str">
        <f>VLOOKUP(Tableau4[[#This Row],[Matricule]],Tableau1[],4,FALSE)</f>
        <v>ELEC</v>
      </c>
      <c r="I959" s="88">
        <v>44092</v>
      </c>
      <c r="J959" t="s">
        <v>547</v>
      </c>
      <c r="K959" s="90">
        <f>IF(Tableau4[[#This Row],[État]]="Remis",1,0)</f>
        <v>0</v>
      </c>
    </row>
    <row r="960" spans="2:11" x14ac:dyDescent="0.25">
      <c r="B960" t="s">
        <v>399</v>
      </c>
      <c r="C960" s="90" t="str">
        <f>VLOOKUP(Tableau4[[#This Row],[Réf matériel]],Tableau3[],2,FALSE)</f>
        <v>Boite embouts</v>
      </c>
      <c r="D960" s="90">
        <f>VLOOKUP(Tableau4[[#This Row],[Réf matériel]],Tableau3[],3,FALSE)</f>
        <v>27.61</v>
      </c>
      <c r="E960" t="s">
        <v>330</v>
      </c>
      <c r="F960" s="90" t="str">
        <f>VLOOKUP(Tableau4[[#This Row],[Matricule]],Tableau1[],2,FALSE)</f>
        <v>DEPOORTER</v>
      </c>
      <c r="G960" s="90" t="str">
        <f>VLOOKUP(Tableau4[[#This Row],[Matricule]],Tableau1[],3,FALSE)</f>
        <v>Jonathan</v>
      </c>
      <c r="H960" s="90" t="str">
        <f>VLOOKUP(Tableau4[[#This Row],[Matricule]],Tableau1[],4,FALSE)</f>
        <v>ELEC</v>
      </c>
      <c r="I960" s="88">
        <v>44092</v>
      </c>
      <c r="J960" t="s">
        <v>547</v>
      </c>
      <c r="K960" s="90">
        <f>IF(Tableau4[[#This Row],[État]]="Remis",1,0)</f>
        <v>0</v>
      </c>
    </row>
    <row r="961" spans="2:11" x14ac:dyDescent="0.25">
      <c r="B961" t="s">
        <v>395</v>
      </c>
      <c r="C961" s="90" t="str">
        <f>VLOOKUP(Tableau4[[#This Row],[Réf matériel]],Tableau3[],2,FALSE)</f>
        <v>Burin plat</v>
      </c>
      <c r="D961" s="90">
        <f>VLOOKUP(Tableau4[[#This Row],[Réf matériel]],Tableau3[],3,FALSE)</f>
        <v>11.89</v>
      </c>
      <c r="E961" t="s">
        <v>330</v>
      </c>
      <c r="F961" s="90" t="str">
        <f>VLOOKUP(Tableau4[[#This Row],[Matricule]],Tableau1[],2,FALSE)</f>
        <v>DEPOORTER</v>
      </c>
      <c r="G961" s="90" t="str">
        <f>VLOOKUP(Tableau4[[#This Row],[Matricule]],Tableau1[],3,FALSE)</f>
        <v>Jonathan</v>
      </c>
      <c r="H961" s="90" t="str">
        <f>VLOOKUP(Tableau4[[#This Row],[Matricule]],Tableau1[],4,FALSE)</f>
        <v>ELEC</v>
      </c>
      <c r="I961" s="88">
        <v>44092</v>
      </c>
      <c r="J961" t="s">
        <v>547</v>
      </c>
      <c r="K961" s="90">
        <f>IF(Tableau4[[#This Row],[État]]="Remis",1,0)</f>
        <v>0</v>
      </c>
    </row>
    <row r="962" spans="2:11" x14ac:dyDescent="0.25">
      <c r="B962" t="s">
        <v>401</v>
      </c>
      <c r="C962" s="90" t="str">
        <f>VLOOKUP(Tableau4[[#This Row],[Réf matériel]],Tableau3[],2,FALSE)</f>
        <v>Burin pointu</v>
      </c>
      <c r="D962" s="90">
        <f>VLOOKUP(Tableau4[[#This Row],[Réf matériel]],Tableau3[],3,FALSE)</f>
        <v>8.7200000000000006</v>
      </c>
      <c r="E962" t="s">
        <v>330</v>
      </c>
      <c r="F962" s="90" t="str">
        <f>VLOOKUP(Tableau4[[#This Row],[Matricule]],Tableau1[],2,FALSE)</f>
        <v>DEPOORTER</v>
      </c>
      <c r="G962" s="90" t="str">
        <f>VLOOKUP(Tableau4[[#This Row],[Matricule]],Tableau1[],3,FALSE)</f>
        <v>Jonathan</v>
      </c>
      <c r="H962" s="90" t="str">
        <f>VLOOKUP(Tableau4[[#This Row],[Matricule]],Tableau1[],4,FALSE)</f>
        <v>ELEC</v>
      </c>
      <c r="I962" s="88">
        <v>44092</v>
      </c>
      <c r="J962" t="s">
        <v>547</v>
      </c>
      <c r="K962" s="90">
        <f>IF(Tableau4[[#This Row],[État]]="Remis",1,0)</f>
        <v>0</v>
      </c>
    </row>
    <row r="963" spans="2:11" x14ac:dyDescent="0.25">
      <c r="B963" t="s">
        <v>525</v>
      </c>
      <c r="C963" s="90" t="str">
        <f>VLOOKUP(Tableau4[[#This Row],[Réf matériel]],Tableau3[],2,FALSE)</f>
        <v>Cadena</v>
      </c>
      <c r="D963" s="90">
        <f>VLOOKUP(Tableau4[[#This Row],[Réf matériel]],Tableau3[],3,FALSE)</f>
        <v>13</v>
      </c>
      <c r="E963" t="s">
        <v>330</v>
      </c>
      <c r="F963" s="90" t="str">
        <f>VLOOKUP(Tableau4[[#This Row],[Matricule]],Tableau1[],2,FALSE)</f>
        <v>DEPOORTER</v>
      </c>
      <c r="G963" s="90" t="str">
        <f>VLOOKUP(Tableau4[[#This Row],[Matricule]],Tableau1[],3,FALSE)</f>
        <v>Jonathan</v>
      </c>
      <c r="H963" s="90" t="str">
        <f>VLOOKUP(Tableau4[[#This Row],[Matricule]],Tableau1[],4,FALSE)</f>
        <v>ELEC</v>
      </c>
      <c r="I963" s="88">
        <v>44092</v>
      </c>
      <c r="J963" t="s">
        <v>547</v>
      </c>
      <c r="K963" s="90">
        <f>IF(Tableau4[[#This Row],[État]]="Remis",1,0)</f>
        <v>0</v>
      </c>
    </row>
    <row r="964" spans="2:11" x14ac:dyDescent="0.25">
      <c r="B964" t="s">
        <v>74</v>
      </c>
      <c r="C964" s="90" t="str">
        <f>VLOOKUP(Tableau4[[#This Row],[Réf matériel]],Tableau3[],2,FALSE)</f>
        <v>Casque chantier</v>
      </c>
      <c r="D964" s="90">
        <f>VLOOKUP(Tableau4[[#This Row],[Réf matériel]],Tableau3[],3,FALSE)</f>
        <v>29.05</v>
      </c>
      <c r="E964" t="s">
        <v>330</v>
      </c>
      <c r="F964" s="90" t="str">
        <f>VLOOKUP(Tableau4[[#This Row],[Matricule]],Tableau1[],2,FALSE)</f>
        <v>DEPOORTER</v>
      </c>
      <c r="G964" s="90" t="str">
        <f>VLOOKUP(Tableau4[[#This Row],[Matricule]],Tableau1[],3,FALSE)</f>
        <v>Jonathan</v>
      </c>
      <c r="H964" s="90" t="str">
        <f>VLOOKUP(Tableau4[[#This Row],[Matricule]],Tableau1[],4,FALSE)</f>
        <v>ELEC</v>
      </c>
      <c r="I964" s="88">
        <v>44092</v>
      </c>
      <c r="J964" t="s">
        <v>547</v>
      </c>
      <c r="K964" s="90">
        <f>IF(Tableau4[[#This Row],[État]]="Remis",1,0)</f>
        <v>0</v>
      </c>
    </row>
    <row r="965" spans="2:11" x14ac:dyDescent="0.25">
      <c r="B965" t="s">
        <v>393</v>
      </c>
      <c r="C965" s="90" t="str">
        <f>VLOOKUP(Tableau4[[#This Row],[Réf matériel]],Tableau3[],2,FALSE)</f>
        <v>Clé à molette</v>
      </c>
      <c r="D965" s="90">
        <f>VLOOKUP(Tableau4[[#This Row],[Réf matériel]],Tableau3[],3,FALSE)</f>
        <v>16.12</v>
      </c>
      <c r="E965" t="s">
        <v>330</v>
      </c>
      <c r="F965" s="90" t="str">
        <f>VLOOKUP(Tableau4[[#This Row],[Matricule]],Tableau1[],2,FALSE)</f>
        <v>DEPOORTER</v>
      </c>
      <c r="G965" s="90" t="str">
        <f>VLOOKUP(Tableau4[[#This Row],[Matricule]],Tableau1[],3,FALSE)</f>
        <v>Jonathan</v>
      </c>
      <c r="H965" s="90" t="str">
        <f>VLOOKUP(Tableau4[[#This Row],[Matricule]],Tableau1[],4,FALSE)</f>
        <v>ELEC</v>
      </c>
      <c r="I965" s="88">
        <v>44092</v>
      </c>
      <c r="J965" t="s">
        <v>547</v>
      </c>
      <c r="K965" s="90">
        <f>IF(Tableau4[[#This Row],[État]]="Remis",1,0)</f>
        <v>0</v>
      </c>
    </row>
    <row r="966" spans="2:11" x14ac:dyDescent="0.25">
      <c r="B966" t="s">
        <v>527</v>
      </c>
      <c r="C966" s="90" t="str">
        <f>VLOOKUP(Tableau4[[#This Row],[Réf matériel]],Tableau3[],2,FALSE)</f>
        <v>Clé à pipe 10</v>
      </c>
      <c r="D966" s="90">
        <f>VLOOKUP(Tableau4[[#This Row],[Réf matériel]],Tableau3[],3,FALSE)</f>
        <v>5.41</v>
      </c>
      <c r="E966" t="s">
        <v>330</v>
      </c>
      <c r="F966" s="90" t="str">
        <f>VLOOKUP(Tableau4[[#This Row],[Matricule]],Tableau1[],2,FALSE)</f>
        <v>DEPOORTER</v>
      </c>
      <c r="G966" s="90" t="str">
        <f>VLOOKUP(Tableau4[[#This Row],[Matricule]],Tableau1[],3,FALSE)</f>
        <v>Jonathan</v>
      </c>
      <c r="H966" s="90" t="str">
        <f>VLOOKUP(Tableau4[[#This Row],[Matricule]],Tableau1[],4,FALSE)</f>
        <v>ELEC</v>
      </c>
      <c r="I966" s="88">
        <v>44092</v>
      </c>
      <c r="J966" t="s">
        <v>547</v>
      </c>
      <c r="K966" s="90">
        <f>IF(Tableau4[[#This Row],[État]]="Remis",1,0)</f>
        <v>0</v>
      </c>
    </row>
    <row r="967" spans="2:11" x14ac:dyDescent="0.25">
      <c r="B967" t="s">
        <v>521</v>
      </c>
      <c r="C967" s="90" t="str">
        <f>VLOOKUP(Tableau4[[#This Row],[Réf matériel]],Tableau3[],2,FALSE)</f>
        <v>Clé à pipe 13</v>
      </c>
      <c r="D967" s="90">
        <f>VLOOKUP(Tableau4[[#This Row],[Réf matériel]],Tableau3[],3,FALSE)</f>
        <v>6.23</v>
      </c>
      <c r="E967" t="s">
        <v>330</v>
      </c>
      <c r="F967" s="90" t="str">
        <f>VLOOKUP(Tableau4[[#This Row],[Matricule]],Tableau1[],2,FALSE)</f>
        <v>DEPOORTER</v>
      </c>
      <c r="G967" s="90" t="str">
        <f>VLOOKUP(Tableau4[[#This Row],[Matricule]],Tableau1[],3,FALSE)</f>
        <v>Jonathan</v>
      </c>
      <c r="H967" s="90" t="str">
        <f>VLOOKUP(Tableau4[[#This Row],[Matricule]],Tableau1[],4,FALSE)</f>
        <v>ELEC</v>
      </c>
      <c r="I967" s="88">
        <v>44092</v>
      </c>
      <c r="J967" t="s">
        <v>547</v>
      </c>
      <c r="K967" s="90">
        <f>IF(Tableau4[[#This Row],[État]]="Remis",1,0)</f>
        <v>0</v>
      </c>
    </row>
    <row r="968" spans="2:11" x14ac:dyDescent="0.25">
      <c r="B968" t="s">
        <v>201</v>
      </c>
      <c r="C968" s="90" t="str">
        <f>VLOOKUP(Tableau4[[#This Row],[Réf matériel]],Tableau3[],2,FALSE)</f>
        <v>Clé à pipe 16</v>
      </c>
      <c r="D968" s="90">
        <f>VLOOKUP(Tableau4[[#This Row],[Réf matériel]],Tableau3[],3,FALSE)</f>
        <v>9.1999999999999993</v>
      </c>
      <c r="E968" t="s">
        <v>330</v>
      </c>
      <c r="F968" s="90" t="str">
        <f>VLOOKUP(Tableau4[[#This Row],[Matricule]],Tableau1[],2,FALSE)</f>
        <v>DEPOORTER</v>
      </c>
      <c r="G968" s="90" t="str">
        <f>VLOOKUP(Tableau4[[#This Row],[Matricule]],Tableau1[],3,FALSE)</f>
        <v>Jonathan</v>
      </c>
      <c r="H968" s="90" t="str">
        <f>VLOOKUP(Tableau4[[#This Row],[Matricule]],Tableau1[],4,FALSE)</f>
        <v>ELEC</v>
      </c>
      <c r="I968" s="88">
        <v>44092</v>
      </c>
      <c r="J968" t="s">
        <v>547</v>
      </c>
      <c r="K968" s="90">
        <f>IF(Tableau4[[#This Row],[État]]="Remis",1,0)</f>
        <v>0</v>
      </c>
    </row>
    <row r="969" spans="2:11" x14ac:dyDescent="0.25">
      <c r="B969" t="s">
        <v>528</v>
      </c>
      <c r="C969" s="90" t="str">
        <f>VLOOKUP(Tableau4[[#This Row],[Réf matériel]],Tableau3[],2,FALSE)</f>
        <v>Clé à pipe 17</v>
      </c>
      <c r="D969" s="90">
        <f>VLOOKUP(Tableau4[[#This Row],[Réf matériel]],Tableau3[],3,FALSE)</f>
        <v>9.36</v>
      </c>
      <c r="E969" t="s">
        <v>330</v>
      </c>
      <c r="F969" s="90" t="str">
        <f>VLOOKUP(Tableau4[[#This Row],[Matricule]],Tableau1[],2,FALSE)</f>
        <v>DEPOORTER</v>
      </c>
      <c r="G969" s="90" t="str">
        <f>VLOOKUP(Tableau4[[#This Row],[Matricule]],Tableau1[],3,FALSE)</f>
        <v>Jonathan</v>
      </c>
      <c r="H969" s="90" t="str">
        <f>VLOOKUP(Tableau4[[#This Row],[Matricule]],Tableau1[],4,FALSE)</f>
        <v>ELEC</v>
      </c>
      <c r="I969" s="88">
        <v>44092</v>
      </c>
      <c r="J969" t="s">
        <v>547</v>
      </c>
      <c r="K969" s="90">
        <f>IF(Tableau4[[#This Row],[État]]="Remis",1,0)</f>
        <v>0</v>
      </c>
    </row>
    <row r="970" spans="2:11" x14ac:dyDescent="0.25">
      <c r="B970" t="s">
        <v>529</v>
      </c>
      <c r="C970" s="90" t="str">
        <f>VLOOKUP(Tableau4[[#This Row],[Réf matériel]],Tableau3[],2,FALSE)</f>
        <v>Clé à pipe 19</v>
      </c>
      <c r="D970" s="90">
        <f>VLOOKUP(Tableau4[[#This Row],[Réf matériel]],Tableau3[],3,FALSE)</f>
        <v>10.4</v>
      </c>
      <c r="E970" t="s">
        <v>330</v>
      </c>
      <c r="F970" s="90" t="str">
        <f>VLOOKUP(Tableau4[[#This Row],[Matricule]],Tableau1[],2,FALSE)</f>
        <v>DEPOORTER</v>
      </c>
      <c r="G970" s="90" t="str">
        <f>VLOOKUP(Tableau4[[#This Row],[Matricule]],Tableau1[],3,FALSE)</f>
        <v>Jonathan</v>
      </c>
      <c r="H970" s="90" t="str">
        <f>VLOOKUP(Tableau4[[#This Row],[Matricule]],Tableau1[],4,FALSE)</f>
        <v>ELEC</v>
      </c>
      <c r="I970" s="88">
        <v>44092</v>
      </c>
      <c r="J970" t="s">
        <v>547</v>
      </c>
      <c r="K970" s="90">
        <f>IF(Tableau4[[#This Row],[État]]="Remis",1,0)</f>
        <v>0</v>
      </c>
    </row>
    <row r="971" spans="2:11" x14ac:dyDescent="0.25">
      <c r="B971" t="s">
        <v>558</v>
      </c>
      <c r="C971" s="90" t="str">
        <f>VLOOKUP(Tableau4[[#This Row],[Réf matériel]],Tableau3[],2,FALSE)</f>
        <v>Clé à pipe 8</v>
      </c>
      <c r="D971" s="90">
        <f>VLOOKUP(Tableau4[[#This Row],[Réf matériel]],Tableau3[],3,FALSE)</f>
        <v>4.8499999999999996</v>
      </c>
      <c r="E971" t="s">
        <v>330</v>
      </c>
      <c r="F971" s="90" t="str">
        <f>VLOOKUP(Tableau4[[#This Row],[Matricule]],Tableau1[],2,FALSE)</f>
        <v>DEPOORTER</v>
      </c>
      <c r="G971" s="90" t="str">
        <f>VLOOKUP(Tableau4[[#This Row],[Matricule]],Tableau1[],3,FALSE)</f>
        <v>Jonathan</v>
      </c>
      <c r="H971" s="90" t="str">
        <f>VLOOKUP(Tableau4[[#This Row],[Matricule]],Tableau1[],4,FALSE)</f>
        <v>ELEC</v>
      </c>
      <c r="I971" s="88">
        <v>44092</v>
      </c>
      <c r="J971" t="s">
        <v>547</v>
      </c>
      <c r="K971" s="90">
        <f>IF(Tableau4[[#This Row],[État]]="Remis",1,0)</f>
        <v>0</v>
      </c>
    </row>
    <row r="972" spans="2:11" x14ac:dyDescent="0.25">
      <c r="B972" t="s">
        <v>203</v>
      </c>
      <c r="C972" s="90" t="str">
        <f>VLOOKUP(Tableau4[[#This Row],[Réf matériel]],Tableau3[],2,FALSE)</f>
        <v>Clé allen</v>
      </c>
      <c r="D972" s="90">
        <f>VLOOKUP(Tableau4[[#This Row],[Réf matériel]],Tableau3[],3,FALSE)</f>
        <v>27.5</v>
      </c>
      <c r="E972" t="s">
        <v>330</v>
      </c>
      <c r="F972" s="90" t="str">
        <f>VLOOKUP(Tableau4[[#This Row],[Matricule]],Tableau1[],2,FALSE)</f>
        <v>DEPOORTER</v>
      </c>
      <c r="G972" s="90" t="str">
        <f>VLOOKUP(Tableau4[[#This Row],[Matricule]],Tableau1[],3,FALSE)</f>
        <v>Jonathan</v>
      </c>
      <c r="H972" s="90" t="str">
        <f>VLOOKUP(Tableau4[[#This Row],[Matricule]],Tableau1[],4,FALSE)</f>
        <v>ELEC</v>
      </c>
      <c r="I972" s="88">
        <v>44092</v>
      </c>
      <c r="J972" t="s">
        <v>547</v>
      </c>
      <c r="K972" s="90">
        <f>IF(Tableau4[[#This Row],[État]]="Remis",1,0)</f>
        <v>0</v>
      </c>
    </row>
    <row r="973" spans="2:11" x14ac:dyDescent="0.25">
      <c r="B973" t="s">
        <v>253</v>
      </c>
      <c r="C973" s="90" t="str">
        <f>VLOOKUP(Tableau4[[#This Row],[Réf matériel]],Tableau3[],2,FALSE)</f>
        <v>Clé mixte 8</v>
      </c>
      <c r="D973" s="90">
        <f>VLOOKUP(Tableau4[[#This Row],[Réf matériel]],Tableau3[],3,FALSE)</f>
        <v>3.05</v>
      </c>
      <c r="E973" t="s">
        <v>330</v>
      </c>
      <c r="F973" s="90" t="str">
        <f>VLOOKUP(Tableau4[[#This Row],[Matricule]],Tableau1[],2,FALSE)</f>
        <v>DEPOORTER</v>
      </c>
      <c r="G973" s="90" t="str">
        <f>VLOOKUP(Tableau4[[#This Row],[Matricule]],Tableau1[],3,FALSE)</f>
        <v>Jonathan</v>
      </c>
      <c r="H973" s="90" t="str">
        <f>VLOOKUP(Tableau4[[#This Row],[Matricule]],Tableau1[],4,FALSE)</f>
        <v>ELEC</v>
      </c>
      <c r="I973" s="88">
        <v>44092</v>
      </c>
      <c r="J973" t="s">
        <v>547</v>
      </c>
      <c r="K973" s="90">
        <f>IF(Tableau4[[#This Row],[État]]="Remis",1,0)</f>
        <v>0</v>
      </c>
    </row>
    <row r="974" spans="2:11" x14ac:dyDescent="0.25">
      <c r="B974" t="s">
        <v>530</v>
      </c>
      <c r="C974" s="90" t="str">
        <f>VLOOKUP(Tableau4[[#This Row],[Réf matériel]],Tableau3[],2,FALSE)</f>
        <v>Clé plate 10</v>
      </c>
      <c r="D974" s="90">
        <f>VLOOKUP(Tableau4[[#This Row],[Réf matériel]],Tableau3[],3,FALSE)</f>
        <v>3.32</v>
      </c>
      <c r="E974" t="s">
        <v>330</v>
      </c>
      <c r="F974" s="90" t="str">
        <f>VLOOKUP(Tableau4[[#This Row],[Matricule]],Tableau1[],2,FALSE)</f>
        <v>DEPOORTER</v>
      </c>
      <c r="G974" s="90" t="str">
        <f>VLOOKUP(Tableau4[[#This Row],[Matricule]],Tableau1[],3,FALSE)</f>
        <v>Jonathan</v>
      </c>
      <c r="H974" s="90" t="str">
        <f>VLOOKUP(Tableau4[[#This Row],[Matricule]],Tableau1[],4,FALSE)</f>
        <v>ELEC</v>
      </c>
      <c r="I974" s="88">
        <v>44092</v>
      </c>
      <c r="J974" t="s">
        <v>547</v>
      </c>
      <c r="K974" s="90">
        <f>IF(Tableau4[[#This Row],[État]]="Remis",1,0)</f>
        <v>0</v>
      </c>
    </row>
    <row r="975" spans="2:11" x14ac:dyDescent="0.25">
      <c r="B975" t="s">
        <v>531</v>
      </c>
      <c r="C975" s="90" t="str">
        <f>VLOOKUP(Tableau4[[#This Row],[Réf matériel]],Tableau3[],2,FALSE)</f>
        <v>Clé plate 13</v>
      </c>
      <c r="D975" s="90">
        <f>VLOOKUP(Tableau4[[#This Row],[Réf matériel]],Tableau3[],3,FALSE)</f>
        <v>3.91</v>
      </c>
      <c r="E975" t="s">
        <v>330</v>
      </c>
      <c r="F975" s="90" t="str">
        <f>VLOOKUP(Tableau4[[#This Row],[Matricule]],Tableau1[],2,FALSE)</f>
        <v>DEPOORTER</v>
      </c>
      <c r="G975" s="90" t="str">
        <f>VLOOKUP(Tableau4[[#This Row],[Matricule]],Tableau1[],3,FALSE)</f>
        <v>Jonathan</v>
      </c>
      <c r="H975" s="90" t="str">
        <f>VLOOKUP(Tableau4[[#This Row],[Matricule]],Tableau1[],4,FALSE)</f>
        <v>ELEC</v>
      </c>
      <c r="I975" s="88">
        <v>44092</v>
      </c>
      <c r="J975" t="s">
        <v>547</v>
      </c>
      <c r="K975" s="90">
        <f>IF(Tableau4[[#This Row],[État]]="Remis",1,0)</f>
        <v>0</v>
      </c>
    </row>
    <row r="976" spans="2:11" x14ac:dyDescent="0.25">
      <c r="B976" t="s">
        <v>549</v>
      </c>
      <c r="C976" s="90" t="str">
        <f>VLOOKUP(Tableau4[[#This Row],[Réf matériel]],Tableau3[],2,FALSE)</f>
        <v>Clé plate 17</v>
      </c>
      <c r="D976" s="90">
        <f>VLOOKUP(Tableau4[[#This Row],[Réf matériel]],Tableau3[],3,FALSE)</f>
        <v>5.5</v>
      </c>
      <c r="E976" t="s">
        <v>330</v>
      </c>
      <c r="F976" s="90" t="str">
        <f>VLOOKUP(Tableau4[[#This Row],[Matricule]],Tableau1[],2,FALSE)</f>
        <v>DEPOORTER</v>
      </c>
      <c r="G976" s="90" t="str">
        <f>VLOOKUP(Tableau4[[#This Row],[Matricule]],Tableau1[],3,FALSE)</f>
        <v>Jonathan</v>
      </c>
      <c r="H976" s="90" t="str">
        <f>VLOOKUP(Tableau4[[#This Row],[Matricule]],Tableau1[],4,FALSE)</f>
        <v>ELEC</v>
      </c>
      <c r="I976" s="88">
        <v>44092</v>
      </c>
      <c r="J976" t="s">
        <v>547</v>
      </c>
      <c r="K976" s="90">
        <f>IF(Tableau4[[#This Row],[État]]="Remis",1,0)</f>
        <v>0</v>
      </c>
    </row>
    <row r="977" spans="2:11" x14ac:dyDescent="0.25">
      <c r="B977" t="s">
        <v>532</v>
      </c>
      <c r="C977" s="90" t="str">
        <f>VLOOKUP(Tableau4[[#This Row],[Réf matériel]],Tableau3[],2,FALSE)</f>
        <v>Clé plate 19</v>
      </c>
      <c r="D977" s="90">
        <f>VLOOKUP(Tableau4[[#This Row],[Réf matériel]],Tableau3[],3,FALSE)</f>
        <v>6.07</v>
      </c>
      <c r="E977" t="s">
        <v>330</v>
      </c>
      <c r="F977" s="90" t="str">
        <f>VLOOKUP(Tableau4[[#This Row],[Matricule]],Tableau1[],2,FALSE)</f>
        <v>DEPOORTER</v>
      </c>
      <c r="G977" s="90" t="str">
        <f>VLOOKUP(Tableau4[[#This Row],[Matricule]],Tableau1[],3,FALSE)</f>
        <v>Jonathan</v>
      </c>
      <c r="H977" s="90" t="str">
        <f>VLOOKUP(Tableau4[[#This Row],[Matricule]],Tableau1[],4,FALSE)</f>
        <v>ELEC</v>
      </c>
      <c r="I977" s="88">
        <v>44092</v>
      </c>
      <c r="J977" t="s">
        <v>547</v>
      </c>
      <c r="K977" s="90">
        <f>IF(Tableau4[[#This Row],[État]]="Remis",1,0)</f>
        <v>0</v>
      </c>
    </row>
    <row r="978" spans="2:11" x14ac:dyDescent="0.25">
      <c r="B978" t="s">
        <v>453</v>
      </c>
      <c r="C978" s="90" t="str">
        <f>VLOOKUP(Tableau4[[#This Row],[Réf matériel]],Tableau3[],2,FALSE)</f>
        <v>Clé plate cliquet 22</v>
      </c>
      <c r="D978" s="90">
        <f>VLOOKUP(Tableau4[[#This Row],[Réf matériel]],Tableau3[],3,FALSE)</f>
        <v>23.67</v>
      </c>
      <c r="E978" t="s">
        <v>330</v>
      </c>
      <c r="F978" s="90" t="str">
        <f>VLOOKUP(Tableau4[[#This Row],[Matricule]],Tableau1[],2,FALSE)</f>
        <v>DEPOORTER</v>
      </c>
      <c r="G978" s="90" t="str">
        <f>VLOOKUP(Tableau4[[#This Row],[Matricule]],Tableau1[],3,FALSE)</f>
        <v>Jonathan</v>
      </c>
      <c r="H978" s="90" t="str">
        <f>VLOOKUP(Tableau4[[#This Row],[Matricule]],Tableau1[],4,FALSE)</f>
        <v>ELEC</v>
      </c>
      <c r="I978" s="88">
        <v>44092</v>
      </c>
      <c r="J978" t="s">
        <v>547</v>
      </c>
      <c r="K978" s="90">
        <f>IF(Tableau4[[#This Row],[État]]="Remis",1,0)</f>
        <v>0</v>
      </c>
    </row>
    <row r="979" spans="2:11" x14ac:dyDescent="0.25">
      <c r="B979" t="s">
        <v>526</v>
      </c>
      <c r="C979" s="90" t="str">
        <f>VLOOKUP(Tableau4[[#This Row],[Réf matériel]],Tableau3[],2,FALSE)</f>
        <v>Coffre</v>
      </c>
      <c r="D979" s="90">
        <f>VLOOKUP(Tableau4[[#This Row],[Réf matériel]],Tableau3[],3,FALSE)</f>
        <v>54.54</v>
      </c>
      <c r="E979" t="s">
        <v>330</v>
      </c>
      <c r="F979" s="90" t="str">
        <f>VLOOKUP(Tableau4[[#This Row],[Matricule]],Tableau1[],2,FALSE)</f>
        <v>DEPOORTER</v>
      </c>
      <c r="G979" s="90" t="str">
        <f>VLOOKUP(Tableau4[[#This Row],[Matricule]],Tableau1[],3,FALSE)</f>
        <v>Jonathan</v>
      </c>
      <c r="H979" s="90" t="str">
        <f>VLOOKUP(Tableau4[[#This Row],[Matricule]],Tableau1[],4,FALSE)</f>
        <v>ELEC</v>
      </c>
      <c r="I979" s="88">
        <v>44092</v>
      </c>
      <c r="J979" t="s">
        <v>547</v>
      </c>
      <c r="K979" s="90">
        <f>IF(Tableau4[[#This Row],[État]]="Remis",1,0)</f>
        <v>0</v>
      </c>
    </row>
    <row r="980" spans="2:11" x14ac:dyDescent="0.25">
      <c r="B980" t="s">
        <v>398</v>
      </c>
      <c r="C980" s="90" t="str">
        <f>VLOOKUP(Tableau4[[#This Row],[Réf matériel]],Tableau3[],2,FALSE)</f>
        <v>Coffret douilles</v>
      </c>
      <c r="D980" s="90">
        <f>VLOOKUP(Tableau4[[#This Row],[Réf matériel]],Tableau3[],3,FALSE)</f>
        <v>103.22</v>
      </c>
      <c r="E980" t="s">
        <v>330</v>
      </c>
      <c r="F980" s="90" t="str">
        <f>VLOOKUP(Tableau4[[#This Row],[Matricule]],Tableau1[],2,FALSE)</f>
        <v>DEPOORTER</v>
      </c>
      <c r="G980" s="90" t="str">
        <f>VLOOKUP(Tableau4[[#This Row],[Matricule]],Tableau1[],3,FALSE)</f>
        <v>Jonathan</v>
      </c>
      <c r="H980" s="90" t="str">
        <f>VLOOKUP(Tableau4[[#This Row],[Matricule]],Tableau1[],4,FALSE)</f>
        <v>ELEC</v>
      </c>
      <c r="I980" s="88">
        <v>44092</v>
      </c>
      <c r="J980" t="s">
        <v>547</v>
      </c>
      <c r="K980" s="90">
        <f>IF(Tableau4[[#This Row],[État]]="Remis",1,0)</f>
        <v>0</v>
      </c>
    </row>
    <row r="981" spans="2:11" x14ac:dyDescent="0.25">
      <c r="B981" t="s">
        <v>49</v>
      </c>
      <c r="C981" s="90" t="str">
        <f>VLOOKUP(Tableau4[[#This Row],[Réf matériel]],Tableau3[],2,FALSE)</f>
        <v>Coupe câble</v>
      </c>
      <c r="D981" s="90">
        <f>VLOOKUP(Tableau4[[#This Row],[Réf matériel]],Tableau3[],3,FALSE)</f>
        <v>41.88</v>
      </c>
      <c r="E981" t="s">
        <v>330</v>
      </c>
      <c r="F981" s="90" t="str">
        <f>VLOOKUP(Tableau4[[#This Row],[Matricule]],Tableau1[],2,FALSE)</f>
        <v>DEPOORTER</v>
      </c>
      <c r="G981" s="90" t="str">
        <f>VLOOKUP(Tableau4[[#This Row],[Matricule]],Tableau1[],3,FALSE)</f>
        <v>Jonathan</v>
      </c>
      <c r="H981" s="90" t="str">
        <f>VLOOKUP(Tableau4[[#This Row],[Matricule]],Tableau1[],4,FALSE)</f>
        <v>ELEC</v>
      </c>
      <c r="I981" s="88">
        <v>44092</v>
      </c>
      <c r="J981" t="s">
        <v>547</v>
      </c>
      <c r="K981" s="90">
        <f>IF(Tableau4[[#This Row],[État]]="Remis",1,0)</f>
        <v>0</v>
      </c>
    </row>
    <row r="982" spans="2:11" x14ac:dyDescent="0.25">
      <c r="B982" t="s">
        <v>430</v>
      </c>
      <c r="C982" s="90" t="str">
        <f>VLOOKUP(Tableau4[[#This Row],[Réf matériel]],Tableau3[],2,FALSE)</f>
        <v>Couteau électricien</v>
      </c>
      <c r="D982" s="90">
        <f>VLOOKUP(Tableau4[[#This Row],[Réf matériel]],Tableau3[],3,FALSE)</f>
        <v>17.149999999999999</v>
      </c>
      <c r="E982" t="s">
        <v>330</v>
      </c>
      <c r="F982" s="90" t="str">
        <f>VLOOKUP(Tableau4[[#This Row],[Matricule]],Tableau1[],2,FALSE)</f>
        <v>DEPOORTER</v>
      </c>
      <c r="G982" s="90" t="str">
        <f>VLOOKUP(Tableau4[[#This Row],[Matricule]],Tableau1[],3,FALSE)</f>
        <v>Jonathan</v>
      </c>
      <c r="H982" s="90" t="str">
        <f>VLOOKUP(Tableau4[[#This Row],[Matricule]],Tableau1[],4,FALSE)</f>
        <v>ELEC</v>
      </c>
      <c r="I982" s="88">
        <v>44092</v>
      </c>
      <c r="J982" t="s">
        <v>547</v>
      </c>
      <c r="K982" s="90">
        <f>IF(Tableau4[[#This Row],[État]]="Remis",1,0)</f>
        <v>0</v>
      </c>
    </row>
    <row r="983" spans="2:11" x14ac:dyDescent="0.25">
      <c r="B983" t="s">
        <v>67</v>
      </c>
      <c r="C983" s="90" t="str">
        <f>VLOOKUP(Tableau4[[#This Row],[Réf matériel]],Tableau3[],2,FALSE)</f>
        <v>Cutter</v>
      </c>
      <c r="D983" s="90">
        <f>VLOOKUP(Tableau4[[#This Row],[Réf matériel]],Tableau3[],3,FALSE)</f>
        <v>4.8499999999999996</v>
      </c>
      <c r="E983" t="s">
        <v>330</v>
      </c>
      <c r="F983" s="90" t="str">
        <f>VLOOKUP(Tableau4[[#This Row],[Matricule]],Tableau1[],2,FALSE)</f>
        <v>DEPOORTER</v>
      </c>
      <c r="G983" s="90" t="str">
        <f>VLOOKUP(Tableau4[[#This Row],[Matricule]],Tableau1[],3,FALSE)</f>
        <v>Jonathan</v>
      </c>
      <c r="H983" s="90" t="str">
        <f>VLOOKUP(Tableau4[[#This Row],[Matricule]],Tableau1[],4,FALSE)</f>
        <v>ELEC</v>
      </c>
      <c r="I983" s="88">
        <v>44092</v>
      </c>
      <c r="J983" t="s">
        <v>547</v>
      </c>
      <c r="K983" s="90">
        <f>IF(Tableau4[[#This Row],[État]]="Remis",1,0)</f>
        <v>0</v>
      </c>
    </row>
    <row r="984" spans="2:11" x14ac:dyDescent="0.25">
      <c r="B984" t="s">
        <v>400</v>
      </c>
      <c r="C984" s="90" t="str">
        <f>VLOOKUP(Tableau4[[#This Row],[Réf matériel]],Tableau3[],2,FALSE)</f>
        <v>Douille impact 3/4 longueur 36mm</v>
      </c>
      <c r="D984" s="90">
        <f>VLOOKUP(Tableau4[[#This Row],[Réf matériel]],Tableau3[],3,FALSE)</f>
        <v>0</v>
      </c>
      <c r="E984" t="s">
        <v>330</v>
      </c>
      <c r="F984" s="90" t="str">
        <f>VLOOKUP(Tableau4[[#This Row],[Matricule]],Tableau1[],2,FALSE)</f>
        <v>DEPOORTER</v>
      </c>
      <c r="G984" s="90" t="str">
        <f>VLOOKUP(Tableau4[[#This Row],[Matricule]],Tableau1[],3,FALSE)</f>
        <v>Jonathan</v>
      </c>
      <c r="H984" s="90" t="str">
        <f>VLOOKUP(Tableau4[[#This Row],[Matricule]],Tableau1[],4,FALSE)</f>
        <v>ELEC</v>
      </c>
      <c r="I984" s="88">
        <v>44092</v>
      </c>
      <c r="J984" t="s">
        <v>381</v>
      </c>
      <c r="K984" s="90">
        <f>IF(Tableau4[[#This Row],[État]]="Remis",1,0)</f>
        <v>0</v>
      </c>
    </row>
    <row r="985" spans="2:11" x14ac:dyDescent="0.25">
      <c r="B985" t="s">
        <v>513</v>
      </c>
      <c r="C985" s="90" t="str">
        <f>VLOOKUP(Tableau4[[#This Row],[Réf matériel]],Tableau3[],2,FALSE)</f>
        <v>Jeu de Clés mixte à cliquet</v>
      </c>
      <c r="D985" s="90">
        <f>VLOOKUP(Tableau4[[#This Row],[Réf matériel]],Tableau3[],3,FALSE)</f>
        <v>176</v>
      </c>
      <c r="E985" t="s">
        <v>330</v>
      </c>
      <c r="F985" s="90" t="str">
        <f>VLOOKUP(Tableau4[[#This Row],[Matricule]],Tableau1[],2,FALSE)</f>
        <v>DEPOORTER</v>
      </c>
      <c r="G985" s="90" t="str">
        <f>VLOOKUP(Tableau4[[#This Row],[Matricule]],Tableau1[],3,FALSE)</f>
        <v>Jonathan</v>
      </c>
      <c r="H985" s="90" t="str">
        <f>VLOOKUP(Tableau4[[#This Row],[Matricule]],Tableau1[],4,FALSE)</f>
        <v>ELEC</v>
      </c>
      <c r="I985" s="88">
        <v>44092</v>
      </c>
      <c r="J985" t="s">
        <v>547</v>
      </c>
      <c r="K985" s="90">
        <f>IF(Tableau4[[#This Row],[État]]="Remis",1,0)</f>
        <v>0</v>
      </c>
    </row>
    <row r="986" spans="2:11" x14ac:dyDescent="0.25">
      <c r="B986" t="s">
        <v>124</v>
      </c>
      <c r="C986" s="90" t="str">
        <f>VLOOKUP(Tableau4[[#This Row],[Réf matériel]],Tableau3[],2,FALSE)</f>
        <v>Jeu de tournevis pro avec embouts de vissage 1/4 ref 438-008</v>
      </c>
      <c r="D986" s="90">
        <f>VLOOKUP(Tableau4[[#This Row],[Réf matériel]],Tableau3[],3,FALSE)</f>
        <v>0</v>
      </c>
      <c r="E986" t="s">
        <v>330</v>
      </c>
      <c r="F986" s="90" t="str">
        <f>VLOOKUP(Tableau4[[#This Row],[Matricule]],Tableau1[],2,FALSE)</f>
        <v>DEPOORTER</v>
      </c>
      <c r="G986" s="90" t="str">
        <f>VLOOKUP(Tableau4[[#This Row],[Matricule]],Tableau1[],3,FALSE)</f>
        <v>Jonathan</v>
      </c>
      <c r="H986" s="90" t="str">
        <f>VLOOKUP(Tableau4[[#This Row],[Matricule]],Tableau1[],4,FALSE)</f>
        <v>ELEC</v>
      </c>
      <c r="I986" s="88">
        <v>44092</v>
      </c>
      <c r="J986" t="s">
        <v>547</v>
      </c>
      <c r="K986" s="90">
        <f>IF(Tableau4[[#This Row],[État]]="Remis",1,0)</f>
        <v>0</v>
      </c>
    </row>
    <row r="987" spans="2:11" x14ac:dyDescent="0.25">
      <c r="B987" t="s">
        <v>56</v>
      </c>
      <c r="C987" s="90" t="str">
        <f>VLOOKUP(Tableau4[[#This Row],[Réf matériel]],Tableau3[],2,FALSE)</f>
        <v>Jeu tournevis</v>
      </c>
      <c r="D987" s="90">
        <f>VLOOKUP(Tableau4[[#This Row],[Réf matériel]],Tableau3[],3,FALSE)</f>
        <v>37.57</v>
      </c>
      <c r="E987" t="s">
        <v>330</v>
      </c>
      <c r="F987" s="90" t="str">
        <f>VLOOKUP(Tableau4[[#This Row],[Matricule]],Tableau1[],2,FALSE)</f>
        <v>DEPOORTER</v>
      </c>
      <c r="G987" s="90" t="str">
        <f>VLOOKUP(Tableau4[[#This Row],[Matricule]],Tableau1[],3,FALSE)</f>
        <v>Jonathan</v>
      </c>
      <c r="H987" s="90" t="str">
        <f>VLOOKUP(Tableau4[[#This Row],[Matricule]],Tableau1[],4,FALSE)</f>
        <v>ELEC</v>
      </c>
      <c r="I987" s="88">
        <v>44092</v>
      </c>
      <c r="J987" t="s">
        <v>547</v>
      </c>
      <c r="K987" s="90">
        <f>IF(Tableau4[[#This Row],[État]]="Remis",1,0)</f>
        <v>0</v>
      </c>
    </row>
    <row r="988" spans="2:11" x14ac:dyDescent="0.25">
      <c r="B988" t="s">
        <v>75</v>
      </c>
      <c r="C988" s="90" t="str">
        <f>VLOOKUP(Tableau4[[#This Row],[Réf matériel]],Tableau3[],2,FALSE)</f>
        <v>Lampe frontale</v>
      </c>
      <c r="D988" s="90">
        <f>VLOOKUP(Tableau4[[#This Row],[Réf matériel]],Tableau3[],3,FALSE)</f>
        <v>42.5</v>
      </c>
      <c r="E988" t="s">
        <v>330</v>
      </c>
      <c r="F988" s="90" t="str">
        <f>VLOOKUP(Tableau4[[#This Row],[Matricule]],Tableau1[],2,FALSE)</f>
        <v>DEPOORTER</v>
      </c>
      <c r="G988" s="90" t="str">
        <f>VLOOKUP(Tableau4[[#This Row],[Matricule]],Tableau1[],3,FALSE)</f>
        <v>Jonathan</v>
      </c>
      <c r="H988" s="90" t="str">
        <f>VLOOKUP(Tableau4[[#This Row],[Matricule]],Tableau1[],4,FALSE)</f>
        <v>ELEC</v>
      </c>
      <c r="I988" s="88">
        <v>44092</v>
      </c>
      <c r="J988" t="s">
        <v>547</v>
      </c>
      <c r="K988" s="90">
        <f>IF(Tableau4[[#This Row],[État]]="Remis",1,0)</f>
        <v>0</v>
      </c>
    </row>
    <row r="989" spans="2:11" x14ac:dyDescent="0.25">
      <c r="B989" t="s">
        <v>394</v>
      </c>
      <c r="C989" s="90" t="str">
        <f>VLOOKUP(Tableau4[[#This Row],[Réf matériel]],Tableau3[],2,FALSE)</f>
        <v>lime demi ronde</v>
      </c>
      <c r="D989" s="90">
        <f>VLOOKUP(Tableau4[[#This Row],[Réf matériel]],Tableau3[],3,FALSE)</f>
        <v>7.59</v>
      </c>
      <c r="E989" t="s">
        <v>330</v>
      </c>
      <c r="F989" s="90" t="str">
        <f>VLOOKUP(Tableau4[[#This Row],[Matricule]],Tableau1[],2,FALSE)</f>
        <v>DEPOORTER</v>
      </c>
      <c r="G989" s="90" t="str">
        <f>VLOOKUP(Tableau4[[#This Row],[Matricule]],Tableau1[],3,FALSE)</f>
        <v>Jonathan</v>
      </c>
      <c r="H989" s="90" t="str">
        <f>VLOOKUP(Tableau4[[#This Row],[Matricule]],Tableau1[],4,FALSE)</f>
        <v>ELEC</v>
      </c>
      <c r="I989" s="88">
        <v>44092</v>
      </c>
      <c r="J989" t="s">
        <v>547</v>
      </c>
      <c r="K989" s="90">
        <f>IF(Tableau4[[#This Row],[État]]="Remis",1,0)</f>
        <v>0</v>
      </c>
    </row>
    <row r="990" spans="2:11" x14ac:dyDescent="0.25">
      <c r="B990" t="s">
        <v>441</v>
      </c>
      <c r="C990" s="90" t="str">
        <f>VLOOKUP(Tableau4[[#This Row],[Réf matériel]],Tableau3[],2,FALSE)</f>
        <v>Lunette de protection</v>
      </c>
      <c r="D990" s="90">
        <f>VLOOKUP(Tableau4[[#This Row],[Réf matériel]],Tableau3[],3,FALSE)</f>
        <v>2.38</v>
      </c>
      <c r="E990" t="s">
        <v>330</v>
      </c>
      <c r="F990" s="90" t="str">
        <f>VLOOKUP(Tableau4[[#This Row],[Matricule]],Tableau1[],2,FALSE)</f>
        <v>DEPOORTER</v>
      </c>
      <c r="G990" s="90" t="str">
        <f>VLOOKUP(Tableau4[[#This Row],[Matricule]],Tableau1[],3,FALSE)</f>
        <v>Jonathan</v>
      </c>
      <c r="H990" s="90" t="str">
        <f>VLOOKUP(Tableau4[[#This Row],[Matricule]],Tableau1[],4,FALSE)</f>
        <v>ELEC</v>
      </c>
      <c r="I990" s="88">
        <v>44092</v>
      </c>
      <c r="J990" t="s">
        <v>447</v>
      </c>
      <c r="K990" s="90">
        <f>IF(Tableau4[[#This Row],[État]]="Remis",1,0)</f>
        <v>0</v>
      </c>
    </row>
    <row r="991" spans="2:11" x14ac:dyDescent="0.25">
      <c r="B991" t="s">
        <v>396</v>
      </c>
      <c r="C991" s="90" t="str">
        <f>VLOOKUP(Tableau4[[#This Row],[Réf matériel]],Tableau3[],2,FALSE)</f>
        <v>Massette</v>
      </c>
      <c r="D991" s="90">
        <f>VLOOKUP(Tableau4[[#This Row],[Réf matériel]],Tableau3[],3,FALSE)</f>
        <v>15.14</v>
      </c>
      <c r="E991" t="s">
        <v>330</v>
      </c>
      <c r="F991" s="90" t="str">
        <f>VLOOKUP(Tableau4[[#This Row],[Matricule]],Tableau1[],2,FALSE)</f>
        <v>DEPOORTER</v>
      </c>
      <c r="G991" s="90" t="str">
        <f>VLOOKUP(Tableau4[[#This Row],[Matricule]],Tableau1[],3,FALSE)</f>
        <v>Jonathan</v>
      </c>
      <c r="H991" s="90" t="str">
        <f>VLOOKUP(Tableau4[[#This Row],[Matricule]],Tableau1[],4,FALSE)</f>
        <v>ELEC</v>
      </c>
      <c r="I991" s="88">
        <v>44092</v>
      </c>
      <c r="J991" t="s">
        <v>547</v>
      </c>
      <c r="K991" s="90">
        <f>IF(Tableau4[[#This Row],[État]]="Remis",1,0)</f>
        <v>0</v>
      </c>
    </row>
    <row r="992" spans="2:11" x14ac:dyDescent="0.25">
      <c r="B992" t="s">
        <v>51</v>
      </c>
      <c r="C992" s="90" t="str">
        <f>VLOOKUP(Tableau4[[#This Row],[Réf matériel]],Tableau3[],2,FALSE)</f>
        <v>Mètre pliant</v>
      </c>
      <c r="D992" s="90">
        <f>VLOOKUP(Tableau4[[#This Row],[Réf matériel]],Tableau3[],3,FALSE)</f>
        <v>3.2</v>
      </c>
      <c r="E992" t="s">
        <v>330</v>
      </c>
      <c r="F992" s="90" t="str">
        <f>VLOOKUP(Tableau4[[#This Row],[Matricule]],Tableau1[],2,FALSE)</f>
        <v>DEPOORTER</v>
      </c>
      <c r="G992" s="90" t="str">
        <f>VLOOKUP(Tableau4[[#This Row],[Matricule]],Tableau1[],3,FALSE)</f>
        <v>Jonathan</v>
      </c>
      <c r="H992" s="90" t="str">
        <f>VLOOKUP(Tableau4[[#This Row],[Matricule]],Tableau1[],4,FALSE)</f>
        <v>ELEC</v>
      </c>
      <c r="I992" s="88">
        <v>44092</v>
      </c>
      <c r="J992" t="s">
        <v>547</v>
      </c>
      <c r="K992" s="90">
        <f>IF(Tableau4[[#This Row],[État]]="Remis",1,0)</f>
        <v>0</v>
      </c>
    </row>
    <row r="993" spans="2:11" x14ac:dyDescent="0.25">
      <c r="B993" t="s">
        <v>55</v>
      </c>
      <c r="C993" s="90" t="str">
        <f>VLOOKUP(Tableau4[[#This Row],[Réf matériel]],Tableau3[],2,FALSE)</f>
        <v>Niveau</v>
      </c>
      <c r="D993" s="90">
        <f>VLOOKUP(Tableau4[[#This Row],[Réf matériel]],Tableau3[],3,FALSE)</f>
        <v>15</v>
      </c>
      <c r="E993" t="s">
        <v>330</v>
      </c>
      <c r="F993" s="90" t="str">
        <f>VLOOKUP(Tableau4[[#This Row],[Matricule]],Tableau1[],2,FALSE)</f>
        <v>DEPOORTER</v>
      </c>
      <c r="G993" s="90" t="str">
        <f>VLOOKUP(Tableau4[[#This Row],[Matricule]],Tableau1[],3,FALSE)</f>
        <v>Jonathan</v>
      </c>
      <c r="H993" s="90" t="str">
        <f>VLOOKUP(Tableau4[[#This Row],[Matricule]],Tableau1[],4,FALSE)</f>
        <v>ELEC</v>
      </c>
      <c r="I993" s="88">
        <v>44092</v>
      </c>
      <c r="J993" t="s">
        <v>547</v>
      </c>
      <c r="K993" s="90">
        <f>IF(Tableau4[[#This Row],[État]]="Remis",1,0)</f>
        <v>0</v>
      </c>
    </row>
    <row r="994" spans="2:11" x14ac:dyDescent="0.25">
      <c r="B994" t="s">
        <v>287</v>
      </c>
      <c r="C994" s="90" t="str">
        <f>VLOOKUP(Tableau4[[#This Row],[Réf matériel]],Tableau3[],2,FALSE)</f>
        <v>Outil à dégainer</v>
      </c>
      <c r="D994" s="90">
        <f>VLOOKUP(Tableau4[[#This Row],[Réf matériel]],Tableau3[],3,FALSE)</f>
        <v>20.5</v>
      </c>
      <c r="E994" t="s">
        <v>330</v>
      </c>
      <c r="F994" s="90" t="str">
        <f>VLOOKUP(Tableau4[[#This Row],[Matricule]],Tableau1[],2,FALSE)</f>
        <v>DEPOORTER</v>
      </c>
      <c r="G994" s="90" t="str">
        <f>VLOOKUP(Tableau4[[#This Row],[Matricule]],Tableau1[],3,FALSE)</f>
        <v>Jonathan</v>
      </c>
      <c r="H994" s="90" t="str">
        <f>VLOOKUP(Tableau4[[#This Row],[Matricule]],Tableau1[],4,FALSE)</f>
        <v>ELEC</v>
      </c>
      <c r="I994" s="88">
        <v>44092</v>
      </c>
      <c r="J994" t="s">
        <v>547</v>
      </c>
      <c r="K994" s="90">
        <f>IF(Tableau4[[#This Row],[État]]="Remis",1,0)</f>
        <v>0</v>
      </c>
    </row>
    <row r="995" spans="2:11" x14ac:dyDescent="0.25">
      <c r="B995" t="s">
        <v>446</v>
      </c>
      <c r="C995" s="90" t="str">
        <f>VLOOKUP(Tableau4[[#This Row],[Réf matériel]],Tableau3[],2,FALSE)</f>
        <v>Pince à bec plat</v>
      </c>
      <c r="D995" s="90">
        <f>VLOOKUP(Tableau4[[#This Row],[Réf matériel]],Tableau3[],3,FALSE)</f>
        <v>20.8</v>
      </c>
      <c r="E995" t="s">
        <v>330</v>
      </c>
      <c r="F995" s="90" t="str">
        <f>VLOOKUP(Tableau4[[#This Row],[Matricule]],Tableau1[],2,FALSE)</f>
        <v>DEPOORTER</v>
      </c>
      <c r="G995" s="90" t="str">
        <f>VLOOKUP(Tableau4[[#This Row],[Matricule]],Tableau1[],3,FALSE)</f>
        <v>Jonathan</v>
      </c>
      <c r="H995" s="90" t="str">
        <f>VLOOKUP(Tableau4[[#This Row],[Matricule]],Tableau1[],4,FALSE)</f>
        <v>ELEC</v>
      </c>
      <c r="I995" s="88">
        <v>44092</v>
      </c>
      <c r="J995" t="s">
        <v>547</v>
      </c>
      <c r="K995" s="90">
        <f>IF(Tableau4[[#This Row],[État]]="Remis",1,0)</f>
        <v>0</v>
      </c>
    </row>
    <row r="996" spans="2:11" x14ac:dyDescent="0.25">
      <c r="B996" t="s">
        <v>278</v>
      </c>
      <c r="C996" s="90" t="str">
        <f>VLOOKUP(Tableau4[[#This Row],[Réf matériel]],Tableau3[],2,FALSE)</f>
        <v>Pince à dénuder</v>
      </c>
      <c r="D996" s="90">
        <f>VLOOKUP(Tableau4[[#This Row],[Réf matériel]],Tableau3[],3,FALSE)</f>
        <v>24.55</v>
      </c>
      <c r="E996" t="s">
        <v>330</v>
      </c>
      <c r="F996" s="90" t="str">
        <f>VLOOKUP(Tableau4[[#This Row],[Matricule]],Tableau1[],2,FALSE)</f>
        <v>DEPOORTER</v>
      </c>
      <c r="G996" s="90" t="str">
        <f>VLOOKUP(Tableau4[[#This Row],[Matricule]],Tableau1[],3,FALSE)</f>
        <v>Jonathan</v>
      </c>
      <c r="H996" s="90" t="str">
        <f>VLOOKUP(Tableau4[[#This Row],[Matricule]],Tableau1[],4,FALSE)</f>
        <v>ELEC</v>
      </c>
      <c r="I996" s="88">
        <v>44092</v>
      </c>
      <c r="J996" t="s">
        <v>547</v>
      </c>
      <c r="K996" s="90">
        <f>IF(Tableau4[[#This Row],[État]]="Remis",1,0)</f>
        <v>0</v>
      </c>
    </row>
    <row r="997" spans="2:11" x14ac:dyDescent="0.25">
      <c r="B997" t="s">
        <v>145</v>
      </c>
      <c r="C997" s="90" t="str">
        <f>VLOOKUP(Tableau4[[#This Row],[Réf matériel]],Tableau3[],2,FALSE)</f>
        <v>Pince à long bec</v>
      </c>
      <c r="D997" s="90">
        <f>VLOOKUP(Tableau4[[#This Row],[Réf matériel]],Tableau3[],3,FALSE)</f>
        <v>0</v>
      </c>
      <c r="E997" t="s">
        <v>330</v>
      </c>
      <c r="F997" s="90" t="str">
        <f>VLOOKUP(Tableau4[[#This Row],[Matricule]],Tableau1[],2,FALSE)</f>
        <v>DEPOORTER</v>
      </c>
      <c r="G997" s="90" t="str">
        <f>VLOOKUP(Tableau4[[#This Row],[Matricule]],Tableau1[],3,FALSE)</f>
        <v>Jonathan</v>
      </c>
      <c r="H997" s="90" t="str">
        <f>VLOOKUP(Tableau4[[#This Row],[Matricule]],Tableau1[],4,FALSE)</f>
        <v>ELEC</v>
      </c>
      <c r="I997" s="88">
        <v>44092</v>
      </c>
      <c r="J997" t="s">
        <v>547</v>
      </c>
      <c r="K997" s="90">
        <f>IF(Tableau4[[#This Row],[État]]="Remis",1,0)</f>
        <v>0</v>
      </c>
    </row>
    <row r="998" spans="2:11" x14ac:dyDescent="0.25">
      <c r="B998" t="s">
        <v>102</v>
      </c>
      <c r="C998" s="90" t="str">
        <f>VLOOKUP(Tableau4[[#This Row],[Réf matériel]],Tableau3[],2,FALSE)</f>
        <v>Pince à Sertir</v>
      </c>
      <c r="D998" s="90">
        <f>VLOOKUP(Tableau4[[#This Row],[Réf matériel]],Tableau3[],3,FALSE)</f>
        <v>78.400000000000006</v>
      </c>
      <c r="E998" t="s">
        <v>330</v>
      </c>
      <c r="F998" s="90" t="str">
        <f>VLOOKUP(Tableau4[[#This Row],[Matricule]],Tableau1[],2,FALSE)</f>
        <v>DEPOORTER</v>
      </c>
      <c r="G998" s="90" t="str">
        <f>VLOOKUP(Tableau4[[#This Row],[Matricule]],Tableau1[],3,FALSE)</f>
        <v>Jonathan</v>
      </c>
      <c r="H998" s="90" t="str">
        <f>VLOOKUP(Tableau4[[#This Row],[Matricule]],Tableau1[],4,FALSE)</f>
        <v>ELEC</v>
      </c>
      <c r="I998" s="88">
        <v>44092</v>
      </c>
      <c r="J998" t="s">
        <v>547</v>
      </c>
      <c r="K998" s="90">
        <f>IF(Tableau4[[#This Row],[État]]="Remis",1,0)</f>
        <v>0</v>
      </c>
    </row>
    <row r="999" spans="2:11" x14ac:dyDescent="0.25">
      <c r="B999" t="s">
        <v>72</v>
      </c>
      <c r="C999" s="90" t="str">
        <f>VLOOKUP(Tableau4[[#This Row],[Réf matériel]],Tableau3[],2,FALSE)</f>
        <v>Pince colson</v>
      </c>
      <c r="D999" s="90">
        <f>VLOOKUP(Tableau4[[#This Row],[Réf matériel]],Tableau3[],3,FALSE)</f>
        <v>46.91</v>
      </c>
      <c r="E999" t="s">
        <v>330</v>
      </c>
      <c r="F999" s="90" t="str">
        <f>VLOOKUP(Tableau4[[#This Row],[Matricule]],Tableau1[],2,FALSE)</f>
        <v>DEPOORTER</v>
      </c>
      <c r="G999" s="90" t="str">
        <f>VLOOKUP(Tableau4[[#This Row],[Matricule]],Tableau1[],3,FALSE)</f>
        <v>Jonathan</v>
      </c>
      <c r="H999" s="90" t="str">
        <f>VLOOKUP(Tableau4[[#This Row],[Matricule]],Tableau1[],4,FALSE)</f>
        <v>ELEC</v>
      </c>
      <c r="I999" s="88">
        <v>44092</v>
      </c>
      <c r="J999" t="s">
        <v>547</v>
      </c>
      <c r="K999" s="90">
        <f>IF(Tableau4[[#This Row],[État]]="Remis",1,0)</f>
        <v>0</v>
      </c>
    </row>
    <row r="1000" spans="2:11" x14ac:dyDescent="0.25">
      <c r="B1000" t="s">
        <v>280</v>
      </c>
      <c r="C1000" s="90" t="str">
        <f>VLOOKUP(Tableau4[[#This Row],[Réf matériel]],Tableau3[],2,FALSE)</f>
        <v>Pince coupante 1000v</v>
      </c>
      <c r="D1000" s="90">
        <f>VLOOKUP(Tableau4[[#This Row],[Réf matériel]],Tableau3[],3,FALSE)</f>
        <v>20.87</v>
      </c>
      <c r="E1000" t="s">
        <v>330</v>
      </c>
      <c r="F1000" s="90" t="str">
        <f>VLOOKUP(Tableau4[[#This Row],[Matricule]],Tableau1[],2,FALSE)</f>
        <v>DEPOORTER</v>
      </c>
      <c r="G1000" s="90" t="str">
        <f>VLOOKUP(Tableau4[[#This Row],[Matricule]],Tableau1[],3,FALSE)</f>
        <v>Jonathan</v>
      </c>
      <c r="H1000" s="90" t="str">
        <f>VLOOKUP(Tableau4[[#This Row],[Matricule]],Tableau1[],4,FALSE)</f>
        <v>ELEC</v>
      </c>
      <c r="I1000" s="88">
        <v>44092</v>
      </c>
      <c r="J1000" t="s">
        <v>547</v>
      </c>
      <c r="K1000" s="90">
        <f>IF(Tableau4[[#This Row],[État]]="Remis",1,0)</f>
        <v>0</v>
      </c>
    </row>
    <row r="1001" spans="2:11" x14ac:dyDescent="0.25">
      <c r="B1001" t="s">
        <v>397</v>
      </c>
      <c r="C1001" s="90" t="str">
        <f>VLOOKUP(Tableau4[[#This Row],[Réf matériel]],Tableau3[],2,FALSE)</f>
        <v>Pince étau</v>
      </c>
      <c r="D1001" s="90">
        <f>VLOOKUP(Tableau4[[#This Row],[Réf matériel]],Tableau3[],3,FALSE)</f>
        <v>16.02</v>
      </c>
      <c r="E1001" t="s">
        <v>330</v>
      </c>
      <c r="F1001" s="90" t="str">
        <f>VLOOKUP(Tableau4[[#This Row],[Matricule]],Tableau1[],2,FALSE)</f>
        <v>DEPOORTER</v>
      </c>
      <c r="G1001" s="90" t="str">
        <f>VLOOKUP(Tableau4[[#This Row],[Matricule]],Tableau1[],3,FALSE)</f>
        <v>Jonathan</v>
      </c>
      <c r="H1001" s="90" t="str">
        <f>VLOOKUP(Tableau4[[#This Row],[Matricule]],Tableau1[],4,FALSE)</f>
        <v>ELEC</v>
      </c>
      <c r="I1001" s="88">
        <v>44092</v>
      </c>
      <c r="J1001" t="s">
        <v>547</v>
      </c>
      <c r="K1001" s="90">
        <f>IF(Tableau4[[#This Row],[État]]="Remis",1,0)</f>
        <v>0</v>
      </c>
    </row>
    <row r="1002" spans="2:11" x14ac:dyDescent="0.25">
      <c r="B1002" t="s">
        <v>428</v>
      </c>
      <c r="C1002" s="90" t="str">
        <f>VLOOKUP(Tableau4[[#This Row],[Réf matériel]],Tableau3[],2,FALSE)</f>
        <v>Pince multiprise</v>
      </c>
      <c r="D1002" s="90">
        <f>VLOOKUP(Tableau4[[#This Row],[Réf matériel]],Tableau3[],3,FALSE)</f>
        <v>27.2</v>
      </c>
      <c r="E1002" t="s">
        <v>330</v>
      </c>
      <c r="F1002" s="90" t="str">
        <f>VLOOKUP(Tableau4[[#This Row],[Matricule]],Tableau1[],2,FALSE)</f>
        <v>DEPOORTER</v>
      </c>
      <c r="G1002" s="90" t="str">
        <f>VLOOKUP(Tableau4[[#This Row],[Matricule]],Tableau1[],3,FALSE)</f>
        <v>Jonathan</v>
      </c>
      <c r="H1002" s="90" t="str">
        <f>VLOOKUP(Tableau4[[#This Row],[Matricule]],Tableau1[],4,FALSE)</f>
        <v>ELEC</v>
      </c>
      <c r="I1002" s="88">
        <v>44092</v>
      </c>
      <c r="J1002" t="s">
        <v>547</v>
      </c>
      <c r="K1002" s="90">
        <f>IF(Tableau4[[#This Row],[État]]="Remis",1,0)</f>
        <v>0</v>
      </c>
    </row>
    <row r="1003" spans="2:11" x14ac:dyDescent="0.25">
      <c r="B1003" t="s">
        <v>170</v>
      </c>
      <c r="C1003" s="90" t="str">
        <f>VLOOKUP(Tableau4[[#This Row],[Réf matériel]],Tableau3[],2,FALSE)</f>
        <v>Pioche d'égouttier</v>
      </c>
      <c r="D1003" s="90">
        <f>VLOOKUP(Tableau4[[#This Row],[Réf matériel]],Tableau3[],3,FALSE)</f>
        <v>60.58</v>
      </c>
      <c r="E1003" t="s">
        <v>330</v>
      </c>
      <c r="F1003" s="90" t="str">
        <f>VLOOKUP(Tableau4[[#This Row],[Matricule]],Tableau1[],2,FALSE)</f>
        <v>DEPOORTER</v>
      </c>
      <c r="G1003" s="90" t="str">
        <f>VLOOKUP(Tableau4[[#This Row],[Matricule]],Tableau1[],3,FALSE)</f>
        <v>Jonathan</v>
      </c>
      <c r="H1003" s="90" t="str">
        <f>VLOOKUP(Tableau4[[#This Row],[Matricule]],Tableau1[],4,FALSE)</f>
        <v>ELEC</v>
      </c>
      <c r="I1003" s="88">
        <v>44092</v>
      </c>
      <c r="J1003" t="s">
        <v>547</v>
      </c>
      <c r="K1003" s="90">
        <f>IF(Tableau4[[#This Row],[État]]="Remis",1,0)</f>
        <v>0</v>
      </c>
    </row>
    <row r="1004" spans="2:11" x14ac:dyDescent="0.25">
      <c r="B1004" t="s">
        <v>170</v>
      </c>
      <c r="C1004" s="90" t="str">
        <f>VLOOKUP(Tableau4[[#This Row],[Réf matériel]],Tableau3[],2,FALSE)</f>
        <v>Pioche d'égouttier</v>
      </c>
      <c r="D1004" s="90">
        <f>VLOOKUP(Tableau4[[#This Row],[Réf matériel]],Tableau3[],3,FALSE)</f>
        <v>60.58</v>
      </c>
      <c r="E1004" t="s">
        <v>330</v>
      </c>
      <c r="F1004" s="90" t="str">
        <f>VLOOKUP(Tableau4[[#This Row],[Matricule]],Tableau1[],2,FALSE)</f>
        <v>DEPOORTER</v>
      </c>
      <c r="G1004" s="90" t="str">
        <f>VLOOKUP(Tableau4[[#This Row],[Matricule]],Tableau1[],3,FALSE)</f>
        <v>Jonathan</v>
      </c>
      <c r="H1004" s="90" t="str">
        <f>VLOOKUP(Tableau4[[#This Row],[Matricule]],Tableau1[],4,FALSE)</f>
        <v>ELEC</v>
      </c>
      <c r="I1004" s="88">
        <v>44092</v>
      </c>
      <c r="J1004" t="s">
        <v>547</v>
      </c>
      <c r="K1004" s="90">
        <f>IF(Tableau4[[#This Row],[État]]="Remis",1,0)</f>
        <v>0</v>
      </c>
    </row>
    <row r="1005" spans="2:11" x14ac:dyDescent="0.25">
      <c r="B1005" t="s">
        <v>281</v>
      </c>
      <c r="C1005" s="90" t="str">
        <f>VLOOKUP(Tableau4[[#This Row],[Réf matériel]],Tableau3[],2,FALSE)</f>
        <v>Scie à métaux</v>
      </c>
      <c r="D1005" s="90">
        <f>VLOOKUP(Tableau4[[#This Row],[Réf matériel]],Tableau3[],3,FALSE)</f>
        <v>11.26</v>
      </c>
      <c r="E1005" t="s">
        <v>330</v>
      </c>
      <c r="F1005" s="90" t="str">
        <f>VLOOKUP(Tableau4[[#This Row],[Matricule]],Tableau1[],2,FALSE)</f>
        <v>DEPOORTER</v>
      </c>
      <c r="G1005" s="90" t="str">
        <f>VLOOKUP(Tableau4[[#This Row],[Matricule]],Tableau1[],3,FALSE)</f>
        <v>Jonathan</v>
      </c>
      <c r="H1005" s="90" t="str">
        <f>VLOOKUP(Tableau4[[#This Row],[Matricule]],Tableau1[],4,FALSE)</f>
        <v>ELEC</v>
      </c>
      <c r="I1005" s="88">
        <v>44092</v>
      </c>
      <c r="J1005" t="s">
        <v>547</v>
      </c>
      <c r="K1005" s="90">
        <f>IF(Tableau4[[#This Row],[État]]="Remis",1,0)</f>
        <v>0</v>
      </c>
    </row>
    <row r="1006" spans="2:11" x14ac:dyDescent="0.25">
      <c r="B1006" t="s">
        <v>74</v>
      </c>
      <c r="C1006" s="90" t="str">
        <f>VLOOKUP(Tableau4[[#This Row],[Réf matériel]],Tableau3[],2,FALSE)</f>
        <v>Casque chantier</v>
      </c>
      <c r="D1006" s="90">
        <f>VLOOKUP(Tableau4[[#This Row],[Réf matériel]],Tableau3[],3,FALSE)</f>
        <v>29.05</v>
      </c>
      <c r="E1006" t="s">
        <v>546</v>
      </c>
      <c r="F1006" s="90" t="str">
        <f>VLOOKUP(Tableau4[[#This Row],[Matricule]],Tableau1[],2,FALSE)</f>
        <v>VUKSANOVIC</v>
      </c>
      <c r="G1006" s="90" t="str">
        <f>VLOOKUP(Tableau4[[#This Row],[Matricule]],Tableau1[],3,FALSE)</f>
        <v>Amine</v>
      </c>
      <c r="H1006" s="90" t="str">
        <f>VLOOKUP(Tableau4[[#This Row],[Matricule]],Tableau1[],4,FALSE)</f>
        <v>ELEC</v>
      </c>
      <c r="I1006" s="88">
        <v>44113</v>
      </c>
      <c r="J1006" t="s">
        <v>515</v>
      </c>
      <c r="K1006" s="90">
        <f>IF(Tableau4[[#This Row],[État]]="Remis",1,0)</f>
        <v>1</v>
      </c>
    </row>
    <row r="1007" spans="2:11" x14ac:dyDescent="0.25">
      <c r="B1007" t="s">
        <v>170</v>
      </c>
      <c r="C1007" s="90" t="str">
        <f>VLOOKUP(Tableau4[[#This Row],[Réf matériel]],Tableau3[],2,FALSE)</f>
        <v>Pioche d'égouttier</v>
      </c>
      <c r="D1007" s="90">
        <f>VLOOKUP(Tableau4[[#This Row],[Réf matériel]],Tableau3[],3,FALSE)</f>
        <v>60.58</v>
      </c>
      <c r="E1007" t="s">
        <v>313</v>
      </c>
      <c r="F1007" s="90" t="str">
        <f>VLOOKUP(Tableau4[[#This Row],[Matricule]],Tableau1[],2,FALSE)</f>
        <v>BENAMROUCHE</v>
      </c>
      <c r="G1007" s="90" t="str">
        <f>VLOOKUP(Tableau4[[#This Row],[Matricule]],Tableau1[],3,FALSE)</f>
        <v>Ali</v>
      </c>
      <c r="H1007" s="90" t="str">
        <f>VLOOKUP(Tableau4[[#This Row],[Matricule]],Tableau1[],4,FALSE)</f>
        <v>ELEC</v>
      </c>
      <c r="I1007" s="88">
        <v>44123</v>
      </c>
      <c r="J1007" t="s">
        <v>515</v>
      </c>
      <c r="K1007" s="90">
        <f>IF(Tableau4[[#This Row],[État]]="Remis",1,0)</f>
        <v>1</v>
      </c>
    </row>
    <row r="1008" spans="2:11" x14ac:dyDescent="0.25">
      <c r="B1008" t="s">
        <v>170</v>
      </c>
      <c r="C1008" s="90" t="str">
        <f>VLOOKUP(Tableau4[[#This Row],[Réf matériel]],Tableau3[],2,FALSE)</f>
        <v>Pioche d'égouttier</v>
      </c>
      <c r="D1008" s="90">
        <f>VLOOKUP(Tableau4[[#This Row],[Réf matériel]],Tableau3[],3,FALSE)</f>
        <v>60.58</v>
      </c>
      <c r="E1008" t="s">
        <v>313</v>
      </c>
      <c r="F1008" s="90" t="str">
        <f>VLOOKUP(Tableau4[[#This Row],[Matricule]],Tableau1[],2,FALSE)</f>
        <v>BENAMROUCHE</v>
      </c>
      <c r="G1008" s="90" t="str">
        <f>VLOOKUP(Tableau4[[#This Row],[Matricule]],Tableau1[],3,FALSE)</f>
        <v>Ali</v>
      </c>
      <c r="H1008" s="90" t="str">
        <f>VLOOKUP(Tableau4[[#This Row],[Matricule]],Tableau1[],4,FALSE)</f>
        <v>ELEC</v>
      </c>
      <c r="I1008" s="88">
        <v>44123</v>
      </c>
      <c r="J1008" t="s">
        <v>515</v>
      </c>
      <c r="K1008" s="90">
        <f>IF(Tableau4[[#This Row],[État]]="Remis",1,0)</f>
        <v>1</v>
      </c>
    </row>
    <row r="1009" spans="2:11" x14ac:dyDescent="0.25">
      <c r="B1009" t="s">
        <v>559</v>
      </c>
      <c r="C1009" s="90" t="str">
        <f>VLOOKUP(Tableau4[[#This Row],[Réf matériel]],Tableau3[],2,FALSE)</f>
        <v>Coffret dogher gris + 2 boites rangement pour CDGU</v>
      </c>
      <c r="D1009" s="90">
        <f>VLOOKUP(Tableau4[[#This Row],[Réf matériel]],Tableau3[],3,FALSE)</f>
        <v>130</v>
      </c>
      <c r="E1009" t="s">
        <v>313</v>
      </c>
      <c r="F1009" s="90" t="str">
        <f>VLOOKUP(Tableau4[[#This Row],[Matricule]],Tableau1[],2,FALSE)</f>
        <v>BENAMROUCHE</v>
      </c>
      <c r="G1009" s="90" t="str">
        <f>VLOOKUP(Tableau4[[#This Row],[Matricule]],Tableau1[],3,FALSE)</f>
        <v>Ali</v>
      </c>
      <c r="H1009" s="90" t="str">
        <f>VLOOKUP(Tableau4[[#This Row],[Matricule]],Tableau1[],4,FALSE)</f>
        <v>ELEC</v>
      </c>
      <c r="I1009" s="88">
        <v>44124</v>
      </c>
      <c r="J1009" t="s">
        <v>515</v>
      </c>
      <c r="K1009" s="90">
        <f>IF(Tableau4[[#This Row],[État]]="Remis",1,0)</f>
        <v>1</v>
      </c>
    </row>
    <row r="1010" spans="2:11" x14ac:dyDescent="0.25">
      <c r="B1010" t="s">
        <v>560</v>
      </c>
      <c r="C1010" s="90" t="str">
        <f>VLOOKUP(Tableau4[[#This Row],[Réf matériel]],Tableau3[],2,FALSE)</f>
        <v>Pince cerclips + boites clips</v>
      </c>
      <c r="D1010" s="90">
        <f>VLOOKUP(Tableau4[[#This Row],[Réf matériel]],Tableau3[],3,FALSE)</f>
        <v>34.130000000000003</v>
      </c>
      <c r="E1010" t="s">
        <v>355</v>
      </c>
      <c r="F1010" s="90" t="str">
        <f>VLOOKUP(Tableau4[[#This Row],[Matricule]],Tableau1[],2,FALSE)</f>
        <v>MONNATE</v>
      </c>
      <c r="G1010" s="90" t="str">
        <f>VLOOKUP(Tableau4[[#This Row],[Matricule]],Tableau1[],3,FALSE)</f>
        <v>Ludowic</v>
      </c>
      <c r="H1010" s="90" t="str">
        <f>VLOOKUP(Tableau4[[#This Row],[Matricule]],Tableau1[],4,FALSE)</f>
        <v>RE</v>
      </c>
      <c r="I1010" s="88">
        <v>44125</v>
      </c>
      <c r="J1010" t="s">
        <v>515</v>
      </c>
      <c r="K1010" s="90">
        <f>IF(Tableau4[[#This Row],[État]]="Remis",1,0)</f>
        <v>1</v>
      </c>
    </row>
    <row r="1011" spans="2:11" x14ac:dyDescent="0.25">
      <c r="B1011" t="s">
        <v>392</v>
      </c>
      <c r="C1011" s="90" t="str">
        <f>VLOOKUP(Tableau4[[#This Row],[Réf matériel]],Tableau3[],2,FALSE)</f>
        <v>Coffre</v>
      </c>
      <c r="D1011" s="90">
        <f>VLOOKUP(Tableau4[[#This Row],[Réf matériel]],Tableau3[],3,FALSE)</f>
        <v>54.54</v>
      </c>
      <c r="E1011" t="s">
        <v>355</v>
      </c>
      <c r="F1011" s="90" t="str">
        <f>VLOOKUP(Tableau4[[#This Row],[Matricule]],Tableau1[],2,FALSE)</f>
        <v>MONNATE</v>
      </c>
      <c r="G1011" s="90" t="str">
        <f>VLOOKUP(Tableau4[[#This Row],[Matricule]],Tableau1[],3,FALSE)</f>
        <v>Ludowic</v>
      </c>
      <c r="H1011" s="90" t="str">
        <f>VLOOKUP(Tableau4[[#This Row],[Matricule]],Tableau1[],4,FALSE)</f>
        <v>RE</v>
      </c>
      <c r="I1011" s="88">
        <v>44125</v>
      </c>
      <c r="J1011" t="s">
        <v>515</v>
      </c>
      <c r="K1011" s="90">
        <f>IF(Tableau4[[#This Row],[État]]="Remis",1,0)</f>
        <v>1</v>
      </c>
    </row>
    <row r="1012" spans="2:11" x14ac:dyDescent="0.25">
      <c r="B1012" t="s">
        <v>391</v>
      </c>
      <c r="C1012" s="90" t="str">
        <f>VLOOKUP(Tableau4[[#This Row],[Réf matériel]],Tableau3[],2,FALSE)</f>
        <v>Cadena</v>
      </c>
      <c r="D1012" s="90">
        <f>VLOOKUP(Tableau4[[#This Row],[Réf matériel]],Tableau3[],3,FALSE)</f>
        <v>13</v>
      </c>
      <c r="E1012" t="s">
        <v>355</v>
      </c>
      <c r="F1012" s="90" t="str">
        <f>VLOOKUP(Tableau4[[#This Row],[Matricule]],Tableau1[],2,FALSE)</f>
        <v>MONNATE</v>
      </c>
      <c r="G1012" s="90" t="str">
        <f>VLOOKUP(Tableau4[[#This Row],[Matricule]],Tableau1[],3,FALSE)</f>
        <v>Ludowic</v>
      </c>
      <c r="H1012" s="90" t="str">
        <f>VLOOKUP(Tableau4[[#This Row],[Matricule]],Tableau1[],4,FALSE)</f>
        <v>RE</v>
      </c>
      <c r="I1012" s="88">
        <v>44125</v>
      </c>
      <c r="J1012" t="s">
        <v>515</v>
      </c>
      <c r="K1012" s="90">
        <f>IF(Tableau4[[#This Row],[État]]="Remis",1,0)</f>
        <v>1</v>
      </c>
    </row>
    <row r="1013" spans="2:11" x14ac:dyDescent="0.25">
      <c r="B1013" t="s">
        <v>561</v>
      </c>
      <c r="C1013" s="90" t="str">
        <f>VLOOKUP(Tableau4[[#This Row],[Réf matériel]],Tableau3[],2,FALSE)</f>
        <v>Clé mixte 17</v>
      </c>
      <c r="D1013" s="90">
        <f>VLOOKUP(Tableau4[[#This Row],[Réf matériel]],Tableau3[],3,FALSE)</f>
        <v>6.53</v>
      </c>
      <c r="E1013" t="s">
        <v>326</v>
      </c>
      <c r="F1013" s="90" t="str">
        <f>VLOOKUP(Tableau4[[#This Row],[Matricule]],Tableau1[],2,FALSE)</f>
        <v>CLAUX</v>
      </c>
      <c r="G1013" s="90" t="str">
        <f>VLOOKUP(Tableau4[[#This Row],[Matricule]],Tableau1[],3,FALSE)</f>
        <v>Nicolas</v>
      </c>
      <c r="H1013" s="90" t="str">
        <f>VLOOKUP(Tableau4[[#This Row],[Matricule]],Tableau1[],4,FALSE)</f>
        <v>AD</v>
      </c>
      <c r="I1013" s="88">
        <v>44110</v>
      </c>
      <c r="J1013" t="s">
        <v>515</v>
      </c>
      <c r="K1013" s="90">
        <f>IF(Tableau4[[#This Row],[État]]="Remis",1,0)</f>
        <v>1</v>
      </c>
    </row>
    <row r="1014" spans="2:11" x14ac:dyDescent="0.25">
      <c r="B1014" t="s">
        <v>562</v>
      </c>
      <c r="C1014" s="90" t="str">
        <f>VLOOKUP(Tableau4[[#This Row],[Réf matériel]],Tableau3[],2,FALSE)</f>
        <v>Clé mixte 27</v>
      </c>
      <c r="D1014" s="90">
        <f>VLOOKUP(Tableau4[[#This Row],[Réf matériel]],Tableau3[],3,FALSE)</f>
        <v>11.75</v>
      </c>
      <c r="E1014" t="s">
        <v>326</v>
      </c>
      <c r="F1014" s="90" t="str">
        <f>VLOOKUP(Tableau4[[#This Row],[Matricule]],Tableau1[],2,FALSE)</f>
        <v>CLAUX</v>
      </c>
      <c r="G1014" s="90" t="str">
        <f>VLOOKUP(Tableau4[[#This Row],[Matricule]],Tableau1[],3,FALSE)</f>
        <v>Nicolas</v>
      </c>
      <c r="H1014" s="90" t="str">
        <f>VLOOKUP(Tableau4[[#This Row],[Matricule]],Tableau1[],4,FALSE)</f>
        <v>AD</v>
      </c>
      <c r="I1014" s="88">
        <v>44112</v>
      </c>
      <c r="J1014" t="s">
        <v>515</v>
      </c>
      <c r="K1014" s="90">
        <f>IF(Tableau4[[#This Row],[État]]="Remis",1,0)</f>
        <v>1</v>
      </c>
    </row>
    <row r="1015" spans="2:11" x14ac:dyDescent="0.25">
      <c r="B1015" t="s">
        <v>563</v>
      </c>
      <c r="C1015" s="90" t="str">
        <f>VLOOKUP(Tableau4[[#This Row],[Réf matériel]],Tableau3[],2,FALSE)</f>
        <v>Coffret de rangement</v>
      </c>
      <c r="D1015" s="90">
        <f>VLOOKUP(Tableau4[[#This Row],[Réf matériel]],Tableau3[],3,FALSE)</f>
        <v>17.7</v>
      </c>
      <c r="E1015" t="s">
        <v>362</v>
      </c>
      <c r="F1015" s="90" t="str">
        <f>VLOOKUP(Tableau4[[#This Row],[Matricule]],Tableau1[],2,FALSE)</f>
        <v>PRUVOT</v>
      </c>
      <c r="G1015" s="90" t="str">
        <f>VLOOKUP(Tableau4[[#This Row],[Matricule]],Tableau1[],3,FALSE)</f>
        <v>Stéphane</v>
      </c>
      <c r="H1015" s="90" t="str">
        <f>VLOOKUP(Tableau4[[#This Row],[Matricule]],Tableau1[],4,FALSE)</f>
        <v>RE</v>
      </c>
      <c r="I1015" s="88">
        <v>44152</v>
      </c>
      <c r="J1015" t="s">
        <v>515</v>
      </c>
      <c r="K1015" s="90">
        <f>IF(Tableau4[[#This Row],[État]]="Remis",1,0)</f>
        <v>1</v>
      </c>
    </row>
    <row r="1016" spans="2:11" x14ac:dyDescent="0.25">
      <c r="B1016" t="s">
        <v>563</v>
      </c>
      <c r="C1016" s="90" t="str">
        <f>VLOOKUP(Tableau4[[#This Row],[Réf matériel]],Tableau3[],2,FALSE)</f>
        <v>Coffret de rangement</v>
      </c>
      <c r="D1016" s="90">
        <f>VLOOKUP(Tableau4[[#This Row],[Réf matériel]],Tableau3[],3,FALSE)</f>
        <v>17.7</v>
      </c>
      <c r="E1016" t="s">
        <v>362</v>
      </c>
      <c r="F1016" s="90" t="str">
        <f>VLOOKUP(Tableau4[[#This Row],[Matricule]],Tableau1[],2,FALSE)</f>
        <v>PRUVOT</v>
      </c>
      <c r="G1016" s="90" t="str">
        <f>VLOOKUP(Tableau4[[#This Row],[Matricule]],Tableau1[],3,FALSE)</f>
        <v>Stéphane</v>
      </c>
      <c r="H1016" s="90" t="str">
        <f>VLOOKUP(Tableau4[[#This Row],[Matricule]],Tableau1[],4,FALSE)</f>
        <v>RE</v>
      </c>
      <c r="I1016" s="88">
        <v>44152</v>
      </c>
      <c r="J1016" t="s">
        <v>515</v>
      </c>
      <c r="K1016" s="90">
        <f>IF(Tableau4[[#This Row],[État]]="Remis",1,0)</f>
        <v>1</v>
      </c>
    </row>
    <row r="1017" spans="2:11" x14ac:dyDescent="0.25">
      <c r="B1017" t="s">
        <v>563</v>
      </c>
      <c r="C1017" s="90" t="str">
        <f>VLOOKUP(Tableau4[[#This Row],[Réf matériel]],Tableau3[],2,FALSE)</f>
        <v>Coffret de rangement</v>
      </c>
      <c r="D1017" s="90">
        <f>VLOOKUP(Tableau4[[#This Row],[Réf matériel]],Tableau3[],3,FALSE)</f>
        <v>17.7</v>
      </c>
      <c r="E1017" t="s">
        <v>362</v>
      </c>
      <c r="F1017" s="90" t="str">
        <f>VLOOKUP(Tableau4[[#This Row],[Matricule]],Tableau1[],2,FALSE)</f>
        <v>PRUVOT</v>
      </c>
      <c r="G1017" s="90" t="str">
        <f>VLOOKUP(Tableau4[[#This Row],[Matricule]],Tableau1[],3,FALSE)</f>
        <v>Stéphane</v>
      </c>
      <c r="H1017" s="90" t="str">
        <f>VLOOKUP(Tableau4[[#This Row],[Matricule]],Tableau1[],4,FALSE)</f>
        <v>RE</v>
      </c>
      <c r="I1017" s="88">
        <v>44152</v>
      </c>
      <c r="J1017" t="s">
        <v>515</v>
      </c>
      <c r="K1017" s="90">
        <f>IF(Tableau4[[#This Row],[État]]="Remis",1,0)</f>
        <v>1</v>
      </c>
    </row>
  </sheetData>
  <phoneticPr fontId="14" type="noConversion"/>
  <pageMargins left="0.7" right="0.7" top="0.75" bottom="0.75" header="0.3" footer="0.3"/>
  <pageSetup paperSize="9" orientation="landscape" r:id="rId1"/>
  <legacy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09C80D0-A9EB-4C33-B6B5-9503DC6342BC}">
          <x14:formula1>
            <xm:f>Listes!$G$4:$G$11</xm:f>
          </x14:formula1>
          <xm:sqref>J2:J916 J946:J983 J985:J989 J991:J1005</xm:sqref>
        </x14:dataValidation>
        <x14:dataValidation type="list" allowBlank="1" showInputMessage="1" showErrorMessage="1" xr:uid="{02EFE037-E5CA-4969-BAEE-7D423205230C}">
          <x14:formula1>
            <xm:f>Listes!$G$4:$G$10</xm:f>
          </x14:formula1>
          <xm:sqref>J917:J945 J984 J990 J1006:J1048576</xm:sqref>
        </x14:dataValidation>
        <x14:dataValidation type="list" allowBlank="1" showInputMessage="1" showErrorMessage="1" xr:uid="{948A91E0-4711-4E8D-90A2-7AD3657B99E1}">
          <x14:formula1>
            <xm:f>Listes!$I$4:$I$86</xm:f>
          </x14:formula1>
          <xm:sqref>B3:B1017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E51C76-6098-4EA0-8C50-C965F4976F5A}">
  <dimension ref="B3:B8"/>
  <sheetViews>
    <sheetView workbookViewId="0">
      <selection activeCell="B4" sqref="B4"/>
    </sheetView>
  </sheetViews>
  <sheetFormatPr baseColWidth="10" defaultRowHeight="15" x14ac:dyDescent="0.25"/>
  <sheetData>
    <row r="3" spans="2:2" x14ac:dyDescent="0.25">
      <c r="B3" t="s">
        <v>365</v>
      </c>
    </row>
    <row r="4" spans="2:2" x14ac:dyDescent="0.25">
      <c r="B4" t="s">
        <v>521</v>
      </c>
    </row>
    <row r="5" spans="2:2" x14ac:dyDescent="0.25">
      <c r="B5" t="s">
        <v>132</v>
      </c>
    </row>
    <row r="6" spans="2:2" x14ac:dyDescent="0.25">
      <c r="B6" t="s">
        <v>522</v>
      </c>
    </row>
    <row r="7" spans="2:2" x14ac:dyDescent="0.25">
      <c r="B7" t="s">
        <v>91</v>
      </c>
    </row>
    <row r="8" spans="2:2" x14ac:dyDescent="0.25">
      <c r="B8" t="s">
        <v>523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23EBA-3FF2-43CC-845B-C6BE3A5E5C2A}">
  <dimension ref="A1:CH82"/>
  <sheetViews>
    <sheetView showGridLines="0" zoomScale="85" zoomScaleNormal="85" workbookViewId="0">
      <pane xSplit="4" ySplit="2" topLeftCell="BH18" activePane="bottomRight" state="frozen"/>
      <selection pane="topRight" activeCell="E1" sqref="E1"/>
      <selection pane="bottomLeft" activeCell="A3" sqref="A3"/>
      <selection pane="bottomRight" activeCell="CD43" sqref="CD43"/>
    </sheetView>
  </sheetViews>
  <sheetFormatPr baseColWidth="10" defaultRowHeight="15" x14ac:dyDescent="0.25"/>
  <cols>
    <col min="1" max="1" width="5.42578125" customWidth="1"/>
    <col min="2" max="2" width="34" customWidth="1"/>
    <col min="3" max="4" width="7.85546875" customWidth="1"/>
    <col min="5" max="5" width="7.85546875" style="13" customWidth="1"/>
    <col min="6" max="7" width="7.85546875" customWidth="1"/>
    <col min="8" max="8" width="7.85546875" style="13" customWidth="1"/>
    <col min="9" max="11" width="7.85546875" customWidth="1"/>
    <col min="12" max="14" width="11.42578125" customWidth="1"/>
    <col min="15" max="37" width="7.85546875" customWidth="1"/>
    <col min="38" max="38" width="7.85546875" style="13" customWidth="1"/>
    <col min="39" max="77" width="7.85546875" customWidth="1"/>
    <col min="78" max="78" width="8.7109375" customWidth="1"/>
    <col min="79" max="79" width="12.140625" customWidth="1"/>
    <col min="80" max="80" width="11.42578125" customWidth="1"/>
    <col min="81" max="81" width="8.7109375" customWidth="1"/>
    <col min="82" max="82" width="12.140625" customWidth="1"/>
    <col min="83" max="83" width="11.42578125" style="7" customWidth="1"/>
    <col min="84" max="84" width="8.7109375" customWidth="1"/>
    <col min="85" max="85" width="12.140625" customWidth="1"/>
    <col min="87" max="87" width="8.7109375" customWidth="1"/>
    <col min="88" max="88" width="12.140625" customWidth="1"/>
  </cols>
  <sheetData>
    <row r="1" spans="1:86" ht="61.5" x14ac:dyDescent="0.25">
      <c r="A1" s="89"/>
      <c r="B1" s="89" t="s">
        <v>456</v>
      </c>
      <c r="AI1" s="13"/>
      <c r="AL1"/>
      <c r="BZ1" t="s">
        <v>336</v>
      </c>
      <c r="CA1" t="s">
        <v>336</v>
      </c>
      <c r="CB1" s="7"/>
      <c r="CE1"/>
    </row>
    <row r="2" spans="1:86" s="2" customFormat="1" ht="30" x14ac:dyDescent="0.25">
      <c r="B2" s="2" t="s">
        <v>385</v>
      </c>
      <c r="C2" s="2" t="s">
        <v>457</v>
      </c>
      <c r="D2" s="2" t="s">
        <v>478</v>
      </c>
      <c r="E2" s="104" t="s">
        <v>307</v>
      </c>
      <c r="F2" s="2" t="s">
        <v>458</v>
      </c>
      <c r="G2" s="2" t="s">
        <v>479</v>
      </c>
      <c r="H2" s="104" t="s">
        <v>313</v>
      </c>
      <c r="I2" s="2" t="s">
        <v>459</v>
      </c>
      <c r="J2" s="2" t="s">
        <v>481</v>
      </c>
      <c r="K2" s="104" t="s">
        <v>314</v>
      </c>
      <c r="L2" s="2" t="s">
        <v>460</v>
      </c>
      <c r="M2" s="2" t="s">
        <v>482</v>
      </c>
      <c r="N2" s="104" t="s">
        <v>317</v>
      </c>
      <c r="O2" s="2" t="s">
        <v>461</v>
      </c>
      <c r="P2" s="2" t="s">
        <v>483</v>
      </c>
      <c r="Q2" s="104" t="s">
        <v>322</v>
      </c>
      <c r="R2" s="2" t="s">
        <v>462</v>
      </c>
      <c r="S2" s="2" t="s">
        <v>498</v>
      </c>
      <c r="T2" s="104" t="s">
        <v>330</v>
      </c>
      <c r="U2" s="2" t="s">
        <v>463</v>
      </c>
      <c r="V2" s="2" t="s">
        <v>484</v>
      </c>
      <c r="W2" s="104" t="s">
        <v>331</v>
      </c>
      <c r="X2" s="2" t="s">
        <v>464</v>
      </c>
      <c r="Y2" s="2" t="s">
        <v>485</v>
      </c>
      <c r="Z2" s="104" t="s">
        <v>333</v>
      </c>
      <c r="AA2" s="2" t="s">
        <v>556</v>
      </c>
      <c r="AB2" s="2" t="s">
        <v>557</v>
      </c>
      <c r="AC2" s="104" t="s">
        <v>543</v>
      </c>
      <c r="AD2" s="2" t="s">
        <v>553</v>
      </c>
      <c r="AE2" s="2" t="s">
        <v>554</v>
      </c>
      <c r="AF2" s="104" t="s">
        <v>555</v>
      </c>
      <c r="AG2" s="2" t="s">
        <v>465</v>
      </c>
      <c r="AH2" s="2" t="s">
        <v>480</v>
      </c>
      <c r="AI2" s="104" t="s">
        <v>336</v>
      </c>
      <c r="AJ2" s="2" t="s">
        <v>466</v>
      </c>
      <c r="AK2" s="2" t="s">
        <v>486</v>
      </c>
      <c r="AL2" s="104" t="s">
        <v>338</v>
      </c>
      <c r="AM2" s="2" t="s">
        <v>467</v>
      </c>
      <c r="AN2" s="2" t="s">
        <v>487</v>
      </c>
      <c r="AO2" s="104" t="s">
        <v>346</v>
      </c>
      <c r="AP2" s="2" t="s">
        <v>468</v>
      </c>
      <c r="AQ2" s="2" t="s">
        <v>488</v>
      </c>
      <c r="AR2" s="104" t="s">
        <v>355</v>
      </c>
      <c r="AS2" s="2" t="s">
        <v>469</v>
      </c>
      <c r="AT2" s="2" t="s">
        <v>489</v>
      </c>
      <c r="AU2" s="104" t="s">
        <v>357</v>
      </c>
      <c r="AV2" s="2" t="s">
        <v>470</v>
      </c>
      <c r="AW2" s="2" t="s">
        <v>490</v>
      </c>
      <c r="AX2" s="104" t="s">
        <v>358</v>
      </c>
      <c r="AY2" s="2" t="s">
        <v>471</v>
      </c>
      <c r="AZ2" s="2" t="s">
        <v>491</v>
      </c>
      <c r="BA2" s="104" t="s">
        <v>361</v>
      </c>
      <c r="BB2" s="2" t="s">
        <v>472</v>
      </c>
      <c r="BC2" s="2" t="s">
        <v>492</v>
      </c>
      <c r="BD2" s="104" t="s">
        <v>362</v>
      </c>
      <c r="BE2" s="2" t="s">
        <v>473</v>
      </c>
      <c r="BF2" s="2" t="s">
        <v>493</v>
      </c>
      <c r="BG2" s="104" t="s">
        <v>365</v>
      </c>
      <c r="BH2" s="2" t="s">
        <v>474</v>
      </c>
      <c r="BI2" s="2" t="s">
        <v>494</v>
      </c>
      <c r="BJ2" s="104" t="s">
        <v>367</v>
      </c>
      <c r="BK2" s="2" t="s">
        <v>475</v>
      </c>
      <c r="BL2" s="2" t="s">
        <v>495</v>
      </c>
      <c r="BM2" s="104" t="s">
        <v>368</v>
      </c>
      <c r="BN2" s="2" t="s">
        <v>476</v>
      </c>
      <c r="BO2" s="2" t="s">
        <v>496</v>
      </c>
      <c r="BP2" s="104" t="s">
        <v>370</v>
      </c>
      <c r="BQ2" s="2" t="s">
        <v>550</v>
      </c>
      <c r="BR2" s="2" t="s">
        <v>551</v>
      </c>
      <c r="BS2" s="104" t="s">
        <v>546</v>
      </c>
      <c r="BT2" s="2" t="s">
        <v>477</v>
      </c>
      <c r="BU2" s="2" t="s">
        <v>497</v>
      </c>
      <c r="BV2" s="104" t="s">
        <v>378</v>
      </c>
      <c r="BW2" s="2" t="s">
        <v>512</v>
      </c>
      <c r="BX2" s="2" t="s">
        <v>511</v>
      </c>
      <c r="BY2" s="107" t="s">
        <v>500</v>
      </c>
      <c r="BZ2" s="2" t="s">
        <v>510</v>
      </c>
      <c r="CA2" s="2" t="s">
        <v>509</v>
      </c>
      <c r="CB2" s="107" t="s">
        <v>501</v>
      </c>
      <c r="CC2" s="2" t="s">
        <v>507</v>
      </c>
      <c r="CD2" s="2" t="s">
        <v>508</v>
      </c>
      <c r="CE2" s="107" t="s">
        <v>499</v>
      </c>
      <c r="CF2" s="2" t="s">
        <v>538</v>
      </c>
      <c r="CG2" s="2" t="s">
        <v>539</v>
      </c>
      <c r="CH2" s="107" t="s">
        <v>536</v>
      </c>
    </row>
    <row r="3" spans="1:86" x14ac:dyDescent="0.25">
      <c r="B3" t="s">
        <v>432</v>
      </c>
      <c r="C3">
        <v>1</v>
      </c>
      <c r="D3">
        <f>SUMIFS(Tableau4[NB Remis],Tableau4[Réf matériel],Tableau5[[#This Row],[Réf matériel]],Tableau4[Matricule],"OAI")</f>
        <v>1</v>
      </c>
      <c r="E3" s="105" t="str">
        <f>IF(Tableau5[[#This Row],[Besoin OAI]]=Tableau5[[#This Row],[Remis OAI]],"OK","NOK")</f>
        <v>OK</v>
      </c>
      <c r="G3">
        <f>SUMIFS(Tableau4[NB Remis],Tableau4[Réf matériel],Tableau5[[#This Row],[Réf matériel]],Tableau4[Matricule],"ABE")</f>
        <v>0</v>
      </c>
      <c r="H3" s="105" t="str">
        <f>IF(Tableau5[[#This Row],[Besoin ABE]]=Tableau5[[#This Row],[Remis ABE]],"OK","NOK")</f>
        <v>OK</v>
      </c>
      <c r="J3">
        <f>SUMIFS(Tableau4[NB Remis],Tableau4[Réf matériel],Tableau5[[#This Row],[Réf matériel]],Tableau4[Matricule],"SBI")</f>
        <v>0</v>
      </c>
      <c r="K3" s="105" t="str">
        <f>IF(Tableau5[[#This Row],[Besoin SBI]]=Tableau5[[#This Row],[Remis SBI]],"OK","NOK")</f>
        <v>OK</v>
      </c>
      <c r="M3">
        <f>SUMIFS(Tableau4[NB Remis],Tableau4[Réf matériel],Tableau5[[#This Row],[Réf matériel]],Tableau4[Matricule],"ABI")</f>
        <v>0</v>
      </c>
      <c r="N3" s="105" t="str">
        <f>IF(Tableau5[[#This Row],[Besoin ABI]]=Tableau5[[#This Row],[Remis ABI]],"OK","NOK")</f>
        <v>OK</v>
      </c>
      <c r="P3">
        <f>SUMIFS(Tableau4[NB Remis],Tableau4[Réf matériel],Tableau5[[#This Row],[Réf matériel]],Tableau4[Matricule],"DCE")</f>
        <v>0</v>
      </c>
      <c r="Q3" s="105" t="str">
        <f>IF(Tableau5[[#This Row],[Besoin DCE]]=Tableau5[[#This Row],[Remis DCE]],"OK","NOK")</f>
        <v>OK</v>
      </c>
      <c r="R3">
        <v>1</v>
      </c>
      <c r="S3">
        <f>SUMIFS(Tableau4[NB Remis],Tableau4[Réf matériel],Tableau5[[#This Row],[Réf matériel]],Tableau4[Matricule],"JDE")</f>
        <v>1</v>
      </c>
      <c r="T3" s="105" t="str">
        <f>IF(Tableau5[[#This Row],[Besoin JDE]]=Tableau5[[#This Row],[Remis JDE]],"OK","NOK")</f>
        <v>OK</v>
      </c>
      <c r="V3">
        <f>SUMIFS(Tableau4[NB Remis],Tableau4[Réf matériel],Tableau5[[#This Row],[Réf matériel]],Tableau4[Matricule],"ODI")</f>
        <v>0</v>
      </c>
      <c r="W3" s="105" t="str">
        <f>IF(Tableau5[[#This Row],[Besoin ODI]]=Tableau5[[#This Row],[Remis ODI]],"OK","NOK")</f>
        <v>OK</v>
      </c>
      <c r="Y3">
        <f>SUMIFS(Tableau4[NB Remis],Tableau4[Réf matériel],Tableau5[[#This Row],[Réf matériel]],Tableau4[Matricule],"MFO")</f>
        <v>0</v>
      </c>
      <c r="Z3" s="105" t="str">
        <f>IF(Tableau5[[#This Row],[Besoin MFO]]=Tableau5[[#This Row],[Remis MFO]],"OK","NOK")</f>
        <v>OK</v>
      </c>
      <c r="AB3">
        <f>SUMIFS(Tableau4[NB Remis],Tableau4[Réf matériel],Tableau5[[#This Row],[Réf matériel]],Tableau4[Matricule],"SDU")</f>
        <v>0</v>
      </c>
      <c r="AC3" s="105" t="str">
        <f>IF(Tableau5[[#This Row],[Besoin SDU]]=Tableau5[[#This Row],[Remis SDU]],"OK","NOK")</f>
        <v>OK</v>
      </c>
      <c r="AE3">
        <f>SUMIFS(Tableau4[NB Remis],Tableau4[Réf matériel],Tableau5[[#This Row],[Réf matériel]],Tableau4[Matricule],"GGA")</f>
        <v>0</v>
      </c>
      <c r="AF3" s="105" t="str">
        <f>IF(Tableau5[[#This Row],[Besoin GGA2]]=Tableau5[[#This Row],[Remis GGA3]],"OK","NOK")</f>
        <v>OK</v>
      </c>
      <c r="AH3">
        <f>SUMIFS(Tableau4[NB Remis],Tableau4[Réf matériel],Tableau5[[#This Row],[Réf matériel]],Tableau4[Matricule],"RGE")</f>
        <v>0</v>
      </c>
      <c r="AI3" s="105" t="str">
        <f>IF(Tableau5[[#This Row],[Besoin RGE]]=Tableau5[[#This Row],[Remis RGE]],"OK","NOK")</f>
        <v>OK</v>
      </c>
      <c r="AK3">
        <f>SUMIFS(Tableau4[NB Remis],Tableau4[Réf matériel],Tableau5[[#This Row],[Réf matériel]],Tableau4[Matricule],"CKE")</f>
        <v>0</v>
      </c>
      <c r="AL3" s="105" t="str">
        <f>IF(Tableau5[[#This Row],[Besoin CKE]]=Tableau5[[#This Row],[Remis CKE]],"OK","NOK")</f>
        <v>OK</v>
      </c>
      <c r="AN3">
        <f>SUMIFS(Tableau4[NB Remis],Tableau4[Réf matériel],Tableau5[[#This Row],[Réf matériel]],Tableau4[Matricule],"DMA")</f>
        <v>0</v>
      </c>
      <c r="AO3" s="105" t="str">
        <f>IF(Tableau5[[#This Row],[Besoin DMA]]=Tableau5[[#This Row],[Remis DMA]],"OK","NOK")</f>
        <v>OK</v>
      </c>
      <c r="AQ3">
        <f>SUMIFS(Tableau4[NB Remis],Tableau4[Réf matériel],Tableau5[[#This Row],[Réf matériel]],Tableau4[Matricule],"LMO")</f>
        <v>0</v>
      </c>
      <c r="AR3" s="105" t="str">
        <f>IF(Tableau5[[#This Row],[Besoin LMO]]=Tableau5[[#This Row],[Remis LMO]],"OK","NOK")</f>
        <v>OK</v>
      </c>
      <c r="AT3">
        <f>SUMIFS(Tableau4[NB Remis],Tableau4[Réf matériel],Tableau5[[#This Row],[Réf matériel]],Tableau4[Matricule],"TMO")</f>
        <v>0</v>
      </c>
      <c r="AU3" s="105" t="str">
        <f>IF(Tableau5[[#This Row],[Besoin TMO]]=Tableau5[[#This Row],[Remis TMO]],"OK","NOK")</f>
        <v>OK</v>
      </c>
      <c r="AW3">
        <f>SUMIFS(Tableau4[NB Remis],Tableau4[Réf matériel],Tableau5[[#This Row],[Réf matériel]],Tableau4[Matricule],"JPA")</f>
        <v>0</v>
      </c>
      <c r="AX3" s="105" t="str">
        <f>IF(Tableau5[[#This Row],[Besoin JPA]]=Tableau5[[#This Row],[Remis JPA]],"OK","NOK")</f>
        <v>OK</v>
      </c>
      <c r="AZ3">
        <f>SUMIFS(Tableau4[NB Remis],Tableau4[Réf matériel],Tableau5[[#This Row],[Réf matériel]],Tableau4[Matricule],"MPE")</f>
        <v>0</v>
      </c>
      <c r="BA3" s="105" t="str">
        <f>IF(Tableau5[[#This Row],[Besoin MPE]]=Tableau5[[#This Row],[Remis MPE]],"OK","NOK")</f>
        <v>OK</v>
      </c>
      <c r="BB3">
        <v>1</v>
      </c>
      <c r="BC3">
        <f>SUMIFS(Tableau4[NB Remis],Tableau4[Réf matériel],Tableau5[[#This Row],[Réf matériel]],Tableau4[Matricule],"SPR")</f>
        <v>1</v>
      </c>
      <c r="BD3" s="105" t="str">
        <f>IF(Tableau5[[#This Row],[Besoin SPR]]=Tableau5[[#This Row],[Remis SPR]],"OK","NOK")</f>
        <v>OK</v>
      </c>
      <c r="BF3">
        <f>SUMIFS(Tableau4[NB Remis],Tableau4[Réf matériel],Tableau5[[#This Row],[Réf matériel]],Tableau4[Matricule],"MRO")</f>
        <v>0</v>
      </c>
      <c r="BG3" s="105" t="str">
        <f>IF(Tableau5[[#This Row],[Besoin MRO]]=Tableau5[[#This Row],[Remis MRO]],"OK","NOK")</f>
        <v>OK</v>
      </c>
      <c r="BI3">
        <f>SUMIFS(Tableau4[NB Remis],Tableau4[Réf matériel],Tableau5[[#This Row],[Réf matériel]],Tableau4[Matricule],"LSA")</f>
        <v>0</v>
      </c>
      <c r="BJ3" s="105" t="str">
        <f>IF(Tableau5[[#This Row],[Besoin LSA]]=Tableau5[[#This Row],[Remis LSA]],"OK","NOK")</f>
        <v>OK</v>
      </c>
      <c r="BK3">
        <v>1</v>
      </c>
      <c r="BL3">
        <f>SUMIFS(Tableau4[NB Remis],Tableau4[Réf matériel],Tableau5[[#This Row],[Réf matériel]],Tableau4[Matricule],"SST")</f>
        <v>1</v>
      </c>
      <c r="BM3" s="105" t="str">
        <f>IF(Tableau5[[#This Row],[Besoin SST]]=Tableau5[[#This Row],[Remis SST]],"OK","NOK")</f>
        <v>OK</v>
      </c>
      <c r="BO3">
        <f>SUMIFS(Tableau4[NB Remis],Tableau4[Réf matériel],Tableau5[[#This Row],[Réf matériel]],Tableau4[Matricule],"CTH")</f>
        <v>0</v>
      </c>
      <c r="BP3" s="105" t="str">
        <f>IF(Tableau5[[#This Row],[Besoin CTH]]=Tableau5[[#This Row],[Remis CTH]],"OK","NOK")</f>
        <v>OK</v>
      </c>
      <c r="BR3">
        <f>SUMIFS(Tableau4[NB Remis],Tableau4[Réf matériel],Tableau5[[#This Row],[Réf matériel]],Tableau4[Matricule],"AVU")</f>
        <v>0</v>
      </c>
      <c r="BS3" s="105" t="str">
        <f>IF(Tableau5[[#This Row],[Besoin AVU]]=Tableau5[[#This Row],[Remis AVU]],"OK","NOK")</f>
        <v>OK</v>
      </c>
      <c r="BU3">
        <f>SUMIFS(Tableau4[NB Remis],Tableau4[Réf matériel],Tableau5[[#This Row],[Réf matériel]],Tableau4[Matricule],"FZE")</f>
        <v>0</v>
      </c>
      <c r="BV3" s="105" t="str">
        <f>IF(Tableau5[[#This Row],[Besoin FZE]]=Tableau5[[#This Row],[Remis FZE]],"OK","NOK")</f>
        <v>OK</v>
      </c>
      <c r="BX3">
        <f>SUMIFS(Tableau4[NB Remis],Tableau4[Réf matériel],Tableau5[[#This Row],[Réf matériel]],Tableau4[Matricule],"CV2")</f>
        <v>0</v>
      </c>
      <c r="BY3" s="105" t="str">
        <f>IF(Tableau5[[#This Row],[Besoin CV2]]=Tableau5[[#This Row],[Remis CV2]],"OK","NOK")</f>
        <v>OK</v>
      </c>
      <c r="CA3">
        <f>SUMIFS(Tableau4[NB Remis],Tableau4[Réf matériel],Tableau5[[#This Row],[Réf matériel]],Tableau4[Matricule],"CV3")</f>
        <v>0</v>
      </c>
      <c r="CB3" s="105" t="str">
        <f>IF(Tableau5[[#This Row],[Besoin CV3]]=Tableau5[[#This Row],[Remis CV3]],"OK","NOK")</f>
        <v>OK</v>
      </c>
      <c r="CD3">
        <f>SUMIFS(Tableau4[NB Remis],Tableau4[Réf matériel],Tableau5[[#This Row],[Réf matériel]],Tableau4[Matricule],"CV1")</f>
        <v>0</v>
      </c>
      <c r="CE3" s="105" t="str">
        <f>IF(Tableau5[[#This Row],[Besoin CV1]]=Tableau5[[#This Row],[Remis CV1]],"OK","NOK")</f>
        <v>OK</v>
      </c>
      <c r="CG3">
        <f>SUMIFS(Tableau4[NB Remis],Tableau4[Réf matériel],Tableau5[[#This Row],[Réf matériel]],Tableau4[Matricule],"CV4")</f>
        <v>0</v>
      </c>
      <c r="CH3" s="106" t="str">
        <f>IF(Tableau5[[#This Row],[Besoin CV4]]=Tableau5[[#This Row],[Remis CV4]],"OK","NOK")</f>
        <v>OK</v>
      </c>
    </row>
    <row r="4" spans="1:86" x14ac:dyDescent="0.25">
      <c r="B4" t="s">
        <v>399</v>
      </c>
      <c r="C4">
        <v>1</v>
      </c>
      <c r="D4">
        <f>SUMIFS(Tableau4[NB Remis],Tableau4[Réf matériel],Tableau5[[#This Row],[Réf matériel]],Tableau4[Matricule],"OAI")</f>
        <v>1</v>
      </c>
      <c r="E4" s="105" t="str">
        <f>IF(Tableau5[[#This Row],[Besoin OAI]]=Tableau5[[#This Row],[Remis OAI]],"OK","NOK")</f>
        <v>OK</v>
      </c>
      <c r="F4">
        <v>1</v>
      </c>
      <c r="G4">
        <f>SUMIFS(Tableau4[NB Remis],Tableau4[Réf matériel],Tableau5[[#This Row],[Réf matériel]],Tableau4[Matricule],"ABE")</f>
        <v>1</v>
      </c>
      <c r="H4" s="105" t="str">
        <f>IF(Tableau5[[#This Row],[Besoin ABE]]=Tableau5[[#This Row],[Remis ABE]],"OK","NOK")</f>
        <v>OK</v>
      </c>
      <c r="J4">
        <f>SUMIFS(Tableau4[NB Remis],Tableau4[Réf matériel],Tableau5[[#This Row],[Réf matériel]],Tableau4[Matricule],"SBI")</f>
        <v>0</v>
      </c>
      <c r="K4" s="105" t="str">
        <f>IF(Tableau5[[#This Row],[Besoin SBI]]=Tableau5[[#This Row],[Remis SBI]],"OK","NOK")</f>
        <v>OK</v>
      </c>
      <c r="L4">
        <v>1</v>
      </c>
      <c r="M4">
        <f>SUMIFS(Tableau4[NB Remis],Tableau4[Réf matériel],Tableau5[[#This Row],[Réf matériel]],Tableau4[Matricule],"ABI")</f>
        <v>1</v>
      </c>
      <c r="N4" s="105" t="str">
        <f>IF(Tableau5[[#This Row],[Besoin ABI]]=Tableau5[[#This Row],[Remis ABI]],"OK","NOK")</f>
        <v>OK</v>
      </c>
      <c r="P4">
        <f>SUMIFS(Tableau4[NB Remis],Tableau4[Réf matériel],Tableau5[[#This Row],[Réf matériel]],Tableau4[Matricule],"DCE")</f>
        <v>0</v>
      </c>
      <c r="Q4" s="105" t="str">
        <f>IF(Tableau5[[#This Row],[Besoin DCE]]=Tableau5[[#This Row],[Remis DCE]],"OK","NOK")</f>
        <v>OK</v>
      </c>
      <c r="R4">
        <v>1</v>
      </c>
      <c r="S4">
        <f>SUMIFS(Tableau4[NB Remis],Tableau4[Réf matériel],Tableau5[[#This Row],[Réf matériel]],Tableau4[Matricule],"JDE")</f>
        <v>1</v>
      </c>
      <c r="T4" s="105" t="str">
        <f>IF(Tableau5[[#This Row],[Besoin JDE]]=Tableau5[[#This Row],[Remis JDE]],"OK","NOK")</f>
        <v>OK</v>
      </c>
      <c r="U4">
        <v>1</v>
      </c>
      <c r="V4">
        <f>SUMIFS(Tableau4[NB Remis],Tableau4[Réf matériel],Tableau5[[#This Row],[Réf matériel]],Tableau4[Matricule],"ODI")</f>
        <v>1</v>
      </c>
      <c r="W4" s="105" t="str">
        <f>IF(Tableau5[[#This Row],[Besoin ODI]]=Tableau5[[#This Row],[Remis ODI]],"OK","NOK")</f>
        <v>OK</v>
      </c>
      <c r="Y4">
        <f>SUMIFS(Tableau4[NB Remis],Tableau4[Réf matériel],Tableau5[[#This Row],[Réf matériel]],Tableau4[Matricule],"MFO")</f>
        <v>0</v>
      </c>
      <c r="Z4" s="105" t="str">
        <f>IF(Tableau5[[#This Row],[Besoin MFO]]=Tableau5[[#This Row],[Remis MFO]],"OK","NOK")</f>
        <v>OK</v>
      </c>
      <c r="AB4">
        <f>SUMIFS(Tableau4[NB Remis],Tableau4[Réf matériel],Tableau5[[#This Row],[Réf matériel]],Tableau4[Matricule],"SDU")</f>
        <v>0</v>
      </c>
      <c r="AC4" s="105" t="str">
        <f>IF(Tableau5[[#This Row],[Besoin SDU]]=Tableau5[[#This Row],[Remis SDU]],"OK","NOK")</f>
        <v>OK</v>
      </c>
      <c r="AE4">
        <f>SUMIFS(Tableau4[NB Remis],Tableau4[Réf matériel],Tableau5[[#This Row],[Réf matériel]],Tableau4[Matricule],"GGA")</f>
        <v>0</v>
      </c>
      <c r="AF4" s="105" t="str">
        <f>IF(Tableau5[[#This Row],[Besoin GGA2]]=Tableau5[[#This Row],[Remis GGA3]],"OK","NOK")</f>
        <v>OK</v>
      </c>
      <c r="AG4">
        <v>1</v>
      </c>
      <c r="AH4">
        <f>SUMIFS(Tableau4[NB Remis],Tableau4[Réf matériel],Tableau5[[#This Row],[Réf matériel]],Tableau4[Matricule],"RGE")</f>
        <v>2</v>
      </c>
      <c r="AI4" s="105" t="str">
        <f>IF(Tableau5[[#This Row],[Besoin RGE]]=Tableau5[[#This Row],[Remis RGE]],"OK","NOK")</f>
        <v>NOK</v>
      </c>
      <c r="AJ4">
        <v>1</v>
      </c>
      <c r="AK4">
        <f>SUMIFS(Tableau4[NB Remis],Tableau4[Réf matériel],Tableau5[[#This Row],[Réf matériel]],Tableau4[Matricule],"CKE")</f>
        <v>1</v>
      </c>
      <c r="AL4" s="105" t="str">
        <f>IF(Tableau5[[#This Row],[Besoin CKE]]=Tableau5[[#This Row],[Remis CKE]],"OK","NOK")</f>
        <v>OK</v>
      </c>
      <c r="AN4">
        <f>SUMIFS(Tableau4[NB Remis],Tableau4[Réf matériel],Tableau5[[#This Row],[Réf matériel]],Tableau4[Matricule],"DMA")</f>
        <v>0</v>
      </c>
      <c r="AO4" s="105" t="str">
        <f>IF(Tableau5[[#This Row],[Besoin DMA]]=Tableau5[[#This Row],[Remis DMA]],"OK","NOK")</f>
        <v>OK</v>
      </c>
      <c r="AQ4">
        <f>SUMIFS(Tableau4[NB Remis],Tableau4[Réf matériel],Tableau5[[#This Row],[Réf matériel]],Tableau4[Matricule],"LMO")</f>
        <v>0</v>
      </c>
      <c r="AR4" s="105" t="str">
        <f>IF(Tableau5[[#This Row],[Besoin LMO]]=Tableau5[[#This Row],[Remis LMO]],"OK","NOK")</f>
        <v>OK</v>
      </c>
      <c r="AT4">
        <f>SUMIFS(Tableau4[NB Remis],Tableau4[Réf matériel],Tableau5[[#This Row],[Réf matériel]],Tableau4[Matricule],"TMO")</f>
        <v>0</v>
      </c>
      <c r="AU4" s="105" t="str">
        <f>IF(Tableau5[[#This Row],[Besoin TMO]]=Tableau5[[#This Row],[Remis TMO]],"OK","NOK")</f>
        <v>OK</v>
      </c>
      <c r="AV4">
        <v>1</v>
      </c>
      <c r="AW4">
        <f>SUMIFS(Tableau4[NB Remis],Tableau4[Réf matériel],Tableau5[[#This Row],[Réf matériel]],Tableau4[Matricule],"JPA")</f>
        <v>1</v>
      </c>
      <c r="AX4" s="105" t="str">
        <f>IF(Tableau5[[#This Row],[Besoin JPA]]=Tableau5[[#This Row],[Remis JPA]],"OK","NOK")</f>
        <v>OK</v>
      </c>
      <c r="AZ4">
        <f>SUMIFS(Tableau4[NB Remis],Tableau4[Réf matériel],Tableau5[[#This Row],[Réf matériel]],Tableau4[Matricule],"MPE")</f>
        <v>0</v>
      </c>
      <c r="BA4" s="105" t="str">
        <f>IF(Tableau5[[#This Row],[Besoin MPE]]=Tableau5[[#This Row],[Remis MPE]],"OK","NOK")</f>
        <v>OK</v>
      </c>
      <c r="BB4">
        <v>1</v>
      </c>
      <c r="BC4">
        <f>SUMIFS(Tableau4[NB Remis],Tableau4[Réf matériel],Tableau5[[#This Row],[Réf matériel]],Tableau4[Matricule],"SPR")</f>
        <v>1</v>
      </c>
      <c r="BD4" s="105" t="str">
        <f>IF(Tableau5[[#This Row],[Besoin SPR]]=Tableau5[[#This Row],[Remis SPR]],"OK","NOK")</f>
        <v>OK</v>
      </c>
      <c r="BE4">
        <v>1</v>
      </c>
      <c r="BF4">
        <f>SUMIFS(Tableau4[NB Remis],Tableau4[Réf matériel],Tableau5[[#This Row],[Réf matériel]],Tableau4[Matricule],"MRO")</f>
        <v>1</v>
      </c>
      <c r="BG4" s="105" t="str">
        <f>IF(Tableau5[[#This Row],[Besoin MRO]]=Tableau5[[#This Row],[Remis MRO]],"OK","NOK")</f>
        <v>OK</v>
      </c>
      <c r="BH4">
        <v>1</v>
      </c>
      <c r="BI4">
        <f>SUMIFS(Tableau4[NB Remis],Tableau4[Réf matériel],Tableau5[[#This Row],[Réf matériel]],Tableau4[Matricule],"LSA")</f>
        <v>1</v>
      </c>
      <c r="BJ4" s="105" t="str">
        <f>IF(Tableau5[[#This Row],[Besoin LSA]]=Tableau5[[#This Row],[Remis LSA]],"OK","NOK")</f>
        <v>OK</v>
      </c>
      <c r="BK4">
        <v>1</v>
      </c>
      <c r="BL4">
        <f>SUMIFS(Tableau4[NB Remis],Tableau4[Réf matériel],Tableau5[[#This Row],[Réf matériel]],Tableau4[Matricule],"SST")</f>
        <v>1</v>
      </c>
      <c r="BM4" s="105" t="str">
        <f>IF(Tableau5[[#This Row],[Besoin SST]]=Tableau5[[#This Row],[Remis SST]],"OK","NOK")</f>
        <v>OK</v>
      </c>
      <c r="BO4">
        <f>SUMIFS(Tableau4[NB Remis],Tableau4[Réf matériel],Tableau5[[#This Row],[Réf matériel]],Tableau4[Matricule],"CTH")</f>
        <v>0</v>
      </c>
      <c r="BP4" s="105" t="str">
        <f>IF(Tableau5[[#This Row],[Besoin CTH]]=Tableau5[[#This Row],[Remis CTH]],"OK","NOK")</f>
        <v>OK</v>
      </c>
      <c r="BQ4">
        <v>1</v>
      </c>
      <c r="BR4">
        <f>SUMIFS(Tableau4[NB Remis],Tableau4[Réf matériel],Tableau5[[#This Row],[Réf matériel]],Tableau4[Matricule],"AVU")</f>
        <v>1</v>
      </c>
      <c r="BS4" s="105" t="str">
        <f>IF(Tableau5[[#This Row],[Besoin AVU]]=Tableau5[[#This Row],[Remis AVU]],"OK","NOK")</f>
        <v>OK</v>
      </c>
      <c r="BU4">
        <f>SUMIFS(Tableau4[NB Remis],Tableau4[Réf matériel],Tableau5[[#This Row],[Réf matériel]],Tableau4[Matricule],"FZE")</f>
        <v>0</v>
      </c>
      <c r="BV4" s="105" t="str">
        <f>IF(Tableau5[[#This Row],[Besoin FZE]]=Tableau5[[#This Row],[Remis FZE]],"OK","NOK")</f>
        <v>OK</v>
      </c>
      <c r="BW4">
        <v>1</v>
      </c>
      <c r="BX4">
        <f>SUMIFS(Tableau4[NB Remis],Tableau4[Réf matériel],Tableau5[[#This Row],[Réf matériel]],Tableau4[Matricule],"CV2")</f>
        <v>1</v>
      </c>
      <c r="BY4" s="105" t="str">
        <f>IF(Tableau5[[#This Row],[Besoin CV2]]=Tableau5[[#This Row],[Remis CV2]],"OK","NOK")</f>
        <v>OK</v>
      </c>
      <c r="BZ4">
        <v>1</v>
      </c>
      <c r="CA4">
        <f>SUMIFS(Tableau4[NB Remis],Tableau4[Réf matériel],Tableau5[[#This Row],[Réf matériel]],Tableau4[Matricule],"CV3")</f>
        <v>1</v>
      </c>
      <c r="CB4" s="105" t="str">
        <f>IF(Tableau5[[#This Row],[Besoin CV3]]=Tableau5[[#This Row],[Remis CV3]],"OK","NOK")</f>
        <v>OK</v>
      </c>
      <c r="CC4">
        <v>1</v>
      </c>
      <c r="CD4">
        <f>SUMIFS(Tableau4[NB Remis],Tableau4[Réf matériel],Tableau5[[#This Row],[Réf matériel]],Tableau4[Matricule],"CV1")</f>
        <v>1</v>
      </c>
      <c r="CE4" s="105" t="str">
        <f>IF(Tableau5[[#This Row],[Besoin CV1]]=Tableau5[[#This Row],[Remis CV1]],"OK","NOK")</f>
        <v>OK</v>
      </c>
      <c r="CF4">
        <v>1</v>
      </c>
      <c r="CG4">
        <f>SUMIFS(Tableau4[NB Remis],Tableau4[Réf matériel],Tableau5[[#This Row],[Réf matériel]],Tableau4[Matricule],"CV4")</f>
        <v>1</v>
      </c>
      <c r="CH4" s="106" t="str">
        <f>IF(Tableau5[[#This Row],[Besoin CV4]]=Tableau5[[#This Row],[Remis CV4]],"OK","NOK")</f>
        <v>OK</v>
      </c>
    </row>
    <row r="5" spans="1:86" x14ac:dyDescent="0.25">
      <c r="B5" t="s">
        <v>433</v>
      </c>
      <c r="D5">
        <f>SUMIFS(Tableau4[NB Remis],Tableau4[Réf matériel],Tableau5[[#This Row],[Réf matériel]],Tableau4[Matricule],"OAI")</f>
        <v>0</v>
      </c>
      <c r="E5" s="105" t="str">
        <f>IF(Tableau5[[#This Row],[Besoin OAI]]=Tableau5[[#This Row],[Remis OAI]],"OK","NOK")</f>
        <v>OK</v>
      </c>
      <c r="G5">
        <f>SUMIFS(Tableau4[NB Remis],Tableau4[Réf matériel],Tableau5[[#This Row],[Réf matériel]],Tableau4[Matricule],"ABE")</f>
        <v>0</v>
      </c>
      <c r="H5" s="105" t="str">
        <f>IF(Tableau5[[#This Row],[Besoin ABE]]=Tableau5[[#This Row],[Remis ABE]],"OK","NOK")</f>
        <v>OK</v>
      </c>
      <c r="J5">
        <f>SUMIFS(Tableau4[NB Remis],Tableau4[Réf matériel],Tableau5[[#This Row],[Réf matériel]],Tableau4[Matricule],"SBI")</f>
        <v>0</v>
      </c>
      <c r="K5" s="105" t="str">
        <f>IF(Tableau5[[#This Row],[Besoin SBI]]=Tableau5[[#This Row],[Remis SBI]],"OK","NOK")</f>
        <v>OK</v>
      </c>
      <c r="M5">
        <f>SUMIFS(Tableau4[NB Remis],Tableau4[Réf matériel],Tableau5[[#This Row],[Réf matériel]],Tableau4[Matricule],"ABI")</f>
        <v>0</v>
      </c>
      <c r="N5" s="105" t="str">
        <f>IF(Tableau5[[#This Row],[Besoin ABI]]=Tableau5[[#This Row],[Remis ABI]],"OK","NOK")</f>
        <v>OK</v>
      </c>
      <c r="P5">
        <f>SUMIFS(Tableau4[NB Remis],Tableau4[Réf matériel],Tableau5[[#This Row],[Réf matériel]],Tableau4[Matricule],"DCE")</f>
        <v>0</v>
      </c>
      <c r="Q5" s="105" t="str">
        <f>IF(Tableau5[[#This Row],[Besoin DCE]]=Tableau5[[#This Row],[Remis DCE]],"OK","NOK")</f>
        <v>OK</v>
      </c>
      <c r="S5">
        <f>SUMIFS(Tableau4[NB Remis],Tableau4[Réf matériel],Tableau5[[#This Row],[Réf matériel]],Tableau4[Matricule],"JDE")</f>
        <v>0</v>
      </c>
      <c r="T5" s="105" t="str">
        <f>IF(Tableau5[[#This Row],[Besoin JDE]]=Tableau5[[#This Row],[Remis JDE]],"OK","NOK")</f>
        <v>OK</v>
      </c>
      <c r="V5">
        <f>SUMIFS(Tableau4[NB Remis],Tableau4[Réf matériel],Tableau5[[#This Row],[Réf matériel]],Tableau4[Matricule],"ODI")</f>
        <v>0</v>
      </c>
      <c r="W5" s="105" t="str">
        <f>IF(Tableau5[[#This Row],[Besoin ODI]]=Tableau5[[#This Row],[Remis ODI]],"OK","NOK")</f>
        <v>OK</v>
      </c>
      <c r="Y5">
        <f>SUMIFS(Tableau4[NB Remis],Tableau4[Réf matériel],Tableau5[[#This Row],[Réf matériel]],Tableau4[Matricule],"MFO")</f>
        <v>0</v>
      </c>
      <c r="Z5" s="105" t="str">
        <f>IF(Tableau5[[#This Row],[Besoin MFO]]=Tableau5[[#This Row],[Remis MFO]],"OK","NOK")</f>
        <v>OK</v>
      </c>
      <c r="AB5">
        <f>SUMIFS(Tableau4[NB Remis],Tableau4[Réf matériel],Tableau5[[#This Row],[Réf matériel]],Tableau4[Matricule],"SDU")</f>
        <v>0</v>
      </c>
      <c r="AC5" s="105" t="str">
        <f>IF(Tableau5[[#This Row],[Besoin SDU]]=Tableau5[[#This Row],[Remis SDU]],"OK","NOK")</f>
        <v>OK</v>
      </c>
      <c r="AE5">
        <f>SUMIFS(Tableau4[NB Remis],Tableau4[Réf matériel],Tableau5[[#This Row],[Réf matériel]],Tableau4[Matricule],"GGA")</f>
        <v>0</v>
      </c>
      <c r="AF5" s="105" t="str">
        <f>IF(Tableau5[[#This Row],[Besoin GGA2]]=Tableau5[[#This Row],[Remis GGA3]],"OK","NOK")</f>
        <v>OK</v>
      </c>
      <c r="AH5">
        <f>SUMIFS(Tableau4[NB Remis],Tableau4[Réf matériel],Tableau5[[#This Row],[Réf matériel]],Tableau4[Matricule],"RGE")</f>
        <v>0</v>
      </c>
      <c r="AI5" s="105" t="str">
        <f>IF(Tableau5[[#This Row],[Besoin RGE]]=Tableau5[[#This Row],[Remis RGE]],"OK","NOK")</f>
        <v>OK</v>
      </c>
      <c r="AK5">
        <f>SUMIFS(Tableau4[NB Remis],Tableau4[Réf matériel],Tableau5[[#This Row],[Réf matériel]],Tableau4[Matricule],"CKE")</f>
        <v>0</v>
      </c>
      <c r="AL5" s="105" t="str">
        <f>IF(Tableau5[[#This Row],[Besoin CKE]]=Tableau5[[#This Row],[Remis CKE]],"OK","NOK")</f>
        <v>OK</v>
      </c>
      <c r="AN5">
        <f>SUMIFS(Tableau4[NB Remis],Tableau4[Réf matériel],Tableau5[[#This Row],[Réf matériel]],Tableau4[Matricule],"DMA")</f>
        <v>0</v>
      </c>
      <c r="AO5" s="105" t="str">
        <f>IF(Tableau5[[#This Row],[Besoin DMA]]=Tableau5[[#This Row],[Remis DMA]],"OK","NOK")</f>
        <v>OK</v>
      </c>
      <c r="AQ5">
        <f>SUMIFS(Tableau4[NB Remis],Tableau4[Réf matériel],Tableau5[[#This Row],[Réf matériel]],Tableau4[Matricule],"LMO")</f>
        <v>0</v>
      </c>
      <c r="AR5" s="105" t="str">
        <f>IF(Tableau5[[#This Row],[Besoin LMO]]=Tableau5[[#This Row],[Remis LMO]],"OK","NOK")</f>
        <v>OK</v>
      </c>
      <c r="AT5">
        <f>SUMIFS(Tableau4[NB Remis],Tableau4[Réf matériel],Tableau5[[#This Row],[Réf matériel]],Tableau4[Matricule],"TMO")</f>
        <v>0</v>
      </c>
      <c r="AU5" s="105" t="str">
        <f>IF(Tableau5[[#This Row],[Besoin TMO]]=Tableau5[[#This Row],[Remis TMO]],"OK","NOK")</f>
        <v>OK</v>
      </c>
      <c r="AV5">
        <v>1</v>
      </c>
      <c r="AW5">
        <f>SUMIFS(Tableau4[NB Remis],Tableau4[Réf matériel],Tableau5[[#This Row],[Réf matériel]],Tableau4[Matricule],"JPA")</f>
        <v>1</v>
      </c>
      <c r="AX5" s="105" t="str">
        <f>IF(Tableau5[[#This Row],[Besoin JPA]]=Tableau5[[#This Row],[Remis JPA]],"OK","NOK")</f>
        <v>OK</v>
      </c>
      <c r="AZ5">
        <f>SUMIFS(Tableau4[NB Remis],Tableau4[Réf matériel],Tableau5[[#This Row],[Réf matériel]],Tableau4[Matricule],"MPE")</f>
        <v>0</v>
      </c>
      <c r="BA5" s="105" t="str">
        <f>IF(Tableau5[[#This Row],[Besoin MPE]]=Tableau5[[#This Row],[Remis MPE]],"OK","NOK")</f>
        <v>OK</v>
      </c>
      <c r="BB5">
        <v>1</v>
      </c>
      <c r="BC5">
        <f>SUMIFS(Tableau4[NB Remis],Tableau4[Réf matériel],Tableau5[[#This Row],[Réf matériel]],Tableau4[Matricule],"SPR")</f>
        <v>1</v>
      </c>
      <c r="BD5" s="105" t="str">
        <f>IF(Tableau5[[#This Row],[Besoin SPR]]=Tableau5[[#This Row],[Remis SPR]],"OK","NOK")</f>
        <v>OK</v>
      </c>
      <c r="BF5">
        <f>SUMIFS(Tableau4[NB Remis],Tableau4[Réf matériel],Tableau5[[#This Row],[Réf matériel]],Tableau4[Matricule],"MRO")</f>
        <v>0</v>
      </c>
      <c r="BG5" s="105" t="str">
        <f>IF(Tableau5[[#This Row],[Besoin MRO]]=Tableau5[[#This Row],[Remis MRO]],"OK","NOK")</f>
        <v>OK</v>
      </c>
      <c r="BI5">
        <f>SUMIFS(Tableau4[NB Remis],Tableau4[Réf matériel],Tableau5[[#This Row],[Réf matériel]],Tableau4[Matricule],"LSA")</f>
        <v>0</v>
      </c>
      <c r="BJ5" s="105" t="str">
        <f>IF(Tableau5[[#This Row],[Besoin LSA]]=Tableau5[[#This Row],[Remis LSA]],"OK","NOK")</f>
        <v>OK</v>
      </c>
      <c r="BL5">
        <f>SUMIFS(Tableau4[NB Remis],Tableau4[Réf matériel],Tableau5[[#This Row],[Réf matériel]],Tableau4[Matricule],"SST")</f>
        <v>0</v>
      </c>
      <c r="BM5" s="105" t="str">
        <f>IF(Tableau5[[#This Row],[Besoin SST]]=Tableau5[[#This Row],[Remis SST]],"OK","NOK")</f>
        <v>OK</v>
      </c>
      <c r="BO5">
        <f>SUMIFS(Tableau4[NB Remis],Tableau4[Réf matériel],Tableau5[[#This Row],[Réf matériel]],Tableau4[Matricule],"CTH")</f>
        <v>0</v>
      </c>
      <c r="BP5" s="105" t="str">
        <f>IF(Tableau5[[#This Row],[Besoin CTH]]=Tableau5[[#This Row],[Remis CTH]],"OK","NOK")</f>
        <v>OK</v>
      </c>
      <c r="BR5">
        <f>SUMIFS(Tableau4[NB Remis],Tableau4[Réf matériel],Tableau5[[#This Row],[Réf matériel]],Tableau4[Matricule],"AVU")</f>
        <v>0</v>
      </c>
      <c r="BS5" s="105" t="str">
        <f>IF(Tableau5[[#This Row],[Besoin AVU]]=Tableau5[[#This Row],[Remis AVU]],"OK","NOK")</f>
        <v>OK</v>
      </c>
      <c r="BU5">
        <f>SUMIFS(Tableau4[NB Remis],Tableau4[Réf matériel],Tableau5[[#This Row],[Réf matériel]],Tableau4[Matricule],"FZE")</f>
        <v>0</v>
      </c>
      <c r="BV5" s="105" t="str">
        <f>IF(Tableau5[[#This Row],[Besoin FZE]]=Tableau5[[#This Row],[Remis FZE]],"OK","NOK")</f>
        <v>OK</v>
      </c>
      <c r="BX5">
        <f>SUMIFS(Tableau4[NB Remis],Tableau4[Réf matériel],Tableau5[[#This Row],[Réf matériel]],Tableau4[Matricule],"CV2")</f>
        <v>0</v>
      </c>
      <c r="BY5" s="105" t="str">
        <f>IF(Tableau5[[#This Row],[Besoin CV2]]=Tableau5[[#This Row],[Remis CV2]],"OK","NOK")</f>
        <v>OK</v>
      </c>
      <c r="CA5">
        <f>SUMIFS(Tableau4[NB Remis],Tableau4[Réf matériel],Tableau5[[#This Row],[Réf matériel]],Tableau4[Matricule],"CV3")</f>
        <v>0</v>
      </c>
      <c r="CB5" s="105" t="str">
        <f>IF(Tableau5[[#This Row],[Besoin CV3]]=Tableau5[[#This Row],[Remis CV3]],"OK","NOK")</f>
        <v>OK</v>
      </c>
      <c r="CD5">
        <f>SUMIFS(Tableau4[NB Remis],Tableau4[Réf matériel],Tableau5[[#This Row],[Réf matériel]],Tableau4[Matricule],"CV1")</f>
        <v>0</v>
      </c>
      <c r="CE5" s="105" t="str">
        <f>IF(Tableau5[[#This Row],[Besoin CV1]]=Tableau5[[#This Row],[Remis CV1]],"OK","NOK")</f>
        <v>OK</v>
      </c>
      <c r="CG5">
        <f>SUMIFS(Tableau4[NB Remis],Tableau4[Réf matériel],Tableau5[[#This Row],[Réf matériel]],Tableau4[Matricule],"CV4")</f>
        <v>0</v>
      </c>
      <c r="CH5" s="106" t="str">
        <f>IF(Tableau5[[#This Row],[Besoin CV4]]=Tableau5[[#This Row],[Remis CV4]],"OK","NOK")</f>
        <v>OK</v>
      </c>
    </row>
    <row r="6" spans="1:86" x14ac:dyDescent="0.25">
      <c r="B6" t="s">
        <v>434</v>
      </c>
      <c r="C6">
        <v>1</v>
      </c>
      <c r="D6">
        <f>SUMIFS(Tableau4[NB Remis],Tableau4[Réf matériel],Tableau5[[#This Row],[Réf matériel]],Tableau4[Matricule],"OAI")</f>
        <v>1</v>
      </c>
      <c r="E6" s="105" t="str">
        <f>IF(Tableau5[[#This Row],[Besoin OAI]]=Tableau5[[#This Row],[Remis OAI]],"OK","NOK")</f>
        <v>OK</v>
      </c>
      <c r="G6">
        <f>SUMIFS(Tableau4[NB Remis],Tableau4[Réf matériel],Tableau5[[#This Row],[Réf matériel]],Tableau4[Matricule],"ABE")</f>
        <v>0</v>
      </c>
      <c r="H6" s="105" t="str">
        <f>IF(Tableau5[[#This Row],[Besoin ABE]]=Tableau5[[#This Row],[Remis ABE]],"OK","NOK")</f>
        <v>OK</v>
      </c>
      <c r="J6">
        <f>SUMIFS(Tableau4[NB Remis],Tableau4[Réf matériel],Tableau5[[#This Row],[Réf matériel]],Tableau4[Matricule],"SBI")</f>
        <v>0</v>
      </c>
      <c r="K6" s="105" t="str">
        <f>IF(Tableau5[[#This Row],[Besoin SBI]]=Tableau5[[#This Row],[Remis SBI]],"OK","NOK")</f>
        <v>OK</v>
      </c>
      <c r="M6">
        <f>SUMIFS(Tableau4[NB Remis],Tableau4[Réf matériel],Tableau5[[#This Row],[Réf matériel]],Tableau4[Matricule],"ABI")</f>
        <v>0</v>
      </c>
      <c r="N6" s="105" t="str">
        <f>IF(Tableau5[[#This Row],[Besoin ABI]]=Tableau5[[#This Row],[Remis ABI]],"OK","NOK")</f>
        <v>OK</v>
      </c>
      <c r="P6">
        <f>SUMIFS(Tableau4[NB Remis],Tableau4[Réf matériel],Tableau5[[#This Row],[Réf matériel]],Tableau4[Matricule],"DCE")</f>
        <v>0</v>
      </c>
      <c r="Q6" s="105" t="str">
        <f>IF(Tableau5[[#This Row],[Besoin DCE]]=Tableau5[[#This Row],[Remis DCE]],"OK","NOK")</f>
        <v>OK</v>
      </c>
      <c r="S6">
        <f>SUMIFS(Tableau4[NB Remis],Tableau4[Réf matériel],Tableau5[[#This Row],[Réf matériel]],Tableau4[Matricule],"JDE")</f>
        <v>0</v>
      </c>
      <c r="T6" s="105" t="str">
        <f>IF(Tableau5[[#This Row],[Besoin JDE]]=Tableau5[[#This Row],[Remis JDE]],"OK","NOK")</f>
        <v>OK</v>
      </c>
      <c r="V6">
        <f>SUMIFS(Tableau4[NB Remis],Tableau4[Réf matériel],Tableau5[[#This Row],[Réf matériel]],Tableau4[Matricule],"ODI")</f>
        <v>0</v>
      </c>
      <c r="W6" s="105" t="str">
        <f>IF(Tableau5[[#This Row],[Besoin ODI]]=Tableau5[[#This Row],[Remis ODI]],"OK","NOK")</f>
        <v>OK</v>
      </c>
      <c r="Y6">
        <f>SUMIFS(Tableau4[NB Remis],Tableau4[Réf matériel],Tableau5[[#This Row],[Réf matériel]],Tableau4[Matricule],"MFO")</f>
        <v>0</v>
      </c>
      <c r="Z6" s="105" t="str">
        <f>IF(Tableau5[[#This Row],[Besoin MFO]]=Tableau5[[#This Row],[Remis MFO]],"OK","NOK")</f>
        <v>OK</v>
      </c>
      <c r="AB6">
        <f>SUMIFS(Tableau4[NB Remis],Tableau4[Réf matériel],Tableau5[[#This Row],[Réf matériel]],Tableau4[Matricule],"SDU")</f>
        <v>0</v>
      </c>
      <c r="AC6" s="105" t="str">
        <f>IF(Tableau5[[#This Row],[Besoin SDU]]=Tableau5[[#This Row],[Remis SDU]],"OK","NOK")</f>
        <v>OK</v>
      </c>
      <c r="AE6">
        <f>SUMIFS(Tableau4[NB Remis],Tableau4[Réf matériel],Tableau5[[#This Row],[Réf matériel]],Tableau4[Matricule],"GGA")</f>
        <v>0</v>
      </c>
      <c r="AF6" s="105" t="str">
        <f>IF(Tableau5[[#This Row],[Besoin GGA2]]=Tableau5[[#This Row],[Remis GGA3]],"OK","NOK")</f>
        <v>OK</v>
      </c>
      <c r="AH6">
        <f>SUMIFS(Tableau4[NB Remis],Tableau4[Réf matériel],Tableau5[[#This Row],[Réf matériel]],Tableau4[Matricule],"RGE")</f>
        <v>0</v>
      </c>
      <c r="AI6" s="105" t="str">
        <f>IF(Tableau5[[#This Row],[Besoin RGE]]=Tableau5[[#This Row],[Remis RGE]],"OK","NOK")</f>
        <v>OK</v>
      </c>
      <c r="AK6">
        <f>SUMIFS(Tableau4[NB Remis],Tableau4[Réf matériel],Tableau5[[#This Row],[Réf matériel]],Tableau4[Matricule],"CKE")</f>
        <v>0</v>
      </c>
      <c r="AL6" s="105" t="str">
        <f>IF(Tableau5[[#This Row],[Besoin CKE]]=Tableau5[[#This Row],[Remis CKE]],"OK","NOK")</f>
        <v>OK</v>
      </c>
      <c r="AM6">
        <v>1</v>
      </c>
      <c r="AN6">
        <f>SUMIFS(Tableau4[NB Remis],Tableau4[Réf matériel],Tableau5[[#This Row],[Réf matériel]],Tableau4[Matricule],"DMA")</f>
        <v>1</v>
      </c>
      <c r="AO6" s="105" t="str">
        <f>IF(Tableau5[[#This Row],[Besoin DMA]]=Tableau5[[#This Row],[Remis DMA]],"OK","NOK")</f>
        <v>OK</v>
      </c>
      <c r="AQ6">
        <f>SUMIFS(Tableau4[NB Remis],Tableau4[Réf matériel],Tableau5[[#This Row],[Réf matériel]],Tableau4[Matricule],"LMO")</f>
        <v>0</v>
      </c>
      <c r="AR6" s="105" t="str">
        <f>IF(Tableau5[[#This Row],[Besoin LMO]]=Tableau5[[#This Row],[Remis LMO]],"OK","NOK")</f>
        <v>OK</v>
      </c>
      <c r="AT6">
        <f>SUMIFS(Tableau4[NB Remis],Tableau4[Réf matériel],Tableau5[[#This Row],[Réf matériel]],Tableau4[Matricule],"TMO")</f>
        <v>0</v>
      </c>
      <c r="AU6" s="105" t="str">
        <f>IF(Tableau5[[#This Row],[Besoin TMO]]=Tableau5[[#This Row],[Remis TMO]],"OK","NOK")</f>
        <v>OK</v>
      </c>
      <c r="AW6">
        <f>SUMIFS(Tableau4[NB Remis],Tableau4[Réf matériel],Tableau5[[#This Row],[Réf matériel]],Tableau4[Matricule],"JPA")</f>
        <v>0</v>
      </c>
      <c r="AX6" s="105" t="str">
        <f>IF(Tableau5[[#This Row],[Besoin JPA]]=Tableau5[[#This Row],[Remis JPA]],"OK","NOK")</f>
        <v>OK</v>
      </c>
      <c r="AZ6">
        <f>SUMIFS(Tableau4[NB Remis],Tableau4[Réf matériel],Tableau5[[#This Row],[Réf matériel]],Tableau4[Matricule],"MPE")</f>
        <v>0</v>
      </c>
      <c r="BA6" s="105" t="str">
        <f>IF(Tableau5[[#This Row],[Besoin MPE]]=Tableau5[[#This Row],[Remis MPE]],"OK","NOK")</f>
        <v>OK</v>
      </c>
      <c r="BB6">
        <v>1</v>
      </c>
      <c r="BC6">
        <f>SUMIFS(Tableau4[NB Remis],Tableau4[Réf matériel],Tableau5[[#This Row],[Réf matériel]],Tableau4[Matricule],"SPR")</f>
        <v>1</v>
      </c>
      <c r="BD6" s="105" t="str">
        <f>IF(Tableau5[[#This Row],[Besoin SPR]]=Tableau5[[#This Row],[Remis SPR]],"OK","NOK")</f>
        <v>OK</v>
      </c>
      <c r="BF6">
        <f>SUMIFS(Tableau4[NB Remis],Tableau4[Réf matériel],Tableau5[[#This Row],[Réf matériel]],Tableau4[Matricule],"MRO")</f>
        <v>0</v>
      </c>
      <c r="BG6" s="105" t="str">
        <f>IF(Tableau5[[#This Row],[Besoin MRO]]=Tableau5[[#This Row],[Remis MRO]],"OK","NOK")</f>
        <v>OK</v>
      </c>
      <c r="BI6">
        <f>SUMIFS(Tableau4[NB Remis],Tableau4[Réf matériel],Tableau5[[#This Row],[Réf matériel]],Tableau4[Matricule],"LSA")</f>
        <v>0</v>
      </c>
      <c r="BJ6" s="105" t="str">
        <f>IF(Tableau5[[#This Row],[Besoin LSA]]=Tableau5[[#This Row],[Remis LSA]],"OK","NOK")</f>
        <v>OK</v>
      </c>
      <c r="BL6">
        <f>SUMIFS(Tableau4[NB Remis],Tableau4[Réf matériel],Tableau5[[#This Row],[Réf matériel]],Tableau4[Matricule],"SST")</f>
        <v>0</v>
      </c>
      <c r="BM6" s="105" t="str">
        <f>IF(Tableau5[[#This Row],[Besoin SST]]=Tableau5[[#This Row],[Remis SST]],"OK","NOK")</f>
        <v>OK</v>
      </c>
      <c r="BO6">
        <f>SUMIFS(Tableau4[NB Remis],Tableau4[Réf matériel],Tableau5[[#This Row],[Réf matériel]],Tableau4[Matricule],"CTH")</f>
        <v>0</v>
      </c>
      <c r="BP6" s="105" t="str">
        <f>IF(Tableau5[[#This Row],[Besoin CTH]]=Tableau5[[#This Row],[Remis CTH]],"OK","NOK")</f>
        <v>OK</v>
      </c>
      <c r="BR6">
        <f>SUMIFS(Tableau4[NB Remis],Tableau4[Réf matériel],Tableau5[[#This Row],[Réf matériel]],Tableau4[Matricule],"AVU")</f>
        <v>0</v>
      </c>
      <c r="BS6" s="105" t="str">
        <f>IF(Tableau5[[#This Row],[Besoin AVU]]=Tableau5[[#This Row],[Remis AVU]],"OK","NOK")</f>
        <v>OK</v>
      </c>
      <c r="BU6">
        <f>SUMIFS(Tableau4[NB Remis],Tableau4[Réf matériel],Tableau5[[#This Row],[Réf matériel]],Tableau4[Matricule],"FZE")</f>
        <v>0</v>
      </c>
      <c r="BV6" s="105" t="str">
        <f>IF(Tableau5[[#This Row],[Besoin FZE]]=Tableau5[[#This Row],[Remis FZE]],"OK","NOK")</f>
        <v>OK</v>
      </c>
      <c r="BX6">
        <f>SUMIFS(Tableau4[NB Remis],Tableau4[Réf matériel],Tableau5[[#This Row],[Réf matériel]],Tableau4[Matricule],"CV2")</f>
        <v>0</v>
      </c>
      <c r="BY6" s="105" t="str">
        <f>IF(Tableau5[[#This Row],[Besoin CV2]]=Tableau5[[#This Row],[Remis CV2]],"OK","NOK")</f>
        <v>OK</v>
      </c>
      <c r="CA6">
        <f>SUMIFS(Tableau4[NB Remis],Tableau4[Réf matériel],Tableau5[[#This Row],[Réf matériel]],Tableau4[Matricule],"CV3")</f>
        <v>0</v>
      </c>
      <c r="CB6" s="105" t="str">
        <f>IF(Tableau5[[#This Row],[Besoin CV3]]=Tableau5[[#This Row],[Remis CV3]],"OK","NOK")</f>
        <v>OK</v>
      </c>
      <c r="CD6">
        <f>SUMIFS(Tableau4[NB Remis],Tableau4[Réf matériel],Tableau5[[#This Row],[Réf matériel]],Tableau4[Matricule],"CV1")</f>
        <v>0</v>
      </c>
      <c r="CE6" s="105" t="str">
        <f>IF(Tableau5[[#This Row],[Besoin CV1]]=Tableau5[[#This Row],[Remis CV1]],"OK","NOK")</f>
        <v>OK</v>
      </c>
      <c r="CG6">
        <f>SUMIFS(Tableau4[NB Remis],Tableau4[Réf matériel],Tableau5[[#This Row],[Réf matériel]],Tableau4[Matricule],"CV4")</f>
        <v>0</v>
      </c>
      <c r="CH6" s="106" t="str">
        <f>IF(Tableau5[[#This Row],[Besoin CV4]]=Tableau5[[#This Row],[Remis CV4]],"OK","NOK")</f>
        <v>OK</v>
      </c>
    </row>
    <row r="7" spans="1:86" x14ac:dyDescent="0.25">
      <c r="B7" t="s">
        <v>395</v>
      </c>
      <c r="C7">
        <v>1</v>
      </c>
      <c r="D7">
        <f>SUMIFS(Tableau4[NB Remis],Tableau4[Réf matériel],Tableau5[[#This Row],[Réf matériel]],Tableau4[Matricule],"OAI")</f>
        <v>1</v>
      </c>
      <c r="E7" s="105" t="str">
        <f>IF(Tableau5[[#This Row],[Besoin OAI]]=Tableau5[[#This Row],[Remis OAI]],"OK","NOK")</f>
        <v>OK</v>
      </c>
      <c r="F7">
        <v>1</v>
      </c>
      <c r="G7">
        <f>SUMIFS(Tableau4[NB Remis],Tableau4[Réf matériel],Tableau5[[#This Row],[Réf matériel]],Tableau4[Matricule],"ABE")</f>
        <v>1</v>
      </c>
      <c r="H7" s="105" t="str">
        <f>IF(Tableau5[[#This Row],[Besoin ABE]]=Tableau5[[#This Row],[Remis ABE]],"OK","NOK")</f>
        <v>OK</v>
      </c>
      <c r="J7">
        <f>SUMIFS(Tableau4[NB Remis],Tableau4[Réf matériel],Tableau5[[#This Row],[Réf matériel]],Tableau4[Matricule],"SBI")</f>
        <v>0</v>
      </c>
      <c r="K7" s="105" t="str">
        <f>IF(Tableau5[[#This Row],[Besoin SBI]]=Tableau5[[#This Row],[Remis SBI]],"OK","NOK")</f>
        <v>OK</v>
      </c>
      <c r="L7">
        <v>1</v>
      </c>
      <c r="M7">
        <f>SUMIFS(Tableau4[NB Remis],Tableau4[Réf matériel],Tableau5[[#This Row],[Réf matériel]],Tableau4[Matricule],"ABI")</f>
        <v>1</v>
      </c>
      <c r="N7" s="105" t="str">
        <f>IF(Tableau5[[#This Row],[Besoin ABI]]=Tableau5[[#This Row],[Remis ABI]],"OK","NOK")</f>
        <v>OK</v>
      </c>
      <c r="P7">
        <f>SUMIFS(Tableau4[NB Remis],Tableau4[Réf matériel],Tableau5[[#This Row],[Réf matériel]],Tableau4[Matricule],"DCE")</f>
        <v>0</v>
      </c>
      <c r="Q7" s="105" t="str">
        <f>IF(Tableau5[[#This Row],[Besoin DCE]]=Tableau5[[#This Row],[Remis DCE]],"OK","NOK")</f>
        <v>OK</v>
      </c>
      <c r="R7">
        <v>1</v>
      </c>
      <c r="S7">
        <f>SUMIFS(Tableau4[NB Remis],Tableau4[Réf matériel],Tableau5[[#This Row],[Réf matériel]],Tableau4[Matricule],"JDE")</f>
        <v>1</v>
      </c>
      <c r="T7" s="105" t="str">
        <f>IF(Tableau5[[#This Row],[Besoin JDE]]=Tableau5[[#This Row],[Remis JDE]],"OK","NOK")</f>
        <v>OK</v>
      </c>
      <c r="U7">
        <v>1</v>
      </c>
      <c r="V7">
        <f>SUMIFS(Tableau4[NB Remis],Tableau4[Réf matériel],Tableau5[[#This Row],[Réf matériel]],Tableau4[Matricule],"ODI")</f>
        <v>1</v>
      </c>
      <c r="W7" s="105" t="str">
        <f>IF(Tableau5[[#This Row],[Besoin ODI]]=Tableau5[[#This Row],[Remis ODI]],"OK","NOK")</f>
        <v>OK</v>
      </c>
      <c r="Y7">
        <f>SUMIFS(Tableau4[NB Remis],Tableau4[Réf matériel],Tableau5[[#This Row],[Réf matériel]],Tableau4[Matricule],"MFO")</f>
        <v>0</v>
      </c>
      <c r="Z7" s="105" t="str">
        <f>IF(Tableau5[[#This Row],[Besoin MFO]]=Tableau5[[#This Row],[Remis MFO]],"OK","NOK")</f>
        <v>OK</v>
      </c>
      <c r="AB7">
        <f>SUMIFS(Tableau4[NB Remis],Tableau4[Réf matériel],Tableau5[[#This Row],[Réf matériel]],Tableau4[Matricule],"SDU")</f>
        <v>0</v>
      </c>
      <c r="AC7" s="105" t="str">
        <f>IF(Tableau5[[#This Row],[Besoin SDU]]=Tableau5[[#This Row],[Remis SDU]],"OK","NOK")</f>
        <v>OK</v>
      </c>
      <c r="AE7">
        <f>SUMIFS(Tableau4[NB Remis],Tableau4[Réf matériel],Tableau5[[#This Row],[Réf matériel]],Tableau4[Matricule],"GGA")</f>
        <v>0</v>
      </c>
      <c r="AF7" s="105" t="str">
        <f>IF(Tableau5[[#This Row],[Besoin GGA2]]=Tableau5[[#This Row],[Remis GGA3]],"OK","NOK")</f>
        <v>OK</v>
      </c>
      <c r="AG7">
        <v>1</v>
      </c>
      <c r="AH7">
        <f>SUMIFS(Tableau4[NB Remis],Tableau4[Réf matériel],Tableau5[[#This Row],[Réf matériel]],Tableau4[Matricule],"RGE")</f>
        <v>2</v>
      </c>
      <c r="AI7" s="105" t="str">
        <f>IF(Tableau5[[#This Row],[Besoin RGE]]=Tableau5[[#This Row],[Remis RGE]],"OK","NOK")</f>
        <v>NOK</v>
      </c>
      <c r="AJ7">
        <v>1</v>
      </c>
      <c r="AK7">
        <f>SUMIFS(Tableau4[NB Remis],Tableau4[Réf matériel],Tableau5[[#This Row],[Réf matériel]],Tableau4[Matricule],"CKE")</f>
        <v>1</v>
      </c>
      <c r="AL7" s="105" t="str">
        <f>IF(Tableau5[[#This Row],[Besoin CKE]]=Tableau5[[#This Row],[Remis CKE]],"OK","NOK")</f>
        <v>OK</v>
      </c>
      <c r="AN7">
        <f>SUMIFS(Tableau4[NB Remis],Tableau4[Réf matériel],Tableau5[[#This Row],[Réf matériel]],Tableau4[Matricule],"DMA")</f>
        <v>0</v>
      </c>
      <c r="AO7" s="105" t="str">
        <f>IF(Tableau5[[#This Row],[Besoin DMA]]=Tableau5[[#This Row],[Remis DMA]],"OK","NOK")</f>
        <v>OK</v>
      </c>
      <c r="AP7">
        <v>1</v>
      </c>
      <c r="AQ7">
        <f>SUMIFS(Tableau4[NB Remis],Tableau4[Réf matériel],Tableau5[[#This Row],[Réf matériel]],Tableau4[Matricule],"LMO")</f>
        <v>1</v>
      </c>
      <c r="AR7" s="105" t="str">
        <f>IF(Tableau5[[#This Row],[Besoin LMO]]=Tableau5[[#This Row],[Remis LMO]],"OK","NOK")</f>
        <v>OK</v>
      </c>
      <c r="AS7">
        <v>1</v>
      </c>
      <c r="AT7">
        <f>SUMIFS(Tableau4[NB Remis],Tableau4[Réf matériel],Tableau5[[#This Row],[Réf matériel]],Tableau4[Matricule],"TMO")</f>
        <v>1</v>
      </c>
      <c r="AU7" s="105" t="str">
        <f>IF(Tableau5[[#This Row],[Besoin TMO]]=Tableau5[[#This Row],[Remis TMO]],"OK","NOK")</f>
        <v>OK</v>
      </c>
      <c r="AV7">
        <v>1</v>
      </c>
      <c r="AW7">
        <f>SUMIFS(Tableau4[NB Remis],Tableau4[Réf matériel],Tableau5[[#This Row],[Réf matériel]],Tableau4[Matricule],"JPA")</f>
        <v>1</v>
      </c>
      <c r="AX7" s="105" t="str">
        <f>IF(Tableau5[[#This Row],[Besoin JPA]]=Tableau5[[#This Row],[Remis JPA]],"OK","NOK")</f>
        <v>OK</v>
      </c>
      <c r="AZ7">
        <f>SUMIFS(Tableau4[NB Remis],Tableau4[Réf matériel],Tableau5[[#This Row],[Réf matériel]],Tableau4[Matricule],"MPE")</f>
        <v>0</v>
      </c>
      <c r="BA7" s="105" t="str">
        <f>IF(Tableau5[[#This Row],[Besoin MPE]]=Tableau5[[#This Row],[Remis MPE]],"OK","NOK")</f>
        <v>OK</v>
      </c>
      <c r="BB7">
        <v>1</v>
      </c>
      <c r="BC7">
        <f>SUMIFS(Tableau4[NB Remis],Tableau4[Réf matériel],Tableau5[[#This Row],[Réf matériel]],Tableau4[Matricule],"SPR")</f>
        <v>1</v>
      </c>
      <c r="BD7" s="105" t="str">
        <f>IF(Tableau5[[#This Row],[Besoin SPR]]=Tableau5[[#This Row],[Remis SPR]],"OK","NOK")</f>
        <v>OK</v>
      </c>
      <c r="BE7">
        <v>1</v>
      </c>
      <c r="BF7">
        <f>SUMIFS(Tableau4[NB Remis],Tableau4[Réf matériel],Tableau5[[#This Row],[Réf matériel]],Tableau4[Matricule],"MRO")</f>
        <v>1</v>
      </c>
      <c r="BG7" s="105" t="str">
        <f>IF(Tableau5[[#This Row],[Besoin MRO]]=Tableau5[[#This Row],[Remis MRO]],"OK","NOK")</f>
        <v>OK</v>
      </c>
      <c r="BH7">
        <v>1</v>
      </c>
      <c r="BI7">
        <f>SUMIFS(Tableau4[NB Remis],Tableau4[Réf matériel],Tableau5[[#This Row],[Réf matériel]],Tableau4[Matricule],"LSA")</f>
        <v>1</v>
      </c>
      <c r="BJ7" s="105" t="str">
        <f>IF(Tableau5[[#This Row],[Besoin LSA]]=Tableau5[[#This Row],[Remis LSA]],"OK","NOK")</f>
        <v>OK</v>
      </c>
      <c r="BK7">
        <v>1</v>
      </c>
      <c r="BL7">
        <f>SUMIFS(Tableau4[NB Remis],Tableau4[Réf matériel],Tableau5[[#This Row],[Réf matériel]],Tableau4[Matricule],"SST")</f>
        <v>1</v>
      </c>
      <c r="BM7" s="105" t="str">
        <f>IF(Tableau5[[#This Row],[Besoin SST]]=Tableau5[[#This Row],[Remis SST]],"OK","NOK")</f>
        <v>OK</v>
      </c>
      <c r="BO7">
        <f>SUMIFS(Tableau4[NB Remis],Tableau4[Réf matériel],Tableau5[[#This Row],[Réf matériel]],Tableau4[Matricule],"CTH")</f>
        <v>0</v>
      </c>
      <c r="BP7" s="105" t="str">
        <f>IF(Tableau5[[#This Row],[Besoin CTH]]=Tableau5[[#This Row],[Remis CTH]],"OK","NOK")</f>
        <v>OK</v>
      </c>
      <c r="BQ7">
        <v>1</v>
      </c>
      <c r="BR7">
        <f>SUMIFS(Tableau4[NB Remis],Tableau4[Réf matériel],Tableau5[[#This Row],[Réf matériel]],Tableau4[Matricule],"AVU")</f>
        <v>1</v>
      </c>
      <c r="BS7" s="105" t="str">
        <f>IF(Tableau5[[#This Row],[Besoin AVU]]=Tableau5[[#This Row],[Remis AVU]],"OK","NOK")</f>
        <v>OK</v>
      </c>
      <c r="BU7">
        <f>SUMIFS(Tableau4[NB Remis],Tableau4[Réf matériel],Tableau5[[#This Row],[Réf matériel]],Tableau4[Matricule],"FZE")</f>
        <v>0</v>
      </c>
      <c r="BV7" s="105" t="str">
        <f>IF(Tableau5[[#This Row],[Besoin FZE]]=Tableau5[[#This Row],[Remis FZE]],"OK","NOK")</f>
        <v>OK</v>
      </c>
      <c r="BW7">
        <v>1</v>
      </c>
      <c r="BX7">
        <f>SUMIFS(Tableau4[NB Remis],Tableau4[Réf matériel],Tableau5[[#This Row],[Réf matériel]],Tableau4[Matricule],"CV2")</f>
        <v>1</v>
      </c>
      <c r="BY7" s="105" t="str">
        <f>IF(Tableau5[[#This Row],[Besoin CV2]]=Tableau5[[#This Row],[Remis CV2]],"OK","NOK")</f>
        <v>OK</v>
      </c>
      <c r="BZ7">
        <v>1</v>
      </c>
      <c r="CA7">
        <f>SUMIFS(Tableau4[NB Remis],Tableau4[Réf matériel],Tableau5[[#This Row],[Réf matériel]],Tableau4[Matricule],"CV3")</f>
        <v>1</v>
      </c>
      <c r="CB7" s="105" t="str">
        <f>IF(Tableau5[[#This Row],[Besoin CV3]]=Tableau5[[#This Row],[Remis CV3]],"OK","NOK")</f>
        <v>OK</v>
      </c>
      <c r="CC7">
        <v>1</v>
      </c>
      <c r="CD7">
        <f>SUMIFS(Tableau4[NB Remis],Tableau4[Réf matériel],Tableau5[[#This Row],[Réf matériel]],Tableau4[Matricule],"CV1")</f>
        <v>1</v>
      </c>
      <c r="CE7" s="105" t="str">
        <f>IF(Tableau5[[#This Row],[Besoin CV1]]=Tableau5[[#This Row],[Remis CV1]],"OK","NOK")</f>
        <v>OK</v>
      </c>
      <c r="CF7">
        <v>1</v>
      </c>
      <c r="CG7">
        <f>SUMIFS(Tableau4[NB Remis],Tableau4[Réf matériel],Tableau5[[#This Row],[Réf matériel]],Tableau4[Matricule],"CV4")</f>
        <v>1</v>
      </c>
      <c r="CH7" s="106" t="str">
        <f>IF(Tableau5[[#This Row],[Besoin CV4]]=Tableau5[[#This Row],[Remis CV4]],"OK","NOK")</f>
        <v>OK</v>
      </c>
    </row>
    <row r="8" spans="1:86" x14ac:dyDescent="0.25">
      <c r="B8" t="s">
        <v>401</v>
      </c>
      <c r="C8">
        <v>1</v>
      </c>
      <c r="D8">
        <f>SUMIFS(Tableau4[NB Remis],Tableau4[Réf matériel],Tableau5[[#This Row],[Réf matériel]],Tableau4[Matricule],"OAI")</f>
        <v>1</v>
      </c>
      <c r="E8" s="105" t="str">
        <f>IF(Tableau5[[#This Row],[Besoin OAI]]=Tableau5[[#This Row],[Remis OAI]],"OK","NOK")</f>
        <v>OK</v>
      </c>
      <c r="F8">
        <v>1</v>
      </c>
      <c r="G8">
        <f>SUMIFS(Tableau4[NB Remis],Tableau4[Réf matériel],Tableau5[[#This Row],[Réf matériel]],Tableau4[Matricule],"ABE")</f>
        <v>1</v>
      </c>
      <c r="H8" s="105" t="str">
        <f>IF(Tableau5[[#This Row],[Besoin ABE]]=Tableau5[[#This Row],[Remis ABE]],"OK","NOK")</f>
        <v>OK</v>
      </c>
      <c r="J8">
        <f>SUMIFS(Tableau4[NB Remis],Tableau4[Réf matériel],Tableau5[[#This Row],[Réf matériel]],Tableau4[Matricule],"SBI")</f>
        <v>0</v>
      </c>
      <c r="K8" s="105" t="str">
        <f>IF(Tableau5[[#This Row],[Besoin SBI]]=Tableau5[[#This Row],[Remis SBI]],"OK","NOK")</f>
        <v>OK</v>
      </c>
      <c r="L8">
        <v>1</v>
      </c>
      <c r="M8">
        <f>SUMIFS(Tableau4[NB Remis],Tableau4[Réf matériel],Tableau5[[#This Row],[Réf matériel]],Tableau4[Matricule],"ABI")</f>
        <v>1</v>
      </c>
      <c r="N8" s="105" t="str">
        <f>IF(Tableau5[[#This Row],[Besoin ABI]]=Tableau5[[#This Row],[Remis ABI]],"OK","NOK")</f>
        <v>OK</v>
      </c>
      <c r="P8">
        <f>SUMIFS(Tableau4[NB Remis],Tableau4[Réf matériel],Tableau5[[#This Row],[Réf matériel]],Tableau4[Matricule],"DCE")</f>
        <v>0</v>
      </c>
      <c r="Q8" s="105" t="str">
        <f>IF(Tableau5[[#This Row],[Besoin DCE]]=Tableau5[[#This Row],[Remis DCE]],"OK","NOK")</f>
        <v>OK</v>
      </c>
      <c r="R8">
        <v>1</v>
      </c>
      <c r="S8">
        <f>SUMIFS(Tableau4[NB Remis],Tableau4[Réf matériel],Tableau5[[#This Row],[Réf matériel]],Tableau4[Matricule],"JDE")</f>
        <v>1</v>
      </c>
      <c r="T8" s="105" t="str">
        <f>IF(Tableau5[[#This Row],[Besoin JDE]]=Tableau5[[#This Row],[Remis JDE]],"OK","NOK")</f>
        <v>OK</v>
      </c>
      <c r="U8">
        <v>1</v>
      </c>
      <c r="V8">
        <f>SUMIFS(Tableau4[NB Remis],Tableau4[Réf matériel],Tableau5[[#This Row],[Réf matériel]],Tableau4[Matricule],"ODI")</f>
        <v>1</v>
      </c>
      <c r="W8" s="105" t="str">
        <f>IF(Tableau5[[#This Row],[Besoin ODI]]=Tableau5[[#This Row],[Remis ODI]],"OK","NOK")</f>
        <v>OK</v>
      </c>
      <c r="Y8">
        <f>SUMIFS(Tableau4[NB Remis],Tableau4[Réf matériel],Tableau5[[#This Row],[Réf matériel]],Tableau4[Matricule],"MFO")</f>
        <v>0</v>
      </c>
      <c r="Z8" s="105" t="str">
        <f>IF(Tableau5[[#This Row],[Besoin MFO]]=Tableau5[[#This Row],[Remis MFO]],"OK","NOK")</f>
        <v>OK</v>
      </c>
      <c r="AB8">
        <f>SUMIFS(Tableau4[NB Remis],Tableau4[Réf matériel],Tableau5[[#This Row],[Réf matériel]],Tableau4[Matricule],"SDU")</f>
        <v>0</v>
      </c>
      <c r="AC8" s="105" t="str">
        <f>IF(Tableau5[[#This Row],[Besoin SDU]]=Tableau5[[#This Row],[Remis SDU]],"OK","NOK")</f>
        <v>OK</v>
      </c>
      <c r="AE8">
        <f>SUMIFS(Tableau4[NB Remis],Tableau4[Réf matériel],Tableau5[[#This Row],[Réf matériel]],Tableau4[Matricule],"GGA")</f>
        <v>0</v>
      </c>
      <c r="AF8" s="105" t="str">
        <f>IF(Tableau5[[#This Row],[Besoin GGA2]]=Tableau5[[#This Row],[Remis GGA3]],"OK","NOK")</f>
        <v>OK</v>
      </c>
      <c r="AG8">
        <v>1</v>
      </c>
      <c r="AH8">
        <f>SUMIFS(Tableau4[NB Remis],Tableau4[Réf matériel],Tableau5[[#This Row],[Réf matériel]],Tableau4[Matricule],"RGE")</f>
        <v>2</v>
      </c>
      <c r="AI8" s="105" t="str">
        <f>IF(Tableau5[[#This Row],[Besoin RGE]]=Tableau5[[#This Row],[Remis RGE]],"OK","NOK")</f>
        <v>NOK</v>
      </c>
      <c r="AJ8">
        <v>1</v>
      </c>
      <c r="AK8">
        <f>SUMIFS(Tableau4[NB Remis],Tableau4[Réf matériel],Tableau5[[#This Row],[Réf matériel]],Tableau4[Matricule],"CKE")</f>
        <v>1</v>
      </c>
      <c r="AL8" s="105" t="str">
        <f>IF(Tableau5[[#This Row],[Besoin CKE]]=Tableau5[[#This Row],[Remis CKE]],"OK","NOK")</f>
        <v>OK</v>
      </c>
      <c r="AN8">
        <f>SUMIFS(Tableau4[NB Remis],Tableau4[Réf matériel],Tableau5[[#This Row],[Réf matériel]],Tableau4[Matricule],"DMA")</f>
        <v>0</v>
      </c>
      <c r="AO8" s="105" t="str">
        <f>IF(Tableau5[[#This Row],[Besoin DMA]]=Tableau5[[#This Row],[Remis DMA]],"OK","NOK")</f>
        <v>OK</v>
      </c>
      <c r="AP8">
        <v>1</v>
      </c>
      <c r="AQ8">
        <f>SUMIFS(Tableau4[NB Remis],Tableau4[Réf matériel],Tableau5[[#This Row],[Réf matériel]],Tableau4[Matricule],"LMO")</f>
        <v>1</v>
      </c>
      <c r="AR8" s="105" t="str">
        <f>IF(Tableau5[[#This Row],[Besoin LMO]]=Tableau5[[#This Row],[Remis LMO]],"OK","NOK")</f>
        <v>OK</v>
      </c>
      <c r="AS8">
        <v>1</v>
      </c>
      <c r="AT8">
        <f>SUMIFS(Tableau4[NB Remis],Tableau4[Réf matériel],Tableau5[[#This Row],[Réf matériel]],Tableau4[Matricule],"TMO")</f>
        <v>1</v>
      </c>
      <c r="AU8" s="105" t="str">
        <f>IF(Tableau5[[#This Row],[Besoin TMO]]=Tableau5[[#This Row],[Remis TMO]],"OK","NOK")</f>
        <v>OK</v>
      </c>
      <c r="AV8">
        <v>1</v>
      </c>
      <c r="AW8">
        <f>SUMIFS(Tableau4[NB Remis],Tableau4[Réf matériel],Tableau5[[#This Row],[Réf matériel]],Tableau4[Matricule],"JPA")</f>
        <v>1</v>
      </c>
      <c r="AX8" s="105" t="str">
        <f>IF(Tableau5[[#This Row],[Besoin JPA]]=Tableau5[[#This Row],[Remis JPA]],"OK","NOK")</f>
        <v>OK</v>
      </c>
      <c r="AZ8">
        <f>SUMIFS(Tableau4[NB Remis],Tableau4[Réf matériel],Tableau5[[#This Row],[Réf matériel]],Tableau4[Matricule],"MPE")</f>
        <v>0</v>
      </c>
      <c r="BA8" s="105" t="str">
        <f>IF(Tableau5[[#This Row],[Besoin MPE]]=Tableau5[[#This Row],[Remis MPE]],"OK","NOK")</f>
        <v>OK</v>
      </c>
      <c r="BB8">
        <v>1</v>
      </c>
      <c r="BC8">
        <f>SUMIFS(Tableau4[NB Remis],Tableau4[Réf matériel],Tableau5[[#This Row],[Réf matériel]],Tableau4[Matricule],"SPR")</f>
        <v>1</v>
      </c>
      <c r="BD8" s="105" t="str">
        <f>IF(Tableau5[[#This Row],[Besoin SPR]]=Tableau5[[#This Row],[Remis SPR]],"OK","NOK")</f>
        <v>OK</v>
      </c>
      <c r="BE8">
        <v>1</v>
      </c>
      <c r="BF8">
        <f>SUMIFS(Tableau4[NB Remis],Tableau4[Réf matériel],Tableau5[[#This Row],[Réf matériel]],Tableau4[Matricule],"MRO")</f>
        <v>1</v>
      </c>
      <c r="BG8" s="105" t="str">
        <f>IF(Tableau5[[#This Row],[Besoin MRO]]=Tableau5[[#This Row],[Remis MRO]],"OK","NOK")</f>
        <v>OK</v>
      </c>
      <c r="BH8">
        <v>1</v>
      </c>
      <c r="BI8">
        <f>SUMIFS(Tableau4[NB Remis],Tableau4[Réf matériel],Tableau5[[#This Row],[Réf matériel]],Tableau4[Matricule],"LSA")</f>
        <v>1</v>
      </c>
      <c r="BJ8" s="105" t="str">
        <f>IF(Tableau5[[#This Row],[Besoin LSA]]=Tableau5[[#This Row],[Remis LSA]],"OK","NOK")</f>
        <v>OK</v>
      </c>
      <c r="BK8">
        <v>1</v>
      </c>
      <c r="BL8">
        <f>SUMIFS(Tableau4[NB Remis],Tableau4[Réf matériel],Tableau5[[#This Row],[Réf matériel]],Tableau4[Matricule],"SST")</f>
        <v>1</v>
      </c>
      <c r="BM8" s="105" t="str">
        <f>IF(Tableau5[[#This Row],[Besoin SST]]=Tableau5[[#This Row],[Remis SST]],"OK","NOK")</f>
        <v>OK</v>
      </c>
      <c r="BO8">
        <f>SUMIFS(Tableau4[NB Remis],Tableau4[Réf matériel],Tableau5[[#This Row],[Réf matériel]],Tableau4[Matricule],"CTH")</f>
        <v>0</v>
      </c>
      <c r="BP8" s="105" t="str">
        <f>IF(Tableau5[[#This Row],[Besoin CTH]]=Tableau5[[#This Row],[Remis CTH]],"OK","NOK")</f>
        <v>OK</v>
      </c>
      <c r="BQ8">
        <v>1</v>
      </c>
      <c r="BR8">
        <f>SUMIFS(Tableau4[NB Remis],Tableau4[Réf matériel],Tableau5[[#This Row],[Réf matériel]],Tableau4[Matricule],"AVU")</f>
        <v>1</v>
      </c>
      <c r="BS8" s="105" t="str">
        <f>IF(Tableau5[[#This Row],[Besoin AVU]]=Tableau5[[#This Row],[Remis AVU]],"OK","NOK")</f>
        <v>OK</v>
      </c>
      <c r="BU8">
        <f>SUMIFS(Tableau4[NB Remis],Tableau4[Réf matériel],Tableau5[[#This Row],[Réf matériel]],Tableau4[Matricule],"FZE")</f>
        <v>0</v>
      </c>
      <c r="BV8" s="105" t="str">
        <f>IF(Tableau5[[#This Row],[Besoin FZE]]=Tableau5[[#This Row],[Remis FZE]],"OK","NOK")</f>
        <v>OK</v>
      </c>
      <c r="BW8">
        <v>1</v>
      </c>
      <c r="BX8">
        <f>SUMIFS(Tableau4[NB Remis],Tableau4[Réf matériel],Tableau5[[#This Row],[Réf matériel]],Tableau4[Matricule],"CV2")</f>
        <v>1</v>
      </c>
      <c r="BY8" s="105" t="str">
        <f>IF(Tableau5[[#This Row],[Besoin CV2]]=Tableau5[[#This Row],[Remis CV2]],"OK","NOK")</f>
        <v>OK</v>
      </c>
      <c r="BZ8">
        <v>1</v>
      </c>
      <c r="CA8">
        <f>SUMIFS(Tableau4[NB Remis],Tableau4[Réf matériel],Tableau5[[#This Row],[Réf matériel]],Tableau4[Matricule],"CV3")</f>
        <v>1</v>
      </c>
      <c r="CB8" s="105" t="str">
        <f>IF(Tableau5[[#This Row],[Besoin CV3]]=Tableau5[[#This Row],[Remis CV3]],"OK","NOK")</f>
        <v>OK</v>
      </c>
      <c r="CC8">
        <v>1</v>
      </c>
      <c r="CD8">
        <f>SUMIFS(Tableau4[NB Remis],Tableau4[Réf matériel],Tableau5[[#This Row],[Réf matériel]],Tableau4[Matricule],"CV1")</f>
        <v>1</v>
      </c>
      <c r="CE8" s="105" t="str">
        <f>IF(Tableau5[[#This Row],[Besoin CV1]]=Tableau5[[#This Row],[Remis CV1]],"OK","NOK")</f>
        <v>OK</v>
      </c>
      <c r="CF8">
        <v>1</v>
      </c>
      <c r="CG8">
        <f>SUMIFS(Tableau4[NB Remis],Tableau4[Réf matériel],Tableau5[[#This Row],[Réf matériel]],Tableau4[Matricule],"CV4")</f>
        <v>1</v>
      </c>
      <c r="CH8" s="106" t="str">
        <f>IF(Tableau5[[#This Row],[Besoin CV4]]=Tableau5[[#This Row],[Remis CV4]],"OK","NOK")</f>
        <v>OK</v>
      </c>
    </row>
    <row r="9" spans="1:86" x14ac:dyDescent="0.25">
      <c r="B9" t="s">
        <v>391</v>
      </c>
      <c r="C9">
        <v>1</v>
      </c>
      <c r="D9">
        <f>SUMIFS(Tableau4[NB Remis],Tableau4[Réf matériel],Tableau5[[#This Row],[Réf matériel]],Tableau4[Matricule],"OAI")</f>
        <v>1</v>
      </c>
      <c r="E9" s="105" t="str">
        <f>IF(Tableau5[[#This Row],[Besoin OAI]]=Tableau5[[#This Row],[Remis OAI]],"OK","NOK")</f>
        <v>OK</v>
      </c>
      <c r="F9">
        <v>0</v>
      </c>
      <c r="G9">
        <f>SUMIFS(Tableau4[NB Remis],Tableau4[Réf matériel],Tableau5[[#This Row],[Réf matériel]],Tableau4[Matricule],"ABE")</f>
        <v>0</v>
      </c>
      <c r="H9" s="105" t="str">
        <f>IF(Tableau5[[#This Row],[Besoin ABE]]=Tableau5[[#This Row],[Remis ABE]],"OK","NOK")</f>
        <v>OK</v>
      </c>
      <c r="J9">
        <f>SUMIFS(Tableau4[NB Remis],Tableau4[Réf matériel],Tableau5[[#This Row],[Réf matériel]],Tableau4[Matricule],"SBI")</f>
        <v>0</v>
      </c>
      <c r="K9" s="105" t="str">
        <f>IF(Tableau5[[#This Row],[Besoin SBI]]=Tableau5[[#This Row],[Remis SBI]],"OK","NOK")</f>
        <v>OK</v>
      </c>
      <c r="L9">
        <v>0</v>
      </c>
      <c r="M9">
        <f>SUMIFS(Tableau4[NB Remis],Tableau4[Réf matériel],Tableau5[[#This Row],[Réf matériel]],Tableau4[Matricule],"ABI")</f>
        <v>0</v>
      </c>
      <c r="N9" s="105" t="str">
        <f>IF(Tableau5[[#This Row],[Besoin ABI]]=Tableau5[[#This Row],[Remis ABI]],"OK","NOK")</f>
        <v>OK</v>
      </c>
      <c r="P9">
        <f>SUMIFS(Tableau4[NB Remis],Tableau4[Réf matériel],Tableau5[[#This Row],[Réf matériel]],Tableau4[Matricule],"DCE")</f>
        <v>0</v>
      </c>
      <c r="Q9" s="105" t="str">
        <f>IF(Tableau5[[#This Row],[Besoin DCE]]=Tableau5[[#This Row],[Remis DCE]],"OK","NOK")</f>
        <v>OK</v>
      </c>
      <c r="R9">
        <v>1</v>
      </c>
      <c r="S9">
        <f>SUMIFS(Tableau4[NB Remis],Tableau4[Réf matériel],Tableau5[[#This Row],[Réf matériel]],Tableau4[Matricule],"JDE")</f>
        <v>1</v>
      </c>
      <c r="T9" s="105" t="str">
        <f>IF(Tableau5[[#This Row],[Besoin JDE]]=Tableau5[[#This Row],[Remis JDE]],"OK","NOK")</f>
        <v>OK</v>
      </c>
      <c r="U9">
        <v>1</v>
      </c>
      <c r="V9">
        <f>SUMIFS(Tableau4[NB Remis],Tableau4[Réf matériel],Tableau5[[#This Row],[Réf matériel]],Tableau4[Matricule],"ODI")</f>
        <v>1</v>
      </c>
      <c r="W9" s="105" t="str">
        <f>IF(Tableau5[[#This Row],[Besoin ODI]]=Tableau5[[#This Row],[Remis ODI]],"OK","NOK")</f>
        <v>OK</v>
      </c>
      <c r="Y9">
        <f>SUMIFS(Tableau4[NB Remis],Tableau4[Réf matériel],Tableau5[[#This Row],[Réf matériel]],Tableau4[Matricule],"MFO")</f>
        <v>0</v>
      </c>
      <c r="Z9" s="105" t="str">
        <f>IF(Tableau5[[#This Row],[Besoin MFO]]=Tableau5[[#This Row],[Remis MFO]],"OK","NOK")</f>
        <v>OK</v>
      </c>
      <c r="AB9">
        <f>SUMIFS(Tableau4[NB Remis],Tableau4[Réf matériel],Tableau5[[#This Row],[Réf matériel]],Tableau4[Matricule],"SDU")</f>
        <v>0</v>
      </c>
      <c r="AC9" s="105" t="str">
        <f>IF(Tableau5[[#This Row],[Besoin SDU]]=Tableau5[[#This Row],[Remis SDU]],"OK","NOK")</f>
        <v>OK</v>
      </c>
      <c r="AE9">
        <f>SUMIFS(Tableau4[NB Remis],Tableau4[Réf matériel],Tableau5[[#This Row],[Réf matériel]],Tableau4[Matricule],"GGA")</f>
        <v>0</v>
      </c>
      <c r="AF9" s="105" t="str">
        <f>IF(Tableau5[[#This Row],[Besoin GGA2]]=Tableau5[[#This Row],[Remis GGA3]],"OK","NOK")</f>
        <v>OK</v>
      </c>
      <c r="AG9">
        <v>1</v>
      </c>
      <c r="AH9">
        <f>SUMIFS(Tableau4[NB Remis],Tableau4[Réf matériel],Tableau5[[#This Row],[Réf matériel]],Tableau4[Matricule],"RGE")</f>
        <v>3</v>
      </c>
      <c r="AI9" s="105" t="str">
        <f>IF(Tableau5[[#This Row],[Besoin RGE]]=Tableau5[[#This Row],[Remis RGE]],"OK","NOK")</f>
        <v>NOK</v>
      </c>
      <c r="AJ9">
        <v>1</v>
      </c>
      <c r="AK9">
        <f>SUMIFS(Tableau4[NB Remis],Tableau4[Réf matériel],Tableau5[[#This Row],[Réf matériel]],Tableau4[Matricule],"CKE")</f>
        <v>1</v>
      </c>
      <c r="AL9" s="105" t="str">
        <f>IF(Tableau5[[#This Row],[Besoin CKE]]=Tableau5[[#This Row],[Remis CKE]],"OK","NOK")</f>
        <v>OK</v>
      </c>
      <c r="AN9">
        <f>SUMIFS(Tableau4[NB Remis],Tableau4[Réf matériel],Tableau5[[#This Row],[Réf matériel]],Tableau4[Matricule],"DMA")</f>
        <v>0</v>
      </c>
      <c r="AO9" s="105" t="str">
        <f>IF(Tableau5[[#This Row],[Besoin DMA]]=Tableau5[[#This Row],[Remis DMA]],"OK","NOK")</f>
        <v>OK</v>
      </c>
      <c r="AP9">
        <v>1</v>
      </c>
      <c r="AQ9">
        <f>SUMIFS(Tableau4[NB Remis],Tableau4[Réf matériel],Tableau5[[#This Row],[Réf matériel]],Tableau4[Matricule],"LMO")</f>
        <v>1</v>
      </c>
      <c r="AR9" s="105" t="str">
        <f>IF(Tableau5[[#This Row],[Besoin LMO]]=Tableau5[[#This Row],[Remis LMO]],"OK","NOK")</f>
        <v>OK</v>
      </c>
      <c r="AS9">
        <v>1</v>
      </c>
      <c r="AT9">
        <f>SUMIFS(Tableau4[NB Remis],Tableau4[Réf matériel],Tableau5[[#This Row],[Réf matériel]],Tableau4[Matricule],"TMO")</f>
        <v>1</v>
      </c>
      <c r="AU9" s="105" t="str">
        <f>IF(Tableau5[[#This Row],[Besoin TMO]]=Tableau5[[#This Row],[Remis TMO]],"OK","NOK")</f>
        <v>OK</v>
      </c>
      <c r="AV9">
        <v>0</v>
      </c>
      <c r="AW9">
        <f>SUMIFS(Tableau4[NB Remis],Tableau4[Réf matériel],Tableau5[[#This Row],[Réf matériel]],Tableau4[Matricule],"JPA")</f>
        <v>0</v>
      </c>
      <c r="AX9" s="105" t="str">
        <f>IF(Tableau5[[#This Row],[Besoin JPA]]=Tableau5[[#This Row],[Remis JPA]],"OK","NOK")</f>
        <v>OK</v>
      </c>
      <c r="AZ9">
        <f>SUMIFS(Tableau4[NB Remis],Tableau4[Réf matériel],Tableau5[[#This Row],[Réf matériel]],Tableau4[Matricule],"MPE")</f>
        <v>0</v>
      </c>
      <c r="BA9" s="105" t="str">
        <f>IF(Tableau5[[#This Row],[Besoin MPE]]=Tableau5[[#This Row],[Remis MPE]],"OK","NOK")</f>
        <v>OK</v>
      </c>
      <c r="BB9">
        <v>1</v>
      </c>
      <c r="BC9">
        <f>SUMIFS(Tableau4[NB Remis],Tableau4[Réf matériel],Tableau5[[#This Row],[Réf matériel]],Tableau4[Matricule],"SPR")</f>
        <v>1</v>
      </c>
      <c r="BD9" s="105" t="str">
        <f>IF(Tableau5[[#This Row],[Besoin SPR]]=Tableau5[[#This Row],[Remis SPR]],"OK","NOK")</f>
        <v>OK</v>
      </c>
      <c r="BE9">
        <v>1</v>
      </c>
      <c r="BF9">
        <f>SUMIFS(Tableau4[NB Remis],Tableau4[Réf matériel],Tableau5[[#This Row],[Réf matériel]],Tableau4[Matricule],"MRO")</f>
        <v>1</v>
      </c>
      <c r="BG9" s="105" t="str">
        <f>IF(Tableau5[[#This Row],[Besoin MRO]]=Tableau5[[#This Row],[Remis MRO]],"OK","NOK")</f>
        <v>OK</v>
      </c>
      <c r="BH9">
        <v>1</v>
      </c>
      <c r="BI9">
        <f>SUMIFS(Tableau4[NB Remis],Tableau4[Réf matériel],Tableau5[[#This Row],[Réf matériel]],Tableau4[Matricule],"LSA")</f>
        <v>1</v>
      </c>
      <c r="BJ9" s="105" t="str">
        <f>IF(Tableau5[[#This Row],[Besoin LSA]]=Tableau5[[#This Row],[Remis LSA]],"OK","NOK")</f>
        <v>OK</v>
      </c>
      <c r="BK9">
        <v>0</v>
      </c>
      <c r="BL9">
        <f>SUMIFS(Tableau4[NB Remis],Tableau4[Réf matériel],Tableau5[[#This Row],[Réf matériel]],Tableau4[Matricule],"SST")</f>
        <v>0</v>
      </c>
      <c r="BM9" s="105" t="str">
        <f>IF(Tableau5[[#This Row],[Besoin SST]]=Tableau5[[#This Row],[Remis SST]],"OK","NOK")</f>
        <v>OK</v>
      </c>
      <c r="BO9">
        <f>SUMIFS(Tableau4[NB Remis],Tableau4[Réf matériel],Tableau5[[#This Row],[Réf matériel]],Tableau4[Matricule],"CTH")</f>
        <v>0</v>
      </c>
      <c r="BP9" s="105" t="str">
        <f>IF(Tableau5[[#This Row],[Besoin CTH]]=Tableau5[[#This Row],[Remis CTH]],"OK","NOK")</f>
        <v>OK</v>
      </c>
      <c r="BQ9">
        <v>1</v>
      </c>
      <c r="BR9">
        <f>SUMIFS(Tableau4[NB Remis],Tableau4[Réf matériel],Tableau5[[#This Row],[Réf matériel]],Tableau4[Matricule],"AVU")</f>
        <v>1</v>
      </c>
      <c r="BS9" s="105" t="str">
        <f>IF(Tableau5[[#This Row],[Besoin AVU]]=Tableau5[[#This Row],[Remis AVU]],"OK","NOK")</f>
        <v>OK</v>
      </c>
      <c r="BU9">
        <f>SUMIFS(Tableau4[NB Remis],Tableau4[Réf matériel],Tableau5[[#This Row],[Réf matériel]],Tableau4[Matricule],"FZE")</f>
        <v>0</v>
      </c>
      <c r="BV9" s="105" t="str">
        <f>IF(Tableau5[[#This Row],[Besoin FZE]]=Tableau5[[#This Row],[Remis FZE]],"OK","NOK")</f>
        <v>OK</v>
      </c>
      <c r="BW9">
        <v>1</v>
      </c>
      <c r="BX9">
        <f>SUMIFS(Tableau4[NB Remis],Tableau4[Réf matériel],Tableau5[[#This Row],[Réf matériel]],Tableau4[Matricule],"CV2")</f>
        <v>1</v>
      </c>
      <c r="BY9" s="105" t="str">
        <f>IF(Tableau5[[#This Row],[Besoin CV2]]=Tableau5[[#This Row],[Remis CV2]],"OK","NOK")</f>
        <v>OK</v>
      </c>
      <c r="BZ9">
        <v>1</v>
      </c>
      <c r="CA9">
        <f>SUMIFS(Tableau4[NB Remis],Tableau4[Réf matériel],Tableau5[[#This Row],[Réf matériel]],Tableau4[Matricule],"CV3")</f>
        <v>1</v>
      </c>
      <c r="CB9" s="105" t="str">
        <f>IF(Tableau5[[#This Row],[Besoin CV3]]=Tableau5[[#This Row],[Remis CV3]],"OK","NOK")</f>
        <v>OK</v>
      </c>
      <c r="CC9">
        <v>1</v>
      </c>
      <c r="CD9">
        <f>SUMIFS(Tableau4[NB Remis],Tableau4[Réf matériel],Tableau5[[#This Row],[Réf matériel]],Tableau4[Matricule],"CV1")</f>
        <v>1</v>
      </c>
      <c r="CE9" s="105" t="str">
        <f>IF(Tableau5[[#This Row],[Besoin CV1]]=Tableau5[[#This Row],[Remis CV1]],"OK","NOK")</f>
        <v>OK</v>
      </c>
      <c r="CF9">
        <v>1</v>
      </c>
      <c r="CG9">
        <f>SUMIFS(Tableau4[NB Remis],Tableau4[Réf matériel],Tableau5[[#This Row],[Réf matériel]],Tableau4[Matricule],"CV4")</f>
        <v>1</v>
      </c>
      <c r="CH9" s="106" t="str">
        <f>IF(Tableau5[[#This Row],[Besoin CV4]]=Tableau5[[#This Row],[Remis CV4]],"OK","NOK")</f>
        <v>OK</v>
      </c>
    </row>
    <row r="10" spans="1:86" x14ac:dyDescent="0.25">
      <c r="B10" t="s">
        <v>74</v>
      </c>
      <c r="C10">
        <v>1</v>
      </c>
      <c r="D10">
        <f>SUMIFS(Tableau4[NB Remis],Tableau4[Réf matériel],Tableau5[[#This Row],[Réf matériel]],Tableau4[Matricule],"OAI")</f>
        <v>0</v>
      </c>
      <c r="E10" s="105" t="str">
        <f>IF(Tableau5[[#This Row],[Besoin OAI]]=Tableau5[[#This Row],[Remis OAI]],"OK","NOK")</f>
        <v>NOK</v>
      </c>
      <c r="F10">
        <v>1</v>
      </c>
      <c r="G10">
        <f>SUMIFS(Tableau4[NB Remis],Tableau4[Réf matériel],Tableau5[[#This Row],[Réf matériel]],Tableau4[Matricule],"ABE")</f>
        <v>1</v>
      </c>
      <c r="H10" s="105" t="str">
        <f>IF(Tableau5[[#This Row],[Besoin ABE]]=Tableau5[[#This Row],[Remis ABE]],"OK","NOK")</f>
        <v>OK</v>
      </c>
      <c r="I10">
        <v>1</v>
      </c>
      <c r="J10">
        <f>SUMIFS(Tableau4[NB Remis],Tableau4[Réf matériel],Tableau5[[#This Row],[Réf matériel]],Tableau4[Matricule],"SBI")</f>
        <v>0</v>
      </c>
      <c r="K10" s="105" t="str">
        <f>IF(Tableau5[[#This Row],[Besoin SBI]]=Tableau5[[#This Row],[Remis SBI]],"OK","NOK")</f>
        <v>NOK</v>
      </c>
      <c r="L10">
        <v>1</v>
      </c>
      <c r="M10">
        <f>SUMIFS(Tableau4[NB Remis],Tableau4[Réf matériel],Tableau5[[#This Row],[Réf matériel]],Tableau4[Matricule],"ABI")</f>
        <v>1</v>
      </c>
      <c r="N10" s="105" t="str">
        <f>IF(Tableau5[[#This Row],[Besoin ABI]]=Tableau5[[#This Row],[Remis ABI]],"OK","NOK")</f>
        <v>OK</v>
      </c>
      <c r="P10">
        <f>SUMIFS(Tableau4[NB Remis],Tableau4[Réf matériel],Tableau5[[#This Row],[Réf matériel]],Tableau4[Matricule],"DCE")</f>
        <v>0</v>
      </c>
      <c r="Q10" s="105" t="str">
        <f>IF(Tableau5[[#This Row],[Besoin DCE]]=Tableau5[[#This Row],[Remis DCE]],"OK","NOK")</f>
        <v>OK</v>
      </c>
      <c r="R10">
        <v>1</v>
      </c>
      <c r="S10">
        <f>SUMIFS(Tableau4[NB Remis],Tableau4[Réf matériel],Tableau5[[#This Row],[Réf matériel]],Tableau4[Matricule],"JDE")</f>
        <v>1</v>
      </c>
      <c r="T10" s="105" t="str">
        <f>IF(Tableau5[[#This Row],[Besoin JDE]]=Tableau5[[#This Row],[Remis JDE]],"OK","NOK")</f>
        <v>OK</v>
      </c>
      <c r="U10">
        <v>1</v>
      </c>
      <c r="V10">
        <f>SUMIFS(Tableau4[NB Remis],Tableau4[Réf matériel],Tableau5[[#This Row],[Réf matériel]],Tableau4[Matricule],"ODI")</f>
        <v>1</v>
      </c>
      <c r="W10" s="105" t="str">
        <f>IF(Tableau5[[#This Row],[Besoin ODI]]=Tableau5[[#This Row],[Remis ODI]],"OK","NOK")</f>
        <v>OK</v>
      </c>
      <c r="X10">
        <v>1</v>
      </c>
      <c r="Y10">
        <f>SUMIFS(Tableau4[NB Remis],Tableau4[Réf matériel],Tableau5[[#This Row],[Réf matériel]],Tableau4[Matricule],"MFO")</f>
        <v>1</v>
      </c>
      <c r="Z10" s="105" t="str">
        <f>IF(Tableau5[[#This Row],[Besoin MFO]]=Tableau5[[#This Row],[Remis MFO]],"OK","NOK")</f>
        <v>OK</v>
      </c>
      <c r="AA10">
        <v>1</v>
      </c>
      <c r="AB10">
        <f>SUMIFS(Tableau4[NB Remis],Tableau4[Réf matériel],Tableau5[[#This Row],[Réf matériel]],Tableau4[Matricule],"SDU")</f>
        <v>1</v>
      </c>
      <c r="AC10" s="105" t="str">
        <f>IF(Tableau5[[#This Row],[Besoin SDU]]=Tableau5[[#This Row],[Remis SDU]],"OK","NOK")</f>
        <v>OK</v>
      </c>
      <c r="AD10">
        <v>1</v>
      </c>
      <c r="AE10">
        <f>SUMIFS(Tableau4[NB Remis],Tableau4[Réf matériel],Tableau5[[#This Row],[Réf matériel]],Tableau4[Matricule],"GGA")</f>
        <v>0</v>
      </c>
      <c r="AF10" s="105" t="str">
        <f>IF(Tableau5[[#This Row],[Besoin GGA2]]=Tableau5[[#This Row],[Remis GGA3]],"OK","NOK")</f>
        <v>NOK</v>
      </c>
      <c r="AG10">
        <v>1</v>
      </c>
      <c r="AH10">
        <f>SUMIFS(Tableau4[NB Remis],Tableau4[Réf matériel],Tableau5[[#This Row],[Réf matériel]],Tableau4[Matricule],"RGE")</f>
        <v>1</v>
      </c>
      <c r="AI10" s="105" t="str">
        <f>IF(Tableau5[[#This Row],[Besoin RGE]]=Tableau5[[#This Row],[Remis RGE]],"OK","NOK")</f>
        <v>OK</v>
      </c>
      <c r="AJ10">
        <v>1</v>
      </c>
      <c r="AK10">
        <f>SUMIFS(Tableau4[NB Remis],Tableau4[Réf matériel],Tableau5[[#This Row],[Réf matériel]],Tableau4[Matricule],"CKE")</f>
        <v>1</v>
      </c>
      <c r="AL10" s="105" t="str">
        <f>IF(Tableau5[[#This Row],[Besoin CKE]]=Tableau5[[#This Row],[Remis CKE]],"OK","NOK")</f>
        <v>OK</v>
      </c>
      <c r="AM10">
        <v>1</v>
      </c>
      <c r="AN10">
        <f>SUMIFS(Tableau4[NB Remis],Tableau4[Réf matériel],Tableau5[[#This Row],[Réf matériel]],Tableau4[Matricule],"DMA")</f>
        <v>0</v>
      </c>
      <c r="AO10" s="105" t="str">
        <f>IF(Tableau5[[#This Row],[Besoin DMA]]=Tableau5[[#This Row],[Remis DMA]],"OK","NOK")</f>
        <v>NOK</v>
      </c>
      <c r="AP10">
        <v>1</v>
      </c>
      <c r="AQ10">
        <f>SUMIFS(Tableau4[NB Remis],Tableau4[Réf matériel],Tableau5[[#This Row],[Réf matériel]],Tableau4[Matricule],"LMO")</f>
        <v>1</v>
      </c>
      <c r="AR10" s="105" t="str">
        <f>IF(Tableau5[[#This Row],[Besoin LMO]]=Tableau5[[#This Row],[Remis LMO]],"OK","NOK")</f>
        <v>OK</v>
      </c>
      <c r="AS10">
        <v>1</v>
      </c>
      <c r="AT10">
        <f>SUMIFS(Tableau4[NB Remis],Tableau4[Réf matériel],Tableau5[[#This Row],[Réf matériel]],Tableau4[Matricule],"TMO")</f>
        <v>0</v>
      </c>
      <c r="AU10" s="105" t="str">
        <f>IF(Tableau5[[#This Row],[Besoin TMO]]=Tableau5[[#This Row],[Remis TMO]],"OK","NOK")</f>
        <v>NOK</v>
      </c>
      <c r="AV10">
        <v>1</v>
      </c>
      <c r="AW10">
        <f>SUMIFS(Tableau4[NB Remis],Tableau4[Réf matériel],Tableau5[[#This Row],[Réf matériel]],Tableau4[Matricule],"JPA")</f>
        <v>0</v>
      </c>
      <c r="AX10" s="105" t="str">
        <f>IF(Tableau5[[#This Row],[Besoin JPA]]=Tableau5[[#This Row],[Remis JPA]],"OK","NOK")</f>
        <v>NOK</v>
      </c>
      <c r="AY10">
        <v>1</v>
      </c>
      <c r="AZ10">
        <f>SUMIFS(Tableau4[NB Remis],Tableau4[Réf matériel],Tableau5[[#This Row],[Réf matériel]],Tableau4[Matricule],"MPE")</f>
        <v>1</v>
      </c>
      <c r="BA10" s="105" t="str">
        <f>IF(Tableau5[[#This Row],[Besoin MPE]]=Tableau5[[#This Row],[Remis MPE]],"OK","NOK")</f>
        <v>OK</v>
      </c>
      <c r="BB10">
        <v>1</v>
      </c>
      <c r="BC10">
        <f>SUMIFS(Tableau4[NB Remis],Tableau4[Réf matériel],Tableau5[[#This Row],[Réf matériel]],Tableau4[Matricule],"SPR")</f>
        <v>1</v>
      </c>
      <c r="BD10" s="105" t="str">
        <f>IF(Tableau5[[#This Row],[Besoin SPR]]=Tableau5[[#This Row],[Remis SPR]],"OK","NOK")</f>
        <v>OK</v>
      </c>
      <c r="BE10">
        <v>1</v>
      </c>
      <c r="BF10">
        <f>SUMIFS(Tableau4[NB Remis],Tableau4[Réf matériel],Tableau5[[#This Row],[Réf matériel]],Tableau4[Matricule],"MRO")</f>
        <v>1</v>
      </c>
      <c r="BG10" s="105" t="str">
        <f>IF(Tableau5[[#This Row],[Besoin MRO]]=Tableau5[[#This Row],[Remis MRO]],"OK","NOK")</f>
        <v>OK</v>
      </c>
      <c r="BH10">
        <v>1</v>
      </c>
      <c r="BI10">
        <f>SUMIFS(Tableau4[NB Remis],Tableau4[Réf matériel],Tableau5[[#This Row],[Réf matériel]],Tableau4[Matricule],"LSA")</f>
        <v>1</v>
      </c>
      <c r="BJ10" s="105" t="str">
        <f>IF(Tableau5[[#This Row],[Besoin LSA]]=Tableau5[[#This Row],[Remis LSA]],"OK","NOK")</f>
        <v>OK</v>
      </c>
      <c r="BK10">
        <v>1</v>
      </c>
      <c r="BL10">
        <f>SUMIFS(Tableau4[NB Remis],Tableau4[Réf matériel],Tableau5[[#This Row],[Réf matériel]],Tableau4[Matricule],"SST")</f>
        <v>1</v>
      </c>
      <c r="BM10" s="105" t="str">
        <f>IF(Tableau5[[#This Row],[Besoin SST]]=Tableau5[[#This Row],[Remis SST]],"OK","NOK")</f>
        <v>OK</v>
      </c>
      <c r="BO10">
        <f>SUMIFS(Tableau4[NB Remis],Tableau4[Réf matériel],Tableau5[[#This Row],[Réf matériel]],Tableau4[Matricule],"CTH")</f>
        <v>0</v>
      </c>
      <c r="BP10" s="105" t="str">
        <f>IF(Tableau5[[#This Row],[Besoin CTH]]=Tableau5[[#This Row],[Remis CTH]],"OK","NOK")</f>
        <v>OK</v>
      </c>
      <c r="BR10">
        <f>SUMIFS(Tableau4[NB Remis],Tableau4[Réf matériel],Tableau5[[#This Row],[Réf matériel]],Tableau4[Matricule],"AVU")</f>
        <v>1</v>
      </c>
      <c r="BS10" s="105" t="str">
        <f>IF(Tableau5[[#This Row],[Besoin AVU]]=Tableau5[[#This Row],[Remis AVU]],"OK","NOK")</f>
        <v>NOK</v>
      </c>
      <c r="BT10">
        <v>1</v>
      </c>
      <c r="BU10">
        <f>SUMIFS(Tableau4[NB Remis],Tableau4[Réf matériel],Tableau5[[#This Row],[Réf matériel]],Tableau4[Matricule],"FZE")</f>
        <v>1</v>
      </c>
      <c r="BV10" s="105" t="str">
        <f>IF(Tableau5[[#This Row],[Besoin FZE]]=Tableau5[[#This Row],[Remis FZE]],"OK","NOK")</f>
        <v>OK</v>
      </c>
      <c r="BX10">
        <f>SUMIFS(Tableau4[NB Remis],Tableau4[Réf matériel],Tableau5[[#This Row],[Réf matériel]],Tableau4[Matricule],"CV2")</f>
        <v>0</v>
      </c>
      <c r="BY10" s="105" t="str">
        <f>IF(Tableau5[[#This Row],[Besoin CV2]]=Tableau5[[#This Row],[Remis CV2]],"OK","NOK")</f>
        <v>OK</v>
      </c>
      <c r="CA10">
        <f>SUMIFS(Tableau4[NB Remis],Tableau4[Réf matériel],Tableau5[[#This Row],[Réf matériel]],Tableau4[Matricule],"CV3")</f>
        <v>0</v>
      </c>
      <c r="CB10" s="105" t="str">
        <f>IF(Tableau5[[#This Row],[Besoin CV3]]=Tableau5[[#This Row],[Remis CV3]],"OK","NOK")</f>
        <v>OK</v>
      </c>
      <c r="CD10">
        <f>SUMIFS(Tableau4[NB Remis],Tableau4[Réf matériel],Tableau5[[#This Row],[Réf matériel]],Tableau4[Matricule],"CV1")</f>
        <v>0</v>
      </c>
      <c r="CE10" s="105" t="str">
        <f>IF(Tableau5[[#This Row],[Besoin CV1]]=Tableau5[[#This Row],[Remis CV1]],"OK","NOK")</f>
        <v>OK</v>
      </c>
      <c r="CG10">
        <f>SUMIFS(Tableau4[NB Remis],Tableau4[Réf matériel],Tableau5[[#This Row],[Réf matériel]],Tableau4[Matricule],"CV4")</f>
        <v>0</v>
      </c>
      <c r="CH10" s="106" t="str">
        <f>IF(Tableau5[[#This Row],[Besoin CV4]]=Tableau5[[#This Row],[Remis CV4]],"OK","NOK")</f>
        <v>OK</v>
      </c>
    </row>
    <row r="11" spans="1:86" x14ac:dyDescent="0.25">
      <c r="B11" t="s">
        <v>449</v>
      </c>
      <c r="D11">
        <f>SUMIFS(Tableau4[NB Remis],Tableau4[Réf matériel],Tableau5[[#This Row],[Réf matériel]],Tableau4[Matricule],"OAI")</f>
        <v>0</v>
      </c>
      <c r="E11" s="105" t="str">
        <f>IF(Tableau5[[#This Row],[Besoin OAI]]=Tableau5[[#This Row],[Remis OAI]],"OK","NOK")</f>
        <v>OK</v>
      </c>
      <c r="G11">
        <f>SUMIFS(Tableau4[NB Remis],Tableau4[Réf matériel],Tableau5[[#This Row],[Réf matériel]],Tableau4[Matricule],"ABE")</f>
        <v>0</v>
      </c>
      <c r="H11" s="105" t="str">
        <f>IF(Tableau5[[#This Row],[Besoin ABE]]=Tableau5[[#This Row],[Remis ABE]],"OK","NOK")</f>
        <v>OK</v>
      </c>
      <c r="J11">
        <f>SUMIFS(Tableau4[NB Remis],Tableau4[Réf matériel],Tableau5[[#This Row],[Réf matériel]],Tableau4[Matricule],"SBI")</f>
        <v>0</v>
      </c>
      <c r="K11" s="105" t="str">
        <f>IF(Tableau5[[#This Row],[Besoin SBI]]=Tableau5[[#This Row],[Remis SBI]],"OK","NOK")</f>
        <v>OK</v>
      </c>
      <c r="M11">
        <f>SUMIFS(Tableau4[NB Remis],Tableau4[Réf matériel],Tableau5[[#This Row],[Réf matériel]],Tableau4[Matricule],"ABI")</f>
        <v>0</v>
      </c>
      <c r="N11" s="105" t="str">
        <f>IF(Tableau5[[#This Row],[Besoin ABI]]=Tableau5[[#This Row],[Remis ABI]],"OK","NOK")</f>
        <v>OK</v>
      </c>
      <c r="P11">
        <f>SUMIFS(Tableau4[NB Remis],Tableau4[Réf matériel],Tableau5[[#This Row],[Réf matériel]],Tableau4[Matricule],"DCE")</f>
        <v>0</v>
      </c>
      <c r="Q11" s="105" t="str">
        <f>IF(Tableau5[[#This Row],[Besoin DCE]]=Tableau5[[#This Row],[Remis DCE]],"OK","NOK")</f>
        <v>OK</v>
      </c>
      <c r="S11">
        <f>SUMIFS(Tableau4[NB Remis],Tableau4[Réf matériel],Tableau5[[#This Row],[Réf matériel]],Tableau4[Matricule],"JDE")</f>
        <v>0</v>
      </c>
      <c r="T11" s="105" t="str">
        <f>IF(Tableau5[[#This Row],[Besoin JDE]]=Tableau5[[#This Row],[Remis JDE]],"OK","NOK")</f>
        <v>OK</v>
      </c>
      <c r="V11">
        <f>SUMIFS(Tableau4[NB Remis],Tableau4[Réf matériel],Tableau5[[#This Row],[Réf matériel]],Tableau4[Matricule],"ODI")</f>
        <v>0</v>
      </c>
      <c r="W11" s="105" t="str">
        <f>IF(Tableau5[[#This Row],[Besoin ODI]]=Tableau5[[#This Row],[Remis ODI]],"OK","NOK")</f>
        <v>OK</v>
      </c>
      <c r="Y11">
        <f>SUMIFS(Tableau4[NB Remis],Tableau4[Réf matériel],Tableau5[[#This Row],[Réf matériel]],Tableau4[Matricule],"MFO")</f>
        <v>0</v>
      </c>
      <c r="Z11" s="105" t="str">
        <f>IF(Tableau5[[#This Row],[Besoin MFO]]=Tableau5[[#This Row],[Remis MFO]],"OK","NOK")</f>
        <v>OK</v>
      </c>
      <c r="AB11">
        <f>SUMIFS(Tableau4[NB Remis],Tableau4[Réf matériel],Tableau5[[#This Row],[Réf matériel]],Tableau4[Matricule],"SDU")</f>
        <v>0</v>
      </c>
      <c r="AC11" s="105" t="str">
        <f>IF(Tableau5[[#This Row],[Besoin SDU]]=Tableau5[[#This Row],[Remis SDU]],"OK","NOK")</f>
        <v>OK</v>
      </c>
      <c r="AE11">
        <f>SUMIFS(Tableau4[NB Remis],Tableau4[Réf matériel],Tableau5[[#This Row],[Réf matériel]],Tableau4[Matricule],"GGA")</f>
        <v>0</v>
      </c>
      <c r="AF11" s="105" t="str">
        <f>IF(Tableau5[[#This Row],[Besoin GGA2]]=Tableau5[[#This Row],[Remis GGA3]],"OK","NOK")</f>
        <v>OK</v>
      </c>
      <c r="AH11">
        <f>SUMIFS(Tableau4[NB Remis],Tableau4[Réf matériel],Tableau5[[#This Row],[Réf matériel]],Tableau4[Matricule],"RGE")</f>
        <v>0</v>
      </c>
      <c r="AI11" s="105" t="str">
        <f>IF(Tableau5[[#This Row],[Besoin RGE]]=Tableau5[[#This Row],[Remis RGE]],"OK","NOK")</f>
        <v>OK</v>
      </c>
      <c r="AK11">
        <f>SUMIFS(Tableau4[NB Remis],Tableau4[Réf matériel],Tableau5[[#This Row],[Réf matériel]],Tableau4[Matricule],"CKE")</f>
        <v>0</v>
      </c>
      <c r="AL11" s="105" t="str">
        <f>IF(Tableau5[[#This Row],[Besoin CKE]]=Tableau5[[#This Row],[Remis CKE]],"OK","NOK")</f>
        <v>OK</v>
      </c>
      <c r="AN11">
        <f>SUMIFS(Tableau4[NB Remis],Tableau4[Réf matériel],Tableau5[[#This Row],[Réf matériel]],Tableau4[Matricule],"DMA")</f>
        <v>0</v>
      </c>
      <c r="AO11" s="105" t="str">
        <f>IF(Tableau5[[#This Row],[Besoin DMA]]=Tableau5[[#This Row],[Remis DMA]],"OK","NOK")</f>
        <v>OK</v>
      </c>
      <c r="AQ11">
        <f>SUMIFS(Tableau4[NB Remis],Tableau4[Réf matériel],Tableau5[[#This Row],[Réf matériel]],Tableau4[Matricule],"LMO")</f>
        <v>0</v>
      </c>
      <c r="AR11" s="105" t="str">
        <f>IF(Tableau5[[#This Row],[Besoin LMO]]=Tableau5[[#This Row],[Remis LMO]],"OK","NOK")</f>
        <v>OK</v>
      </c>
      <c r="AT11">
        <f>SUMIFS(Tableau4[NB Remis],Tableau4[Réf matériel],Tableau5[[#This Row],[Réf matériel]],Tableau4[Matricule],"TMO")</f>
        <v>0</v>
      </c>
      <c r="AU11" s="105" t="str">
        <f>IF(Tableau5[[#This Row],[Besoin TMO]]=Tableau5[[#This Row],[Remis TMO]],"OK","NOK")</f>
        <v>OK</v>
      </c>
      <c r="AW11">
        <f>SUMIFS(Tableau4[NB Remis],Tableau4[Réf matériel],Tableau5[[#This Row],[Réf matériel]],Tableau4[Matricule],"JPA")</f>
        <v>0</v>
      </c>
      <c r="AX11" s="105" t="str">
        <f>IF(Tableau5[[#This Row],[Besoin JPA]]=Tableau5[[#This Row],[Remis JPA]],"OK","NOK")</f>
        <v>OK</v>
      </c>
      <c r="AZ11">
        <f>SUMIFS(Tableau4[NB Remis],Tableau4[Réf matériel],Tableau5[[#This Row],[Réf matériel]],Tableau4[Matricule],"MPE")</f>
        <v>0</v>
      </c>
      <c r="BA11" s="105" t="str">
        <f>IF(Tableau5[[#This Row],[Besoin MPE]]=Tableau5[[#This Row],[Remis MPE]],"OK","NOK")</f>
        <v>OK</v>
      </c>
      <c r="BC11">
        <f>SUMIFS(Tableau4[NB Remis],Tableau4[Réf matériel],Tableau5[[#This Row],[Réf matériel]],Tableau4[Matricule],"SPR")</f>
        <v>0</v>
      </c>
      <c r="BD11" s="105" t="str">
        <f>IF(Tableau5[[#This Row],[Besoin SPR]]=Tableau5[[#This Row],[Remis SPR]],"OK","NOK")</f>
        <v>OK</v>
      </c>
      <c r="BF11">
        <f>SUMIFS(Tableau4[NB Remis],Tableau4[Réf matériel],Tableau5[[#This Row],[Réf matériel]],Tableau4[Matricule],"MRO")</f>
        <v>0</v>
      </c>
      <c r="BG11" s="105" t="str">
        <f>IF(Tableau5[[#This Row],[Besoin MRO]]=Tableau5[[#This Row],[Remis MRO]],"OK","NOK")</f>
        <v>OK</v>
      </c>
      <c r="BI11">
        <f>SUMIFS(Tableau4[NB Remis],Tableau4[Réf matériel],Tableau5[[#This Row],[Réf matériel]],Tableau4[Matricule],"LSA")</f>
        <v>0</v>
      </c>
      <c r="BJ11" s="105" t="str">
        <f>IF(Tableau5[[#This Row],[Besoin LSA]]=Tableau5[[#This Row],[Remis LSA]],"OK","NOK")</f>
        <v>OK</v>
      </c>
      <c r="BK11">
        <v>1</v>
      </c>
      <c r="BL11">
        <f>SUMIFS(Tableau4[NB Remis],Tableau4[Réf matériel],Tableau5[[#This Row],[Réf matériel]],Tableau4[Matricule],"SST")</f>
        <v>1</v>
      </c>
      <c r="BM11" s="105" t="str">
        <f>IF(Tableau5[[#This Row],[Besoin SST]]=Tableau5[[#This Row],[Remis SST]],"OK","NOK")</f>
        <v>OK</v>
      </c>
      <c r="BO11">
        <f>SUMIFS(Tableau4[NB Remis],Tableau4[Réf matériel],Tableau5[[#This Row],[Réf matériel]],Tableau4[Matricule],"CTH")</f>
        <v>0</v>
      </c>
      <c r="BP11" s="105" t="str">
        <f>IF(Tableau5[[#This Row],[Besoin CTH]]=Tableau5[[#This Row],[Remis CTH]],"OK","NOK")</f>
        <v>OK</v>
      </c>
      <c r="BR11">
        <f>SUMIFS(Tableau4[NB Remis],Tableau4[Réf matériel],Tableau5[[#This Row],[Réf matériel]],Tableau4[Matricule],"AVU")</f>
        <v>0</v>
      </c>
      <c r="BS11" s="105" t="str">
        <f>IF(Tableau5[[#This Row],[Besoin AVU]]=Tableau5[[#This Row],[Remis AVU]],"OK","NOK")</f>
        <v>OK</v>
      </c>
      <c r="BU11">
        <f>SUMIFS(Tableau4[NB Remis],Tableau4[Réf matériel],Tableau5[[#This Row],[Réf matériel]],Tableau4[Matricule],"FZE")</f>
        <v>0</v>
      </c>
      <c r="BV11" s="105" t="str">
        <f>IF(Tableau5[[#This Row],[Besoin FZE]]=Tableau5[[#This Row],[Remis FZE]],"OK","NOK")</f>
        <v>OK</v>
      </c>
      <c r="BX11">
        <f>SUMIFS(Tableau4[NB Remis],Tableau4[Réf matériel],Tableau5[[#This Row],[Réf matériel]],Tableau4[Matricule],"CV2")</f>
        <v>0</v>
      </c>
      <c r="BY11" s="105" t="str">
        <f>IF(Tableau5[[#This Row],[Besoin CV2]]=Tableau5[[#This Row],[Remis CV2]],"OK","NOK")</f>
        <v>OK</v>
      </c>
      <c r="CA11">
        <f>SUMIFS(Tableau4[NB Remis],Tableau4[Réf matériel],Tableau5[[#This Row],[Réf matériel]],Tableau4[Matricule],"CV3")</f>
        <v>0</v>
      </c>
      <c r="CB11" s="105" t="str">
        <f>IF(Tableau5[[#This Row],[Besoin CV3]]=Tableau5[[#This Row],[Remis CV3]],"OK","NOK")</f>
        <v>OK</v>
      </c>
      <c r="CD11">
        <f>SUMIFS(Tableau4[NB Remis],Tableau4[Réf matériel],Tableau5[[#This Row],[Réf matériel]],Tableau4[Matricule],"CV1")</f>
        <v>0</v>
      </c>
      <c r="CE11" s="105" t="str">
        <f>IF(Tableau5[[#This Row],[Besoin CV1]]=Tableau5[[#This Row],[Remis CV1]],"OK","NOK")</f>
        <v>OK</v>
      </c>
      <c r="CG11">
        <f>SUMIFS(Tableau4[NB Remis],Tableau4[Réf matériel],Tableau5[[#This Row],[Réf matériel]],Tableau4[Matricule],"CV4")</f>
        <v>0</v>
      </c>
      <c r="CH11" s="106" t="str">
        <f>IF(Tableau5[[#This Row],[Besoin CV4]]=Tableau5[[#This Row],[Remis CV4]],"OK","NOK")</f>
        <v>OK</v>
      </c>
    </row>
    <row r="12" spans="1:86" x14ac:dyDescent="0.25">
      <c r="B12" t="s">
        <v>422</v>
      </c>
      <c r="D12">
        <f>SUMIFS(Tableau4[NB Remis],Tableau4[Réf matériel],Tableau5[[#This Row],[Réf matériel]],Tableau4[Matricule],"OAI")</f>
        <v>0</v>
      </c>
      <c r="E12" s="105" t="str">
        <f>IF(Tableau5[[#This Row],[Besoin OAI]]=Tableau5[[#This Row],[Remis OAI]],"OK","NOK")</f>
        <v>OK</v>
      </c>
      <c r="G12">
        <f>SUMIFS(Tableau4[NB Remis],Tableau4[Réf matériel],Tableau5[[#This Row],[Réf matériel]],Tableau4[Matricule],"ABE")</f>
        <v>0</v>
      </c>
      <c r="H12" s="105" t="str">
        <f>IF(Tableau5[[#This Row],[Besoin ABE]]=Tableau5[[#This Row],[Remis ABE]],"OK","NOK")</f>
        <v>OK</v>
      </c>
      <c r="I12">
        <v>1</v>
      </c>
      <c r="J12">
        <f>SUMIFS(Tableau4[NB Remis],Tableau4[Réf matériel],Tableau5[[#This Row],[Réf matériel]],Tableau4[Matricule],"SBI")</f>
        <v>1</v>
      </c>
      <c r="K12" s="105" t="str">
        <f>IF(Tableau5[[#This Row],[Besoin SBI]]=Tableau5[[#This Row],[Remis SBI]],"OK","NOK")</f>
        <v>OK</v>
      </c>
      <c r="M12">
        <f>SUMIFS(Tableau4[NB Remis],Tableau4[Réf matériel],Tableau5[[#This Row],[Réf matériel]],Tableau4[Matricule],"ABI")</f>
        <v>0</v>
      </c>
      <c r="N12" s="105" t="str">
        <f>IF(Tableau5[[#This Row],[Besoin ABI]]=Tableau5[[#This Row],[Remis ABI]],"OK","NOK")</f>
        <v>OK</v>
      </c>
      <c r="P12">
        <f>SUMIFS(Tableau4[NB Remis],Tableau4[Réf matériel],Tableau5[[#This Row],[Réf matériel]],Tableau4[Matricule],"DCE")</f>
        <v>0</v>
      </c>
      <c r="Q12" s="105" t="str">
        <f>IF(Tableau5[[#This Row],[Besoin DCE]]=Tableau5[[#This Row],[Remis DCE]],"OK","NOK")</f>
        <v>OK</v>
      </c>
      <c r="S12">
        <f>SUMIFS(Tableau4[NB Remis],Tableau4[Réf matériel],Tableau5[[#This Row],[Réf matériel]],Tableau4[Matricule],"JDE")</f>
        <v>0</v>
      </c>
      <c r="T12" s="105" t="str">
        <f>IF(Tableau5[[#This Row],[Besoin JDE]]=Tableau5[[#This Row],[Remis JDE]],"OK","NOK")</f>
        <v>OK</v>
      </c>
      <c r="V12">
        <f>SUMIFS(Tableau4[NB Remis],Tableau4[Réf matériel],Tableau5[[#This Row],[Réf matériel]],Tableau4[Matricule],"ODI")</f>
        <v>0</v>
      </c>
      <c r="W12" s="105" t="str">
        <f>IF(Tableau5[[#This Row],[Besoin ODI]]=Tableau5[[#This Row],[Remis ODI]],"OK","NOK")</f>
        <v>OK</v>
      </c>
      <c r="Y12">
        <f>SUMIFS(Tableau4[NB Remis],Tableau4[Réf matériel],Tableau5[[#This Row],[Réf matériel]],Tableau4[Matricule],"MFO")</f>
        <v>0</v>
      </c>
      <c r="Z12" s="105" t="str">
        <f>IF(Tableau5[[#This Row],[Besoin MFO]]=Tableau5[[#This Row],[Remis MFO]],"OK","NOK")</f>
        <v>OK</v>
      </c>
      <c r="AB12">
        <f>SUMIFS(Tableau4[NB Remis],Tableau4[Réf matériel],Tableau5[[#This Row],[Réf matériel]],Tableau4[Matricule],"SDU")</f>
        <v>0</v>
      </c>
      <c r="AC12" s="105" t="str">
        <f>IF(Tableau5[[#This Row],[Besoin SDU]]=Tableau5[[#This Row],[Remis SDU]],"OK","NOK")</f>
        <v>OK</v>
      </c>
      <c r="AE12">
        <f>SUMIFS(Tableau4[NB Remis],Tableau4[Réf matériel],Tableau5[[#This Row],[Réf matériel]],Tableau4[Matricule],"GGA")</f>
        <v>0</v>
      </c>
      <c r="AF12" s="105" t="str">
        <f>IF(Tableau5[[#This Row],[Besoin GGA2]]=Tableau5[[#This Row],[Remis GGA3]],"OK","NOK")</f>
        <v>OK</v>
      </c>
      <c r="AH12">
        <f>SUMIFS(Tableau4[NB Remis],Tableau4[Réf matériel],Tableau5[[#This Row],[Réf matériel]],Tableau4[Matricule],"RGE")</f>
        <v>0</v>
      </c>
      <c r="AI12" s="105" t="str">
        <f>IF(Tableau5[[#This Row],[Besoin RGE]]=Tableau5[[#This Row],[Remis RGE]],"OK","NOK")</f>
        <v>OK</v>
      </c>
      <c r="AK12">
        <f>SUMIFS(Tableau4[NB Remis],Tableau4[Réf matériel],Tableau5[[#This Row],[Réf matériel]],Tableau4[Matricule],"CKE")</f>
        <v>0</v>
      </c>
      <c r="AL12" s="105" t="str">
        <f>IF(Tableau5[[#This Row],[Besoin CKE]]=Tableau5[[#This Row],[Remis CKE]],"OK","NOK")</f>
        <v>OK</v>
      </c>
      <c r="AN12">
        <f>SUMIFS(Tableau4[NB Remis],Tableau4[Réf matériel],Tableau5[[#This Row],[Réf matériel]],Tableau4[Matricule],"DMA")</f>
        <v>0</v>
      </c>
      <c r="AO12" s="105" t="str">
        <f>IF(Tableau5[[#This Row],[Besoin DMA]]=Tableau5[[#This Row],[Remis DMA]],"OK","NOK")</f>
        <v>OK</v>
      </c>
      <c r="AQ12">
        <f>SUMIFS(Tableau4[NB Remis],Tableau4[Réf matériel],Tableau5[[#This Row],[Réf matériel]],Tableau4[Matricule],"LMO")</f>
        <v>0</v>
      </c>
      <c r="AR12" s="105" t="str">
        <f>IF(Tableau5[[#This Row],[Besoin LMO]]=Tableau5[[#This Row],[Remis LMO]],"OK","NOK")</f>
        <v>OK</v>
      </c>
      <c r="AT12">
        <f>SUMIFS(Tableau4[NB Remis],Tableau4[Réf matériel],Tableau5[[#This Row],[Réf matériel]],Tableau4[Matricule],"TMO")</f>
        <v>0</v>
      </c>
      <c r="AU12" s="105" t="str">
        <f>IF(Tableau5[[#This Row],[Besoin TMO]]=Tableau5[[#This Row],[Remis TMO]],"OK","NOK")</f>
        <v>OK</v>
      </c>
      <c r="AW12">
        <f>SUMIFS(Tableau4[NB Remis],Tableau4[Réf matériel],Tableau5[[#This Row],[Réf matériel]],Tableau4[Matricule],"JPA")</f>
        <v>0</v>
      </c>
      <c r="AX12" s="105" t="str">
        <f>IF(Tableau5[[#This Row],[Besoin JPA]]=Tableau5[[#This Row],[Remis JPA]],"OK","NOK")</f>
        <v>OK</v>
      </c>
      <c r="AZ12">
        <f>SUMIFS(Tableau4[NB Remis],Tableau4[Réf matériel],Tableau5[[#This Row],[Réf matériel]],Tableau4[Matricule],"MPE")</f>
        <v>0</v>
      </c>
      <c r="BA12" s="105" t="str">
        <f>IF(Tableau5[[#This Row],[Besoin MPE]]=Tableau5[[#This Row],[Remis MPE]],"OK","NOK")</f>
        <v>OK</v>
      </c>
      <c r="BB12">
        <v>1</v>
      </c>
      <c r="BC12">
        <f>SUMIFS(Tableau4[NB Remis],Tableau4[Réf matériel],Tableau5[[#This Row],[Réf matériel]],Tableau4[Matricule],"SPR")</f>
        <v>1</v>
      </c>
      <c r="BD12" s="105" t="str">
        <f>IF(Tableau5[[#This Row],[Besoin SPR]]=Tableau5[[#This Row],[Remis SPR]],"OK","NOK")</f>
        <v>OK</v>
      </c>
      <c r="BF12">
        <f>SUMIFS(Tableau4[NB Remis],Tableau4[Réf matériel],Tableau5[[#This Row],[Réf matériel]],Tableau4[Matricule],"MRO")</f>
        <v>0</v>
      </c>
      <c r="BG12" s="105" t="str">
        <f>IF(Tableau5[[#This Row],[Besoin MRO]]=Tableau5[[#This Row],[Remis MRO]],"OK","NOK")</f>
        <v>OK</v>
      </c>
      <c r="BI12">
        <f>SUMIFS(Tableau4[NB Remis],Tableau4[Réf matériel],Tableau5[[#This Row],[Réf matériel]],Tableau4[Matricule],"LSA")</f>
        <v>0</v>
      </c>
      <c r="BJ12" s="105" t="str">
        <f>IF(Tableau5[[#This Row],[Besoin LSA]]=Tableau5[[#This Row],[Remis LSA]],"OK","NOK")</f>
        <v>OK</v>
      </c>
      <c r="BL12">
        <f>SUMIFS(Tableau4[NB Remis],Tableau4[Réf matériel],Tableau5[[#This Row],[Réf matériel]],Tableau4[Matricule],"SST")</f>
        <v>0</v>
      </c>
      <c r="BM12" s="105" t="str">
        <f>IF(Tableau5[[#This Row],[Besoin SST]]=Tableau5[[#This Row],[Remis SST]],"OK","NOK")</f>
        <v>OK</v>
      </c>
      <c r="BO12">
        <f>SUMIFS(Tableau4[NB Remis],Tableau4[Réf matériel],Tableau5[[#This Row],[Réf matériel]],Tableau4[Matricule],"CTH")</f>
        <v>0</v>
      </c>
      <c r="BP12" s="105" t="str">
        <f>IF(Tableau5[[#This Row],[Besoin CTH]]=Tableau5[[#This Row],[Remis CTH]],"OK","NOK")</f>
        <v>OK</v>
      </c>
      <c r="BR12">
        <f>SUMIFS(Tableau4[NB Remis],Tableau4[Réf matériel],Tableau5[[#This Row],[Réf matériel]],Tableau4[Matricule],"AVU")</f>
        <v>0</v>
      </c>
      <c r="BS12" s="105" t="str">
        <f>IF(Tableau5[[#This Row],[Besoin AVU]]=Tableau5[[#This Row],[Remis AVU]],"OK","NOK")</f>
        <v>OK</v>
      </c>
      <c r="BU12">
        <f>SUMIFS(Tableau4[NB Remis],Tableau4[Réf matériel],Tableau5[[#This Row],[Réf matériel]],Tableau4[Matricule],"FZE")</f>
        <v>0</v>
      </c>
      <c r="BV12" s="105" t="str">
        <f>IF(Tableau5[[#This Row],[Besoin FZE]]=Tableau5[[#This Row],[Remis FZE]],"OK","NOK")</f>
        <v>OK</v>
      </c>
      <c r="BX12">
        <f>SUMIFS(Tableau4[NB Remis],Tableau4[Réf matériel],Tableau5[[#This Row],[Réf matériel]],Tableau4[Matricule],"CV2")</f>
        <v>0</v>
      </c>
      <c r="BY12" s="105" t="str">
        <f>IF(Tableau5[[#This Row],[Besoin CV2]]=Tableau5[[#This Row],[Remis CV2]],"OK","NOK")</f>
        <v>OK</v>
      </c>
      <c r="CA12">
        <f>SUMIFS(Tableau4[NB Remis],Tableau4[Réf matériel],Tableau5[[#This Row],[Réf matériel]],Tableau4[Matricule],"CV3")</f>
        <v>0</v>
      </c>
      <c r="CB12" s="105" t="str">
        <f>IF(Tableau5[[#This Row],[Besoin CV3]]=Tableau5[[#This Row],[Remis CV3]],"OK","NOK")</f>
        <v>OK</v>
      </c>
      <c r="CD12">
        <f>SUMIFS(Tableau4[NB Remis],Tableau4[Réf matériel],Tableau5[[#This Row],[Réf matériel]],Tableau4[Matricule],"CV1")</f>
        <v>0</v>
      </c>
      <c r="CE12" s="105" t="str">
        <f>IF(Tableau5[[#This Row],[Besoin CV1]]=Tableau5[[#This Row],[Remis CV1]],"OK","NOK")</f>
        <v>OK</v>
      </c>
      <c r="CG12">
        <f>SUMIFS(Tableau4[NB Remis],Tableau4[Réf matériel],Tableau5[[#This Row],[Réf matériel]],Tableau4[Matricule],"CV4")</f>
        <v>0</v>
      </c>
      <c r="CH12" s="106" t="str">
        <f>IF(Tableau5[[#This Row],[Besoin CV4]]=Tableau5[[#This Row],[Remis CV4]],"OK","NOK")</f>
        <v>OK</v>
      </c>
    </row>
    <row r="13" spans="1:86" x14ac:dyDescent="0.25">
      <c r="B13" t="s">
        <v>393</v>
      </c>
      <c r="C13">
        <v>1</v>
      </c>
      <c r="D13">
        <f>SUMIFS(Tableau4[NB Remis],Tableau4[Réf matériel],Tableau5[[#This Row],[Réf matériel]],Tableau4[Matricule],"OAI")</f>
        <v>1</v>
      </c>
      <c r="E13" s="105" t="str">
        <f>IF(Tableau5[[#This Row],[Besoin OAI]]=Tableau5[[#This Row],[Remis OAI]],"OK","NOK")</f>
        <v>OK</v>
      </c>
      <c r="F13">
        <v>1</v>
      </c>
      <c r="G13">
        <f>SUMIFS(Tableau4[NB Remis],Tableau4[Réf matériel],Tableau5[[#This Row],[Réf matériel]],Tableau4[Matricule],"ABE")</f>
        <v>1</v>
      </c>
      <c r="H13" s="105" t="str">
        <f>IF(Tableau5[[#This Row],[Besoin ABE]]=Tableau5[[#This Row],[Remis ABE]],"OK","NOK")</f>
        <v>OK</v>
      </c>
      <c r="J13">
        <f>SUMIFS(Tableau4[NB Remis],Tableau4[Réf matériel],Tableau5[[#This Row],[Réf matériel]],Tableau4[Matricule],"SBI")</f>
        <v>0</v>
      </c>
      <c r="K13" s="105" t="str">
        <f>IF(Tableau5[[#This Row],[Besoin SBI]]=Tableau5[[#This Row],[Remis SBI]],"OK","NOK")</f>
        <v>OK</v>
      </c>
      <c r="L13">
        <v>1</v>
      </c>
      <c r="M13">
        <f>SUMIFS(Tableau4[NB Remis],Tableau4[Réf matériel],Tableau5[[#This Row],[Réf matériel]],Tableau4[Matricule],"ABI")</f>
        <v>1</v>
      </c>
      <c r="N13" s="105" t="str">
        <f>IF(Tableau5[[#This Row],[Besoin ABI]]=Tableau5[[#This Row],[Remis ABI]],"OK","NOK")</f>
        <v>OK</v>
      </c>
      <c r="P13">
        <f>SUMIFS(Tableau4[NB Remis],Tableau4[Réf matériel],Tableau5[[#This Row],[Réf matériel]],Tableau4[Matricule],"DCE")</f>
        <v>0</v>
      </c>
      <c r="Q13" s="105" t="str">
        <f>IF(Tableau5[[#This Row],[Besoin DCE]]=Tableau5[[#This Row],[Remis DCE]],"OK","NOK")</f>
        <v>OK</v>
      </c>
      <c r="R13">
        <v>1</v>
      </c>
      <c r="S13">
        <f>SUMIFS(Tableau4[NB Remis],Tableau4[Réf matériel],Tableau5[[#This Row],[Réf matériel]],Tableau4[Matricule],"JDE")</f>
        <v>1</v>
      </c>
      <c r="T13" s="105" t="str">
        <f>IF(Tableau5[[#This Row],[Besoin JDE]]=Tableau5[[#This Row],[Remis JDE]],"OK","NOK")</f>
        <v>OK</v>
      </c>
      <c r="U13">
        <v>1</v>
      </c>
      <c r="V13">
        <f>SUMIFS(Tableau4[NB Remis],Tableau4[Réf matériel],Tableau5[[#This Row],[Réf matériel]],Tableau4[Matricule],"ODI")</f>
        <v>1</v>
      </c>
      <c r="W13" s="105" t="str">
        <f>IF(Tableau5[[#This Row],[Besoin ODI]]=Tableau5[[#This Row],[Remis ODI]],"OK","NOK")</f>
        <v>OK</v>
      </c>
      <c r="Y13">
        <f>SUMIFS(Tableau4[NB Remis],Tableau4[Réf matériel],Tableau5[[#This Row],[Réf matériel]],Tableau4[Matricule],"MFO")</f>
        <v>0</v>
      </c>
      <c r="Z13" s="105" t="str">
        <f>IF(Tableau5[[#This Row],[Besoin MFO]]=Tableau5[[#This Row],[Remis MFO]],"OK","NOK")</f>
        <v>OK</v>
      </c>
      <c r="AB13">
        <f>SUMIFS(Tableau4[NB Remis],Tableau4[Réf matériel],Tableau5[[#This Row],[Réf matériel]],Tableau4[Matricule],"SDU")</f>
        <v>0</v>
      </c>
      <c r="AC13" s="105" t="str">
        <f>IF(Tableau5[[#This Row],[Besoin SDU]]=Tableau5[[#This Row],[Remis SDU]],"OK","NOK")</f>
        <v>OK</v>
      </c>
      <c r="AE13">
        <f>SUMIFS(Tableau4[NB Remis],Tableau4[Réf matériel],Tableau5[[#This Row],[Réf matériel]],Tableau4[Matricule],"GGA")</f>
        <v>0</v>
      </c>
      <c r="AF13" s="105" t="str">
        <f>IF(Tableau5[[#This Row],[Besoin GGA2]]=Tableau5[[#This Row],[Remis GGA3]],"OK","NOK")</f>
        <v>OK</v>
      </c>
      <c r="AG13">
        <v>1</v>
      </c>
      <c r="AH13">
        <f>SUMIFS(Tableau4[NB Remis],Tableau4[Réf matériel],Tableau5[[#This Row],[Réf matériel]],Tableau4[Matricule],"RGE")</f>
        <v>2</v>
      </c>
      <c r="AI13" s="105" t="str">
        <f>IF(Tableau5[[#This Row],[Besoin RGE]]=Tableau5[[#This Row],[Remis RGE]],"OK","NOK")</f>
        <v>NOK</v>
      </c>
      <c r="AJ13">
        <v>1</v>
      </c>
      <c r="AK13">
        <f>SUMIFS(Tableau4[NB Remis],Tableau4[Réf matériel],Tableau5[[#This Row],[Réf matériel]],Tableau4[Matricule],"CKE")</f>
        <v>1</v>
      </c>
      <c r="AL13" s="105" t="str">
        <f>IF(Tableau5[[#This Row],[Besoin CKE]]=Tableau5[[#This Row],[Remis CKE]],"OK","NOK")</f>
        <v>OK</v>
      </c>
      <c r="AN13">
        <f>SUMIFS(Tableau4[NB Remis],Tableau4[Réf matériel],Tableau5[[#This Row],[Réf matériel]],Tableau4[Matricule],"DMA")</f>
        <v>0</v>
      </c>
      <c r="AO13" s="105" t="str">
        <f>IF(Tableau5[[#This Row],[Besoin DMA]]=Tableau5[[#This Row],[Remis DMA]],"OK","NOK")</f>
        <v>OK</v>
      </c>
      <c r="AQ13">
        <f>SUMIFS(Tableau4[NB Remis],Tableau4[Réf matériel],Tableau5[[#This Row],[Réf matériel]],Tableau4[Matricule],"LMO")</f>
        <v>0</v>
      </c>
      <c r="AR13" s="105" t="str">
        <f>IF(Tableau5[[#This Row],[Besoin LMO]]=Tableau5[[#This Row],[Remis LMO]],"OK","NOK")</f>
        <v>OK</v>
      </c>
      <c r="AS13">
        <v>1</v>
      </c>
      <c r="AT13">
        <f>SUMIFS(Tableau4[NB Remis],Tableau4[Réf matériel],Tableau5[[#This Row],[Réf matériel]],Tableau4[Matricule],"TMO")</f>
        <v>1</v>
      </c>
      <c r="AU13" s="105" t="str">
        <f>IF(Tableau5[[#This Row],[Besoin TMO]]=Tableau5[[#This Row],[Remis TMO]],"OK","NOK")</f>
        <v>OK</v>
      </c>
      <c r="AV13">
        <v>1</v>
      </c>
      <c r="AW13">
        <f>SUMIFS(Tableau4[NB Remis],Tableau4[Réf matériel],Tableau5[[#This Row],[Réf matériel]],Tableau4[Matricule],"JPA")</f>
        <v>1</v>
      </c>
      <c r="AX13" s="105" t="str">
        <f>IF(Tableau5[[#This Row],[Besoin JPA]]=Tableau5[[#This Row],[Remis JPA]],"OK","NOK")</f>
        <v>OK</v>
      </c>
      <c r="AZ13">
        <f>SUMIFS(Tableau4[NB Remis],Tableau4[Réf matériel],Tableau5[[#This Row],[Réf matériel]],Tableau4[Matricule],"MPE")</f>
        <v>0</v>
      </c>
      <c r="BA13" s="105" t="str">
        <f>IF(Tableau5[[#This Row],[Besoin MPE]]=Tableau5[[#This Row],[Remis MPE]],"OK","NOK")</f>
        <v>OK</v>
      </c>
      <c r="BB13">
        <v>1</v>
      </c>
      <c r="BC13">
        <f>SUMIFS(Tableau4[NB Remis],Tableau4[Réf matériel],Tableau5[[#This Row],[Réf matériel]],Tableau4[Matricule],"SPR")</f>
        <v>1</v>
      </c>
      <c r="BD13" s="105" t="str">
        <f>IF(Tableau5[[#This Row],[Besoin SPR]]=Tableau5[[#This Row],[Remis SPR]],"OK","NOK")</f>
        <v>OK</v>
      </c>
      <c r="BE13">
        <v>1</v>
      </c>
      <c r="BF13">
        <f>SUMIFS(Tableau4[NB Remis],Tableau4[Réf matériel],Tableau5[[#This Row],[Réf matériel]],Tableau4[Matricule],"MRO")</f>
        <v>1</v>
      </c>
      <c r="BG13" s="105" t="str">
        <f>IF(Tableau5[[#This Row],[Besoin MRO]]=Tableau5[[#This Row],[Remis MRO]],"OK","NOK")</f>
        <v>OK</v>
      </c>
      <c r="BH13">
        <v>1</v>
      </c>
      <c r="BI13">
        <f>SUMIFS(Tableau4[NB Remis],Tableau4[Réf matériel],Tableau5[[#This Row],[Réf matériel]],Tableau4[Matricule],"LSA")</f>
        <v>1</v>
      </c>
      <c r="BJ13" s="105" t="str">
        <f>IF(Tableau5[[#This Row],[Besoin LSA]]=Tableau5[[#This Row],[Remis LSA]],"OK","NOK")</f>
        <v>OK</v>
      </c>
      <c r="BK13">
        <v>1</v>
      </c>
      <c r="BL13">
        <f>SUMIFS(Tableau4[NB Remis],Tableau4[Réf matériel],Tableau5[[#This Row],[Réf matériel]],Tableau4[Matricule],"SST")</f>
        <v>1</v>
      </c>
      <c r="BM13" s="105" t="str">
        <f>IF(Tableau5[[#This Row],[Besoin SST]]=Tableau5[[#This Row],[Remis SST]],"OK","NOK")</f>
        <v>OK</v>
      </c>
      <c r="BO13">
        <f>SUMIFS(Tableau4[NB Remis],Tableau4[Réf matériel],Tableau5[[#This Row],[Réf matériel]],Tableau4[Matricule],"CTH")</f>
        <v>0</v>
      </c>
      <c r="BP13" s="105" t="str">
        <f>IF(Tableau5[[#This Row],[Besoin CTH]]=Tableau5[[#This Row],[Remis CTH]],"OK","NOK")</f>
        <v>OK</v>
      </c>
      <c r="BQ13">
        <v>1</v>
      </c>
      <c r="BR13">
        <f>SUMIFS(Tableau4[NB Remis],Tableau4[Réf matériel],Tableau5[[#This Row],[Réf matériel]],Tableau4[Matricule],"AVU")</f>
        <v>1</v>
      </c>
      <c r="BS13" s="105" t="str">
        <f>IF(Tableau5[[#This Row],[Besoin AVU]]=Tableau5[[#This Row],[Remis AVU]],"OK","NOK")</f>
        <v>OK</v>
      </c>
      <c r="BU13">
        <f>SUMIFS(Tableau4[NB Remis],Tableau4[Réf matériel],Tableau5[[#This Row],[Réf matériel]],Tableau4[Matricule],"FZE")</f>
        <v>0</v>
      </c>
      <c r="BV13" s="105" t="str">
        <f>IF(Tableau5[[#This Row],[Besoin FZE]]=Tableau5[[#This Row],[Remis FZE]],"OK","NOK")</f>
        <v>OK</v>
      </c>
      <c r="BW13">
        <v>1</v>
      </c>
      <c r="BX13">
        <f>SUMIFS(Tableau4[NB Remis],Tableau4[Réf matériel],Tableau5[[#This Row],[Réf matériel]],Tableau4[Matricule],"CV2")</f>
        <v>1</v>
      </c>
      <c r="BY13" s="105" t="str">
        <f>IF(Tableau5[[#This Row],[Besoin CV2]]=Tableau5[[#This Row],[Remis CV2]],"OK","NOK")</f>
        <v>OK</v>
      </c>
      <c r="BZ13">
        <v>1</v>
      </c>
      <c r="CA13">
        <f>SUMIFS(Tableau4[NB Remis],Tableau4[Réf matériel],Tableau5[[#This Row],[Réf matériel]],Tableau4[Matricule],"CV3")</f>
        <v>1</v>
      </c>
      <c r="CB13" s="105" t="str">
        <f>IF(Tableau5[[#This Row],[Besoin CV3]]=Tableau5[[#This Row],[Remis CV3]],"OK","NOK")</f>
        <v>OK</v>
      </c>
      <c r="CC13">
        <v>1</v>
      </c>
      <c r="CD13">
        <f>SUMIFS(Tableau4[NB Remis],Tableau4[Réf matériel],Tableau5[[#This Row],[Réf matériel]],Tableau4[Matricule],"CV1")</f>
        <v>1</v>
      </c>
      <c r="CE13" s="105" t="str">
        <f>IF(Tableau5[[#This Row],[Besoin CV1]]=Tableau5[[#This Row],[Remis CV1]],"OK","NOK")</f>
        <v>OK</v>
      </c>
      <c r="CF13">
        <v>1</v>
      </c>
      <c r="CG13">
        <f>SUMIFS(Tableau4[NB Remis],Tableau4[Réf matériel],Tableau5[[#This Row],[Réf matériel]],Tableau4[Matricule],"CV4")</f>
        <v>1</v>
      </c>
      <c r="CH13" s="106" t="str">
        <f>IF(Tableau5[[#This Row],[Besoin CV4]]=Tableau5[[#This Row],[Remis CV4]],"OK","NOK")</f>
        <v>OK</v>
      </c>
    </row>
    <row r="14" spans="1:86" x14ac:dyDescent="0.25">
      <c r="B14" t="s">
        <v>403</v>
      </c>
      <c r="C14">
        <v>1</v>
      </c>
      <c r="D14">
        <f>SUMIFS(Tableau4[NB Remis],Tableau4[Réf matériel],Tableau5[[#This Row],[Réf matériel]],Tableau4[Matricule],"OAI")</f>
        <v>1</v>
      </c>
      <c r="E14" s="105" t="str">
        <f>IF(Tableau5[[#This Row],[Besoin OAI]]=Tableau5[[#This Row],[Remis OAI]],"OK","NOK")</f>
        <v>OK</v>
      </c>
      <c r="F14">
        <v>1</v>
      </c>
      <c r="G14">
        <f>SUMIFS(Tableau4[NB Remis],Tableau4[Réf matériel],Tableau5[[#This Row],[Réf matériel]],Tableau4[Matricule],"ABE")</f>
        <v>1</v>
      </c>
      <c r="H14" s="105" t="str">
        <f>IF(Tableau5[[#This Row],[Besoin ABE]]=Tableau5[[#This Row],[Remis ABE]],"OK","NOK")</f>
        <v>OK</v>
      </c>
      <c r="J14">
        <f>SUMIFS(Tableau4[NB Remis],Tableau4[Réf matériel],Tableau5[[#This Row],[Réf matériel]],Tableau4[Matricule],"SBI")</f>
        <v>0</v>
      </c>
      <c r="K14" s="105" t="str">
        <f>IF(Tableau5[[#This Row],[Besoin SBI]]=Tableau5[[#This Row],[Remis SBI]],"OK","NOK")</f>
        <v>OK</v>
      </c>
      <c r="L14">
        <v>1</v>
      </c>
      <c r="M14">
        <f>SUMIFS(Tableau4[NB Remis],Tableau4[Réf matériel],Tableau5[[#This Row],[Réf matériel]],Tableau4[Matricule],"ABI")</f>
        <v>1</v>
      </c>
      <c r="N14" s="105" t="str">
        <f>IF(Tableau5[[#This Row],[Besoin ABI]]=Tableau5[[#This Row],[Remis ABI]],"OK","NOK")</f>
        <v>OK</v>
      </c>
      <c r="P14">
        <f>SUMIFS(Tableau4[NB Remis],Tableau4[Réf matériel],Tableau5[[#This Row],[Réf matériel]],Tableau4[Matricule],"DCE")</f>
        <v>0</v>
      </c>
      <c r="Q14" s="105" t="str">
        <f>IF(Tableau5[[#This Row],[Besoin DCE]]=Tableau5[[#This Row],[Remis DCE]],"OK","NOK")</f>
        <v>OK</v>
      </c>
      <c r="R14">
        <v>1</v>
      </c>
      <c r="S14">
        <f>SUMIFS(Tableau4[NB Remis],Tableau4[Réf matériel],Tableau5[[#This Row],[Réf matériel]],Tableau4[Matricule],"JDE")</f>
        <v>1</v>
      </c>
      <c r="T14" s="105" t="str">
        <f>IF(Tableau5[[#This Row],[Besoin JDE]]=Tableau5[[#This Row],[Remis JDE]],"OK","NOK")</f>
        <v>OK</v>
      </c>
      <c r="U14">
        <v>1</v>
      </c>
      <c r="V14">
        <f>SUMIFS(Tableau4[NB Remis],Tableau4[Réf matériel],Tableau5[[#This Row],[Réf matériel]],Tableau4[Matricule],"ODI")</f>
        <v>1</v>
      </c>
      <c r="W14" s="105" t="str">
        <f>IF(Tableau5[[#This Row],[Besoin ODI]]=Tableau5[[#This Row],[Remis ODI]],"OK","NOK")</f>
        <v>OK</v>
      </c>
      <c r="Y14">
        <f>SUMIFS(Tableau4[NB Remis],Tableau4[Réf matériel],Tableau5[[#This Row],[Réf matériel]],Tableau4[Matricule],"MFO")</f>
        <v>0</v>
      </c>
      <c r="Z14" s="105" t="str">
        <f>IF(Tableau5[[#This Row],[Besoin MFO]]=Tableau5[[#This Row],[Remis MFO]],"OK","NOK")</f>
        <v>OK</v>
      </c>
      <c r="AB14">
        <f>SUMIFS(Tableau4[NB Remis],Tableau4[Réf matériel],Tableau5[[#This Row],[Réf matériel]],Tableau4[Matricule],"SDU")</f>
        <v>0</v>
      </c>
      <c r="AC14" s="105" t="str">
        <f>IF(Tableau5[[#This Row],[Besoin SDU]]=Tableau5[[#This Row],[Remis SDU]],"OK","NOK")</f>
        <v>OK</v>
      </c>
      <c r="AE14">
        <f>SUMIFS(Tableau4[NB Remis],Tableau4[Réf matériel],Tableau5[[#This Row],[Réf matériel]],Tableau4[Matricule],"GGA")</f>
        <v>0</v>
      </c>
      <c r="AF14" s="105" t="str">
        <f>IF(Tableau5[[#This Row],[Besoin GGA2]]=Tableau5[[#This Row],[Remis GGA3]],"OK","NOK")</f>
        <v>OK</v>
      </c>
      <c r="AG14">
        <v>1</v>
      </c>
      <c r="AH14">
        <f>SUMIFS(Tableau4[NB Remis],Tableau4[Réf matériel],Tableau5[[#This Row],[Réf matériel]],Tableau4[Matricule],"RGE")</f>
        <v>2</v>
      </c>
      <c r="AI14" s="105" t="str">
        <f>IF(Tableau5[[#This Row],[Besoin RGE]]=Tableau5[[#This Row],[Remis RGE]],"OK","NOK")</f>
        <v>NOK</v>
      </c>
      <c r="AJ14">
        <v>1</v>
      </c>
      <c r="AK14">
        <f>SUMIFS(Tableau4[NB Remis],Tableau4[Réf matériel],Tableau5[[#This Row],[Réf matériel]],Tableau4[Matricule],"CKE")</f>
        <v>1</v>
      </c>
      <c r="AL14" s="105" t="str">
        <f>IF(Tableau5[[#This Row],[Besoin CKE]]=Tableau5[[#This Row],[Remis CKE]],"OK","NOK")</f>
        <v>OK</v>
      </c>
      <c r="AN14">
        <f>SUMIFS(Tableau4[NB Remis],Tableau4[Réf matériel],Tableau5[[#This Row],[Réf matériel]],Tableau4[Matricule],"DMA")</f>
        <v>0</v>
      </c>
      <c r="AO14" s="105" t="str">
        <f>IF(Tableau5[[#This Row],[Besoin DMA]]=Tableau5[[#This Row],[Remis DMA]],"OK","NOK")</f>
        <v>OK</v>
      </c>
      <c r="AQ14">
        <f>SUMIFS(Tableau4[NB Remis],Tableau4[Réf matériel],Tableau5[[#This Row],[Réf matériel]],Tableau4[Matricule],"LMO")</f>
        <v>0</v>
      </c>
      <c r="AR14" s="105" t="str">
        <f>IF(Tableau5[[#This Row],[Besoin LMO]]=Tableau5[[#This Row],[Remis LMO]],"OK","NOK")</f>
        <v>OK</v>
      </c>
      <c r="AS14">
        <v>1</v>
      </c>
      <c r="AT14">
        <f>SUMIFS(Tableau4[NB Remis],Tableau4[Réf matériel],Tableau5[[#This Row],[Réf matériel]],Tableau4[Matricule],"TMO")</f>
        <v>1</v>
      </c>
      <c r="AU14" s="105" t="str">
        <f>IF(Tableau5[[#This Row],[Besoin TMO]]=Tableau5[[#This Row],[Remis TMO]],"OK","NOK")</f>
        <v>OK</v>
      </c>
      <c r="AV14">
        <v>1</v>
      </c>
      <c r="AW14">
        <f>SUMIFS(Tableau4[NB Remis],Tableau4[Réf matériel],Tableau5[[#This Row],[Réf matériel]],Tableau4[Matricule],"JPA")</f>
        <v>1</v>
      </c>
      <c r="AX14" s="105" t="str">
        <f>IF(Tableau5[[#This Row],[Besoin JPA]]=Tableau5[[#This Row],[Remis JPA]],"OK","NOK")</f>
        <v>OK</v>
      </c>
      <c r="AY14">
        <v>1</v>
      </c>
      <c r="AZ14">
        <f>SUMIFS(Tableau4[NB Remis],Tableau4[Réf matériel],Tableau5[[#This Row],[Réf matériel]],Tableau4[Matricule],"MPE")</f>
        <v>1</v>
      </c>
      <c r="BA14" s="105" t="str">
        <f>IF(Tableau5[[#This Row],[Besoin MPE]]=Tableau5[[#This Row],[Remis MPE]],"OK","NOK")</f>
        <v>OK</v>
      </c>
      <c r="BB14">
        <v>1</v>
      </c>
      <c r="BC14">
        <f>SUMIFS(Tableau4[NB Remis],Tableau4[Réf matériel],Tableau5[[#This Row],[Réf matériel]],Tableau4[Matricule],"SPR")</f>
        <v>1</v>
      </c>
      <c r="BD14" s="105" t="str">
        <f>IF(Tableau5[[#This Row],[Besoin SPR]]=Tableau5[[#This Row],[Remis SPR]],"OK","NOK")</f>
        <v>OK</v>
      </c>
      <c r="BE14">
        <v>1</v>
      </c>
      <c r="BF14">
        <f>SUMIFS(Tableau4[NB Remis],Tableau4[Réf matériel],Tableau5[[#This Row],[Réf matériel]],Tableau4[Matricule],"MRO")</f>
        <v>1</v>
      </c>
      <c r="BG14" s="105" t="str">
        <f>IF(Tableau5[[#This Row],[Besoin MRO]]=Tableau5[[#This Row],[Remis MRO]],"OK","NOK")</f>
        <v>OK</v>
      </c>
      <c r="BH14">
        <v>1</v>
      </c>
      <c r="BI14">
        <f>SUMIFS(Tableau4[NB Remis],Tableau4[Réf matériel],Tableau5[[#This Row],[Réf matériel]],Tableau4[Matricule],"LSA")</f>
        <v>1</v>
      </c>
      <c r="BJ14" s="105" t="str">
        <f>IF(Tableau5[[#This Row],[Besoin LSA]]=Tableau5[[#This Row],[Remis LSA]],"OK","NOK")</f>
        <v>OK</v>
      </c>
      <c r="BK14">
        <v>1</v>
      </c>
      <c r="BL14">
        <f>SUMIFS(Tableau4[NB Remis],Tableau4[Réf matériel],Tableau5[[#This Row],[Réf matériel]],Tableau4[Matricule],"SST")</f>
        <v>1</v>
      </c>
      <c r="BM14" s="105" t="str">
        <f>IF(Tableau5[[#This Row],[Besoin SST]]=Tableau5[[#This Row],[Remis SST]],"OK","NOK")</f>
        <v>OK</v>
      </c>
      <c r="BO14">
        <f>SUMIFS(Tableau4[NB Remis],Tableau4[Réf matériel],Tableau5[[#This Row],[Réf matériel]],Tableau4[Matricule],"CTH")</f>
        <v>0</v>
      </c>
      <c r="BP14" s="105" t="str">
        <f>IF(Tableau5[[#This Row],[Besoin CTH]]=Tableau5[[#This Row],[Remis CTH]],"OK","NOK")</f>
        <v>OK</v>
      </c>
      <c r="BQ14">
        <v>1</v>
      </c>
      <c r="BR14">
        <f>SUMIFS(Tableau4[NB Remis],Tableau4[Réf matériel],Tableau5[[#This Row],[Réf matériel]],Tableau4[Matricule],"AVU")</f>
        <v>1</v>
      </c>
      <c r="BS14" s="105" t="str">
        <f>IF(Tableau5[[#This Row],[Besoin AVU]]=Tableau5[[#This Row],[Remis AVU]],"OK","NOK")</f>
        <v>OK</v>
      </c>
      <c r="BU14">
        <f>SUMIFS(Tableau4[NB Remis],Tableau4[Réf matériel],Tableau5[[#This Row],[Réf matériel]],Tableau4[Matricule],"FZE")</f>
        <v>0</v>
      </c>
      <c r="BV14" s="105" t="str">
        <f>IF(Tableau5[[#This Row],[Besoin FZE]]=Tableau5[[#This Row],[Remis FZE]],"OK","NOK")</f>
        <v>OK</v>
      </c>
      <c r="BW14">
        <v>1</v>
      </c>
      <c r="BX14">
        <f>SUMIFS(Tableau4[NB Remis],Tableau4[Réf matériel],Tableau5[[#This Row],[Réf matériel]],Tableau4[Matricule],"CV2")</f>
        <v>1</v>
      </c>
      <c r="BY14" s="105" t="str">
        <f>IF(Tableau5[[#This Row],[Besoin CV2]]=Tableau5[[#This Row],[Remis CV2]],"OK","NOK")</f>
        <v>OK</v>
      </c>
      <c r="BZ14">
        <v>1</v>
      </c>
      <c r="CA14">
        <f>SUMIFS(Tableau4[NB Remis],Tableau4[Réf matériel],Tableau5[[#This Row],[Réf matériel]],Tableau4[Matricule],"CV3")</f>
        <v>1</v>
      </c>
      <c r="CB14" s="105" t="str">
        <f>IF(Tableau5[[#This Row],[Besoin CV3]]=Tableau5[[#This Row],[Remis CV3]],"OK","NOK")</f>
        <v>OK</v>
      </c>
      <c r="CC14">
        <v>1</v>
      </c>
      <c r="CD14">
        <f>SUMIFS(Tableau4[NB Remis],Tableau4[Réf matériel],Tableau5[[#This Row],[Réf matériel]],Tableau4[Matricule],"CV1")</f>
        <v>1</v>
      </c>
      <c r="CE14" s="105" t="str">
        <f>IF(Tableau5[[#This Row],[Besoin CV1]]=Tableau5[[#This Row],[Remis CV1]],"OK","NOK")</f>
        <v>OK</v>
      </c>
      <c r="CF14">
        <v>1</v>
      </c>
      <c r="CG14">
        <f>SUMIFS(Tableau4[NB Remis],Tableau4[Réf matériel],Tableau5[[#This Row],[Réf matériel]],Tableau4[Matricule],"CV4")</f>
        <v>1</v>
      </c>
      <c r="CH14" s="106" t="str">
        <f>IF(Tableau5[[#This Row],[Besoin CV4]]=Tableau5[[#This Row],[Remis CV4]],"OK","NOK")</f>
        <v>OK</v>
      </c>
    </row>
    <row r="15" spans="1:86" x14ac:dyDescent="0.25">
      <c r="B15" t="s">
        <v>404</v>
      </c>
      <c r="D15">
        <f>SUMIFS(Tableau4[NB Remis],Tableau4[Réf matériel],Tableau5[[#This Row],[Réf matériel]],Tableau4[Matricule],"OAI")</f>
        <v>0</v>
      </c>
      <c r="E15" s="105" t="str">
        <f>IF(Tableau5[[#This Row],[Besoin OAI]]=Tableau5[[#This Row],[Remis OAI]],"OK","NOK")</f>
        <v>OK</v>
      </c>
      <c r="G15">
        <f>SUMIFS(Tableau4[NB Remis],Tableau4[Réf matériel],Tableau5[[#This Row],[Réf matériel]],Tableau4[Matricule],"ABE")</f>
        <v>0</v>
      </c>
      <c r="H15" s="105" t="str">
        <f>IF(Tableau5[[#This Row],[Besoin ABE]]=Tableau5[[#This Row],[Remis ABE]],"OK","NOK")</f>
        <v>OK</v>
      </c>
      <c r="J15">
        <f>SUMIFS(Tableau4[NB Remis],Tableau4[Réf matériel],Tableau5[[#This Row],[Réf matériel]],Tableau4[Matricule],"SBI")</f>
        <v>0</v>
      </c>
      <c r="K15" s="105" t="str">
        <f>IF(Tableau5[[#This Row],[Besoin SBI]]=Tableau5[[#This Row],[Remis SBI]],"OK","NOK")</f>
        <v>OK</v>
      </c>
      <c r="M15">
        <f>SUMIFS(Tableau4[NB Remis],Tableau4[Réf matériel],Tableau5[[#This Row],[Réf matériel]],Tableau4[Matricule],"ABI")</f>
        <v>0</v>
      </c>
      <c r="N15" s="105" t="str">
        <f>IF(Tableau5[[#This Row],[Besoin ABI]]=Tableau5[[#This Row],[Remis ABI]],"OK","NOK")</f>
        <v>OK</v>
      </c>
      <c r="P15">
        <f>SUMIFS(Tableau4[NB Remis],Tableau4[Réf matériel],Tableau5[[#This Row],[Réf matériel]],Tableau4[Matricule],"DCE")</f>
        <v>0</v>
      </c>
      <c r="Q15" s="105" t="str">
        <f>IF(Tableau5[[#This Row],[Besoin DCE]]=Tableau5[[#This Row],[Remis DCE]],"OK","NOK")</f>
        <v>OK</v>
      </c>
      <c r="S15">
        <f>SUMIFS(Tableau4[NB Remis],Tableau4[Réf matériel],Tableau5[[#This Row],[Réf matériel]],Tableau4[Matricule],"JDE")</f>
        <v>0</v>
      </c>
      <c r="T15" s="105" t="str">
        <f>IF(Tableau5[[#This Row],[Besoin JDE]]=Tableau5[[#This Row],[Remis JDE]],"OK","NOK")</f>
        <v>OK</v>
      </c>
      <c r="V15">
        <f>SUMIFS(Tableau4[NB Remis],Tableau4[Réf matériel],Tableau5[[#This Row],[Réf matériel]],Tableau4[Matricule],"ODI")</f>
        <v>0</v>
      </c>
      <c r="W15" s="105" t="str">
        <f>IF(Tableau5[[#This Row],[Besoin ODI]]=Tableau5[[#This Row],[Remis ODI]],"OK","NOK")</f>
        <v>OK</v>
      </c>
      <c r="Y15">
        <f>SUMIFS(Tableau4[NB Remis],Tableau4[Réf matériel],Tableau5[[#This Row],[Réf matériel]],Tableau4[Matricule],"MFO")</f>
        <v>0</v>
      </c>
      <c r="Z15" s="105" t="str">
        <f>IF(Tableau5[[#This Row],[Besoin MFO]]=Tableau5[[#This Row],[Remis MFO]],"OK","NOK")</f>
        <v>OK</v>
      </c>
      <c r="AB15">
        <f>SUMIFS(Tableau4[NB Remis],Tableau4[Réf matériel],Tableau5[[#This Row],[Réf matériel]],Tableau4[Matricule],"SDU")</f>
        <v>0</v>
      </c>
      <c r="AC15" s="105" t="str">
        <f>IF(Tableau5[[#This Row],[Besoin SDU]]=Tableau5[[#This Row],[Remis SDU]],"OK","NOK")</f>
        <v>OK</v>
      </c>
      <c r="AE15">
        <f>SUMIFS(Tableau4[NB Remis],Tableau4[Réf matériel],Tableau5[[#This Row],[Réf matériel]],Tableau4[Matricule],"GGA")</f>
        <v>0</v>
      </c>
      <c r="AF15" s="105" t="str">
        <f>IF(Tableau5[[#This Row],[Besoin GGA2]]=Tableau5[[#This Row],[Remis GGA3]],"OK","NOK")</f>
        <v>OK</v>
      </c>
      <c r="AH15">
        <f>SUMIFS(Tableau4[NB Remis],Tableau4[Réf matériel],Tableau5[[#This Row],[Réf matériel]],Tableau4[Matricule],"RGE")</f>
        <v>0</v>
      </c>
      <c r="AI15" s="105" t="str">
        <f>IF(Tableau5[[#This Row],[Besoin RGE]]=Tableau5[[#This Row],[Remis RGE]],"OK","NOK")</f>
        <v>OK</v>
      </c>
      <c r="AK15">
        <f>SUMIFS(Tableau4[NB Remis],Tableau4[Réf matériel],Tableau5[[#This Row],[Réf matériel]],Tableau4[Matricule],"CKE")</f>
        <v>0</v>
      </c>
      <c r="AL15" s="105" t="str">
        <f>IF(Tableau5[[#This Row],[Besoin CKE]]=Tableau5[[#This Row],[Remis CKE]],"OK","NOK")</f>
        <v>OK</v>
      </c>
      <c r="AN15">
        <f>SUMIFS(Tableau4[NB Remis],Tableau4[Réf matériel],Tableau5[[#This Row],[Réf matériel]],Tableau4[Matricule],"DMA")</f>
        <v>0</v>
      </c>
      <c r="AO15" s="105" t="str">
        <f>IF(Tableau5[[#This Row],[Besoin DMA]]=Tableau5[[#This Row],[Remis DMA]],"OK","NOK")</f>
        <v>OK</v>
      </c>
      <c r="AQ15">
        <f>SUMIFS(Tableau4[NB Remis],Tableau4[Réf matériel],Tableau5[[#This Row],[Réf matériel]],Tableau4[Matricule],"LMO")</f>
        <v>0</v>
      </c>
      <c r="AR15" s="105" t="str">
        <f>IF(Tableau5[[#This Row],[Besoin LMO]]=Tableau5[[#This Row],[Remis LMO]],"OK","NOK")</f>
        <v>OK</v>
      </c>
      <c r="AT15">
        <f>SUMIFS(Tableau4[NB Remis],Tableau4[Réf matériel],Tableau5[[#This Row],[Réf matériel]],Tableau4[Matricule],"TMO")</f>
        <v>0</v>
      </c>
      <c r="AU15" s="105" t="str">
        <f>IF(Tableau5[[#This Row],[Besoin TMO]]=Tableau5[[#This Row],[Remis TMO]],"OK","NOK")</f>
        <v>OK</v>
      </c>
      <c r="AW15">
        <f>SUMIFS(Tableau4[NB Remis],Tableau4[Réf matériel],Tableau5[[#This Row],[Réf matériel]],Tableau4[Matricule],"JPA")</f>
        <v>0</v>
      </c>
      <c r="AX15" s="105" t="str">
        <f>IF(Tableau5[[#This Row],[Besoin JPA]]=Tableau5[[#This Row],[Remis JPA]],"OK","NOK")</f>
        <v>OK</v>
      </c>
      <c r="AY15">
        <v>1</v>
      </c>
      <c r="AZ15">
        <f>SUMIFS(Tableau4[NB Remis],Tableau4[Réf matériel],Tableau5[[#This Row],[Réf matériel]],Tableau4[Matricule],"MPE")</f>
        <v>1</v>
      </c>
      <c r="BA15" s="105" t="str">
        <f>IF(Tableau5[[#This Row],[Besoin MPE]]=Tableau5[[#This Row],[Remis MPE]],"OK","NOK")</f>
        <v>OK</v>
      </c>
      <c r="BC15">
        <f>SUMIFS(Tableau4[NB Remis],Tableau4[Réf matériel],Tableau5[[#This Row],[Réf matériel]],Tableau4[Matricule],"SPR")</f>
        <v>0</v>
      </c>
      <c r="BD15" s="105" t="str">
        <f>IF(Tableau5[[#This Row],[Besoin SPR]]=Tableau5[[#This Row],[Remis SPR]],"OK","NOK")</f>
        <v>OK</v>
      </c>
      <c r="BF15">
        <f>SUMIFS(Tableau4[NB Remis],Tableau4[Réf matériel],Tableau5[[#This Row],[Réf matériel]],Tableau4[Matricule],"MRO")</f>
        <v>0</v>
      </c>
      <c r="BG15" s="105" t="str">
        <f>IF(Tableau5[[#This Row],[Besoin MRO]]=Tableau5[[#This Row],[Remis MRO]],"OK","NOK")</f>
        <v>OK</v>
      </c>
      <c r="BI15">
        <f>SUMIFS(Tableau4[NB Remis],Tableau4[Réf matériel],Tableau5[[#This Row],[Réf matériel]],Tableau4[Matricule],"LSA")</f>
        <v>0</v>
      </c>
      <c r="BJ15" s="105" t="str">
        <f>IF(Tableau5[[#This Row],[Besoin LSA]]=Tableau5[[#This Row],[Remis LSA]],"OK","NOK")</f>
        <v>OK</v>
      </c>
      <c r="BL15">
        <f>SUMIFS(Tableau4[NB Remis],Tableau4[Réf matériel],Tableau5[[#This Row],[Réf matériel]],Tableau4[Matricule],"SST")</f>
        <v>0</v>
      </c>
      <c r="BM15" s="105" t="str">
        <f>IF(Tableau5[[#This Row],[Besoin SST]]=Tableau5[[#This Row],[Remis SST]],"OK","NOK")</f>
        <v>OK</v>
      </c>
      <c r="BO15">
        <f>SUMIFS(Tableau4[NB Remis],Tableau4[Réf matériel],Tableau5[[#This Row],[Réf matériel]],Tableau4[Matricule],"CTH")</f>
        <v>0</v>
      </c>
      <c r="BP15" s="105" t="str">
        <f>IF(Tableau5[[#This Row],[Besoin CTH]]=Tableau5[[#This Row],[Remis CTH]],"OK","NOK")</f>
        <v>OK</v>
      </c>
      <c r="BR15">
        <f>SUMIFS(Tableau4[NB Remis],Tableau4[Réf matériel],Tableau5[[#This Row],[Réf matériel]],Tableau4[Matricule],"AVU")</f>
        <v>0</v>
      </c>
      <c r="BS15" s="105" t="str">
        <f>IF(Tableau5[[#This Row],[Besoin AVU]]=Tableau5[[#This Row],[Remis AVU]],"OK","NOK")</f>
        <v>OK</v>
      </c>
      <c r="BU15">
        <f>SUMIFS(Tableau4[NB Remis],Tableau4[Réf matériel],Tableau5[[#This Row],[Réf matériel]],Tableau4[Matricule],"FZE")</f>
        <v>0</v>
      </c>
      <c r="BV15" s="105" t="str">
        <f>IF(Tableau5[[#This Row],[Besoin FZE]]=Tableau5[[#This Row],[Remis FZE]],"OK","NOK")</f>
        <v>OK</v>
      </c>
      <c r="BX15">
        <f>SUMIFS(Tableau4[NB Remis],Tableau4[Réf matériel],Tableau5[[#This Row],[Réf matériel]],Tableau4[Matricule],"CV2")</f>
        <v>0</v>
      </c>
      <c r="BY15" s="105" t="str">
        <f>IF(Tableau5[[#This Row],[Besoin CV2]]=Tableau5[[#This Row],[Remis CV2]],"OK","NOK")</f>
        <v>OK</v>
      </c>
      <c r="CA15">
        <f>SUMIFS(Tableau4[NB Remis],Tableau4[Réf matériel],Tableau5[[#This Row],[Réf matériel]],Tableau4[Matricule],"CV3")</f>
        <v>0</v>
      </c>
      <c r="CB15" s="105" t="str">
        <f>IF(Tableau5[[#This Row],[Besoin CV3]]=Tableau5[[#This Row],[Remis CV3]],"OK","NOK")</f>
        <v>OK</v>
      </c>
      <c r="CD15">
        <f>SUMIFS(Tableau4[NB Remis],Tableau4[Réf matériel],Tableau5[[#This Row],[Réf matériel]],Tableau4[Matricule],"CV1")</f>
        <v>0</v>
      </c>
      <c r="CE15" s="105" t="str">
        <f>IF(Tableau5[[#This Row],[Besoin CV1]]=Tableau5[[#This Row],[Remis CV1]],"OK","NOK")</f>
        <v>OK</v>
      </c>
      <c r="CG15">
        <f>SUMIFS(Tableau4[NB Remis],Tableau4[Réf matériel],Tableau5[[#This Row],[Réf matériel]],Tableau4[Matricule],"CV4")</f>
        <v>0</v>
      </c>
      <c r="CH15" s="106" t="str">
        <f>IF(Tableau5[[#This Row],[Besoin CV4]]=Tableau5[[#This Row],[Remis CV4]],"OK","NOK")</f>
        <v>OK</v>
      </c>
    </row>
    <row r="16" spans="1:86" x14ac:dyDescent="0.25">
      <c r="B16" t="s">
        <v>405</v>
      </c>
      <c r="C16">
        <v>1</v>
      </c>
      <c r="D16">
        <f>SUMIFS(Tableau4[NB Remis],Tableau4[Réf matériel],Tableau5[[#This Row],[Réf matériel]],Tableau4[Matricule],"OAI")</f>
        <v>1</v>
      </c>
      <c r="E16" s="105" t="str">
        <f>IF(Tableau5[[#This Row],[Besoin OAI]]=Tableau5[[#This Row],[Remis OAI]],"OK","NOK")</f>
        <v>OK</v>
      </c>
      <c r="F16">
        <v>1</v>
      </c>
      <c r="G16">
        <f>SUMIFS(Tableau4[NB Remis],Tableau4[Réf matériel],Tableau5[[#This Row],[Réf matériel]],Tableau4[Matricule],"ABE")</f>
        <v>1</v>
      </c>
      <c r="H16" s="105" t="str">
        <f>IF(Tableau5[[#This Row],[Besoin ABE]]=Tableau5[[#This Row],[Remis ABE]],"OK","NOK")</f>
        <v>OK</v>
      </c>
      <c r="J16">
        <f>SUMIFS(Tableau4[NB Remis],Tableau4[Réf matériel],Tableau5[[#This Row],[Réf matériel]],Tableau4[Matricule],"SBI")</f>
        <v>0</v>
      </c>
      <c r="K16" s="105" t="str">
        <f>IF(Tableau5[[#This Row],[Besoin SBI]]=Tableau5[[#This Row],[Remis SBI]],"OK","NOK")</f>
        <v>OK</v>
      </c>
      <c r="L16">
        <v>1</v>
      </c>
      <c r="M16">
        <f>SUMIFS(Tableau4[NB Remis],Tableau4[Réf matériel],Tableau5[[#This Row],[Réf matériel]],Tableau4[Matricule],"ABI")</f>
        <v>1</v>
      </c>
      <c r="N16" s="105" t="str">
        <f>IF(Tableau5[[#This Row],[Besoin ABI]]=Tableau5[[#This Row],[Remis ABI]],"OK","NOK")</f>
        <v>OK</v>
      </c>
      <c r="P16">
        <f>SUMIFS(Tableau4[NB Remis],Tableau4[Réf matériel],Tableau5[[#This Row],[Réf matériel]],Tableau4[Matricule],"DCE")</f>
        <v>0</v>
      </c>
      <c r="Q16" s="105" t="str">
        <f>IF(Tableau5[[#This Row],[Besoin DCE]]=Tableau5[[#This Row],[Remis DCE]],"OK","NOK")</f>
        <v>OK</v>
      </c>
      <c r="R16">
        <v>1</v>
      </c>
      <c r="S16">
        <f>SUMIFS(Tableau4[NB Remis],Tableau4[Réf matériel],Tableau5[[#This Row],[Réf matériel]],Tableau4[Matricule],"JDE")</f>
        <v>1</v>
      </c>
      <c r="T16" s="105" t="str">
        <f>IF(Tableau5[[#This Row],[Besoin JDE]]=Tableau5[[#This Row],[Remis JDE]],"OK","NOK")</f>
        <v>OK</v>
      </c>
      <c r="U16">
        <v>1</v>
      </c>
      <c r="V16">
        <f>SUMIFS(Tableau4[NB Remis],Tableau4[Réf matériel],Tableau5[[#This Row],[Réf matériel]],Tableau4[Matricule],"ODI")</f>
        <v>1</v>
      </c>
      <c r="W16" s="105" t="str">
        <f>IF(Tableau5[[#This Row],[Besoin ODI]]=Tableau5[[#This Row],[Remis ODI]],"OK","NOK")</f>
        <v>OK</v>
      </c>
      <c r="Y16">
        <f>SUMIFS(Tableau4[NB Remis],Tableau4[Réf matériel],Tableau5[[#This Row],[Réf matériel]],Tableau4[Matricule],"MFO")</f>
        <v>0</v>
      </c>
      <c r="Z16" s="105" t="str">
        <f>IF(Tableau5[[#This Row],[Besoin MFO]]=Tableau5[[#This Row],[Remis MFO]],"OK","NOK")</f>
        <v>OK</v>
      </c>
      <c r="AB16">
        <f>SUMIFS(Tableau4[NB Remis],Tableau4[Réf matériel],Tableau5[[#This Row],[Réf matériel]],Tableau4[Matricule],"SDU")</f>
        <v>0</v>
      </c>
      <c r="AC16" s="105" t="str">
        <f>IF(Tableau5[[#This Row],[Besoin SDU]]=Tableau5[[#This Row],[Remis SDU]],"OK","NOK")</f>
        <v>OK</v>
      </c>
      <c r="AE16">
        <f>SUMIFS(Tableau4[NB Remis],Tableau4[Réf matériel],Tableau5[[#This Row],[Réf matériel]],Tableau4[Matricule],"GGA")</f>
        <v>0</v>
      </c>
      <c r="AF16" s="105" t="str">
        <f>IF(Tableau5[[#This Row],[Besoin GGA2]]=Tableau5[[#This Row],[Remis GGA3]],"OK","NOK")</f>
        <v>OK</v>
      </c>
      <c r="AG16">
        <v>1</v>
      </c>
      <c r="AH16">
        <f>SUMIFS(Tableau4[NB Remis],Tableau4[Réf matériel],Tableau5[[#This Row],[Réf matériel]],Tableau4[Matricule],"RGE")</f>
        <v>2</v>
      </c>
      <c r="AI16" s="105" t="str">
        <f>IF(Tableau5[[#This Row],[Besoin RGE]]=Tableau5[[#This Row],[Remis RGE]],"OK","NOK")</f>
        <v>NOK</v>
      </c>
      <c r="AJ16">
        <v>1</v>
      </c>
      <c r="AK16">
        <f>SUMIFS(Tableau4[NB Remis],Tableau4[Réf matériel],Tableau5[[#This Row],[Réf matériel]],Tableau4[Matricule],"CKE")</f>
        <v>1</v>
      </c>
      <c r="AL16" s="105" t="str">
        <f>IF(Tableau5[[#This Row],[Besoin CKE]]=Tableau5[[#This Row],[Remis CKE]],"OK","NOK")</f>
        <v>OK</v>
      </c>
      <c r="AN16">
        <f>SUMIFS(Tableau4[NB Remis],Tableau4[Réf matériel],Tableau5[[#This Row],[Réf matériel]],Tableau4[Matricule],"DMA")</f>
        <v>0</v>
      </c>
      <c r="AO16" s="105" t="str">
        <f>IF(Tableau5[[#This Row],[Besoin DMA]]=Tableau5[[#This Row],[Remis DMA]],"OK","NOK")</f>
        <v>OK</v>
      </c>
      <c r="AQ16">
        <f>SUMIFS(Tableau4[NB Remis],Tableau4[Réf matériel],Tableau5[[#This Row],[Réf matériel]],Tableau4[Matricule],"LMO")</f>
        <v>0</v>
      </c>
      <c r="AR16" s="105" t="str">
        <f>IF(Tableau5[[#This Row],[Besoin LMO]]=Tableau5[[#This Row],[Remis LMO]],"OK","NOK")</f>
        <v>OK</v>
      </c>
      <c r="AS16">
        <v>1</v>
      </c>
      <c r="AT16">
        <f>SUMIFS(Tableau4[NB Remis],Tableau4[Réf matériel],Tableau5[[#This Row],[Réf matériel]],Tableau4[Matricule],"TMO")</f>
        <v>1</v>
      </c>
      <c r="AU16" s="105" t="str">
        <f>IF(Tableau5[[#This Row],[Besoin TMO]]=Tableau5[[#This Row],[Remis TMO]],"OK","NOK")</f>
        <v>OK</v>
      </c>
      <c r="AV16">
        <v>1</v>
      </c>
      <c r="AW16">
        <f>SUMIFS(Tableau4[NB Remis],Tableau4[Réf matériel],Tableau5[[#This Row],[Réf matériel]],Tableau4[Matricule],"JPA")</f>
        <v>1</v>
      </c>
      <c r="AX16" s="105" t="str">
        <f>IF(Tableau5[[#This Row],[Besoin JPA]]=Tableau5[[#This Row],[Remis JPA]],"OK","NOK")</f>
        <v>OK</v>
      </c>
      <c r="AZ16">
        <f>SUMIFS(Tableau4[NB Remis],Tableau4[Réf matériel],Tableau5[[#This Row],[Réf matériel]],Tableau4[Matricule],"MPE")</f>
        <v>0</v>
      </c>
      <c r="BA16" s="105" t="str">
        <f>IF(Tableau5[[#This Row],[Besoin MPE]]=Tableau5[[#This Row],[Remis MPE]],"OK","NOK")</f>
        <v>OK</v>
      </c>
      <c r="BB16">
        <v>1</v>
      </c>
      <c r="BC16">
        <f>SUMIFS(Tableau4[NB Remis],Tableau4[Réf matériel],Tableau5[[#This Row],[Réf matériel]],Tableau4[Matricule],"SPR")</f>
        <v>1</v>
      </c>
      <c r="BD16" s="105" t="str">
        <f>IF(Tableau5[[#This Row],[Besoin SPR]]=Tableau5[[#This Row],[Remis SPR]],"OK","NOK")</f>
        <v>OK</v>
      </c>
      <c r="BE16">
        <v>1</v>
      </c>
      <c r="BF16">
        <f>SUMIFS(Tableau4[NB Remis],Tableau4[Réf matériel],Tableau5[[#This Row],[Réf matériel]],Tableau4[Matricule],"MRO")</f>
        <v>0</v>
      </c>
      <c r="BG16" s="105" t="str">
        <f>IF(Tableau5[[#This Row],[Besoin MRO]]=Tableau5[[#This Row],[Remis MRO]],"OK","NOK")</f>
        <v>NOK</v>
      </c>
      <c r="BH16">
        <v>1</v>
      </c>
      <c r="BI16">
        <f>SUMIFS(Tableau4[NB Remis],Tableau4[Réf matériel],Tableau5[[#This Row],[Réf matériel]],Tableau4[Matricule],"LSA")</f>
        <v>1</v>
      </c>
      <c r="BJ16" s="105" t="str">
        <f>IF(Tableau5[[#This Row],[Besoin LSA]]=Tableau5[[#This Row],[Remis LSA]],"OK","NOK")</f>
        <v>OK</v>
      </c>
      <c r="BK16">
        <v>1</v>
      </c>
      <c r="BL16">
        <f>SUMIFS(Tableau4[NB Remis],Tableau4[Réf matériel],Tableau5[[#This Row],[Réf matériel]],Tableau4[Matricule],"SST")</f>
        <v>1</v>
      </c>
      <c r="BM16" s="105" t="str">
        <f>IF(Tableau5[[#This Row],[Besoin SST]]=Tableau5[[#This Row],[Remis SST]],"OK","NOK")</f>
        <v>OK</v>
      </c>
      <c r="BO16">
        <f>SUMIFS(Tableau4[NB Remis],Tableau4[Réf matériel],Tableau5[[#This Row],[Réf matériel]],Tableau4[Matricule],"CTH")</f>
        <v>0</v>
      </c>
      <c r="BP16" s="105" t="str">
        <f>IF(Tableau5[[#This Row],[Besoin CTH]]=Tableau5[[#This Row],[Remis CTH]],"OK","NOK")</f>
        <v>OK</v>
      </c>
      <c r="BQ16">
        <v>1</v>
      </c>
      <c r="BR16">
        <f>SUMIFS(Tableau4[NB Remis],Tableau4[Réf matériel],Tableau5[[#This Row],[Réf matériel]],Tableau4[Matricule],"AVU")</f>
        <v>1</v>
      </c>
      <c r="BS16" s="105" t="str">
        <f>IF(Tableau5[[#This Row],[Besoin AVU]]=Tableau5[[#This Row],[Remis AVU]],"OK","NOK")</f>
        <v>OK</v>
      </c>
      <c r="BU16">
        <f>SUMIFS(Tableau4[NB Remis],Tableau4[Réf matériel],Tableau5[[#This Row],[Réf matériel]],Tableau4[Matricule],"FZE")</f>
        <v>0</v>
      </c>
      <c r="BV16" s="105" t="str">
        <f>IF(Tableau5[[#This Row],[Besoin FZE]]=Tableau5[[#This Row],[Remis FZE]],"OK","NOK")</f>
        <v>OK</v>
      </c>
      <c r="BW16">
        <v>1</v>
      </c>
      <c r="BX16">
        <f>SUMIFS(Tableau4[NB Remis],Tableau4[Réf matériel],Tableau5[[#This Row],[Réf matériel]],Tableau4[Matricule],"CV2")</f>
        <v>2</v>
      </c>
      <c r="BY16" s="105" t="str">
        <f>IF(Tableau5[[#This Row],[Besoin CV2]]=Tableau5[[#This Row],[Remis CV2]],"OK","NOK")</f>
        <v>NOK</v>
      </c>
      <c r="BZ16">
        <v>1</v>
      </c>
      <c r="CA16">
        <f>SUMIFS(Tableau4[NB Remis],Tableau4[Réf matériel],Tableau5[[#This Row],[Réf matériel]],Tableau4[Matricule],"CV3")</f>
        <v>1</v>
      </c>
      <c r="CB16" s="105" t="str">
        <f>IF(Tableau5[[#This Row],[Besoin CV3]]=Tableau5[[#This Row],[Remis CV3]],"OK","NOK")</f>
        <v>OK</v>
      </c>
      <c r="CC16">
        <v>1</v>
      </c>
      <c r="CD16">
        <f>SUMIFS(Tableau4[NB Remis],Tableau4[Réf matériel],Tableau5[[#This Row],[Réf matériel]],Tableau4[Matricule],"CV1")</f>
        <v>1</v>
      </c>
      <c r="CE16" s="105" t="str">
        <f>IF(Tableau5[[#This Row],[Besoin CV1]]=Tableau5[[#This Row],[Remis CV1]],"OK","NOK")</f>
        <v>OK</v>
      </c>
      <c r="CF16">
        <v>1</v>
      </c>
      <c r="CG16">
        <f>SUMIFS(Tableau4[NB Remis],Tableau4[Réf matériel],Tableau5[[#This Row],[Réf matériel]],Tableau4[Matricule],"CV4")</f>
        <v>1</v>
      </c>
      <c r="CH16" s="106" t="str">
        <f>IF(Tableau5[[#This Row],[Besoin CV4]]=Tableau5[[#This Row],[Remis CV4]],"OK","NOK")</f>
        <v>OK</v>
      </c>
    </row>
    <row r="17" spans="2:86" x14ac:dyDescent="0.25">
      <c r="B17" t="s">
        <v>406</v>
      </c>
      <c r="D17">
        <f>SUMIFS(Tableau4[NB Remis],Tableau4[Réf matériel],Tableau5[[#This Row],[Réf matériel]],Tableau4[Matricule],"OAI")</f>
        <v>0</v>
      </c>
      <c r="E17" s="105" t="str">
        <f>IF(Tableau5[[#This Row],[Besoin OAI]]=Tableau5[[#This Row],[Remis OAI]],"OK","NOK")</f>
        <v>OK</v>
      </c>
      <c r="G17">
        <f>SUMIFS(Tableau4[NB Remis],Tableau4[Réf matériel],Tableau5[[#This Row],[Réf matériel]],Tableau4[Matricule],"ABE")</f>
        <v>0</v>
      </c>
      <c r="H17" s="105" t="str">
        <f>IF(Tableau5[[#This Row],[Besoin ABE]]=Tableau5[[#This Row],[Remis ABE]],"OK","NOK")</f>
        <v>OK</v>
      </c>
      <c r="J17">
        <f>SUMIFS(Tableau4[NB Remis],Tableau4[Réf matériel],Tableau5[[#This Row],[Réf matériel]],Tableau4[Matricule],"SBI")</f>
        <v>0</v>
      </c>
      <c r="K17" s="105" t="str">
        <f>IF(Tableau5[[#This Row],[Besoin SBI]]=Tableau5[[#This Row],[Remis SBI]],"OK","NOK")</f>
        <v>OK</v>
      </c>
      <c r="M17">
        <f>SUMIFS(Tableau4[NB Remis],Tableau4[Réf matériel],Tableau5[[#This Row],[Réf matériel]],Tableau4[Matricule],"ABI")</f>
        <v>0</v>
      </c>
      <c r="N17" s="105" t="str">
        <f>IF(Tableau5[[#This Row],[Besoin ABI]]=Tableau5[[#This Row],[Remis ABI]],"OK","NOK")</f>
        <v>OK</v>
      </c>
      <c r="P17">
        <f>SUMIFS(Tableau4[NB Remis],Tableau4[Réf matériel],Tableau5[[#This Row],[Réf matériel]],Tableau4[Matricule],"DCE")</f>
        <v>0</v>
      </c>
      <c r="Q17" s="105" t="str">
        <f>IF(Tableau5[[#This Row],[Besoin DCE]]=Tableau5[[#This Row],[Remis DCE]],"OK","NOK")</f>
        <v>OK</v>
      </c>
      <c r="S17">
        <f>SUMIFS(Tableau4[NB Remis],Tableau4[Réf matériel],Tableau5[[#This Row],[Réf matériel]],Tableau4[Matricule],"JDE")</f>
        <v>0</v>
      </c>
      <c r="T17" s="105" t="str">
        <f>IF(Tableau5[[#This Row],[Besoin JDE]]=Tableau5[[#This Row],[Remis JDE]],"OK","NOK")</f>
        <v>OK</v>
      </c>
      <c r="V17">
        <f>SUMIFS(Tableau4[NB Remis],Tableau4[Réf matériel],Tableau5[[#This Row],[Réf matériel]],Tableau4[Matricule],"ODI")</f>
        <v>0</v>
      </c>
      <c r="W17" s="105" t="str">
        <f>IF(Tableau5[[#This Row],[Besoin ODI]]=Tableau5[[#This Row],[Remis ODI]],"OK","NOK")</f>
        <v>OK</v>
      </c>
      <c r="Y17">
        <f>SUMIFS(Tableau4[NB Remis],Tableau4[Réf matériel],Tableau5[[#This Row],[Réf matériel]],Tableau4[Matricule],"MFO")</f>
        <v>0</v>
      </c>
      <c r="Z17" s="105" t="str">
        <f>IF(Tableau5[[#This Row],[Besoin MFO]]=Tableau5[[#This Row],[Remis MFO]],"OK","NOK")</f>
        <v>OK</v>
      </c>
      <c r="AB17">
        <f>SUMIFS(Tableau4[NB Remis],Tableau4[Réf matériel],Tableau5[[#This Row],[Réf matériel]],Tableau4[Matricule],"SDU")</f>
        <v>0</v>
      </c>
      <c r="AC17" s="105" t="str">
        <f>IF(Tableau5[[#This Row],[Besoin SDU]]=Tableau5[[#This Row],[Remis SDU]],"OK","NOK")</f>
        <v>OK</v>
      </c>
      <c r="AE17">
        <f>SUMIFS(Tableau4[NB Remis],Tableau4[Réf matériel],Tableau5[[#This Row],[Réf matériel]],Tableau4[Matricule],"GGA")</f>
        <v>0</v>
      </c>
      <c r="AF17" s="105" t="str">
        <f>IF(Tableau5[[#This Row],[Besoin GGA2]]=Tableau5[[#This Row],[Remis GGA3]],"OK","NOK")</f>
        <v>OK</v>
      </c>
      <c r="AH17">
        <f>SUMIFS(Tableau4[NB Remis],Tableau4[Réf matériel],Tableau5[[#This Row],[Réf matériel]],Tableau4[Matricule],"RGE")</f>
        <v>0</v>
      </c>
      <c r="AI17" s="105" t="str">
        <f>IF(Tableau5[[#This Row],[Besoin RGE]]=Tableau5[[#This Row],[Remis RGE]],"OK","NOK")</f>
        <v>OK</v>
      </c>
      <c r="AK17">
        <f>SUMIFS(Tableau4[NB Remis],Tableau4[Réf matériel],Tableau5[[#This Row],[Réf matériel]],Tableau4[Matricule],"CKE")</f>
        <v>0</v>
      </c>
      <c r="AL17" s="105" t="str">
        <f>IF(Tableau5[[#This Row],[Besoin CKE]]=Tableau5[[#This Row],[Remis CKE]],"OK","NOK")</f>
        <v>OK</v>
      </c>
      <c r="AN17">
        <f>SUMIFS(Tableau4[NB Remis],Tableau4[Réf matériel],Tableau5[[#This Row],[Réf matériel]],Tableau4[Matricule],"DMA")</f>
        <v>0</v>
      </c>
      <c r="AO17" s="105" t="str">
        <f>IF(Tableau5[[#This Row],[Besoin DMA]]=Tableau5[[#This Row],[Remis DMA]],"OK","NOK")</f>
        <v>OK</v>
      </c>
      <c r="AQ17">
        <f>SUMIFS(Tableau4[NB Remis],Tableau4[Réf matériel],Tableau5[[#This Row],[Réf matériel]],Tableau4[Matricule],"LMO")</f>
        <v>0</v>
      </c>
      <c r="AR17" s="105" t="str">
        <f>IF(Tableau5[[#This Row],[Besoin LMO]]=Tableau5[[#This Row],[Remis LMO]],"OK","NOK")</f>
        <v>OK</v>
      </c>
      <c r="AS17">
        <v>1</v>
      </c>
      <c r="AT17">
        <f>SUMIFS(Tableau4[NB Remis],Tableau4[Réf matériel],Tableau5[[#This Row],[Réf matériel]],Tableau4[Matricule],"TMO")</f>
        <v>1</v>
      </c>
      <c r="AU17" s="105" t="str">
        <f>IF(Tableau5[[#This Row],[Besoin TMO]]=Tableau5[[#This Row],[Remis TMO]],"OK","NOK")</f>
        <v>OK</v>
      </c>
      <c r="AW17">
        <f>SUMIFS(Tableau4[NB Remis],Tableau4[Réf matériel],Tableau5[[#This Row],[Réf matériel]],Tableau4[Matricule],"JPA")</f>
        <v>0</v>
      </c>
      <c r="AX17" s="105" t="str">
        <f>IF(Tableau5[[#This Row],[Besoin JPA]]=Tableau5[[#This Row],[Remis JPA]],"OK","NOK")</f>
        <v>OK</v>
      </c>
      <c r="AZ17">
        <f>SUMIFS(Tableau4[NB Remis],Tableau4[Réf matériel],Tableau5[[#This Row],[Réf matériel]],Tableau4[Matricule],"MPE")</f>
        <v>0</v>
      </c>
      <c r="BA17" s="105" t="str">
        <f>IF(Tableau5[[#This Row],[Besoin MPE]]=Tableau5[[#This Row],[Remis MPE]],"OK","NOK")</f>
        <v>OK</v>
      </c>
      <c r="BC17">
        <f>SUMIFS(Tableau4[NB Remis],Tableau4[Réf matériel],Tableau5[[#This Row],[Réf matériel]],Tableau4[Matricule],"SPR")</f>
        <v>0</v>
      </c>
      <c r="BD17" s="105" t="str">
        <f>IF(Tableau5[[#This Row],[Besoin SPR]]=Tableau5[[#This Row],[Remis SPR]],"OK","NOK")</f>
        <v>OK</v>
      </c>
      <c r="BF17">
        <f>SUMIFS(Tableau4[NB Remis],Tableau4[Réf matériel],Tableau5[[#This Row],[Réf matériel]],Tableau4[Matricule],"MRO")</f>
        <v>0</v>
      </c>
      <c r="BG17" s="105" t="str">
        <f>IF(Tableau5[[#This Row],[Besoin MRO]]=Tableau5[[#This Row],[Remis MRO]],"OK","NOK")</f>
        <v>OK</v>
      </c>
      <c r="BI17">
        <f>SUMIFS(Tableau4[NB Remis],Tableau4[Réf matériel],Tableau5[[#This Row],[Réf matériel]],Tableau4[Matricule],"LSA")</f>
        <v>0</v>
      </c>
      <c r="BJ17" s="105" t="str">
        <f>IF(Tableau5[[#This Row],[Besoin LSA]]=Tableau5[[#This Row],[Remis LSA]],"OK","NOK")</f>
        <v>OK</v>
      </c>
      <c r="BL17">
        <f>SUMIFS(Tableau4[NB Remis],Tableau4[Réf matériel],Tableau5[[#This Row],[Réf matériel]],Tableau4[Matricule],"SST")</f>
        <v>0</v>
      </c>
      <c r="BM17" s="105" t="str">
        <f>IF(Tableau5[[#This Row],[Besoin SST]]=Tableau5[[#This Row],[Remis SST]],"OK","NOK")</f>
        <v>OK</v>
      </c>
      <c r="BO17">
        <f>SUMIFS(Tableau4[NB Remis],Tableau4[Réf matériel],Tableau5[[#This Row],[Réf matériel]],Tableau4[Matricule],"CTH")</f>
        <v>0</v>
      </c>
      <c r="BP17" s="105" t="str">
        <f>IF(Tableau5[[#This Row],[Besoin CTH]]=Tableau5[[#This Row],[Remis CTH]],"OK","NOK")</f>
        <v>OK</v>
      </c>
      <c r="BR17">
        <f>SUMIFS(Tableau4[NB Remis],Tableau4[Réf matériel],Tableau5[[#This Row],[Réf matériel]],Tableau4[Matricule],"AVU")</f>
        <v>0</v>
      </c>
      <c r="BS17" s="105" t="str">
        <f>IF(Tableau5[[#This Row],[Besoin AVU]]=Tableau5[[#This Row],[Remis AVU]],"OK","NOK")</f>
        <v>OK</v>
      </c>
      <c r="BU17">
        <f>SUMIFS(Tableau4[NB Remis],Tableau4[Réf matériel],Tableau5[[#This Row],[Réf matériel]],Tableau4[Matricule],"FZE")</f>
        <v>0</v>
      </c>
      <c r="BV17" s="105" t="str">
        <f>IF(Tableau5[[#This Row],[Besoin FZE]]=Tableau5[[#This Row],[Remis FZE]],"OK","NOK")</f>
        <v>OK</v>
      </c>
      <c r="BX17">
        <f>SUMIFS(Tableau4[NB Remis],Tableau4[Réf matériel],Tableau5[[#This Row],[Réf matériel]],Tableau4[Matricule],"CV2")</f>
        <v>0</v>
      </c>
      <c r="BY17" s="105" t="str">
        <f>IF(Tableau5[[#This Row],[Besoin CV2]]=Tableau5[[#This Row],[Remis CV2]],"OK","NOK")</f>
        <v>OK</v>
      </c>
      <c r="CA17">
        <f>SUMIFS(Tableau4[NB Remis],Tableau4[Réf matériel],Tableau5[[#This Row],[Réf matériel]],Tableau4[Matricule],"CV3")</f>
        <v>0</v>
      </c>
      <c r="CB17" s="105" t="str">
        <f>IF(Tableau5[[#This Row],[Besoin CV3]]=Tableau5[[#This Row],[Remis CV3]],"OK","NOK")</f>
        <v>OK</v>
      </c>
      <c r="CD17">
        <f>SUMIFS(Tableau4[NB Remis],Tableau4[Réf matériel],Tableau5[[#This Row],[Réf matériel]],Tableau4[Matricule],"CV1")</f>
        <v>0</v>
      </c>
      <c r="CE17" s="105" t="str">
        <f>IF(Tableau5[[#This Row],[Besoin CV1]]=Tableau5[[#This Row],[Remis CV1]],"OK","NOK")</f>
        <v>OK</v>
      </c>
      <c r="CG17">
        <f>SUMIFS(Tableau4[NB Remis],Tableau4[Réf matériel],Tableau5[[#This Row],[Réf matériel]],Tableau4[Matricule],"CV4")</f>
        <v>0</v>
      </c>
      <c r="CH17" s="106" t="str">
        <f>IF(Tableau5[[#This Row],[Besoin CV4]]=Tableau5[[#This Row],[Remis CV4]],"OK","NOK")</f>
        <v>OK</v>
      </c>
    </row>
    <row r="18" spans="2:86" x14ac:dyDescent="0.25">
      <c r="B18" t="s">
        <v>407</v>
      </c>
      <c r="D18">
        <f>SUMIFS(Tableau4[NB Remis],Tableau4[Réf matériel],Tableau5[[#This Row],[Réf matériel]],Tableau4[Matricule],"OAI")</f>
        <v>0</v>
      </c>
      <c r="E18" s="105" t="str">
        <f>IF(Tableau5[[#This Row],[Besoin OAI]]=Tableau5[[#This Row],[Remis OAI]],"OK","NOK")</f>
        <v>OK</v>
      </c>
      <c r="G18">
        <f>SUMIFS(Tableau4[NB Remis],Tableau4[Réf matériel],Tableau5[[#This Row],[Réf matériel]],Tableau4[Matricule],"ABE")</f>
        <v>0</v>
      </c>
      <c r="H18" s="105" t="str">
        <f>IF(Tableau5[[#This Row],[Besoin ABE]]=Tableau5[[#This Row],[Remis ABE]],"OK","NOK")</f>
        <v>OK</v>
      </c>
      <c r="J18">
        <f>SUMIFS(Tableau4[NB Remis],Tableau4[Réf matériel],Tableau5[[#This Row],[Réf matériel]],Tableau4[Matricule],"SBI")</f>
        <v>0</v>
      </c>
      <c r="K18" s="105" t="str">
        <f>IF(Tableau5[[#This Row],[Besoin SBI]]=Tableau5[[#This Row],[Remis SBI]],"OK","NOK")</f>
        <v>OK</v>
      </c>
      <c r="M18">
        <f>SUMIFS(Tableau4[NB Remis],Tableau4[Réf matériel],Tableau5[[#This Row],[Réf matériel]],Tableau4[Matricule],"ABI")</f>
        <v>0</v>
      </c>
      <c r="N18" s="105" t="str">
        <f>IF(Tableau5[[#This Row],[Besoin ABI]]=Tableau5[[#This Row],[Remis ABI]],"OK","NOK")</f>
        <v>OK</v>
      </c>
      <c r="P18">
        <f>SUMIFS(Tableau4[NB Remis],Tableau4[Réf matériel],Tableau5[[#This Row],[Réf matériel]],Tableau4[Matricule],"DCE")</f>
        <v>0</v>
      </c>
      <c r="Q18" s="105" t="str">
        <f>IF(Tableau5[[#This Row],[Besoin DCE]]=Tableau5[[#This Row],[Remis DCE]],"OK","NOK")</f>
        <v>OK</v>
      </c>
      <c r="R18">
        <v>1</v>
      </c>
      <c r="S18">
        <f>SUMIFS(Tableau4[NB Remis],Tableau4[Réf matériel],Tableau5[[#This Row],[Réf matériel]],Tableau4[Matricule],"JDE")</f>
        <v>1</v>
      </c>
      <c r="T18" s="105" t="str">
        <f>IF(Tableau5[[#This Row],[Besoin JDE]]=Tableau5[[#This Row],[Remis JDE]],"OK","NOK")</f>
        <v>OK</v>
      </c>
      <c r="V18">
        <f>SUMIFS(Tableau4[NB Remis],Tableau4[Réf matériel],Tableau5[[#This Row],[Réf matériel]],Tableau4[Matricule],"ODI")</f>
        <v>0</v>
      </c>
      <c r="W18" s="105" t="str">
        <f>IF(Tableau5[[#This Row],[Besoin ODI]]=Tableau5[[#This Row],[Remis ODI]],"OK","NOK")</f>
        <v>OK</v>
      </c>
      <c r="Y18">
        <f>SUMIFS(Tableau4[NB Remis],Tableau4[Réf matériel],Tableau5[[#This Row],[Réf matériel]],Tableau4[Matricule],"MFO")</f>
        <v>0</v>
      </c>
      <c r="Z18" s="105" t="str">
        <f>IF(Tableau5[[#This Row],[Besoin MFO]]=Tableau5[[#This Row],[Remis MFO]],"OK","NOK")</f>
        <v>OK</v>
      </c>
      <c r="AB18">
        <f>SUMIFS(Tableau4[NB Remis],Tableau4[Réf matériel],Tableau5[[#This Row],[Réf matériel]],Tableau4[Matricule],"SDU")</f>
        <v>0</v>
      </c>
      <c r="AC18" s="105" t="str">
        <f>IF(Tableau5[[#This Row],[Besoin SDU]]=Tableau5[[#This Row],[Remis SDU]],"OK","NOK")</f>
        <v>OK</v>
      </c>
      <c r="AE18">
        <f>SUMIFS(Tableau4[NB Remis],Tableau4[Réf matériel],Tableau5[[#This Row],[Réf matériel]],Tableau4[Matricule],"GGA")</f>
        <v>0</v>
      </c>
      <c r="AF18" s="105" t="str">
        <f>IF(Tableau5[[#This Row],[Besoin GGA2]]=Tableau5[[#This Row],[Remis GGA3]],"OK","NOK")</f>
        <v>OK</v>
      </c>
      <c r="AH18">
        <f>SUMIFS(Tableau4[NB Remis],Tableau4[Réf matériel],Tableau5[[#This Row],[Réf matériel]],Tableau4[Matricule],"RGE")</f>
        <v>0</v>
      </c>
      <c r="AI18" s="105" t="str">
        <f>IF(Tableau5[[#This Row],[Besoin RGE]]=Tableau5[[#This Row],[Remis RGE]],"OK","NOK")</f>
        <v>OK</v>
      </c>
      <c r="AK18">
        <f>SUMIFS(Tableau4[NB Remis],Tableau4[Réf matériel],Tableau5[[#This Row],[Réf matériel]],Tableau4[Matricule],"CKE")</f>
        <v>0</v>
      </c>
      <c r="AL18" s="105" t="str">
        <f>IF(Tableau5[[#This Row],[Besoin CKE]]=Tableau5[[#This Row],[Remis CKE]],"OK","NOK")</f>
        <v>OK</v>
      </c>
      <c r="AN18">
        <f>SUMIFS(Tableau4[NB Remis],Tableau4[Réf matériel],Tableau5[[#This Row],[Réf matériel]],Tableau4[Matricule],"DMA")</f>
        <v>0</v>
      </c>
      <c r="AO18" s="105" t="str">
        <f>IF(Tableau5[[#This Row],[Besoin DMA]]=Tableau5[[#This Row],[Remis DMA]],"OK","NOK")</f>
        <v>OK</v>
      </c>
      <c r="AQ18">
        <f>SUMIFS(Tableau4[NB Remis],Tableau4[Réf matériel],Tableau5[[#This Row],[Réf matériel]],Tableau4[Matricule],"LMO")</f>
        <v>0</v>
      </c>
      <c r="AR18" s="105" t="str">
        <f>IF(Tableau5[[#This Row],[Besoin LMO]]=Tableau5[[#This Row],[Remis LMO]],"OK","NOK")</f>
        <v>OK</v>
      </c>
      <c r="AT18">
        <f>SUMIFS(Tableau4[NB Remis],Tableau4[Réf matériel],Tableau5[[#This Row],[Réf matériel]],Tableau4[Matricule],"TMO")</f>
        <v>0</v>
      </c>
      <c r="AU18" s="105" t="str">
        <f>IF(Tableau5[[#This Row],[Besoin TMO]]=Tableau5[[#This Row],[Remis TMO]],"OK","NOK")</f>
        <v>OK</v>
      </c>
      <c r="AW18">
        <f>SUMIFS(Tableau4[NB Remis],Tableau4[Réf matériel],Tableau5[[#This Row],[Réf matériel]],Tableau4[Matricule],"JPA")</f>
        <v>0</v>
      </c>
      <c r="AX18" s="105" t="str">
        <f>IF(Tableau5[[#This Row],[Besoin JPA]]=Tableau5[[#This Row],[Remis JPA]],"OK","NOK")</f>
        <v>OK</v>
      </c>
      <c r="AZ18">
        <f>SUMIFS(Tableau4[NB Remis],Tableau4[Réf matériel],Tableau5[[#This Row],[Réf matériel]],Tableau4[Matricule],"MPE")</f>
        <v>0</v>
      </c>
      <c r="BA18" s="105" t="str">
        <f>IF(Tableau5[[#This Row],[Besoin MPE]]=Tableau5[[#This Row],[Remis MPE]],"OK","NOK")</f>
        <v>OK</v>
      </c>
      <c r="BB18">
        <v>1</v>
      </c>
      <c r="BC18">
        <f>SUMIFS(Tableau4[NB Remis],Tableau4[Réf matériel],Tableau5[[#This Row],[Réf matériel]],Tableau4[Matricule],"SPR")</f>
        <v>1</v>
      </c>
      <c r="BD18" s="105" t="str">
        <f>IF(Tableau5[[#This Row],[Besoin SPR]]=Tableau5[[#This Row],[Remis SPR]],"OK","NOK")</f>
        <v>OK</v>
      </c>
      <c r="BF18">
        <f>SUMIFS(Tableau4[NB Remis],Tableau4[Réf matériel],Tableau5[[#This Row],[Réf matériel]],Tableau4[Matricule],"MRO")</f>
        <v>0</v>
      </c>
      <c r="BG18" s="105" t="str">
        <f>IF(Tableau5[[#This Row],[Besoin MRO]]=Tableau5[[#This Row],[Remis MRO]],"OK","NOK")</f>
        <v>OK</v>
      </c>
      <c r="BI18">
        <f>SUMIFS(Tableau4[NB Remis],Tableau4[Réf matériel],Tableau5[[#This Row],[Réf matériel]],Tableau4[Matricule],"LSA")</f>
        <v>0</v>
      </c>
      <c r="BJ18" s="105" t="str">
        <f>IF(Tableau5[[#This Row],[Besoin LSA]]=Tableau5[[#This Row],[Remis LSA]],"OK","NOK")</f>
        <v>OK</v>
      </c>
      <c r="BL18">
        <f>SUMIFS(Tableau4[NB Remis],Tableau4[Réf matériel],Tableau5[[#This Row],[Réf matériel]],Tableau4[Matricule],"SST")</f>
        <v>0</v>
      </c>
      <c r="BM18" s="105" t="str">
        <f>IF(Tableau5[[#This Row],[Besoin SST]]=Tableau5[[#This Row],[Remis SST]],"OK","NOK")</f>
        <v>OK</v>
      </c>
      <c r="BO18">
        <f>SUMIFS(Tableau4[NB Remis],Tableau4[Réf matériel],Tableau5[[#This Row],[Réf matériel]],Tableau4[Matricule],"CTH")</f>
        <v>0</v>
      </c>
      <c r="BP18" s="105" t="str">
        <f>IF(Tableau5[[#This Row],[Besoin CTH]]=Tableau5[[#This Row],[Remis CTH]],"OK","NOK")</f>
        <v>OK</v>
      </c>
      <c r="BR18">
        <f>SUMIFS(Tableau4[NB Remis],Tableau4[Réf matériel],Tableau5[[#This Row],[Réf matériel]],Tableau4[Matricule],"AVU")</f>
        <v>0</v>
      </c>
      <c r="BS18" s="105" t="str">
        <f>IF(Tableau5[[#This Row],[Besoin AVU]]=Tableau5[[#This Row],[Remis AVU]],"OK","NOK")</f>
        <v>OK</v>
      </c>
      <c r="BU18">
        <f>SUMIFS(Tableau4[NB Remis],Tableau4[Réf matériel],Tableau5[[#This Row],[Réf matériel]],Tableau4[Matricule],"FZE")</f>
        <v>0</v>
      </c>
      <c r="BV18" s="105" t="str">
        <f>IF(Tableau5[[#This Row],[Besoin FZE]]=Tableau5[[#This Row],[Remis FZE]],"OK","NOK")</f>
        <v>OK</v>
      </c>
      <c r="BX18">
        <f>SUMIFS(Tableau4[NB Remis],Tableau4[Réf matériel],Tableau5[[#This Row],[Réf matériel]],Tableau4[Matricule],"CV2")</f>
        <v>0</v>
      </c>
      <c r="BY18" s="105" t="str">
        <f>IF(Tableau5[[#This Row],[Besoin CV2]]=Tableau5[[#This Row],[Remis CV2]],"OK","NOK")</f>
        <v>OK</v>
      </c>
      <c r="CA18">
        <f>SUMIFS(Tableau4[NB Remis],Tableau4[Réf matériel],Tableau5[[#This Row],[Réf matériel]],Tableau4[Matricule],"CV3")</f>
        <v>0</v>
      </c>
      <c r="CB18" s="105" t="str">
        <f>IF(Tableau5[[#This Row],[Besoin CV3]]=Tableau5[[#This Row],[Remis CV3]],"OK","NOK")</f>
        <v>OK</v>
      </c>
      <c r="CD18">
        <f>SUMIFS(Tableau4[NB Remis],Tableau4[Réf matériel],Tableau5[[#This Row],[Réf matériel]],Tableau4[Matricule],"CV1")</f>
        <v>0</v>
      </c>
      <c r="CE18" s="105" t="str">
        <f>IF(Tableau5[[#This Row],[Besoin CV1]]=Tableau5[[#This Row],[Remis CV1]],"OK","NOK")</f>
        <v>OK</v>
      </c>
      <c r="CF18">
        <v>1</v>
      </c>
      <c r="CG18">
        <f>SUMIFS(Tableau4[NB Remis],Tableau4[Réf matériel],Tableau5[[#This Row],[Réf matériel]],Tableau4[Matricule],"CV4")</f>
        <v>1</v>
      </c>
      <c r="CH18" s="106" t="str">
        <f>IF(Tableau5[[#This Row],[Besoin CV4]]=Tableau5[[#This Row],[Remis CV4]],"OK","NOK")</f>
        <v>OK</v>
      </c>
    </row>
    <row r="19" spans="2:86" x14ac:dyDescent="0.25">
      <c r="B19" t="s">
        <v>408</v>
      </c>
      <c r="C19">
        <v>1</v>
      </c>
      <c r="D19">
        <f>SUMIFS(Tableau4[NB Remis],Tableau4[Réf matériel],Tableau5[[#This Row],[Réf matériel]],Tableau4[Matricule],"OAI")</f>
        <v>1</v>
      </c>
      <c r="E19" s="105" t="str">
        <f>IF(Tableau5[[#This Row],[Besoin OAI]]=Tableau5[[#This Row],[Remis OAI]],"OK","NOK")</f>
        <v>OK</v>
      </c>
      <c r="F19">
        <v>1</v>
      </c>
      <c r="G19">
        <f>SUMIFS(Tableau4[NB Remis],Tableau4[Réf matériel],Tableau5[[#This Row],[Réf matériel]],Tableau4[Matricule],"ABE")</f>
        <v>1</v>
      </c>
      <c r="H19" s="105" t="str">
        <f>IF(Tableau5[[#This Row],[Besoin ABE]]=Tableau5[[#This Row],[Remis ABE]],"OK","NOK")</f>
        <v>OK</v>
      </c>
      <c r="J19">
        <f>SUMIFS(Tableau4[NB Remis],Tableau4[Réf matériel],Tableau5[[#This Row],[Réf matériel]],Tableau4[Matricule],"SBI")</f>
        <v>0</v>
      </c>
      <c r="K19" s="105" t="str">
        <f>IF(Tableau5[[#This Row],[Besoin SBI]]=Tableau5[[#This Row],[Remis SBI]],"OK","NOK")</f>
        <v>OK</v>
      </c>
      <c r="L19">
        <v>1</v>
      </c>
      <c r="M19">
        <f>SUMIFS(Tableau4[NB Remis],Tableau4[Réf matériel],Tableau5[[#This Row],[Réf matériel]],Tableau4[Matricule],"ABI")</f>
        <v>1</v>
      </c>
      <c r="N19" s="105" t="str">
        <f>IF(Tableau5[[#This Row],[Besoin ABI]]=Tableau5[[#This Row],[Remis ABI]],"OK","NOK")</f>
        <v>OK</v>
      </c>
      <c r="P19">
        <f>SUMIFS(Tableau4[NB Remis],Tableau4[Réf matériel],Tableau5[[#This Row],[Réf matériel]],Tableau4[Matricule],"DCE")</f>
        <v>0</v>
      </c>
      <c r="Q19" s="105" t="str">
        <f>IF(Tableau5[[#This Row],[Besoin DCE]]=Tableau5[[#This Row],[Remis DCE]],"OK","NOK")</f>
        <v>OK</v>
      </c>
      <c r="R19">
        <v>1</v>
      </c>
      <c r="S19">
        <f>SUMIFS(Tableau4[NB Remis],Tableau4[Réf matériel],Tableau5[[#This Row],[Réf matériel]],Tableau4[Matricule],"JDE")</f>
        <v>1</v>
      </c>
      <c r="T19" s="105" t="str">
        <f>IF(Tableau5[[#This Row],[Besoin JDE]]=Tableau5[[#This Row],[Remis JDE]],"OK","NOK")</f>
        <v>OK</v>
      </c>
      <c r="U19">
        <v>1</v>
      </c>
      <c r="V19">
        <f>SUMIFS(Tableau4[NB Remis],Tableau4[Réf matériel],Tableau5[[#This Row],[Réf matériel]],Tableau4[Matricule],"ODI")</f>
        <v>1</v>
      </c>
      <c r="W19" s="105" t="str">
        <f>IF(Tableau5[[#This Row],[Besoin ODI]]=Tableau5[[#This Row],[Remis ODI]],"OK","NOK")</f>
        <v>OK</v>
      </c>
      <c r="Y19">
        <f>SUMIFS(Tableau4[NB Remis],Tableau4[Réf matériel],Tableau5[[#This Row],[Réf matériel]],Tableau4[Matricule],"MFO")</f>
        <v>0</v>
      </c>
      <c r="Z19" s="105" t="str">
        <f>IF(Tableau5[[#This Row],[Besoin MFO]]=Tableau5[[#This Row],[Remis MFO]],"OK","NOK")</f>
        <v>OK</v>
      </c>
      <c r="AB19">
        <f>SUMIFS(Tableau4[NB Remis],Tableau4[Réf matériel],Tableau5[[#This Row],[Réf matériel]],Tableau4[Matricule],"SDU")</f>
        <v>0</v>
      </c>
      <c r="AC19" s="105" t="str">
        <f>IF(Tableau5[[#This Row],[Besoin SDU]]=Tableau5[[#This Row],[Remis SDU]],"OK","NOK")</f>
        <v>OK</v>
      </c>
      <c r="AE19">
        <f>SUMIFS(Tableau4[NB Remis],Tableau4[Réf matériel],Tableau5[[#This Row],[Réf matériel]],Tableau4[Matricule],"GGA")</f>
        <v>0</v>
      </c>
      <c r="AF19" s="105" t="str">
        <f>IF(Tableau5[[#This Row],[Besoin GGA2]]=Tableau5[[#This Row],[Remis GGA3]],"OK","NOK")</f>
        <v>OK</v>
      </c>
      <c r="AG19">
        <v>1</v>
      </c>
      <c r="AH19">
        <f>SUMIFS(Tableau4[NB Remis],Tableau4[Réf matériel],Tableau5[[#This Row],[Réf matériel]],Tableau4[Matricule],"RGE")</f>
        <v>2</v>
      </c>
      <c r="AI19" s="105" t="str">
        <f>IF(Tableau5[[#This Row],[Besoin RGE]]=Tableau5[[#This Row],[Remis RGE]],"OK","NOK")</f>
        <v>NOK</v>
      </c>
      <c r="AJ19">
        <v>1</v>
      </c>
      <c r="AK19">
        <f>SUMIFS(Tableau4[NB Remis],Tableau4[Réf matériel],Tableau5[[#This Row],[Réf matériel]],Tableau4[Matricule],"CKE")</f>
        <v>1</v>
      </c>
      <c r="AL19" s="105" t="str">
        <f>IF(Tableau5[[#This Row],[Besoin CKE]]=Tableau5[[#This Row],[Remis CKE]],"OK","NOK")</f>
        <v>OK</v>
      </c>
      <c r="AN19">
        <f>SUMIFS(Tableau4[NB Remis],Tableau4[Réf matériel],Tableau5[[#This Row],[Réf matériel]],Tableau4[Matricule],"DMA")</f>
        <v>0</v>
      </c>
      <c r="AO19" s="105" t="str">
        <f>IF(Tableau5[[#This Row],[Besoin DMA]]=Tableau5[[#This Row],[Remis DMA]],"OK","NOK")</f>
        <v>OK</v>
      </c>
      <c r="AQ19">
        <f>SUMIFS(Tableau4[NB Remis],Tableau4[Réf matériel],Tableau5[[#This Row],[Réf matériel]],Tableau4[Matricule],"LMO")</f>
        <v>0</v>
      </c>
      <c r="AR19" s="105" t="str">
        <f>IF(Tableau5[[#This Row],[Besoin LMO]]=Tableau5[[#This Row],[Remis LMO]],"OK","NOK")</f>
        <v>OK</v>
      </c>
      <c r="AS19">
        <v>1</v>
      </c>
      <c r="AT19">
        <f>SUMIFS(Tableau4[NB Remis],Tableau4[Réf matériel],Tableau5[[#This Row],[Réf matériel]],Tableau4[Matricule],"TMO")</f>
        <v>1</v>
      </c>
      <c r="AU19" s="105" t="str">
        <f>IF(Tableau5[[#This Row],[Besoin TMO]]=Tableau5[[#This Row],[Remis TMO]],"OK","NOK")</f>
        <v>OK</v>
      </c>
      <c r="AV19">
        <v>1</v>
      </c>
      <c r="AW19">
        <f>SUMIFS(Tableau4[NB Remis],Tableau4[Réf matériel],Tableau5[[#This Row],[Réf matériel]],Tableau4[Matricule],"JPA")</f>
        <v>1</v>
      </c>
      <c r="AX19" s="105" t="str">
        <f>IF(Tableau5[[#This Row],[Besoin JPA]]=Tableau5[[#This Row],[Remis JPA]],"OK","NOK")</f>
        <v>OK</v>
      </c>
      <c r="AZ19">
        <f>SUMIFS(Tableau4[NB Remis],Tableau4[Réf matériel],Tableau5[[#This Row],[Réf matériel]],Tableau4[Matricule],"MPE")</f>
        <v>0</v>
      </c>
      <c r="BA19" s="105" t="str">
        <f>IF(Tableau5[[#This Row],[Besoin MPE]]=Tableau5[[#This Row],[Remis MPE]],"OK","NOK")</f>
        <v>OK</v>
      </c>
      <c r="BB19">
        <v>1</v>
      </c>
      <c r="BC19">
        <f>SUMIFS(Tableau4[NB Remis],Tableau4[Réf matériel],Tableau5[[#This Row],[Réf matériel]],Tableau4[Matricule],"SPR")</f>
        <v>1</v>
      </c>
      <c r="BD19" s="105" t="str">
        <f>IF(Tableau5[[#This Row],[Besoin SPR]]=Tableau5[[#This Row],[Remis SPR]],"OK","NOK")</f>
        <v>OK</v>
      </c>
      <c r="BE19">
        <v>1</v>
      </c>
      <c r="BF19">
        <f>SUMIFS(Tableau4[NB Remis],Tableau4[Réf matériel],Tableau5[[#This Row],[Réf matériel]],Tableau4[Matricule],"MRO")</f>
        <v>1</v>
      </c>
      <c r="BG19" s="105" t="str">
        <f>IF(Tableau5[[#This Row],[Besoin MRO]]=Tableau5[[#This Row],[Remis MRO]],"OK","NOK")</f>
        <v>OK</v>
      </c>
      <c r="BH19">
        <v>1</v>
      </c>
      <c r="BI19">
        <f>SUMIFS(Tableau4[NB Remis],Tableau4[Réf matériel],Tableau5[[#This Row],[Réf matériel]],Tableau4[Matricule],"LSA")</f>
        <v>1</v>
      </c>
      <c r="BJ19" s="105" t="str">
        <f>IF(Tableau5[[#This Row],[Besoin LSA]]=Tableau5[[#This Row],[Remis LSA]],"OK","NOK")</f>
        <v>OK</v>
      </c>
      <c r="BK19">
        <v>1</v>
      </c>
      <c r="BL19">
        <f>SUMIFS(Tableau4[NB Remis],Tableau4[Réf matériel],Tableau5[[#This Row],[Réf matériel]],Tableau4[Matricule],"SST")</f>
        <v>1</v>
      </c>
      <c r="BM19" s="105" t="str">
        <f>IF(Tableau5[[#This Row],[Besoin SST]]=Tableau5[[#This Row],[Remis SST]],"OK","NOK")</f>
        <v>OK</v>
      </c>
      <c r="BO19">
        <f>SUMIFS(Tableau4[NB Remis],Tableau4[Réf matériel],Tableau5[[#This Row],[Réf matériel]],Tableau4[Matricule],"CTH")</f>
        <v>0</v>
      </c>
      <c r="BP19" s="105" t="str">
        <f>IF(Tableau5[[#This Row],[Besoin CTH]]=Tableau5[[#This Row],[Remis CTH]],"OK","NOK")</f>
        <v>OK</v>
      </c>
      <c r="BQ19">
        <v>1</v>
      </c>
      <c r="BR19">
        <f>SUMIFS(Tableau4[NB Remis],Tableau4[Réf matériel],Tableau5[[#This Row],[Réf matériel]],Tableau4[Matricule],"AVU")</f>
        <v>1</v>
      </c>
      <c r="BS19" s="105" t="str">
        <f>IF(Tableau5[[#This Row],[Besoin AVU]]=Tableau5[[#This Row],[Remis AVU]],"OK","NOK")</f>
        <v>OK</v>
      </c>
      <c r="BU19">
        <f>SUMIFS(Tableau4[NB Remis],Tableau4[Réf matériel],Tableau5[[#This Row],[Réf matériel]],Tableau4[Matricule],"FZE")</f>
        <v>0</v>
      </c>
      <c r="BV19" s="105" t="str">
        <f>IF(Tableau5[[#This Row],[Besoin FZE]]=Tableau5[[#This Row],[Remis FZE]],"OK","NOK")</f>
        <v>OK</v>
      </c>
      <c r="BW19">
        <v>1</v>
      </c>
      <c r="BX19">
        <f>SUMIFS(Tableau4[NB Remis],Tableau4[Réf matériel],Tableau5[[#This Row],[Réf matériel]],Tableau4[Matricule],"CV2")</f>
        <v>1</v>
      </c>
      <c r="BY19" s="105" t="str">
        <f>IF(Tableau5[[#This Row],[Besoin CV2]]=Tableau5[[#This Row],[Remis CV2]],"OK","NOK")</f>
        <v>OK</v>
      </c>
      <c r="BZ19">
        <v>1</v>
      </c>
      <c r="CA19">
        <f>SUMIFS(Tableau4[NB Remis],Tableau4[Réf matériel],Tableau5[[#This Row],[Réf matériel]],Tableau4[Matricule],"CV3")</f>
        <v>1</v>
      </c>
      <c r="CB19" s="105" t="str">
        <f>IF(Tableau5[[#This Row],[Besoin CV3]]=Tableau5[[#This Row],[Remis CV3]],"OK","NOK")</f>
        <v>OK</v>
      </c>
      <c r="CC19">
        <v>1</v>
      </c>
      <c r="CD19">
        <f>SUMIFS(Tableau4[NB Remis],Tableau4[Réf matériel],Tableau5[[#This Row],[Réf matériel]],Tableau4[Matricule],"CV1")</f>
        <v>1</v>
      </c>
      <c r="CE19" s="105" t="str">
        <f>IF(Tableau5[[#This Row],[Besoin CV1]]=Tableau5[[#This Row],[Remis CV1]],"OK","NOK")</f>
        <v>OK</v>
      </c>
      <c r="CF19">
        <v>1</v>
      </c>
      <c r="CG19">
        <f>SUMIFS(Tableau4[NB Remis],Tableau4[Réf matériel],Tableau5[[#This Row],[Réf matériel]],Tableau4[Matricule],"CV4")</f>
        <v>1</v>
      </c>
      <c r="CH19" s="106" t="str">
        <f>IF(Tableau5[[#This Row],[Besoin CV4]]=Tableau5[[#This Row],[Remis CV4]],"OK","NOK")</f>
        <v>OK</v>
      </c>
    </row>
    <row r="20" spans="2:86" x14ac:dyDescent="0.25">
      <c r="B20" t="s">
        <v>409</v>
      </c>
      <c r="C20">
        <v>1</v>
      </c>
      <c r="D20">
        <f>SUMIFS(Tableau4[NB Remis],Tableau4[Réf matériel],Tableau5[[#This Row],[Réf matériel]],Tableau4[Matricule],"OAI")</f>
        <v>1</v>
      </c>
      <c r="E20" s="105" t="str">
        <f>IF(Tableau5[[#This Row],[Besoin OAI]]=Tableau5[[#This Row],[Remis OAI]],"OK","NOK")</f>
        <v>OK</v>
      </c>
      <c r="F20">
        <v>1</v>
      </c>
      <c r="G20">
        <f>SUMIFS(Tableau4[NB Remis],Tableau4[Réf matériel],Tableau5[[#This Row],[Réf matériel]],Tableau4[Matricule],"ABE")</f>
        <v>1</v>
      </c>
      <c r="H20" s="105" t="str">
        <f>IF(Tableau5[[#This Row],[Besoin ABE]]=Tableau5[[#This Row],[Remis ABE]],"OK","NOK")</f>
        <v>OK</v>
      </c>
      <c r="J20">
        <f>SUMIFS(Tableau4[NB Remis],Tableau4[Réf matériel],Tableau5[[#This Row],[Réf matériel]],Tableau4[Matricule],"SBI")</f>
        <v>0</v>
      </c>
      <c r="K20" s="105" t="str">
        <f>IF(Tableau5[[#This Row],[Besoin SBI]]=Tableau5[[#This Row],[Remis SBI]],"OK","NOK")</f>
        <v>OK</v>
      </c>
      <c r="L20">
        <v>1</v>
      </c>
      <c r="M20">
        <f>SUMIFS(Tableau4[NB Remis],Tableau4[Réf matériel],Tableau5[[#This Row],[Réf matériel]],Tableau4[Matricule],"ABI")</f>
        <v>1</v>
      </c>
      <c r="N20" s="105" t="str">
        <f>IF(Tableau5[[#This Row],[Besoin ABI]]=Tableau5[[#This Row],[Remis ABI]],"OK","NOK")</f>
        <v>OK</v>
      </c>
      <c r="P20">
        <f>SUMIFS(Tableau4[NB Remis],Tableau4[Réf matériel],Tableau5[[#This Row],[Réf matériel]],Tableau4[Matricule],"DCE")</f>
        <v>0</v>
      </c>
      <c r="Q20" s="105" t="str">
        <f>IF(Tableau5[[#This Row],[Besoin DCE]]=Tableau5[[#This Row],[Remis DCE]],"OK","NOK")</f>
        <v>OK</v>
      </c>
      <c r="R20">
        <v>1</v>
      </c>
      <c r="S20">
        <f>SUMIFS(Tableau4[NB Remis],Tableau4[Réf matériel],Tableau5[[#This Row],[Réf matériel]],Tableau4[Matricule],"JDE")</f>
        <v>1</v>
      </c>
      <c r="T20" s="105" t="str">
        <f>IF(Tableau5[[#This Row],[Besoin JDE]]=Tableau5[[#This Row],[Remis JDE]],"OK","NOK")</f>
        <v>OK</v>
      </c>
      <c r="U20">
        <v>1</v>
      </c>
      <c r="V20">
        <f>SUMIFS(Tableau4[NB Remis],Tableau4[Réf matériel],Tableau5[[#This Row],[Réf matériel]],Tableau4[Matricule],"ODI")</f>
        <v>1</v>
      </c>
      <c r="W20" s="105" t="str">
        <f>IF(Tableau5[[#This Row],[Besoin ODI]]=Tableau5[[#This Row],[Remis ODI]],"OK","NOK")</f>
        <v>OK</v>
      </c>
      <c r="Y20">
        <f>SUMIFS(Tableau4[NB Remis],Tableau4[Réf matériel],Tableau5[[#This Row],[Réf matériel]],Tableau4[Matricule],"MFO")</f>
        <v>0</v>
      </c>
      <c r="Z20" s="105" t="str">
        <f>IF(Tableau5[[#This Row],[Besoin MFO]]=Tableau5[[#This Row],[Remis MFO]],"OK","NOK")</f>
        <v>OK</v>
      </c>
      <c r="AB20">
        <f>SUMIFS(Tableau4[NB Remis],Tableau4[Réf matériel],Tableau5[[#This Row],[Réf matériel]],Tableau4[Matricule],"SDU")</f>
        <v>0</v>
      </c>
      <c r="AC20" s="105" t="str">
        <f>IF(Tableau5[[#This Row],[Besoin SDU]]=Tableau5[[#This Row],[Remis SDU]],"OK","NOK")</f>
        <v>OK</v>
      </c>
      <c r="AE20">
        <f>SUMIFS(Tableau4[NB Remis],Tableau4[Réf matériel],Tableau5[[#This Row],[Réf matériel]],Tableau4[Matricule],"GGA")</f>
        <v>0</v>
      </c>
      <c r="AF20" s="105" t="str">
        <f>IF(Tableau5[[#This Row],[Besoin GGA2]]=Tableau5[[#This Row],[Remis GGA3]],"OK","NOK")</f>
        <v>OK</v>
      </c>
      <c r="AG20">
        <v>1</v>
      </c>
      <c r="AH20">
        <f>SUMIFS(Tableau4[NB Remis],Tableau4[Réf matériel],Tableau5[[#This Row],[Réf matériel]],Tableau4[Matricule],"RGE")</f>
        <v>2</v>
      </c>
      <c r="AI20" s="105" t="str">
        <f>IF(Tableau5[[#This Row],[Besoin RGE]]=Tableau5[[#This Row],[Remis RGE]],"OK","NOK")</f>
        <v>NOK</v>
      </c>
      <c r="AJ20">
        <v>1</v>
      </c>
      <c r="AK20">
        <f>SUMIFS(Tableau4[NB Remis],Tableau4[Réf matériel],Tableau5[[#This Row],[Réf matériel]],Tableau4[Matricule],"CKE")</f>
        <v>1</v>
      </c>
      <c r="AL20" s="105" t="str">
        <f>IF(Tableau5[[#This Row],[Besoin CKE]]=Tableau5[[#This Row],[Remis CKE]],"OK","NOK")</f>
        <v>OK</v>
      </c>
      <c r="AN20">
        <f>SUMIFS(Tableau4[NB Remis],Tableau4[Réf matériel],Tableau5[[#This Row],[Réf matériel]],Tableau4[Matricule],"DMA")</f>
        <v>0</v>
      </c>
      <c r="AO20" s="105" t="str">
        <f>IF(Tableau5[[#This Row],[Besoin DMA]]=Tableau5[[#This Row],[Remis DMA]],"OK","NOK")</f>
        <v>OK</v>
      </c>
      <c r="AQ20">
        <f>SUMIFS(Tableau4[NB Remis],Tableau4[Réf matériel],Tableau5[[#This Row],[Réf matériel]],Tableau4[Matricule],"LMO")</f>
        <v>0</v>
      </c>
      <c r="AR20" s="105" t="str">
        <f>IF(Tableau5[[#This Row],[Besoin LMO]]=Tableau5[[#This Row],[Remis LMO]],"OK","NOK")</f>
        <v>OK</v>
      </c>
      <c r="AS20">
        <v>1</v>
      </c>
      <c r="AT20">
        <f>SUMIFS(Tableau4[NB Remis],Tableau4[Réf matériel],Tableau5[[#This Row],[Réf matériel]],Tableau4[Matricule],"TMO")</f>
        <v>1</v>
      </c>
      <c r="AU20" s="105" t="str">
        <f>IF(Tableau5[[#This Row],[Besoin TMO]]=Tableau5[[#This Row],[Remis TMO]],"OK","NOK")</f>
        <v>OK</v>
      </c>
      <c r="AV20">
        <v>1</v>
      </c>
      <c r="AW20">
        <f>SUMIFS(Tableau4[NB Remis],Tableau4[Réf matériel],Tableau5[[#This Row],[Réf matériel]],Tableau4[Matricule],"JPA")</f>
        <v>1</v>
      </c>
      <c r="AX20" s="105" t="str">
        <f>IF(Tableau5[[#This Row],[Besoin JPA]]=Tableau5[[#This Row],[Remis JPA]],"OK","NOK")</f>
        <v>OK</v>
      </c>
      <c r="AZ20">
        <f>SUMIFS(Tableau4[NB Remis],Tableau4[Réf matériel],Tableau5[[#This Row],[Réf matériel]],Tableau4[Matricule],"MPE")</f>
        <v>0</v>
      </c>
      <c r="BA20" s="105" t="str">
        <f>IF(Tableau5[[#This Row],[Besoin MPE]]=Tableau5[[#This Row],[Remis MPE]],"OK","NOK")</f>
        <v>OK</v>
      </c>
      <c r="BB20">
        <v>1</v>
      </c>
      <c r="BC20">
        <f>SUMIFS(Tableau4[NB Remis],Tableau4[Réf matériel],Tableau5[[#This Row],[Réf matériel]],Tableau4[Matricule],"SPR")</f>
        <v>1</v>
      </c>
      <c r="BD20" s="105" t="str">
        <f>IF(Tableau5[[#This Row],[Besoin SPR]]=Tableau5[[#This Row],[Remis SPR]],"OK","NOK")</f>
        <v>OK</v>
      </c>
      <c r="BE20">
        <v>1</v>
      </c>
      <c r="BF20">
        <f>SUMIFS(Tableau4[NB Remis],Tableau4[Réf matériel],Tableau5[[#This Row],[Réf matériel]],Tableau4[Matricule],"MRO")</f>
        <v>1</v>
      </c>
      <c r="BG20" s="105" t="str">
        <f>IF(Tableau5[[#This Row],[Besoin MRO]]=Tableau5[[#This Row],[Remis MRO]],"OK","NOK")</f>
        <v>OK</v>
      </c>
      <c r="BH20">
        <v>1</v>
      </c>
      <c r="BI20">
        <f>SUMIFS(Tableau4[NB Remis],Tableau4[Réf matériel],Tableau5[[#This Row],[Réf matériel]],Tableau4[Matricule],"LSA")</f>
        <v>1</v>
      </c>
      <c r="BJ20" s="105" t="str">
        <f>IF(Tableau5[[#This Row],[Besoin LSA]]=Tableau5[[#This Row],[Remis LSA]],"OK","NOK")</f>
        <v>OK</v>
      </c>
      <c r="BK20">
        <v>1</v>
      </c>
      <c r="BL20">
        <f>SUMIFS(Tableau4[NB Remis],Tableau4[Réf matériel],Tableau5[[#This Row],[Réf matériel]],Tableau4[Matricule],"SST")</f>
        <v>1</v>
      </c>
      <c r="BM20" s="105" t="str">
        <f>IF(Tableau5[[#This Row],[Besoin SST]]=Tableau5[[#This Row],[Remis SST]],"OK","NOK")</f>
        <v>OK</v>
      </c>
      <c r="BO20">
        <f>SUMIFS(Tableau4[NB Remis],Tableau4[Réf matériel],Tableau5[[#This Row],[Réf matériel]],Tableau4[Matricule],"CTH")</f>
        <v>0</v>
      </c>
      <c r="BP20" s="105" t="str">
        <f>IF(Tableau5[[#This Row],[Besoin CTH]]=Tableau5[[#This Row],[Remis CTH]],"OK","NOK")</f>
        <v>OK</v>
      </c>
      <c r="BQ20">
        <v>1</v>
      </c>
      <c r="BR20">
        <f>SUMIFS(Tableau4[NB Remis],Tableau4[Réf matériel],Tableau5[[#This Row],[Réf matériel]],Tableau4[Matricule],"AVU")</f>
        <v>1</v>
      </c>
      <c r="BS20" s="105" t="str">
        <f>IF(Tableau5[[#This Row],[Besoin AVU]]=Tableau5[[#This Row],[Remis AVU]],"OK","NOK")</f>
        <v>OK</v>
      </c>
      <c r="BU20">
        <f>SUMIFS(Tableau4[NB Remis],Tableau4[Réf matériel],Tableau5[[#This Row],[Réf matériel]],Tableau4[Matricule],"FZE")</f>
        <v>0</v>
      </c>
      <c r="BV20" s="105" t="str">
        <f>IF(Tableau5[[#This Row],[Besoin FZE]]=Tableau5[[#This Row],[Remis FZE]],"OK","NOK")</f>
        <v>OK</v>
      </c>
      <c r="BW20">
        <v>1</v>
      </c>
      <c r="BX20">
        <f>SUMIFS(Tableau4[NB Remis],Tableau4[Réf matériel],Tableau5[[#This Row],[Réf matériel]],Tableau4[Matricule],"CV2")</f>
        <v>1</v>
      </c>
      <c r="BY20" s="105" t="str">
        <f>IF(Tableau5[[#This Row],[Besoin CV2]]=Tableau5[[#This Row],[Remis CV2]],"OK","NOK")</f>
        <v>OK</v>
      </c>
      <c r="BZ20">
        <v>1</v>
      </c>
      <c r="CA20">
        <f>SUMIFS(Tableau4[NB Remis],Tableau4[Réf matériel],Tableau5[[#This Row],[Réf matériel]],Tableau4[Matricule],"CV3")</f>
        <v>1</v>
      </c>
      <c r="CB20" s="105" t="str">
        <f>IF(Tableau5[[#This Row],[Besoin CV3]]=Tableau5[[#This Row],[Remis CV3]],"OK","NOK")</f>
        <v>OK</v>
      </c>
      <c r="CC20">
        <v>1</v>
      </c>
      <c r="CD20">
        <f>SUMIFS(Tableau4[NB Remis],Tableau4[Réf matériel],Tableau5[[#This Row],[Réf matériel]],Tableau4[Matricule],"CV1")</f>
        <v>1</v>
      </c>
      <c r="CE20" s="105" t="str">
        <f>IF(Tableau5[[#This Row],[Besoin CV1]]=Tableau5[[#This Row],[Remis CV1]],"OK","NOK")</f>
        <v>OK</v>
      </c>
      <c r="CF20">
        <v>1</v>
      </c>
      <c r="CG20">
        <f>SUMIFS(Tableau4[NB Remis],Tableau4[Réf matériel],Tableau5[[#This Row],[Réf matériel]],Tableau4[Matricule],"CV4")</f>
        <v>1</v>
      </c>
      <c r="CH20" s="106" t="str">
        <f>IF(Tableau5[[#This Row],[Besoin CV4]]=Tableau5[[#This Row],[Remis CV4]],"OK","NOK")</f>
        <v>OK</v>
      </c>
    </row>
    <row r="21" spans="2:86" x14ac:dyDescent="0.25">
      <c r="B21" t="s">
        <v>402</v>
      </c>
      <c r="D21">
        <f>SUMIFS(Tableau4[NB Remis],Tableau4[Réf matériel],Tableau5[[#This Row],[Réf matériel]],Tableau4[Matricule],"OAI")</f>
        <v>0</v>
      </c>
      <c r="E21" s="105" t="str">
        <f>IF(Tableau5[[#This Row],[Besoin OAI]]=Tableau5[[#This Row],[Remis OAI]],"OK","NOK")</f>
        <v>OK</v>
      </c>
      <c r="G21">
        <f>SUMIFS(Tableau4[NB Remis],Tableau4[Réf matériel],Tableau5[[#This Row],[Réf matériel]],Tableau4[Matricule],"ABE")</f>
        <v>0</v>
      </c>
      <c r="H21" s="105" t="str">
        <f>IF(Tableau5[[#This Row],[Besoin ABE]]=Tableau5[[#This Row],[Remis ABE]],"OK","NOK")</f>
        <v>OK</v>
      </c>
      <c r="J21">
        <f>SUMIFS(Tableau4[NB Remis],Tableau4[Réf matériel],Tableau5[[#This Row],[Réf matériel]],Tableau4[Matricule],"SBI")</f>
        <v>0</v>
      </c>
      <c r="K21" s="105" t="str">
        <f>IF(Tableau5[[#This Row],[Besoin SBI]]=Tableau5[[#This Row],[Remis SBI]],"OK","NOK")</f>
        <v>OK</v>
      </c>
      <c r="M21">
        <f>SUMIFS(Tableau4[NB Remis],Tableau4[Réf matériel],Tableau5[[#This Row],[Réf matériel]],Tableau4[Matricule],"ABI")</f>
        <v>0</v>
      </c>
      <c r="N21" s="105" t="str">
        <f>IF(Tableau5[[#This Row],[Besoin ABI]]=Tableau5[[#This Row],[Remis ABI]],"OK","NOK")</f>
        <v>OK</v>
      </c>
      <c r="P21">
        <f>SUMIFS(Tableau4[NB Remis],Tableau4[Réf matériel],Tableau5[[#This Row],[Réf matériel]],Tableau4[Matricule],"DCE")</f>
        <v>0</v>
      </c>
      <c r="Q21" s="105" t="str">
        <f>IF(Tableau5[[#This Row],[Besoin DCE]]=Tableau5[[#This Row],[Remis DCE]],"OK","NOK")</f>
        <v>OK</v>
      </c>
      <c r="R21">
        <v>1</v>
      </c>
      <c r="S21">
        <f>SUMIFS(Tableau4[NB Remis],Tableau4[Réf matériel],Tableau5[[#This Row],[Réf matériel]],Tableau4[Matricule],"JDE")</f>
        <v>1</v>
      </c>
      <c r="T21" s="105" t="str">
        <f>IF(Tableau5[[#This Row],[Besoin JDE]]=Tableau5[[#This Row],[Remis JDE]],"OK","NOK")</f>
        <v>OK</v>
      </c>
      <c r="V21">
        <f>SUMIFS(Tableau4[NB Remis],Tableau4[Réf matériel],Tableau5[[#This Row],[Réf matériel]],Tableau4[Matricule],"ODI")</f>
        <v>0</v>
      </c>
      <c r="W21" s="105" t="str">
        <f>IF(Tableau5[[#This Row],[Besoin ODI]]=Tableau5[[#This Row],[Remis ODI]],"OK","NOK")</f>
        <v>OK</v>
      </c>
      <c r="Y21">
        <f>SUMIFS(Tableau4[NB Remis],Tableau4[Réf matériel],Tableau5[[#This Row],[Réf matériel]],Tableau4[Matricule],"MFO")</f>
        <v>0</v>
      </c>
      <c r="Z21" s="105" t="str">
        <f>IF(Tableau5[[#This Row],[Besoin MFO]]=Tableau5[[#This Row],[Remis MFO]],"OK","NOK")</f>
        <v>OK</v>
      </c>
      <c r="AB21">
        <f>SUMIFS(Tableau4[NB Remis],Tableau4[Réf matériel],Tableau5[[#This Row],[Réf matériel]],Tableau4[Matricule],"SDU")</f>
        <v>0</v>
      </c>
      <c r="AC21" s="105" t="str">
        <f>IF(Tableau5[[#This Row],[Besoin SDU]]=Tableau5[[#This Row],[Remis SDU]],"OK","NOK")</f>
        <v>OK</v>
      </c>
      <c r="AE21">
        <f>SUMIFS(Tableau4[NB Remis],Tableau4[Réf matériel],Tableau5[[#This Row],[Réf matériel]],Tableau4[Matricule],"GGA")</f>
        <v>0</v>
      </c>
      <c r="AF21" s="105" t="str">
        <f>IF(Tableau5[[#This Row],[Besoin GGA2]]=Tableau5[[#This Row],[Remis GGA3]],"OK","NOK")</f>
        <v>OK</v>
      </c>
      <c r="AH21">
        <f>SUMIFS(Tableau4[NB Remis],Tableau4[Réf matériel],Tableau5[[#This Row],[Réf matériel]],Tableau4[Matricule],"RGE")</f>
        <v>0</v>
      </c>
      <c r="AI21" s="105" t="str">
        <f>IF(Tableau5[[#This Row],[Besoin RGE]]=Tableau5[[#This Row],[Remis RGE]],"OK","NOK")</f>
        <v>OK</v>
      </c>
      <c r="AK21">
        <f>SUMIFS(Tableau4[NB Remis],Tableau4[Réf matériel],Tableau5[[#This Row],[Réf matériel]],Tableau4[Matricule],"CKE")</f>
        <v>0</v>
      </c>
      <c r="AL21" s="105" t="str">
        <f>IF(Tableau5[[#This Row],[Besoin CKE]]=Tableau5[[#This Row],[Remis CKE]],"OK","NOK")</f>
        <v>OK</v>
      </c>
      <c r="AN21">
        <f>SUMIFS(Tableau4[NB Remis],Tableau4[Réf matériel],Tableau5[[#This Row],[Réf matériel]],Tableau4[Matricule],"DMA")</f>
        <v>0</v>
      </c>
      <c r="AO21" s="105" t="str">
        <f>IF(Tableau5[[#This Row],[Besoin DMA]]=Tableau5[[#This Row],[Remis DMA]],"OK","NOK")</f>
        <v>OK</v>
      </c>
      <c r="AQ21">
        <f>SUMIFS(Tableau4[NB Remis],Tableau4[Réf matériel],Tableau5[[#This Row],[Réf matériel]],Tableau4[Matricule],"LMO")</f>
        <v>0</v>
      </c>
      <c r="AR21" s="105" t="str">
        <f>IF(Tableau5[[#This Row],[Besoin LMO]]=Tableau5[[#This Row],[Remis LMO]],"OK","NOK")</f>
        <v>OK</v>
      </c>
      <c r="AS21">
        <v>1</v>
      </c>
      <c r="AT21">
        <f>SUMIFS(Tableau4[NB Remis],Tableau4[Réf matériel],Tableau5[[#This Row],[Réf matériel]],Tableau4[Matricule],"TMO")</f>
        <v>1</v>
      </c>
      <c r="AU21" s="105" t="str">
        <f>IF(Tableau5[[#This Row],[Besoin TMO]]=Tableau5[[#This Row],[Remis TMO]],"OK","NOK")</f>
        <v>OK</v>
      </c>
      <c r="AW21">
        <f>SUMIFS(Tableau4[NB Remis],Tableau4[Réf matériel],Tableau5[[#This Row],[Réf matériel]],Tableau4[Matricule],"JPA")</f>
        <v>0</v>
      </c>
      <c r="AX21" s="105" t="str">
        <f>IF(Tableau5[[#This Row],[Besoin JPA]]=Tableau5[[#This Row],[Remis JPA]],"OK","NOK")</f>
        <v>OK</v>
      </c>
      <c r="AZ21">
        <f>SUMIFS(Tableau4[NB Remis],Tableau4[Réf matériel],Tableau5[[#This Row],[Réf matériel]],Tableau4[Matricule],"MPE")</f>
        <v>0</v>
      </c>
      <c r="BA21" s="105" t="str">
        <f>IF(Tableau5[[#This Row],[Besoin MPE]]=Tableau5[[#This Row],[Remis MPE]],"OK","NOK")</f>
        <v>OK</v>
      </c>
      <c r="BB21">
        <v>1</v>
      </c>
      <c r="BC21">
        <f>SUMIFS(Tableau4[NB Remis],Tableau4[Réf matériel],Tableau5[[#This Row],[Réf matériel]],Tableau4[Matricule],"SPR")</f>
        <v>1</v>
      </c>
      <c r="BD21" s="105" t="str">
        <f>IF(Tableau5[[#This Row],[Besoin SPR]]=Tableau5[[#This Row],[Remis SPR]],"OK","NOK")</f>
        <v>OK</v>
      </c>
      <c r="BF21">
        <f>SUMIFS(Tableau4[NB Remis],Tableau4[Réf matériel],Tableau5[[#This Row],[Réf matériel]],Tableau4[Matricule],"MRO")</f>
        <v>0</v>
      </c>
      <c r="BG21" s="105" t="str">
        <f>IF(Tableau5[[#This Row],[Besoin MRO]]=Tableau5[[#This Row],[Remis MRO]],"OK","NOK")</f>
        <v>OK</v>
      </c>
      <c r="BI21">
        <f>SUMIFS(Tableau4[NB Remis],Tableau4[Réf matériel],Tableau5[[#This Row],[Réf matériel]],Tableau4[Matricule],"LSA")</f>
        <v>0</v>
      </c>
      <c r="BJ21" s="105" t="str">
        <f>IF(Tableau5[[#This Row],[Besoin LSA]]=Tableau5[[#This Row],[Remis LSA]],"OK","NOK")</f>
        <v>OK</v>
      </c>
      <c r="BL21">
        <f>SUMIFS(Tableau4[NB Remis],Tableau4[Réf matériel],Tableau5[[#This Row],[Réf matériel]],Tableau4[Matricule],"SST")</f>
        <v>0</v>
      </c>
      <c r="BM21" s="105" t="str">
        <f>IF(Tableau5[[#This Row],[Besoin SST]]=Tableau5[[#This Row],[Remis SST]],"OK","NOK")</f>
        <v>OK</v>
      </c>
      <c r="BO21">
        <f>SUMIFS(Tableau4[NB Remis],Tableau4[Réf matériel],Tableau5[[#This Row],[Réf matériel]],Tableau4[Matricule],"CTH")</f>
        <v>0</v>
      </c>
      <c r="BP21" s="105" t="str">
        <f>IF(Tableau5[[#This Row],[Besoin CTH]]=Tableau5[[#This Row],[Remis CTH]],"OK","NOK")</f>
        <v>OK</v>
      </c>
      <c r="BR21">
        <f>SUMIFS(Tableau4[NB Remis],Tableau4[Réf matériel],Tableau5[[#This Row],[Réf matériel]],Tableau4[Matricule],"AVU")</f>
        <v>0</v>
      </c>
      <c r="BS21" s="105" t="str">
        <f>IF(Tableau5[[#This Row],[Besoin AVU]]=Tableau5[[#This Row],[Remis AVU]],"OK","NOK")</f>
        <v>OK</v>
      </c>
      <c r="BU21">
        <f>SUMIFS(Tableau4[NB Remis],Tableau4[Réf matériel],Tableau5[[#This Row],[Réf matériel]],Tableau4[Matricule],"FZE")</f>
        <v>0</v>
      </c>
      <c r="BV21" s="105" t="str">
        <f>IF(Tableau5[[#This Row],[Besoin FZE]]=Tableau5[[#This Row],[Remis FZE]],"OK","NOK")</f>
        <v>OK</v>
      </c>
      <c r="BX21">
        <f>SUMIFS(Tableau4[NB Remis],Tableau4[Réf matériel],Tableau5[[#This Row],[Réf matériel]],Tableau4[Matricule],"CV2")</f>
        <v>0</v>
      </c>
      <c r="BY21" s="105" t="str">
        <f>IF(Tableau5[[#This Row],[Besoin CV2]]=Tableau5[[#This Row],[Remis CV2]],"OK","NOK")</f>
        <v>OK</v>
      </c>
      <c r="CA21">
        <f>SUMIFS(Tableau4[NB Remis],Tableau4[Réf matériel],Tableau5[[#This Row],[Réf matériel]],Tableau4[Matricule],"CV3")</f>
        <v>0</v>
      </c>
      <c r="CB21" s="105" t="str">
        <f>IF(Tableau5[[#This Row],[Besoin CV3]]=Tableau5[[#This Row],[Remis CV3]],"OK","NOK")</f>
        <v>OK</v>
      </c>
      <c r="CD21">
        <f>SUMIFS(Tableau4[NB Remis],Tableau4[Réf matériel],Tableau5[[#This Row],[Réf matériel]],Tableau4[Matricule],"CV1")</f>
        <v>0</v>
      </c>
      <c r="CE21" s="105" t="str">
        <f>IF(Tableau5[[#This Row],[Besoin CV1]]=Tableau5[[#This Row],[Remis CV1]],"OK","NOK")</f>
        <v>OK</v>
      </c>
      <c r="CF21">
        <v>1</v>
      </c>
      <c r="CG21">
        <f>SUMIFS(Tableau4[NB Remis],Tableau4[Réf matériel],Tableau5[[#This Row],[Réf matériel]],Tableau4[Matricule],"CV4")</f>
        <v>1</v>
      </c>
      <c r="CH21" s="106" t="str">
        <f>IF(Tableau5[[#This Row],[Besoin CV4]]=Tableau5[[#This Row],[Remis CV4]],"OK","NOK")</f>
        <v>OK</v>
      </c>
    </row>
    <row r="22" spans="2:86" x14ac:dyDescent="0.25">
      <c r="B22" t="s">
        <v>420</v>
      </c>
      <c r="C22">
        <v>1</v>
      </c>
      <c r="D22">
        <f>SUMIFS(Tableau4[NB Remis],Tableau4[Réf matériel],Tableau5[[#This Row],[Réf matériel]],Tableau4[Matricule],"OAI")</f>
        <v>1</v>
      </c>
      <c r="E22" s="105" t="str">
        <f>IF(Tableau5[[#This Row],[Besoin OAI]]=Tableau5[[#This Row],[Remis OAI]],"OK","NOK")</f>
        <v>OK</v>
      </c>
      <c r="F22">
        <v>1</v>
      </c>
      <c r="G22">
        <f>SUMIFS(Tableau4[NB Remis],Tableau4[Réf matériel],Tableau5[[#This Row],[Réf matériel]],Tableau4[Matricule],"ABE")</f>
        <v>1</v>
      </c>
      <c r="H22" s="105" t="str">
        <f>IF(Tableau5[[#This Row],[Besoin ABE]]=Tableau5[[#This Row],[Remis ABE]],"OK","NOK")</f>
        <v>OK</v>
      </c>
      <c r="J22">
        <f>SUMIFS(Tableau4[NB Remis],Tableau4[Réf matériel],Tableau5[[#This Row],[Réf matériel]],Tableau4[Matricule],"SBI")</f>
        <v>0</v>
      </c>
      <c r="K22" s="105" t="str">
        <f>IF(Tableau5[[#This Row],[Besoin SBI]]=Tableau5[[#This Row],[Remis SBI]],"OK","NOK")</f>
        <v>OK</v>
      </c>
      <c r="L22">
        <v>1</v>
      </c>
      <c r="M22">
        <f>SUMIFS(Tableau4[NB Remis],Tableau4[Réf matériel],Tableau5[[#This Row],[Réf matériel]],Tableau4[Matricule],"ABI")</f>
        <v>1</v>
      </c>
      <c r="N22" s="105" t="str">
        <f>IF(Tableau5[[#This Row],[Besoin ABI]]=Tableau5[[#This Row],[Remis ABI]],"OK","NOK")</f>
        <v>OK</v>
      </c>
      <c r="P22">
        <f>SUMIFS(Tableau4[NB Remis],Tableau4[Réf matériel],Tableau5[[#This Row],[Réf matériel]],Tableau4[Matricule],"DCE")</f>
        <v>0</v>
      </c>
      <c r="Q22" s="105" t="str">
        <f>IF(Tableau5[[#This Row],[Besoin DCE]]=Tableau5[[#This Row],[Remis DCE]],"OK","NOK")</f>
        <v>OK</v>
      </c>
      <c r="R22">
        <v>1</v>
      </c>
      <c r="S22">
        <f>SUMIFS(Tableau4[NB Remis],Tableau4[Réf matériel],Tableau5[[#This Row],[Réf matériel]],Tableau4[Matricule],"JDE")</f>
        <v>1</v>
      </c>
      <c r="T22" s="105" t="str">
        <f>IF(Tableau5[[#This Row],[Besoin JDE]]=Tableau5[[#This Row],[Remis JDE]],"OK","NOK")</f>
        <v>OK</v>
      </c>
      <c r="U22">
        <v>1</v>
      </c>
      <c r="V22">
        <f>SUMIFS(Tableau4[NB Remis],Tableau4[Réf matériel],Tableau5[[#This Row],[Réf matériel]],Tableau4[Matricule],"ODI")</f>
        <v>1</v>
      </c>
      <c r="W22" s="105" t="str">
        <f>IF(Tableau5[[#This Row],[Besoin ODI]]=Tableau5[[#This Row],[Remis ODI]],"OK","NOK")</f>
        <v>OK</v>
      </c>
      <c r="Y22">
        <f>SUMIFS(Tableau4[NB Remis],Tableau4[Réf matériel],Tableau5[[#This Row],[Réf matériel]],Tableau4[Matricule],"MFO")</f>
        <v>0</v>
      </c>
      <c r="Z22" s="105" t="str">
        <f>IF(Tableau5[[#This Row],[Besoin MFO]]=Tableau5[[#This Row],[Remis MFO]],"OK","NOK")</f>
        <v>OK</v>
      </c>
      <c r="AB22">
        <f>SUMIFS(Tableau4[NB Remis],Tableau4[Réf matériel],Tableau5[[#This Row],[Réf matériel]],Tableau4[Matricule],"SDU")</f>
        <v>0</v>
      </c>
      <c r="AC22" s="105" t="str">
        <f>IF(Tableau5[[#This Row],[Besoin SDU]]=Tableau5[[#This Row],[Remis SDU]],"OK","NOK")</f>
        <v>OK</v>
      </c>
      <c r="AE22">
        <f>SUMIFS(Tableau4[NB Remis],Tableau4[Réf matériel],Tableau5[[#This Row],[Réf matériel]],Tableau4[Matricule],"GGA")</f>
        <v>0</v>
      </c>
      <c r="AF22" s="105" t="str">
        <f>IF(Tableau5[[#This Row],[Besoin GGA2]]=Tableau5[[#This Row],[Remis GGA3]],"OK","NOK")</f>
        <v>OK</v>
      </c>
      <c r="AG22">
        <v>1</v>
      </c>
      <c r="AH22">
        <f>SUMIFS(Tableau4[NB Remis],Tableau4[Réf matériel],Tableau5[[#This Row],[Réf matériel]],Tableau4[Matricule],"RGE")</f>
        <v>2</v>
      </c>
      <c r="AI22" s="105" t="str">
        <f>IF(Tableau5[[#This Row],[Besoin RGE]]=Tableau5[[#This Row],[Remis RGE]],"OK","NOK")</f>
        <v>NOK</v>
      </c>
      <c r="AJ22">
        <v>1</v>
      </c>
      <c r="AK22">
        <f>SUMIFS(Tableau4[NB Remis],Tableau4[Réf matériel],Tableau5[[#This Row],[Réf matériel]],Tableau4[Matricule],"CKE")</f>
        <v>1</v>
      </c>
      <c r="AL22" s="105" t="str">
        <f>IF(Tableau5[[#This Row],[Besoin CKE]]=Tableau5[[#This Row],[Remis CKE]],"OK","NOK")</f>
        <v>OK</v>
      </c>
      <c r="AN22">
        <f>SUMIFS(Tableau4[NB Remis],Tableau4[Réf matériel],Tableau5[[#This Row],[Réf matériel]],Tableau4[Matricule],"DMA")</f>
        <v>0</v>
      </c>
      <c r="AO22" s="105" t="str">
        <f>IF(Tableau5[[#This Row],[Besoin DMA]]=Tableau5[[#This Row],[Remis DMA]],"OK","NOK")</f>
        <v>OK</v>
      </c>
      <c r="AQ22">
        <f>SUMIFS(Tableau4[NB Remis],Tableau4[Réf matériel],Tableau5[[#This Row],[Réf matériel]],Tableau4[Matricule],"LMO")</f>
        <v>0</v>
      </c>
      <c r="AR22" s="105" t="str">
        <f>IF(Tableau5[[#This Row],[Besoin LMO]]=Tableau5[[#This Row],[Remis LMO]],"OK","NOK")</f>
        <v>OK</v>
      </c>
      <c r="AS22">
        <v>1</v>
      </c>
      <c r="AT22">
        <f>SUMIFS(Tableau4[NB Remis],Tableau4[Réf matériel],Tableau5[[#This Row],[Réf matériel]],Tableau4[Matricule],"TMO")</f>
        <v>1</v>
      </c>
      <c r="AU22" s="105" t="str">
        <f>IF(Tableau5[[#This Row],[Besoin TMO]]=Tableau5[[#This Row],[Remis TMO]],"OK","NOK")</f>
        <v>OK</v>
      </c>
      <c r="AV22">
        <v>1</v>
      </c>
      <c r="AW22">
        <f>SUMIFS(Tableau4[NB Remis],Tableau4[Réf matériel],Tableau5[[#This Row],[Réf matériel]],Tableau4[Matricule],"JPA")</f>
        <v>1</v>
      </c>
      <c r="AX22" s="105" t="str">
        <f>IF(Tableau5[[#This Row],[Besoin JPA]]=Tableau5[[#This Row],[Remis JPA]],"OK","NOK")</f>
        <v>OK</v>
      </c>
      <c r="AZ22">
        <f>SUMIFS(Tableau4[NB Remis],Tableau4[Réf matériel],Tableau5[[#This Row],[Réf matériel]],Tableau4[Matricule],"MPE")</f>
        <v>0</v>
      </c>
      <c r="BA22" s="105" t="str">
        <f>IF(Tableau5[[#This Row],[Besoin MPE]]=Tableau5[[#This Row],[Remis MPE]],"OK","NOK")</f>
        <v>OK</v>
      </c>
      <c r="BB22">
        <v>1</v>
      </c>
      <c r="BC22">
        <f>SUMIFS(Tableau4[NB Remis],Tableau4[Réf matériel],Tableau5[[#This Row],[Réf matériel]],Tableau4[Matricule],"SPR")</f>
        <v>1</v>
      </c>
      <c r="BD22" s="105" t="str">
        <f>IF(Tableau5[[#This Row],[Besoin SPR]]=Tableau5[[#This Row],[Remis SPR]],"OK","NOK")</f>
        <v>OK</v>
      </c>
      <c r="BE22">
        <v>1</v>
      </c>
      <c r="BF22">
        <f>SUMIFS(Tableau4[NB Remis],Tableau4[Réf matériel],Tableau5[[#This Row],[Réf matériel]],Tableau4[Matricule],"MRO")</f>
        <v>2</v>
      </c>
      <c r="BG22" s="105" t="str">
        <f>IF(Tableau5[[#This Row],[Besoin MRO]]=Tableau5[[#This Row],[Remis MRO]],"OK","NOK")</f>
        <v>NOK</v>
      </c>
      <c r="BH22">
        <v>1</v>
      </c>
      <c r="BI22">
        <f>SUMIFS(Tableau4[NB Remis],Tableau4[Réf matériel],Tableau5[[#This Row],[Réf matériel]],Tableau4[Matricule],"LSA")</f>
        <v>1</v>
      </c>
      <c r="BJ22" s="105" t="str">
        <f>IF(Tableau5[[#This Row],[Besoin LSA]]=Tableau5[[#This Row],[Remis LSA]],"OK","NOK")</f>
        <v>OK</v>
      </c>
      <c r="BK22">
        <v>1</v>
      </c>
      <c r="BL22">
        <f>SUMIFS(Tableau4[NB Remis],Tableau4[Réf matériel],Tableau5[[#This Row],[Réf matériel]],Tableau4[Matricule],"SST")</f>
        <v>1</v>
      </c>
      <c r="BM22" s="105" t="str">
        <f>IF(Tableau5[[#This Row],[Besoin SST]]=Tableau5[[#This Row],[Remis SST]],"OK","NOK")</f>
        <v>OK</v>
      </c>
      <c r="BO22">
        <f>SUMIFS(Tableau4[NB Remis],Tableau4[Réf matériel],Tableau5[[#This Row],[Réf matériel]],Tableau4[Matricule],"CTH")</f>
        <v>0</v>
      </c>
      <c r="BP22" s="105" t="str">
        <f>IF(Tableau5[[#This Row],[Besoin CTH]]=Tableau5[[#This Row],[Remis CTH]],"OK","NOK")</f>
        <v>OK</v>
      </c>
      <c r="BQ22">
        <v>1</v>
      </c>
      <c r="BR22">
        <f>SUMIFS(Tableau4[NB Remis],Tableau4[Réf matériel],Tableau5[[#This Row],[Réf matériel]],Tableau4[Matricule],"AVU")</f>
        <v>1</v>
      </c>
      <c r="BS22" s="105" t="str">
        <f>IF(Tableau5[[#This Row],[Besoin AVU]]=Tableau5[[#This Row],[Remis AVU]],"OK","NOK")</f>
        <v>OK</v>
      </c>
      <c r="BU22">
        <f>SUMIFS(Tableau4[NB Remis],Tableau4[Réf matériel],Tableau5[[#This Row],[Réf matériel]],Tableau4[Matricule],"FZE")</f>
        <v>0</v>
      </c>
      <c r="BV22" s="105" t="str">
        <f>IF(Tableau5[[#This Row],[Besoin FZE]]=Tableau5[[#This Row],[Remis FZE]],"OK","NOK")</f>
        <v>OK</v>
      </c>
      <c r="BW22">
        <v>1</v>
      </c>
      <c r="BX22">
        <f>SUMIFS(Tableau4[NB Remis],Tableau4[Réf matériel],Tableau5[[#This Row],[Réf matériel]],Tableau4[Matricule],"CV2")</f>
        <v>1</v>
      </c>
      <c r="BY22" s="105" t="str">
        <f>IF(Tableau5[[#This Row],[Besoin CV2]]=Tableau5[[#This Row],[Remis CV2]],"OK","NOK")</f>
        <v>OK</v>
      </c>
      <c r="BZ22">
        <v>1</v>
      </c>
      <c r="CA22">
        <f>SUMIFS(Tableau4[NB Remis],Tableau4[Réf matériel],Tableau5[[#This Row],[Réf matériel]],Tableau4[Matricule],"CV3")</f>
        <v>1</v>
      </c>
      <c r="CB22" s="105" t="str">
        <f>IF(Tableau5[[#This Row],[Besoin CV3]]=Tableau5[[#This Row],[Remis CV3]],"OK","NOK")</f>
        <v>OK</v>
      </c>
      <c r="CC22">
        <v>1</v>
      </c>
      <c r="CD22">
        <f>SUMIFS(Tableau4[NB Remis],Tableau4[Réf matériel],Tableau5[[#This Row],[Réf matériel]],Tableau4[Matricule],"CV1")</f>
        <v>1</v>
      </c>
      <c r="CE22" s="105" t="str">
        <f>IF(Tableau5[[#This Row],[Besoin CV1]]=Tableau5[[#This Row],[Remis CV1]],"OK","NOK")</f>
        <v>OK</v>
      </c>
      <c r="CF22">
        <v>1</v>
      </c>
      <c r="CG22">
        <f>SUMIFS(Tableau4[NB Remis],Tableau4[Réf matériel],Tableau5[[#This Row],[Réf matériel]],Tableau4[Matricule],"CV4")</f>
        <v>1</v>
      </c>
      <c r="CH22" s="106" t="str">
        <f>IF(Tableau5[[#This Row],[Besoin CV4]]=Tableau5[[#This Row],[Remis CV4]],"OK","NOK")</f>
        <v>OK</v>
      </c>
    </row>
    <row r="23" spans="2:86" x14ac:dyDescent="0.25">
      <c r="B23" t="s">
        <v>429</v>
      </c>
      <c r="C23">
        <v>1</v>
      </c>
      <c r="D23">
        <f>SUMIFS(Tableau4[NB Remis],Tableau4[Réf matériel],Tableau5[[#This Row],[Réf matériel]],Tableau4[Matricule],"OAI")</f>
        <v>2</v>
      </c>
      <c r="E23" s="105" t="str">
        <f>IF(Tableau5[[#This Row],[Besoin OAI]]=Tableau5[[#This Row],[Remis OAI]],"OK","NOK")</f>
        <v>NOK</v>
      </c>
      <c r="G23">
        <f>SUMIFS(Tableau4[NB Remis],Tableau4[Réf matériel],Tableau5[[#This Row],[Réf matériel]],Tableau4[Matricule],"ABE")</f>
        <v>0</v>
      </c>
      <c r="H23" s="105" t="str">
        <f>IF(Tableau5[[#This Row],[Besoin ABE]]=Tableau5[[#This Row],[Remis ABE]],"OK","NOK")</f>
        <v>OK</v>
      </c>
      <c r="J23">
        <f>SUMIFS(Tableau4[NB Remis],Tableau4[Réf matériel],Tableau5[[#This Row],[Réf matériel]],Tableau4[Matricule],"SBI")</f>
        <v>0</v>
      </c>
      <c r="K23" s="105" t="str">
        <f>IF(Tableau5[[#This Row],[Besoin SBI]]=Tableau5[[#This Row],[Remis SBI]],"OK","NOK")</f>
        <v>OK</v>
      </c>
      <c r="M23">
        <f>SUMIFS(Tableau4[NB Remis],Tableau4[Réf matériel],Tableau5[[#This Row],[Réf matériel]],Tableau4[Matricule],"ABI")</f>
        <v>0</v>
      </c>
      <c r="N23" s="105" t="str">
        <f>IF(Tableau5[[#This Row],[Besoin ABI]]=Tableau5[[#This Row],[Remis ABI]],"OK","NOK")</f>
        <v>OK</v>
      </c>
      <c r="P23">
        <f>SUMIFS(Tableau4[NB Remis],Tableau4[Réf matériel],Tableau5[[#This Row],[Réf matériel]],Tableau4[Matricule],"DCE")</f>
        <v>0</v>
      </c>
      <c r="Q23" s="105" t="str">
        <f>IF(Tableau5[[#This Row],[Besoin DCE]]=Tableau5[[#This Row],[Remis DCE]],"OK","NOK")</f>
        <v>OK</v>
      </c>
      <c r="S23">
        <f>SUMIFS(Tableau4[NB Remis],Tableau4[Réf matériel],Tableau5[[#This Row],[Réf matériel]],Tableau4[Matricule],"JDE")</f>
        <v>0</v>
      </c>
      <c r="T23" s="105" t="str">
        <f>IF(Tableau5[[#This Row],[Besoin JDE]]=Tableau5[[#This Row],[Remis JDE]],"OK","NOK")</f>
        <v>OK</v>
      </c>
      <c r="V23">
        <f>SUMIFS(Tableau4[NB Remis],Tableau4[Réf matériel],Tableau5[[#This Row],[Réf matériel]],Tableau4[Matricule],"ODI")</f>
        <v>0</v>
      </c>
      <c r="W23" s="105" t="str">
        <f>IF(Tableau5[[#This Row],[Besoin ODI]]=Tableau5[[#This Row],[Remis ODI]],"OK","NOK")</f>
        <v>OK</v>
      </c>
      <c r="Y23">
        <f>SUMIFS(Tableau4[NB Remis],Tableau4[Réf matériel],Tableau5[[#This Row],[Réf matériel]],Tableau4[Matricule],"MFO")</f>
        <v>0</v>
      </c>
      <c r="Z23" s="105" t="str">
        <f>IF(Tableau5[[#This Row],[Besoin MFO]]=Tableau5[[#This Row],[Remis MFO]],"OK","NOK")</f>
        <v>OK</v>
      </c>
      <c r="AB23">
        <f>SUMIFS(Tableau4[NB Remis],Tableau4[Réf matériel],Tableau5[[#This Row],[Réf matériel]],Tableau4[Matricule],"SDU")</f>
        <v>0</v>
      </c>
      <c r="AC23" s="105" t="str">
        <f>IF(Tableau5[[#This Row],[Besoin SDU]]=Tableau5[[#This Row],[Remis SDU]],"OK","NOK")</f>
        <v>OK</v>
      </c>
      <c r="AE23">
        <f>SUMIFS(Tableau4[NB Remis],Tableau4[Réf matériel],Tableau5[[#This Row],[Réf matériel]],Tableau4[Matricule],"GGA")</f>
        <v>0</v>
      </c>
      <c r="AF23" s="105" t="str">
        <f>IF(Tableau5[[#This Row],[Besoin GGA2]]=Tableau5[[#This Row],[Remis GGA3]],"OK","NOK")</f>
        <v>OK</v>
      </c>
      <c r="AH23">
        <f>SUMIFS(Tableau4[NB Remis],Tableau4[Réf matériel],Tableau5[[#This Row],[Réf matériel]],Tableau4[Matricule],"RGE")</f>
        <v>0</v>
      </c>
      <c r="AI23" s="105" t="str">
        <f>IF(Tableau5[[#This Row],[Besoin RGE]]=Tableau5[[#This Row],[Remis RGE]],"OK","NOK")</f>
        <v>OK</v>
      </c>
      <c r="AK23">
        <f>SUMIFS(Tableau4[NB Remis],Tableau4[Réf matériel],Tableau5[[#This Row],[Réf matériel]],Tableau4[Matricule],"CKE")</f>
        <v>0</v>
      </c>
      <c r="AL23" s="105" t="str">
        <f>IF(Tableau5[[#This Row],[Besoin CKE]]=Tableau5[[#This Row],[Remis CKE]],"OK","NOK")</f>
        <v>OK</v>
      </c>
      <c r="AM23">
        <v>1</v>
      </c>
      <c r="AN23">
        <f>SUMIFS(Tableau4[NB Remis],Tableau4[Réf matériel],Tableau5[[#This Row],[Réf matériel]],Tableau4[Matricule],"DMA")</f>
        <v>1</v>
      </c>
      <c r="AO23" s="105" t="str">
        <f>IF(Tableau5[[#This Row],[Besoin DMA]]=Tableau5[[#This Row],[Remis DMA]],"OK","NOK")</f>
        <v>OK</v>
      </c>
      <c r="AQ23">
        <f>SUMIFS(Tableau4[NB Remis],Tableau4[Réf matériel],Tableau5[[#This Row],[Réf matériel]],Tableau4[Matricule],"LMO")</f>
        <v>0</v>
      </c>
      <c r="AR23" s="105" t="str">
        <f>IF(Tableau5[[#This Row],[Besoin LMO]]=Tableau5[[#This Row],[Remis LMO]],"OK","NOK")</f>
        <v>OK</v>
      </c>
      <c r="AT23">
        <f>SUMIFS(Tableau4[NB Remis],Tableau4[Réf matériel],Tableau5[[#This Row],[Réf matériel]],Tableau4[Matricule],"TMO")</f>
        <v>0</v>
      </c>
      <c r="AU23" s="105" t="str">
        <f>IF(Tableau5[[#This Row],[Besoin TMO]]=Tableau5[[#This Row],[Remis TMO]],"OK","NOK")</f>
        <v>OK</v>
      </c>
      <c r="AW23">
        <f>SUMIFS(Tableau4[NB Remis],Tableau4[Réf matériel],Tableau5[[#This Row],[Réf matériel]],Tableau4[Matricule],"JPA")</f>
        <v>0</v>
      </c>
      <c r="AX23" s="105" t="str">
        <f>IF(Tableau5[[#This Row],[Besoin JPA]]=Tableau5[[#This Row],[Remis JPA]],"OK","NOK")</f>
        <v>OK</v>
      </c>
      <c r="AZ23">
        <f>SUMIFS(Tableau4[NB Remis],Tableau4[Réf matériel],Tableau5[[#This Row],[Réf matériel]],Tableau4[Matricule],"MPE")</f>
        <v>0</v>
      </c>
      <c r="BA23" s="105" t="str">
        <f>IF(Tableau5[[#This Row],[Besoin MPE]]=Tableau5[[#This Row],[Remis MPE]],"OK","NOK")</f>
        <v>OK</v>
      </c>
      <c r="BB23">
        <v>1</v>
      </c>
      <c r="BC23">
        <f>SUMIFS(Tableau4[NB Remis],Tableau4[Réf matériel],Tableau5[[#This Row],[Réf matériel]],Tableau4[Matricule],"SPR")</f>
        <v>1</v>
      </c>
      <c r="BD23" s="105" t="str">
        <f>IF(Tableau5[[#This Row],[Besoin SPR]]=Tableau5[[#This Row],[Remis SPR]],"OK","NOK")</f>
        <v>OK</v>
      </c>
      <c r="BF23">
        <f>SUMIFS(Tableau4[NB Remis],Tableau4[Réf matériel],Tableau5[[#This Row],[Réf matériel]],Tableau4[Matricule],"MRO")</f>
        <v>0</v>
      </c>
      <c r="BG23" s="105" t="str">
        <f>IF(Tableau5[[#This Row],[Besoin MRO]]=Tableau5[[#This Row],[Remis MRO]],"OK","NOK")</f>
        <v>OK</v>
      </c>
      <c r="BI23">
        <f>SUMIFS(Tableau4[NB Remis],Tableau4[Réf matériel],Tableau5[[#This Row],[Réf matériel]],Tableau4[Matricule],"LSA")</f>
        <v>0</v>
      </c>
      <c r="BJ23" s="105" t="str">
        <f>IF(Tableau5[[#This Row],[Besoin LSA]]=Tableau5[[#This Row],[Remis LSA]],"OK","NOK")</f>
        <v>OK</v>
      </c>
      <c r="BL23">
        <f>SUMIFS(Tableau4[NB Remis],Tableau4[Réf matériel],Tableau5[[#This Row],[Réf matériel]],Tableau4[Matricule],"SST")</f>
        <v>0</v>
      </c>
      <c r="BM23" s="105" t="str">
        <f>IF(Tableau5[[#This Row],[Besoin SST]]=Tableau5[[#This Row],[Remis SST]],"OK","NOK")</f>
        <v>OK</v>
      </c>
      <c r="BO23">
        <f>SUMIFS(Tableau4[NB Remis],Tableau4[Réf matériel],Tableau5[[#This Row],[Réf matériel]],Tableau4[Matricule],"CTH")</f>
        <v>0</v>
      </c>
      <c r="BP23" s="105" t="str">
        <f>IF(Tableau5[[#This Row],[Besoin CTH]]=Tableau5[[#This Row],[Remis CTH]],"OK","NOK")</f>
        <v>OK</v>
      </c>
      <c r="BR23">
        <f>SUMIFS(Tableau4[NB Remis],Tableau4[Réf matériel],Tableau5[[#This Row],[Réf matériel]],Tableau4[Matricule],"AVU")</f>
        <v>0</v>
      </c>
      <c r="BS23" s="105" t="str">
        <f>IF(Tableau5[[#This Row],[Besoin AVU]]=Tableau5[[#This Row],[Remis AVU]],"OK","NOK")</f>
        <v>OK</v>
      </c>
      <c r="BU23">
        <f>SUMIFS(Tableau4[NB Remis],Tableau4[Réf matériel],Tableau5[[#This Row],[Réf matériel]],Tableau4[Matricule],"FZE")</f>
        <v>0</v>
      </c>
      <c r="BV23" s="105" t="str">
        <f>IF(Tableau5[[#This Row],[Besoin FZE]]=Tableau5[[#This Row],[Remis FZE]],"OK","NOK")</f>
        <v>OK</v>
      </c>
      <c r="BX23">
        <f>SUMIFS(Tableau4[NB Remis],Tableau4[Réf matériel],Tableau5[[#This Row],[Réf matériel]],Tableau4[Matricule],"CV2")</f>
        <v>0</v>
      </c>
      <c r="BY23" s="105" t="str">
        <f>IF(Tableau5[[#This Row],[Besoin CV2]]=Tableau5[[#This Row],[Remis CV2]],"OK","NOK")</f>
        <v>OK</v>
      </c>
      <c r="CA23">
        <f>SUMIFS(Tableau4[NB Remis],Tableau4[Réf matériel],Tableau5[[#This Row],[Réf matériel]],Tableau4[Matricule],"CV3")</f>
        <v>0</v>
      </c>
      <c r="CB23" s="105" t="str">
        <f>IF(Tableau5[[#This Row],[Besoin CV3]]=Tableau5[[#This Row],[Remis CV3]],"OK","NOK")</f>
        <v>OK</v>
      </c>
      <c r="CD23">
        <f>SUMIFS(Tableau4[NB Remis],Tableau4[Réf matériel],Tableau5[[#This Row],[Réf matériel]],Tableau4[Matricule],"CV1")</f>
        <v>0</v>
      </c>
      <c r="CE23" s="105" t="str">
        <f>IF(Tableau5[[#This Row],[Besoin CV1]]=Tableau5[[#This Row],[Remis CV1]],"OK","NOK")</f>
        <v>OK</v>
      </c>
      <c r="CG23">
        <f>SUMIFS(Tableau4[NB Remis],Tableau4[Réf matériel],Tableau5[[#This Row],[Réf matériel]],Tableau4[Matricule],"CV4")</f>
        <v>0</v>
      </c>
      <c r="CH23" s="106" t="str">
        <f>IF(Tableau5[[#This Row],[Besoin CV4]]=Tableau5[[#This Row],[Remis CV4]],"OK","NOK")</f>
        <v>OK</v>
      </c>
    </row>
    <row r="24" spans="2:86" x14ac:dyDescent="0.25">
      <c r="B24" t="s">
        <v>421</v>
      </c>
      <c r="D24">
        <f>SUMIFS(Tableau4[NB Remis],Tableau4[Réf matériel],Tableau5[[#This Row],[Réf matériel]],Tableau4[Matricule],"OAI")</f>
        <v>0</v>
      </c>
      <c r="E24" s="105" t="str">
        <f>IF(Tableau5[[#This Row],[Besoin OAI]]=Tableau5[[#This Row],[Remis OAI]],"OK","NOK")</f>
        <v>OK</v>
      </c>
      <c r="G24">
        <f>SUMIFS(Tableau4[NB Remis],Tableau4[Réf matériel],Tableau5[[#This Row],[Réf matériel]],Tableau4[Matricule],"ABE")</f>
        <v>0</v>
      </c>
      <c r="H24" s="105" t="str">
        <f>IF(Tableau5[[#This Row],[Besoin ABE]]=Tableau5[[#This Row],[Remis ABE]],"OK","NOK")</f>
        <v>OK</v>
      </c>
      <c r="J24">
        <f>SUMIFS(Tableau4[NB Remis],Tableau4[Réf matériel],Tableau5[[#This Row],[Réf matériel]],Tableau4[Matricule],"SBI")</f>
        <v>0</v>
      </c>
      <c r="K24" s="105" t="str">
        <f>IF(Tableau5[[#This Row],[Besoin SBI]]=Tableau5[[#This Row],[Remis SBI]],"OK","NOK")</f>
        <v>OK</v>
      </c>
      <c r="M24">
        <f>SUMIFS(Tableau4[NB Remis],Tableau4[Réf matériel],Tableau5[[#This Row],[Réf matériel]],Tableau4[Matricule],"ABI")</f>
        <v>0</v>
      </c>
      <c r="N24" s="105" t="str">
        <f>IF(Tableau5[[#This Row],[Besoin ABI]]=Tableau5[[#This Row],[Remis ABI]],"OK","NOK")</f>
        <v>OK</v>
      </c>
      <c r="P24">
        <f>SUMIFS(Tableau4[NB Remis],Tableau4[Réf matériel],Tableau5[[#This Row],[Réf matériel]],Tableau4[Matricule],"DCE")</f>
        <v>0</v>
      </c>
      <c r="Q24" s="105" t="str">
        <f>IF(Tableau5[[#This Row],[Besoin DCE]]=Tableau5[[#This Row],[Remis DCE]],"OK","NOK")</f>
        <v>OK</v>
      </c>
      <c r="R24">
        <v>1</v>
      </c>
      <c r="S24">
        <f>SUMIFS(Tableau4[NB Remis],Tableau4[Réf matériel],Tableau5[[#This Row],[Réf matériel]],Tableau4[Matricule],"JDE")</f>
        <v>1</v>
      </c>
      <c r="T24" s="105" t="str">
        <f>IF(Tableau5[[#This Row],[Besoin JDE]]=Tableau5[[#This Row],[Remis JDE]],"OK","NOK")</f>
        <v>OK</v>
      </c>
      <c r="U24">
        <v>1</v>
      </c>
      <c r="V24">
        <f>SUMIFS(Tableau4[NB Remis],Tableau4[Réf matériel],Tableau5[[#This Row],[Réf matériel]],Tableau4[Matricule],"ODI")</f>
        <v>1</v>
      </c>
      <c r="W24" s="105" t="str">
        <f>IF(Tableau5[[#This Row],[Besoin ODI]]=Tableau5[[#This Row],[Remis ODI]],"OK","NOK")</f>
        <v>OK</v>
      </c>
      <c r="Y24">
        <f>SUMIFS(Tableau4[NB Remis],Tableau4[Réf matériel],Tableau5[[#This Row],[Réf matériel]],Tableau4[Matricule],"MFO")</f>
        <v>0</v>
      </c>
      <c r="Z24" s="105" t="str">
        <f>IF(Tableau5[[#This Row],[Besoin MFO]]=Tableau5[[#This Row],[Remis MFO]],"OK","NOK")</f>
        <v>OK</v>
      </c>
      <c r="AB24">
        <f>SUMIFS(Tableau4[NB Remis],Tableau4[Réf matériel],Tableau5[[#This Row],[Réf matériel]],Tableau4[Matricule],"SDU")</f>
        <v>0</v>
      </c>
      <c r="AC24" s="105" t="str">
        <f>IF(Tableau5[[#This Row],[Besoin SDU]]=Tableau5[[#This Row],[Remis SDU]],"OK","NOK")</f>
        <v>OK</v>
      </c>
      <c r="AE24">
        <f>SUMIFS(Tableau4[NB Remis],Tableau4[Réf matériel],Tableau5[[#This Row],[Réf matériel]],Tableau4[Matricule],"GGA")</f>
        <v>0</v>
      </c>
      <c r="AF24" s="105" t="str">
        <f>IF(Tableau5[[#This Row],[Besoin GGA2]]=Tableau5[[#This Row],[Remis GGA3]],"OK","NOK")</f>
        <v>OK</v>
      </c>
      <c r="AH24">
        <f>SUMIFS(Tableau4[NB Remis],Tableau4[Réf matériel],Tableau5[[#This Row],[Réf matériel]],Tableau4[Matricule],"RGE")</f>
        <v>0</v>
      </c>
      <c r="AI24" s="105" t="str">
        <f>IF(Tableau5[[#This Row],[Besoin RGE]]=Tableau5[[#This Row],[Remis RGE]],"OK","NOK")</f>
        <v>OK</v>
      </c>
      <c r="AK24">
        <f>SUMIFS(Tableau4[NB Remis],Tableau4[Réf matériel],Tableau5[[#This Row],[Réf matériel]],Tableau4[Matricule],"CKE")</f>
        <v>0</v>
      </c>
      <c r="AL24" s="105" t="str">
        <f>IF(Tableau5[[#This Row],[Besoin CKE]]=Tableau5[[#This Row],[Remis CKE]],"OK","NOK")</f>
        <v>OK</v>
      </c>
      <c r="AN24">
        <f>SUMIFS(Tableau4[NB Remis],Tableau4[Réf matériel],Tableau5[[#This Row],[Réf matériel]],Tableau4[Matricule],"DMA")</f>
        <v>0</v>
      </c>
      <c r="AO24" s="105" t="str">
        <f>IF(Tableau5[[#This Row],[Besoin DMA]]=Tableau5[[#This Row],[Remis DMA]],"OK","NOK")</f>
        <v>OK</v>
      </c>
      <c r="AQ24">
        <f>SUMIFS(Tableau4[NB Remis],Tableau4[Réf matériel],Tableau5[[#This Row],[Réf matériel]],Tableau4[Matricule],"LMO")</f>
        <v>0</v>
      </c>
      <c r="AR24" s="105" t="str">
        <f>IF(Tableau5[[#This Row],[Besoin LMO]]=Tableau5[[#This Row],[Remis LMO]],"OK","NOK")</f>
        <v>OK</v>
      </c>
      <c r="AT24">
        <f>SUMIFS(Tableau4[NB Remis],Tableau4[Réf matériel],Tableau5[[#This Row],[Réf matériel]],Tableau4[Matricule],"TMO")</f>
        <v>0</v>
      </c>
      <c r="AU24" s="105" t="str">
        <f>IF(Tableau5[[#This Row],[Besoin TMO]]=Tableau5[[#This Row],[Remis TMO]],"OK","NOK")</f>
        <v>OK</v>
      </c>
      <c r="AW24">
        <f>SUMIFS(Tableau4[NB Remis],Tableau4[Réf matériel],Tableau5[[#This Row],[Réf matériel]],Tableau4[Matricule],"JPA")</f>
        <v>0</v>
      </c>
      <c r="AX24" s="105" t="str">
        <f>IF(Tableau5[[#This Row],[Besoin JPA]]=Tableau5[[#This Row],[Remis JPA]],"OK","NOK")</f>
        <v>OK</v>
      </c>
      <c r="AZ24">
        <f>SUMIFS(Tableau4[NB Remis],Tableau4[Réf matériel],Tableau5[[#This Row],[Réf matériel]],Tableau4[Matricule],"MPE")</f>
        <v>0</v>
      </c>
      <c r="BA24" s="105" t="str">
        <f>IF(Tableau5[[#This Row],[Besoin MPE]]=Tableau5[[#This Row],[Remis MPE]],"OK","NOK")</f>
        <v>OK</v>
      </c>
      <c r="BB24">
        <v>1</v>
      </c>
      <c r="BC24">
        <f>SUMIFS(Tableau4[NB Remis],Tableau4[Réf matériel],Tableau5[[#This Row],[Réf matériel]],Tableau4[Matricule],"SPR")</f>
        <v>1</v>
      </c>
      <c r="BD24" s="105" t="str">
        <f>IF(Tableau5[[#This Row],[Besoin SPR]]=Tableau5[[#This Row],[Remis SPR]],"OK","NOK")</f>
        <v>OK</v>
      </c>
      <c r="BF24">
        <f>SUMIFS(Tableau4[NB Remis],Tableau4[Réf matériel],Tableau5[[#This Row],[Réf matériel]],Tableau4[Matricule],"MRO")</f>
        <v>0</v>
      </c>
      <c r="BG24" s="105" t="str">
        <f>IF(Tableau5[[#This Row],[Besoin MRO]]=Tableau5[[#This Row],[Remis MRO]],"OK","NOK")</f>
        <v>OK</v>
      </c>
      <c r="BI24">
        <f>SUMIFS(Tableau4[NB Remis],Tableau4[Réf matériel],Tableau5[[#This Row],[Réf matériel]],Tableau4[Matricule],"LSA")</f>
        <v>0</v>
      </c>
      <c r="BJ24" s="105" t="str">
        <f>IF(Tableau5[[#This Row],[Besoin LSA]]=Tableau5[[#This Row],[Remis LSA]],"OK","NOK")</f>
        <v>OK</v>
      </c>
      <c r="BL24">
        <f>SUMIFS(Tableau4[NB Remis],Tableau4[Réf matériel],Tableau5[[#This Row],[Réf matériel]],Tableau4[Matricule],"SST")</f>
        <v>0</v>
      </c>
      <c r="BM24" s="105" t="str">
        <f>IF(Tableau5[[#This Row],[Besoin SST]]=Tableau5[[#This Row],[Remis SST]],"OK","NOK")</f>
        <v>OK</v>
      </c>
      <c r="BO24">
        <f>SUMIFS(Tableau4[NB Remis],Tableau4[Réf matériel],Tableau5[[#This Row],[Réf matériel]],Tableau4[Matricule],"CTH")</f>
        <v>0</v>
      </c>
      <c r="BP24" s="105" t="str">
        <f>IF(Tableau5[[#This Row],[Besoin CTH]]=Tableau5[[#This Row],[Remis CTH]],"OK","NOK")</f>
        <v>OK</v>
      </c>
      <c r="BR24">
        <f>SUMIFS(Tableau4[NB Remis],Tableau4[Réf matériel],Tableau5[[#This Row],[Réf matériel]],Tableau4[Matricule],"AVU")</f>
        <v>0</v>
      </c>
      <c r="BS24" s="105" t="str">
        <f>IF(Tableau5[[#This Row],[Besoin AVU]]=Tableau5[[#This Row],[Remis AVU]],"OK","NOK")</f>
        <v>OK</v>
      </c>
      <c r="BU24">
        <f>SUMIFS(Tableau4[NB Remis],Tableau4[Réf matériel],Tableau5[[#This Row],[Réf matériel]],Tableau4[Matricule],"FZE")</f>
        <v>0</v>
      </c>
      <c r="BV24" s="105" t="str">
        <f>IF(Tableau5[[#This Row],[Besoin FZE]]=Tableau5[[#This Row],[Remis FZE]],"OK","NOK")</f>
        <v>OK</v>
      </c>
      <c r="BX24">
        <f>SUMIFS(Tableau4[NB Remis],Tableau4[Réf matériel],Tableau5[[#This Row],[Réf matériel]],Tableau4[Matricule],"CV2")</f>
        <v>0</v>
      </c>
      <c r="BY24" s="105" t="str">
        <f>IF(Tableau5[[#This Row],[Besoin CV2]]=Tableau5[[#This Row],[Remis CV2]],"OK","NOK")</f>
        <v>OK</v>
      </c>
      <c r="CA24">
        <f>SUMIFS(Tableau4[NB Remis],Tableau4[Réf matériel],Tableau5[[#This Row],[Réf matériel]],Tableau4[Matricule],"CV3")</f>
        <v>0</v>
      </c>
      <c r="CB24" s="105" t="str">
        <f>IF(Tableau5[[#This Row],[Besoin CV3]]=Tableau5[[#This Row],[Remis CV3]],"OK","NOK")</f>
        <v>OK</v>
      </c>
      <c r="CD24">
        <f>SUMIFS(Tableau4[NB Remis],Tableau4[Réf matériel],Tableau5[[#This Row],[Réf matériel]],Tableau4[Matricule],"CV1")</f>
        <v>0</v>
      </c>
      <c r="CE24" s="105" t="str">
        <f>IF(Tableau5[[#This Row],[Besoin CV1]]=Tableau5[[#This Row],[Remis CV1]],"OK","NOK")</f>
        <v>OK</v>
      </c>
      <c r="CF24">
        <v>1</v>
      </c>
      <c r="CG24">
        <f>SUMIFS(Tableau4[NB Remis],Tableau4[Réf matériel],Tableau5[[#This Row],[Réf matériel]],Tableau4[Matricule],"CV4")</f>
        <v>1</v>
      </c>
      <c r="CH24" s="106" t="str">
        <f>IF(Tableau5[[#This Row],[Besoin CV4]]=Tableau5[[#This Row],[Remis CV4]],"OK","NOK")</f>
        <v>OK</v>
      </c>
    </row>
    <row r="25" spans="2:86" x14ac:dyDescent="0.25">
      <c r="B25" t="s">
        <v>423</v>
      </c>
      <c r="D25">
        <f>SUMIFS(Tableau4[NB Remis],Tableau4[Réf matériel],Tableau5[[#This Row],[Réf matériel]],Tableau4[Matricule],"OAI")</f>
        <v>0</v>
      </c>
      <c r="E25" s="105" t="str">
        <f>IF(Tableau5[[#This Row],[Besoin OAI]]=Tableau5[[#This Row],[Remis OAI]],"OK","NOK")</f>
        <v>OK</v>
      </c>
      <c r="G25">
        <f>SUMIFS(Tableau4[NB Remis],Tableau4[Réf matériel],Tableau5[[#This Row],[Réf matériel]],Tableau4[Matricule],"ABE")</f>
        <v>0</v>
      </c>
      <c r="H25" s="105" t="str">
        <f>IF(Tableau5[[#This Row],[Besoin ABE]]=Tableau5[[#This Row],[Remis ABE]],"OK","NOK")</f>
        <v>OK</v>
      </c>
      <c r="J25">
        <f>SUMIFS(Tableau4[NB Remis],Tableau4[Réf matériel],Tableau5[[#This Row],[Réf matériel]],Tableau4[Matricule],"SBI")</f>
        <v>0</v>
      </c>
      <c r="K25" s="105" t="str">
        <f>IF(Tableau5[[#This Row],[Besoin SBI]]=Tableau5[[#This Row],[Remis SBI]],"OK","NOK")</f>
        <v>OK</v>
      </c>
      <c r="M25">
        <f>SUMIFS(Tableau4[NB Remis],Tableau4[Réf matériel],Tableau5[[#This Row],[Réf matériel]],Tableau4[Matricule],"ABI")</f>
        <v>0</v>
      </c>
      <c r="N25" s="105" t="str">
        <f>IF(Tableau5[[#This Row],[Besoin ABI]]=Tableau5[[#This Row],[Remis ABI]],"OK","NOK")</f>
        <v>OK</v>
      </c>
      <c r="P25">
        <f>SUMIFS(Tableau4[NB Remis],Tableau4[Réf matériel],Tableau5[[#This Row],[Réf matériel]],Tableau4[Matricule],"DCE")</f>
        <v>0</v>
      </c>
      <c r="Q25" s="105" t="str">
        <f>IF(Tableau5[[#This Row],[Besoin DCE]]=Tableau5[[#This Row],[Remis DCE]],"OK","NOK")</f>
        <v>OK</v>
      </c>
      <c r="S25">
        <f>SUMIFS(Tableau4[NB Remis],Tableau4[Réf matériel],Tableau5[[#This Row],[Réf matériel]],Tableau4[Matricule],"JDE")</f>
        <v>0</v>
      </c>
      <c r="T25" s="105" t="str">
        <f>IF(Tableau5[[#This Row],[Besoin JDE]]=Tableau5[[#This Row],[Remis JDE]],"OK","NOK")</f>
        <v>OK</v>
      </c>
      <c r="V25">
        <f>SUMIFS(Tableau4[NB Remis],Tableau4[Réf matériel],Tableau5[[#This Row],[Réf matériel]],Tableau4[Matricule],"ODI")</f>
        <v>0</v>
      </c>
      <c r="W25" s="105" t="str">
        <f>IF(Tableau5[[#This Row],[Besoin ODI]]=Tableau5[[#This Row],[Remis ODI]],"OK","NOK")</f>
        <v>OK</v>
      </c>
      <c r="Y25">
        <f>SUMIFS(Tableau4[NB Remis],Tableau4[Réf matériel],Tableau5[[#This Row],[Réf matériel]],Tableau4[Matricule],"MFO")</f>
        <v>0</v>
      </c>
      <c r="Z25" s="105" t="str">
        <f>IF(Tableau5[[#This Row],[Besoin MFO]]=Tableau5[[#This Row],[Remis MFO]],"OK","NOK")</f>
        <v>OK</v>
      </c>
      <c r="AB25">
        <f>SUMIFS(Tableau4[NB Remis],Tableau4[Réf matériel],Tableau5[[#This Row],[Réf matériel]],Tableau4[Matricule],"SDU")</f>
        <v>0</v>
      </c>
      <c r="AC25" s="105" t="str">
        <f>IF(Tableau5[[#This Row],[Besoin SDU]]=Tableau5[[#This Row],[Remis SDU]],"OK","NOK")</f>
        <v>OK</v>
      </c>
      <c r="AE25">
        <f>SUMIFS(Tableau4[NB Remis],Tableau4[Réf matériel],Tableau5[[#This Row],[Réf matériel]],Tableau4[Matricule],"GGA")</f>
        <v>0</v>
      </c>
      <c r="AF25" s="105" t="str">
        <f>IF(Tableau5[[#This Row],[Besoin GGA2]]=Tableau5[[#This Row],[Remis GGA3]],"OK","NOK")</f>
        <v>OK</v>
      </c>
      <c r="AH25">
        <f>SUMIFS(Tableau4[NB Remis],Tableau4[Réf matériel],Tableau5[[#This Row],[Réf matériel]],Tableau4[Matricule],"RGE")</f>
        <v>0</v>
      </c>
      <c r="AI25" s="105" t="str">
        <f>IF(Tableau5[[#This Row],[Besoin RGE]]=Tableau5[[#This Row],[Remis RGE]],"OK","NOK")</f>
        <v>OK</v>
      </c>
      <c r="AK25">
        <f>SUMIFS(Tableau4[NB Remis],Tableau4[Réf matériel],Tableau5[[#This Row],[Réf matériel]],Tableau4[Matricule],"CKE")</f>
        <v>0</v>
      </c>
      <c r="AL25" s="105" t="str">
        <f>IF(Tableau5[[#This Row],[Besoin CKE]]=Tableau5[[#This Row],[Remis CKE]],"OK","NOK")</f>
        <v>OK</v>
      </c>
      <c r="AN25">
        <f>SUMIFS(Tableau4[NB Remis],Tableau4[Réf matériel],Tableau5[[#This Row],[Réf matériel]],Tableau4[Matricule],"DMA")</f>
        <v>0</v>
      </c>
      <c r="AO25" s="105" t="str">
        <f>IF(Tableau5[[#This Row],[Besoin DMA]]=Tableau5[[#This Row],[Remis DMA]],"OK","NOK")</f>
        <v>OK</v>
      </c>
      <c r="AQ25">
        <f>SUMIFS(Tableau4[NB Remis],Tableau4[Réf matériel],Tableau5[[#This Row],[Réf matériel]],Tableau4[Matricule],"LMO")</f>
        <v>0</v>
      </c>
      <c r="AR25" s="105" t="str">
        <f>IF(Tableau5[[#This Row],[Besoin LMO]]=Tableau5[[#This Row],[Remis LMO]],"OK","NOK")</f>
        <v>OK</v>
      </c>
      <c r="AS25">
        <v>1</v>
      </c>
      <c r="AT25">
        <f>SUMIFS(Tableau4[NB Remis],Tableau4[Réf matériel],Tableau5[[#This Row],[Réf matériel]],Tableau4[Matricule],"TMO")</f>
        <v>1</v>
      </c>
      <c r="AU25" s="105" t="str">
        <f>IF(Tableau5[[#This Row],[Besoin TMO]]=Tableau5[[#This Row],[Remis TMO]],"OK","NOK")</f>
        <v>OK</v>
      </c>
      <c r="AV25">
        <v>1</v>
      </c>
      <c r="AW25">
        <f>SUMIFS(Tableau4[NB Remis],Tableau4[Réf matériel],Tableau5[[#This Row],[Réf matériel]],Tableau4[Matricule],"JPA")</f>
        <v>1</v>
      </c>
      <c r="AX25" s="105" t="str">
        <f>IF(Tableau5[[#This Row],[Besoin JPA]]=Tableau5[[#This Row],[Remis JPA]],"OK","NOK")</f>
        <v>OK</v>
      </c>
      <c r="AZ25">
        <f>SUMIFS(Tableau4[NB Remis],Tableau4[Réf matériel],Tableau5[[#This Row],[Réf matériel]],Tableau4[Matricule],"MPE")</f>
        <v>0</v>
      </c>
      <c r="BA25" s="105" t="str">
        <f>IF(Tableau5[[#This Row],[Besoin MPE]]=Tableau5[[#This Row],[Remis MPE]],"OK","NOK")</f>
        <v>OK</v>
      </c>
      <c r="BC25">
        <f>SUMIFS(Tableau4[NB Remis],Tableau4[Réf matériel],Tableau5[[#This Row],[Réf matériel]],Tableau4[Matricule],"SPR")</f>
        <v>0</v>
      </c>
      <c r="BD25" s="105" t="str">
        <f>IF(Tableau5[[#This Row],[Besoin SPR]]=Tableau5[[#This Row],[Remis SPR]],"OK","NOK")</f>
        <v>OK</v>
      </c>
      <c r="BF25">
        <f>SUMIFS(Tableau4[NB Remis],Tableau4[Réf matériel],Tableau5[[#This Row],[Réf matériel]],Tableau4[Matricule],"MRO")</f>
        <v>0</v>
      </c>
      <c r="BG25" s="105" t="str">
        <f>IF(Tableau5[[#This Row],[Besoin MRO]]=Tableau5[[#This Row],[Remis MRO]],"OK","NOK")</f>
        <v>OK</v>
      </c>
      <c r="BI25">
        <f>SUMIFS(Tableau4[NB Remis],Tableau4[Réf matériel],Tableau5[[#This Row],[Réf matériel]],Tableau4[Matricule],"LSA")</f>
        <v>0</v>
      </c>
      <c r="BJ25" s="105" t="str">
        <f>IF(Tableau5[[#This Row],[Besoin LSA]]=Tableau5[[#This Row],[Remis LSA]],"OK","NOK")</f>
        <v>OK</v>
      </c>
      <c r="BL25">
        <f>SUMIFS(Tableau4[NB Remis],Tableau4[Réf matériel],Tableau5[[#This Row],[Réf matériel]],Tableau4[Matricule],"SST")</f>
        <v>0</v>
      </c>
      <c r="BM25" s="105" t="str">
        <f>IF(Tableau5[[#This Row],[Besoin SST]]=Tableau5[[#This Row],[Remis SST]],"OK","NOK")</f>
        <v>OK</v>
      </c>
      <c r="BO25">
        <f>SUMIFS(Tableau4[NB Remis],Tableau4[Réf matériel],Tableau5[[#This Row],[Réf matériel]],Tableau4[Matricule],"CTH")</f>
        <v>0</v>
      </c>
      <c r="BP25" s="105" t="str">
        <f>IF(Tableau5[[#This Row],[Besoin CTH]]=Tableau5[[#This Row],[Remis CTH]],"OK","NOK")</f>
        <v>OK</v>
      </c>
      <c r="BR25">
        <f>SUMIFS(Tableau4[NB Remis],Tableau4[Réf matériel],Tableau5[[#This Row],[Réf matériel]],Tableau4[Matricule],"AVU")</f>
        <v>0</v>
      </c>
      <c r="BS25" s="105" t="str">
        <f>IF(Tableau5[[#This Row],[Besoin AVU]]=Tableau5[[#This Row],[Remis AVU]],"OK","NOK")</f>
        <v>OK</v>
      </c>
      <c r="BU25">
        <f>SUMIFS(Tableau4[NB Remis],Tableau4[Réf matériel],Tableau5[[#This Row],[Réf matériel]],Tableau4[Matricule],"FZE")</f>
        <v>0</v>
      </c>
      <c r="BV25" s="105" t="str">
        <f>IF(Tableau5[[#This Row],[Besoin FZE]]=Tableau5[[#This Row],[Remis FZE]],"OK","NOK")</f>
        <v>OK</v>
      </c>
      <c r="BX25">
        <f>SUMIFS(Tableau4[NB Remis],Tableau4[Réf matériel],Tableau5[[#This Row],[Réf matériel]],Tableau4[Matricule],"CV2")</f>
        <v>0</v>
      </c>
      <c r="BY25" s="105" t="str">
        <f>IF(Tableau5[[#This Row],[Besoin CV2]]=Tableau5[[#This Row],[Remis CV2]],"OK","NOK")</f>
        <v>OK</v>
      </c>
      <c r="CA25">
        <f>SUMIFS(Tableau4[NB Remis],Tableau4[Réf matériel],Tableau5[[#This Row],[Réf matériel]],Tableau4[Matricule],"CV3")</f>
        <v>0</v>
      </c>
      <c r="CB25" s="105" t="str">
        <f>IF(Tableau5[[#This Row],[Besoin CV3]]=Tableau5[[#This Row],[Remis CV3]],"OK","NOK")</f>
        <v>OK</v>
      </c>
      <c r="CD25">
        <f>SUMIFS(Tableau4[NB Remis],Tableau4[Réf matériel],Tableau5[[#This Row],[Réf matériel]],Tableau4[Matricule],"CV1")</f>
        <v>0</v>
      </c>
      <c r="CE25" s="105" t="str">
        <f>IF(Tableau5[[#This Row],[Besoin CV1]]=Tableau5[[#This Row],[Remis CV1]],"OK","NOK")</f>
        <v>OK</v>
      </c>
      <c r="CG25">
        <f>SUMIFS(Tableau4[NB Remis],Tableau4[Réf matériel],Tableau5[[#This Row],[Réf matériel]],Tableau4[Matricule],"CV4")</f>
        <v>0</v>
      </c>
      <c r="CH25" s="106" t="str">
        <f>IF(Tableau5[[#This Row],[Besoin CV4]]=Tableau5[[#This Row],[Remis CV4]],"OK","NOK")</f>
        <v>OK</v>
      </c>
    </row>
    <row r="26" spans="2:86" x14ac:dyDescent="0.25">
      <c r="B26" t="s">
        <v>424</v>
      </c>
      <c r="D26">
        <f>SUMIFS(Tableau4[NB Remis],Tableau4[Réf matériel],Tableau5[[#This Row],[Réf matériel]],Tableau4[Matricule],"OAI")</f>
        <v>0</v>
      </c>
      <c r="E26" s="105" t="str">
        <f>IF(Tableau5[[#This Row],[Besoin OAI]]=Tableau5[[#This Row],[Remis OAI]],"OK","NOK")</f>
        <v>OK</v>
      </c>
      <c r="G26">
        <f>SUMIFS(Tableau4[NB Remis],Tableau4[Réf matériel],Tableau5[[#This Row],[Réf matériel]],Tableau4[Matricule],"ABE")</f>
        <v>0</v>
      </c>
      <c r="H26" s="105" t="str">
        <f>IF(Tableau5[[#This Row],[Besoin ABE]]=Tableau5[[#This Row],[Remis ABE]],"OK","NOK")</f>
        <v>OK</v>
      </c>
      <c r="J26">
        <f>SUMIFS(Tableau4[NB Remis],Tableau4[Réf matériel],Tableau5[[#This Row],[Réf matériel]],Tableau4[Matricule],"SBI")</f>
        <v>0</v>
      </c>
      <c r="K26" s="105" t="str">
        <f>IF(Tableau5[[#This Row],[Besoin SBI]]=Tableau5[[#This Row],[Remis SBI]],"OK","NOK")</f>
        <v>OK</v>
      </c>
      <c r="M26">
        <f>SUMIFS(Tableau4[NB Remis],Tableau4[Réf matériel],Tableau5[[#This Row],[Réf matériel]],Tableau4[Matricule],"ABI")</f>
        <v>0</v>
      </c>
      <c r="N26" s="105" t="str">
        <f>IF(Tableau5[[#This Row],[Besoin ABI]]=Tableau5[[#This Row],[Remis ABI]],"OK","NOK")</f>
        <v>OK</v>
      </c>
      <c r="P26">
        <f>SUMIFS(Tableau4[NB Remis],Tableau4[Réf matériel],Tableau5[[#This Row],[Réf matériel]],Tableau4[Matricule],"DCE")</f>
        <v>0</v>
      </c>
      <c r="Q26" s="105" t="str">
        <f>IF(Tableau5[[#This Row],[Besoin DCE]]=Tableau5[[#This Row],[Remis DCE]],"OK","NOK")</f>
        <v>OK</v>
      </c>
      <c r="S26">
        <f>SUMIFS(Tableau4[NB Remis],Tableau4[Réf matériel],Tableau5[[#This Row],[Réf matériel]],Tableau4[Matricule],"JDE")</f>
        <v>0</v>
      </c>
      <c r="T26" s="105" t="str">
        <f>IF(Tableau5[[#This Row],[Besoin JDE]]=Tableau5[[#This Row],[Remis JDE]],"OK","NOK")</f>
        <v>OK</v>
      </c>
      <c r="V26">
        <f>SUMIFS(Tableau4[NB Remis],Tableau4[Réf matériel],Tableau5[[#This Row],[Réf matériel]],Tableau4[Matricule],"ODI")</f>
        <v>0</v>
      </c>
      <c r="W26" s="105" t="str">
        <f>IF(Tableau5[[#This Row],[Besoin ODI]]=Tableau5[[#This Row],[Remis ODI]],"OK","NOK")</f>
        <v>OK</v>
      </c>
      <c r="Y26">
        <f>SUMIFS(Tableau4[NB Remis],Tableau4[Réf matériel],Tableau5[[#This Row],[Réf matériel]],Tableau4[Matricule],"MFO")</f>
        <v>0</v>
      </c>
      <c r="Z26" s="105" t="str">
        <f>IF(Tableau5[[#This Row],[Besoin MFO]]=Tableau5[[#This Row],[Remis MFO]],"OK","NOK")</f>
        <v>OK</v>
      </c>
      <c r="AB26">
        <f>SUMIFS(Tableau4[NB Remis],Tableau4[Réf matériel],Tableau5[[#This Row],[Réf matériel]],Tableau4[Matricule],"SDU")</f>
        <v>0</v>
      </c>
      <c r="AC26" s="105" t="str">
        <f>IF(Tableau5[[#This Row],[Besoin SDU]]=Tableau5[[#This Row],[Remis SDU]],"OK","NOK")</f>
        <v>OK</v>
      </c>
      <c r="AE26">
        <f>SUMIFS(Tableau4[NB Remis],Tableau4[Réf matériel],Tableau5[[#This Row],[Réf matériel]],Tableau4[Matricule],"GGA")</f>
        <v>0</v>
      </c>
      <c r="AF26" s="105" t="str">
        <f>IF(Tableau5[[#This Row],[Besoin GGA2]]=Tableau5[[#This Row],[Remis GGA3]],"OK","NOK")</f>
        <v>OK</v>
      </c>
      <c r="AH26">
        <f>SUMIFS(Tableau4[NB Remis],Tableau4[Réf matériel],Tableau5[[#This Row],[Réf matériel]],Tableau4[Matricule],"RGE")</f>
        <v>0</v>
      </c>
      <c r="AI26" s="105" t="str">
        <f>IF(Tableau5[[#This Row],[Besoin RGE]]=Tableau5[[#This Row],[Remis RGE]],"OK","NOK")</f>
        <v>OK</v>
      </c>
      <c r="AK26">
        <f>SUMIFS(Tableau4[NB Remis],Tableau4[Réf matériel],Tableau5[[#This Row],[Réf matériel]],Tableau4[Matricule],"CKE")</f>
        <v>0</v>
      </c>
      <c r="AL26" s="105" t="str">
        <f>IF(Tableau5[[#This Row],[Besoin CKE]]=Tableau5[[#This Row],[Remis CKE]],"OK","NOK")</f>
        <v>OK</v>
      </c>
      <c r="AN26">
        <f>SUMIFS(Tableau4[NB Remis],Tableau4[Réf matériel],Tableau5[[#This Row],[Réf matériel]],Tableau4[Matricule],"DMA")</f>
        <v>0</v>
      </c>
      <c r="AO26" s="105" t="str">
        <f>IF(Tableau5[[#This Row],[Besoin DMA]]=Tableau5[[#This Row],[Remis DMA]],"OK","NOK")</f>
        <v>OK</v>
      </c>
      <c r="AQ26">
        <f>SUMIFS(Tableau4[NB Remis],Tableau4[Réf matériel],Tableau5[[#This Row],[Réf matériel]],Tableau4[Matricule],"LMO")</f>
        <v>0</v>
      </c>
      <c r="AR26" s="105" t="str">
        <f>IF(Tableau5[[#This Row],[Besoin LMO]]=Tableau5[[#This Row],[Remis LMO]],"OK","NOK")</f>
        <v>OK</v>
      </c>
      <c r="AT26">
        <f>SUMIFS(Tableau4[NB Remis],Tableau4[Réf matériel],Tableau5[[#This Row],[Réf matériel]],Tableau4[Matricule],"TMO")</f>
        <v>0</v>
      </c>
      <c r="AU26" s="105" t="str">
        <f>IF(Tableau5[[#This Row],[Besoin TMO]]=Tableau5[[#This Row],[Remis TMO]],"OK","NOK")</f>
        <v>OK</v>
      </c>
      <c r="AV26">
        <v>1</v>
      </c>
      <c r="AW26">
        <f>SUMIFS(Tableau4[NB Remis],Tableau4[Réf matériel],Tableau5[[#This Row],[Réf matériel]],Tableau4[Matricule],"JPA")</f>
        <v>1</v>
      </c>
      <c r="AX26" s="105" t="str">
        <f>IF(Tableau5[[#This Row],[Besoin JPA]]=Tableau5[[#This Row],[Remis JPA]],"OK","NOK")</f>
        <v>OK</v>
      </c>
      <c r="AZ26">
        <f>SUMIFS(Tableau4[NB Remis],Tableau4[Réf matériel],Tableau5[[#This Row],[Réf matériel]],Tableau4[Matricule],"MPE")</f>
        <v>0</v>
      </c>
      <c r="BA26" s="105" t="str">
        <f>IF(Tableau5[[#This Row],[Besoin MPE]]=Tableau5[[#This Row],[Remis MPE]],"OK","NOK")</f>
        <v>OK</v>
      </c>
      <c r="BC26">
        <f>SUMIFS(Tableau4[NB Remis],Tableau4[Réf matériel],Tableau5[[#This Row],[Réf matériel]],Tableau4[Matricule],"SPR")</f>
        <v>0</v>
      </c>
      <c r="BD26" s="105" t="str">
        <f>IF(Tableau5[[#This Row],[Besoin SPR]]=Tableau5[[#This Row],[Remis SPR]],"OK","NOK")</f>
        <v>OK</v>
      </c>
      <c r="BF26">
        <f>SUMIFS(Tableau4[NB Remis],Tableau4[Réf matériel],Tableau5[[#This Row],[Réf matériel]],Tableau4[Matricule],"MRO")</f>
        <v>0</v>
      </c>
      <c r="BG26" s="105" t="str">
        <f>IF(Tableau5[[#This Row],[Besoin MRO]]=Tableau5[[#This Row],[Remis MRO]],"OK","NOK")</f>
        <v>OK</v>
      </c>
      <c r="BI26">
        <f>SUMIFS(Tableau4[NB Remis],Tableau4[Réf matériel],Tableau5[[#This Row],[Réf matériel]],Tableau4[Matricule],"LSA")</f>
        <v>0</v>
      </c>
      <c r="BJ26" s="105" t="str">
        <f>IF(Tableau5[[#This Row],[Besoin LSA]]=Tableau5[[#This Row],[Remis LSA]],"OK","NOK")</f>
        <v>OK</v>
      </c>
      <c r="BL26">
        <f>SUMIFS(Tableau4[NB Remis],Tableau4[Réf matériel],Tableau5[[#This Row],[Réf matériel]],Tableau4[Matricule],"SST")</f>
        <v>0</v>
      </c>
      <c r="BM26" s="105" t="str">
        <f>IF(Tableau5[[#This Row],[Besoin SST]]=Tableau5[[#This Row],[Remis SST]],"OK","NOK")</f>
        <v>OK</v>
      </c>
      <c r="BO26">
        <f>SUMIFS(Tableau4[NB Remis],Tableau4[Réf matériel],Tableau5[[#This Row],[Réf matériel]],Tableau4[Matricule],"CTH")</f>
        <v>0</v>
      </c>
      <c r="BP26" s="105" t="str">
        <f>IF(Tableau5[[#This Row],[Besoin CTH]]=Tableau5[[#This Row],[Remis CTH]],"OK","NOK")</f>
        <v>OK</v>
      </c>
      <c r="BR26">
        <f>SUMIFS(Tableau4[NB Remis],Tableau4[Réf matériel],Tableau5[[#This Row],[Réf matériel]],Tableau4[Matricule],"AVU")</f>
        <v>0</v>
      </c>
      <c r="BS26" s="105" t="str">
        <f>IF(Tableau5[[#This Row],[Besoin AVU]]=Tableau5[[#This Row],[Remis AVU]],"OK","NOK")</f>
        <v>OK</v>
      </c>
      <c r="BU26">
        <f>SUMIFS(Tableau4[NB Remis],Tableau4[Réf matériel],Tableau5[[#This Row],[Réf matériel]],Tableau4[Matricule],"FZE")</f>
        <v>0</v>
      </c>
      <c r="BV26" s="105" t="str">
        <f>IF(Tableau5[[#This Row],[Besoin FZE]]=Tableau5[[#This Row],[Remis FZE]],"OK","NOK")</f>
        <v>OK</v>
      </c>
      <c r="BX26">
        <f>SUMIFS(Tableau4[NB Remis],Tableau4[Réf matériel],Tableau5[[#This Row],[Réf matériel]],Tableau4[Matricule],"CV2")</f>
        <v>0</v>
      </c>
      <c r="BY26" s="105" t="str">
        <f>IF(Tableau5[[#This Row],[Besoin CV2]]=Tableau5[[#This Row],[Remis CV2]],"OK","NOK")</f>
        <v>OK</v>
      </c>
      <c r="CA26">
        <f>SUMIFS(Tableau4[NB Remis],Tableau4[Réf matériel],Tableau5[[#This Row],[Réf matériel]],Tableau4[Matricule],"CV3")</f>
        <v>0</v>
      </c>
      <c r="CB26" s="105" t="str">
        <f>IF(Tableau5[[#This Row],[Besoin CV3]]=Tableau5[[#This Row],[Remis CV3]],"OK","NOK")</f>
        <v>OK</v>
      </c>
      <c r="CD26">
        <f>SUMIFS(Tableau4[NB Remis],Tableau4[Réf matériel],Tableau5[[#This Row],[Réf matériel]],Tableau4[Matricule],"CV1")</f>
        <v>0</v>
      </c>
      <c r="CE26" s="105" t="str">
        <f>IF(Tableau5[[#This Row],[Besoin CV1]]=Tableau5[[#This Row],[Remis CV1]],"OK","NOK")</f>
        <v>OK</v>
      </c>
      <c r="CG26">
        <f>SUMIFS(Tableau4[NB Remis],Tableau4[Réf matériel],Tableau5[[#This Row],[Réf matériel]],Tableau4[Matricule],"CV4")</f>
        <v>0</v>
      </c>
      <c r="CH26" s="106" t="str">
        <f>IF(Tableau5[[#This Row],[Besoin CV4]]=Tableau5[[#This Row],[Remis CV4]],"OK","NOK")</f>
        <v>OK</v>
      </c>
    </row>
    <row r="27" spans="2:86" x14ac:dyDescent="0.25">
      <c r="B27" t="s">
        <v>410</v>
      </c>
      <c r="C27">
        <v>1</v>
      </c>
      <c r="D27">
        <f>SUMIFS(Tableau4[NB Remis],Tableau4[Réf matériel],Tableau5[[#This Row],[Réf matériel]],Tableau4[Matricule],"OAI")</f>
        <v>1</v>
      </c>
      <c r="E27" s="105" t="str">
        <f>IF(Tableau5[[#This Row],[Besoin OAI]]=Tableau5[[#This Row],[Remis OAI]],"OK","NOK")</f>
        <v>OK</v>
      </c>
      <c r="F27">
        <v>1</v>
      </c>
      <c r="G27">
        <f>SUMIFS(Tableau4[NB Remis],Tableau4[Réf matériel],Tableau5[[#This Row],[Réf matériel]],Tableau4[Matricule],"ABE")</f>
        <v>1</v>
      </c>
      <c r="H27" s="105" t="str">
        <f>IF(Tableau5[[#This Row],[Besoin ABE]]=Tableau5[[#This Row],[Remis ABE]],"OK","NOK")</f>
        <v>OK</v>
      </c>
      <c r="J27">
        <f>SUMIFS(Tableau4[NB Remis],Tableau4[Réf matériel],Tableau5[[#This Row],[Réf matériel]],Tableau4[Matricule],"SBI")</f>
        <v>0</v>
      </c>
      <c r="K27" s="105" t="str">
        <f>IF(Tableau5[[#This Row],[Besoin SBI]]=Tableau5[[#This Row],[Remis SBI]],"OK","NOK")</f>
        <v>OK</v>
      </c>
      <c r="L27">
        <v>1</v>
      </c>
      <c r="M27">
        <f>SUMIFS(Tableau4[NB Remis],Tableau4[Réf matériel],Tableau5[[#This Row],[Réf matériel]],Tableau4[Matricule],"ABI")</f>
        <v>1</v>
      </c>
      <c r="N27" s="105" t="str">
        <f>IF(Tableau5[[#This Row],[Besoin ABI]]=Tableau5[[#This Row],[Remis ABI]],"OK","NOK")</f>
        <v>OK</v>
      </c>
      <c r="P27">
        <f>SUMIFS(Tableau4[NB Remis],Tableau4[Réf matériel],Tableau5[[#This Row],[Réf matériel]],Tableau4[Matricule],"DCE")</f>
        <v>0</v>
      </c>
      <c r="Q27" s="105" t="str">
        <f>IF(Tableau5[[#This Row],[Besoin DCE]]=Tableau5[[#This Row],[Remis DCE]],"OK","NOK")</f>
        <v>OK</v>
      </c>
      <c r="R27">
        <v>1</v>
      </c>
      <c r="S27">
        <f>SUMIFS(Tableau4[NB Remis],Tableau4[Réf matériel],Tableau5[[#This Row],[Réf matériel]],Tableau4[Matricule],"JDE")</f>
        <v>1</v>
      </c>
      <c r="T27" s="105" t="str">
        <f>IF(Tableau5[[#This Row],[Besoin JDE]]=Tableau5[[#This Row],[Remis JDE]],"OK","NOK")</f>
        <v>OK</v>
      </c>
      <c r="U27">
        <v>1</v>
      </c>
      <c r="V27">
        <f>SUMIFS(Tableau4[NB Remis],Tableau4[Réf matériel],Tableau5[[#This Row],[Réf matériel]],Tableau4[Matricule],"ODI")</f>
        <v>1</v>
      </c>
      <c r="W27" s="105" t="str">
        <f>IF(Tableau5[[#This Row],[Besoin ODI]]=Tableau5[[#This Row],[Remis ODI]],"OK","NOK")</f>
        <v>OK</v>
      </c>
      <c r="Y27">
        <f>SUMIFS(Tableau4[NB Remis],Tableau4[Réf matériel],Tableau5[[#This Row],[Réf matériel]],Tableau4[Matricule],"MFO")</f>
        <v>0</v>
      </c>
      <c r="Z27" s="105" t="str">
        <f>IF(Tableau5[[#This Row],[Besoin MFO]]=Tableau5[[#This Row],[Remis MFO]],"OK","NOK")</f>
        <v>OK</v>
      </c>
      <c r="AB27">
        <f>SUMIFS(Tableau4[NB Remis],Tableau4[Réf matériel],Tableau5[[#This Row],[Réf matériel]],Tableau4[Matricule],"SDU")</f>
        <v>0</v>
      </c>
      <c r="AC27" s="105" t="str">
        <f>IF(Tableau5[[#This Row],[Besoin SDU]]=Tableau5[[#This Row],[Remis SDU]],"OK","NOK")</f>
        <v>OK</v>
      </c>
      <c r="AE27">
        <f>SUMIFS(Tableau4[NB Remis],Tableau4[Réf matériel],Tableau5[[#This Row],[Réf matériel]],Tableau4[Matricule],"GGA")</f>
        <v>0</v>
      </c>
      <c r="AF27" s="105" t="str">
        <f>IF(Tableau5[[#This Row],[Besoin GGA2]]=Tableau5[[#This Row],[Remis GGA3]],"OK","NOK")</f>
        <v>OK</v>
      </c>
      <c r="AG27">
        <v>1</v>
      </c>
      <c r="AH27">
        <f>SUMIFS(Tableau4[NB Remis],Tableau4[Réf matériel],Tableau5[[#This Row],[Réf matériel]],Tableau4[Matricule],"RGE")</f>
        <v>2</v>
      </c>
      <c r="AI27" s="105" t="str">
        <f>IF(Tableau5[[#This Row],[Besoin RGE]]=Tableau5[[#This Row],[Remis RGE]],"OK","NOK")</f>
        <v>NOK</v>
      </c>
      <c r="AJ27">
        <v>1</v>
      </c>
      <c r="AK27">
        <f>SUMIFS(Tableau4[NB Remis],Tableau4[Réf matériel],Tableau5[[#This Row],[Réf matériel]],Tableau4[Matricule],"CKE")</f>
        <v>1</v>
      </c>
      <c r="AL27" s="105" t="str">
        <f>IF(Tableau5[[#This Row],[Besoin CKE]]=Tableau5[[#This Row],[Remis CKE]],"OK","NOK")</f>
        <v>OK</v>
      </c>
      <c r="AN27">
        <f>SUMIFS(Tableau4[NB Remis],Tableau4[Réf matériel],Tableau5[[#This Row],[Réf matériel]],Tableau4[Matricule],"DMA")</f>
        <v>0</v>
      </c>
      <c r="AO27" s="105" t="str">
        <f>IF(Tableau5[[#This Row],[Besoin DMA]]=Tableau5[[#This Row],[Remis DMA]],"OK","NOK")</f>
        <v>OK</v>
      </c>
      <c r="AQ27">
        <f>SUMIFS(Tableau4[NB Remis],Tableau4[Réf matériel],Tableau5[[#This Row],[Réf matériel]],Tableau4[Matricule],"LMO")</f>
        <v>0</v>
      </c>
      <c r="AR27" s="105" t="str">
        <f>IF(Tableau5[[#This Row],[Besoin LMO]]=Tableau5[[#This Row],[Remis LMO]],"OK","NOK")</f>
        <v>OK</v>
      </c>
      <c r="AS27">
        <v>1</v>
      </c>
      <c r="AT27">
        <f>SUMIFS(Tableau4[NB Remis],Tableau4[Réf matériel],Tableau5[[#This Row],[Réf matériel]],Tableau4[Matricule],"TMO")</f>
        <v>1</v>
      </c>
      <c r="AU27" s="105" t="str">
        <f>IF(Tableau5[[#This Row],[Besoin TMO]]=Tableau5[[#This Row],[Remis TMO]],"OK","NOK")</f>
        <v>OK</v>
      </c>
      <c r="AV27">
        <v>1</v>
      </c>
      <c r="AW27">
        <f>SUMIFS(Tableau4[NB Remis],Tableau4[Réf matériel],Tableau5[[#This Row],[Réf matériel]],Tableau4[Matricule],"JPA")</f>
        <v>1</v>
      </c>
      <c r="AX27" s="105" t="str">
        <f>IF(Tableau5[[#This Row],[Besoin JPA]]=Tableau5[[#This Row],[Remis JPA]],"OK","NOK")</f>
        <v>OK</v>
      </c>
      <c r="AY27">
        <v>1</v>
      </c>
      <c r="AZ27">
        <f>SUMIFS(Tableau4[NB Remis],Tableau4[Réf matériel],Tableau5[[#This Row],[Réf matériel]],Tableau4[Matricule],"MPE")</f>
        <v>1</v>
      </c>
      <c r="BA27" s="105" t="str">
        <f>IF(Tableau5[[#This Row],[Besoin MPE]]=Tableau5[[#This Row],[Remis MPE]],"OK","NOK")</f>
        <v>OK</v>
      </c>
      <c r="BB27">
        <v>1</v>
      </c>
      <c r="BC27">
        <f>SUMIFS(Tableau4[NB Remis],Tableau4[Réf matériel],Tableau5[[#This Row],[Réf matériel]],Tableau4[Matricule],"SPR")</f>
        <v>1</v>
      </c>
      <c r="BD27" s="105" t="str">
        <f>IF(Tableau5[[#This Row],[Besoin SPR]]=Tableau5[[#This Row],[Remis SPR]],"OK","NOK")</f>
        <v>OK</v>
      </c>
      <c r="BE27">
        <v>1</v>
      </c>
      <c r="BF27">
        <f>SUMIFS(Tableau4[NB Remis],Tableau4[Réf matériel],Tableau5[[#This Row],[Réf matériel]],Tableau4[Matricule],"MRO")</f>
        <v>2</v>
      </c>
      <c r="BG27" s="105" t="str">
        <f>IF(Tableau5[[#This Row],[Besoin MRO]]=Tableau5[[#This Row],[Remis MRO]],"OK","NOK")</f>
        <v>NOK</v>
      </c>
      <c r="BH27">
        <v>1</v>
      </c>
      <c r="BI27">
        <f>SUMIFS(Tableau4[NB Remis],Tableau4[Réf matériel],Tableau5[[#This Row],[Réf matériel]],Tableau4[Matricule],"LSA")</f>
        <v>1</v>
      </c>
      <c r="BJ27" s="105" t="str">
        <f>IF(Tableau5[[#This Row],[Besoin LSA]]=Tableau5[[#This Row],[Remis LSA]],"OK","NOK")</f>
        <v>OK</v>
      </c>
      <c r="BK27">
        <v>1</v>
      </c>
      <c r="BL27">
        <f>SUMIFS(Tableau4[NB Remis],Tableau4[Réf matériel],Tableau5[[#This Row],[Réf matériel]],Tableau4[Matricule],"SST")</f>
        <v>1</v>
      </c>
      <c r="BM27" s="105" t="str">
        <f>IF(Tableau5[[#This Row],[Besoin SST]]=Tableau5[[#This Row],[Remis SST]],"OK","NOK")</f>
        <v>OK</v>
      </c>
      <c r="BO27">
        <f>SUMIFS(Tableau4[NB Remis],Tableau4[Réf matériel],Tableau5[[#This Row],[Réf matériel]],Tableau4[Matricule],"CTH")</f>
        <v>0</v>
      </c>
      <c r="BP27" s="105" t="str">
        <f>IF(Tableau5[[#This Row],[Besoin CTH]]=Tableau5[[#This Row],[Remis CTH]],"OK","NOK")</f>
        <v>OK</v>
      </c>
      <c r="BQ27">
        <v>1</v>
      </c>
      <c r="BR27">
        <f>SUMIFS(Tableau4[NB Remis],Tableau4[Réf matériel],Tableau5[[#This Row],[Réf matériel]],Tableau4[Matricule],"AVU")</f>
        <v>1</v>
      </c>
      <c r="BS27" s="105" t="str">
        <f>IF(Tableau5[[#This Row],[Besoin AVU]]=Tableau5[[#This Row],[Remis AVU]],"OK","NOK")</f>
        <v>OK</v>
      </c>
      <c r="BU27">
        <f>SUMIFS(Tableau4[NB Remis],Tableau4[Réf matériel],Tableau5[[#This Row],[Réf matériel]],Tableau4[Matricule],"FZE")</f>
        <v>0</v>
      </c>
      <c r="BV27" s="105" t="str">
        <f>IF(Tableau5[[#This Row],[Besoin FZE]]=Tableau5[[#This Row],[Remis FZE]],"OK","NOK")</f>
        <v>OK</v>
      </c>
      <c r="BW27">
        <v>1</v>
      </c>
      <c r="BX27">
        <f>SUMIFS(Tableau4[NB Remis],Tableau4[Réf matériel],Tableau5[[#This Row],[Réf matériel]],Tableau4[Matricule],"CV2")</f>
        <v>1</v>
      </c>
      <c r="BY27" s="105" t="str">
        <f>IF(Tableau5[[#This Row],[Besoin CV2]]=Tableau5[[#This Row],[Remis CV2]],"OK","NOK")</f>
        <v>OK</v>
      </c>
      <c r="BZ27">
        <v>1</v>
      </c>
      <c r="CA27">
        <f>SUMIFS(Tableau4[NB Remis],Tableau4[Réf matériel],Tableau5[[#This Row],[Réf matériel]],Tableau4[Matricule],"CV3")</f>
        <v>1</v>
      </c>
      <c r="CB27" s="105" t="str">
        <f>IF(Tableau5[[#This Row],[Besoin CV3]]=Tableau5[[#This Row],[Remis CV3]],"OK","NOK")</f>
        <v>OK</v>
      </c>
      <c r="CC27">
        <v>1</v>
      </c>
      <c r="CD27">
        <f>SUMIFS(Tableau4[NB Remis],Tableau4[Réf matériel],Tableau5[[#This Row],[Réf matériel]],Tableau4[Matricule],"CV1")</f>
        <v>1</v>
      </c>
      <c r="CE27" s="105" t="str">
        <f>IF(Tableau5[[#This Row],[Besoin CV1]]=Tableau5[[#This Row],[Remis CV1]],"OK","NOK")</f>
        <v>OK</v>
      </c>
      <c r="CG27">
        <f>SUMIFS(Tableau4[NB Remis],Tableau4[Réf matériel],Tableau5[[#This Row],[Réf matériel]],Tableau4[Matricule],"CV4")</f>
        <v>0</v>
      </c>
      <c r="CH27" s="106" t="str">
        <f>IF(Tableau5[[#This Row],[Besoin CV4]]=Tableau5[[#This Row],[Remis CV4]],"OK","NOK")</f>
        <v>OK</v>
      </c>
    </row>
    <row r="28" spans="2:86" x14ac:dyDescent="0.25">
      <c r="B28" t="s">
        <v>425</v>
      </c>
      <c r="D28">
        <f>SUMIFS(Tableau4[NB Remis],Tableau4[Réf matériel],Tableau5[[#This Row],[Réf matériel]],Tableau4[Matricule],"OAI")</f>
        <v>0</v>
      </c>
      <c r="E28" s="105" t="str">
        <f>IF(Tableau5[[#This Row],[Besoin OAI]]=Tableau5[[#This Row],[Remis OAI]],"OK","NOK")</f>
        <v>OK</v>
      </c>
      <c r="G28">
        <f>SUMIFS(Tableau4[NB Remis],Tableau4[Réf matériel],Tableau5[[#This Row],[Réf matériel]],Tableau4[Matricule],"ABE")</f>
        <v>0</v>
      </c>
      <c r="H28" s="105" t="str">
        <f>IF(Tableau5[[#This Row],[Besoin ABE]]=Tableau5[[#This Row],[Remis ABE]],"OK","NOK")</f>
        <v>OK</v>
      </c>
      <c r="J28">
        <f>SUMIFS(Tableau4[NB Remis],Tableau4[Réf matériel],Tableau5[[#This Row],[Réf matériel]],Tableau4[Matricule],"SBI")</f>
        <v>0</v>
      </c>
      <c r="K28" s="105" t="str">
        <f>IF(Tableau5[[#This Row],[Besoin SBI]]=Tableau5[[#This Row],[Remis SBI]],"OK","NOK")</f>
        <v>OK</v>
      </c>
      <c r="M28">
        <f>SUMIFS(Tableau4[NB Remis],Tableau4[Réf matériel],Tableau5[[#This Row],[Réf matériel]],Tableau4[Matricule],"ABI")</f>
        <v>0</v>
      </c>
      <c r="N28" s="105" t="str">
        <f>IF(Tableau5[[#This Row],[Besoin ABI]]=Tableau5[[#This Row],[Remis ABI]],"OK","NOK")</f>
        <v>OK</v>
      </c>
      <c r="P28">
        <f>SUMIFS(Tableau4[NB Remis],Tableau4[Réf matériel],Tableau5[[#This Row],[Réf matériel]],Tableau4[Matricule],"DCE")</f>
        <v>0</v>
      </c>
      <c r="Q28" s="105" t="str">
        <f>IF(Tableau5[[#This Row],[Besoin DCE]]=Tableau5[[#This Row],[Remis DCE]],"OK","NOK")</f>
        <v>OK</v>
      </c>
      <c r="S28">
        <f>SUMIFS(Tableau4[NB Remis],Tableau4[Réf matériel],Tableau5[[#This Row],[Réf matériel]],Tableau4[Matricule],"JDE")</f>
        <v>0</v>
      </c>
      <c r="T28" s="105" t="str">
        <f>IF(Tableau5[[#This Row],[Besoin JDE]]=Tableau5[[#This Row],[Remis JDE]],"OK","NOK")</f>
        <v>OK</v>
      </c>
      <c r="V28">
        <f>SUMIFS(Tableau4[NB Remis],Tableau4[Réf matériel],Tableau5[[#This Row],[Réf matériel]],Tableau4[Matricule],"ODI")</f>
        <v>0</v>
      </c>
      <c r="W28" s="105" t="str">
        <f>IF(Tableau5[[#This Row],[Besoin ODI]]=Tableau5[[#This Row],[Remis ODI]],"OK","NOK")</f>
        <v>OK</v>
      </c>
      <c r="Y28">
        <f>SUMIFS(Tableau4[NB Remis],Tableau4[Réf matériel],Tableau5[[#This Row],[Réf matériel]],Tableau4[Matricule],"MFO")</f>
        <v>0</v>
      </c>
      <c r="Z28" s="105" t="str">
        <f>IF(Tableau5[[#This Row],[Besoin MFO]]=Tableau5[[#This Row],[Remis MFO]],"OK","NOK")</f>
        <v>OK</v>
      </c>
      <c r="AB28">
        <f>SUMIFS(Tableau4[NB Remis],Tableau4[Réf matériel],Tableau5[[#This Row],[Réf matériel]],Tableau4[Matricule],"SDU")</f>
        <v>0</v>
      </c>
      <c r="AC28" s="105" t="str">
        <f>IF(Tableau5[[#This Row],[Besoin SDU]]=Tableau5[[#This Row],[Remis SDU]],"OK","NOK")</f>
        <v>OK</v>
      </c>
      <c r="AE28">
        <f>SUMIFS(Tableau4[NB Remis],Tableau4[Réf matériel],Tableau5[[#This Row],[Réf matériel]],Tableau4[Matricule],"GGA")</f>
        <v>0</v>
      </c>
      <c r="AF28" s="105" t="str">
        <f>IF(Tableau5[[#This Row],[Besoin GGA2]]=Tableau5[[#This Row],[Remis GGA3]],"OK","NOK")</f>
        <v>OK</v>
      </c>
      <c r="AH28">
        <f>SUMIFS(Tableau4[NB Remis],Tableau4[Réf matériel],Tableau5[[#This Row],[Réf matériel]],Tableau4[Matricule],"RGE")</f>
        <v>0</v>
      </c>
      <c r="AI28" s="105" t="str">
        <f>IF(Tableau5[[#This Row],[Besoin RGE]]=Tableau5[[#This Row],[Remis RGE]],"OK","NOK")</f>
        <v>OK</v>
      </c>
      <c r="AK28">
        <f>SUMIFS(Tableau4[NB Remis],Tableau4[Réf matériel],Tableau5[[#This Row],[Réf matériel]],Tableau4[Matricule],"CKE")</f>
        <v>0</v>
      </c>
      <c r="AL28" s="105" t="str">
        <f>IF(Tableau5[[#This Row],[Besoin CKE]]=Tableau5[[#This Row],[Remis CKE]],"OK","NOK")</f>
        <v>OK</v>
      </c>
      <c r="AN28">
        <f>SUMIFS(Tableau4[NB Remis],Tableau4[Réf matériel],Tableau5[[#This Row],[Réf matériel]],Tableau4[Matricule],"DMA")</f>
        <v>0</v>
      </c>
      <c r="AO28" s="105" t="str">
        <f>IF(Tableau5[[#This Row],[Besoin DMA]]=Tableau5[[#This Row],[Remis DMA]],"OK","NOK")</f>
        <v>OK</v>
      </c>
      <c r="AQ28">
        <f>SUMIFS(Tableau4[NB Remis],Tableau4[Réf matériel],Tableau5[[#This Row],[Réf matériel]],Tableau4[Matricule],"LMO")</f>
        <v>0</v>
      </c>
      <c r="AR28" s="105" t="str">
        <f>IF(Tableau5[[#This Row],[Besoin LMO]]=Tableau5[[#This Row],[Remis LMO]],"OK","NOK")</f>
        <v>OK</v>
      </c>
      <c r="AT28">
        <f>SUMIFS(Tableau4[NB Remis],Tableau4[Réf matériel],Tableau5[[#This Row],[Réf matériel]],Tableau4[Matricule],"TMO")</f>
        <v>0</v>
      </c>
      <c r="AU28" s="105" t="str">
        <f>IF(Tableau5[[#This Row],[Besoin TMO]]=Tableau5[[#This Row],[Remis TMO]],"OK","NOK")</f>
        <v>OK</v>
      </c>
      <c r="AV28">
        <v>1</v>
      </c>
      <c r="AW28">
        <f>SUMIFS(Tableau4[NB Remis],Tableau4[Réf matériel],Tableau5[[#This Row],[Réf matériel]],Tableau4[Matricule],"JPA")</f>
        <v>1</v>
      </c>
      <c r="AX28" s="105" t="str">
        <f>IF(Tableau5[[#This Row],[Besoin JPA]]=Tableau5[[#This Row],[Remis JPA]],"OK","NOK")</f>
        <v>OK</v>
      </c>
      <c r="AZ28">
        <f>SUMIFS(Tableau4[NB Remis],Tableau4[Réf matériel],Tableau5[[#This Row],[Réf matériel]],Tableau4[Matricule],"MPE")</f>
        <v>0</v>
      </c>
      <c r="BA28" s="105" t="str">
        <f>IF(Tableau5[[#This Row],[Besoin MPE]]=Tableau5[[#This Row],[Remis MPE]],"OK","NOK")</f>
        <v>OK</v>
      </c>
      <c r="BC28">
        <f>SUMIFS(Tableau4[NB Remis],Tableau4[Réf matériel],Tableau5[[#This Row],[Réf matériel]],Tableau4[Matricule],"SPR")</f>
        <v>0</v>
      </c>
      <c r="BD28" s="105" t="str">
        <f>IF(Tableau5[[#This Row],[Besoin SPR]]=Tableau5[[#This Row],[Remis SPR]],"OK","NOK")</f>
        <v>OK</v>
      </c>
      <c r="BF28">
        <f>SUMIFS(Tableau4[NB Remis],Tableau4[Réf matériel],Tableau5[[#This Row],[Réf matériel]],Tableau4[Matricule],"MRO")</f>
        <v>0</v>
      </c>
      <c r="BG28" s="105" t="str">
        <f>IF(Tableau5[[#This Row],[Besoin MRO]]=Tableau5[[#This Row],[Remis MRO]],"OK","NOK")</f>
        <v>OK</v>
      </c>
      <c r="BI28">
        <f>SUMIFS(Tableau4[NB Remis],Tableau4[Réf matériel],Tableau5[[#This Row],[Réf matériel]],Tableau4[Matricule],"LSA")</f>
        <v>0</v>
      </c>
      <c r="BJ28" s="105" t="str">
        <f>IF(Tableau5[[#This Row],[Besoin LSA]]=Tableau5[[#This Row],[Remis LSA]],"OK","NOK")</f>
        <v>OK</v>
      </c>
      <c r="BL28">
        <f>SUMIFS(Tableau4[NB Remis],Tableau4[Réf matériel],Tableau5[[#This Row],[Réf matériel]],Tableau4[Matricule],"SST")</f>
        <v>0</v>
      </c>
      <c r="BM28" s="105" t="str">
        <f>IF(Tableau5[[#This Row],[Besoin SST]]=Tableau5[[#This Row],[Remis SST]],"OK","NOK")</f>
        <v>OK</v>
      </c>
      <c r="BO28">
        <f>SUMIFS(Tableau4[NB Remis],Tableau4[Réf matériel],Tableau5[[#This Row],[Réf matériel]],Tableau4[Matricule],"CTH")</f>
        <v>0</v>
      </c>
      <c r="BP28" s="105" t="str">
        <f>IF(Tableau5[[#This Row],[Besoin CTH]]=Tableau5[[#This Row],[Remis CTH]],"OK","NOK")</f>
        <v>OK</v>
      </c>
      <c r="BR28">
        <f>SUMIFS(Tableau4[NB Remis],Tableau4[Réf matériel],Tableau5[[#This Row],[Réf matériel]],Tableau4[Matricule],"AVU")</f>
        <v>0</v>
      </c>
      <c r="BS28" s="105" t="str">
        <f>IF(Tableau5[[#This Row],[Besoin AVU]]=Tableau5[[#This Row],[Remis AVU]],"OK","NOK")</f>
        <v>OK</v>
      </c>
      <c r="BU28">
        <f>SUMIFS(Tableau4[NB Remis],Tableau4[Réf matériel],Tableau5[[#This Row],[Réf matériel]],Tableau4[Matricule],"FZE")</f>
        <v>0</v>
      </c>
      <c r="BV28" s="105" t="str">
        <f>IF(Tableau5[[#This Row],[Besoin FZE]]=Tableau5[[#This Row],[Remis FZE]],"OK","NOK")</f>
        <v>OK</v>
      </c>
      <c r="BX28">
        <f>SUMIFS(Tableau4[NB Remis],Tableau4[Réf matériel],Tableau5[[#This Row],[Réf matériel]],Tableau4[Matricule],"CV2")</f>
        <v>0</v>
      </c>
      <c r="BY28" s="105" t="str">
        <f>IF(Tableau5[[#This Row],[Besoin CV2]]=Tableau5[[#This Row],[Remis CV2]],"OK","NOK")</f>
        <v>OK</v>
      </c>
      <c r="CA28">
        <f>SUMIFS(Tableau4[NB Remis],Tableau4[Réf matériel],Tableau5[[#This Row],[Réf matériel]],Tableau4[Matricule],"CV3")</f>
        <v>0</v>
      </c>
      <c r="CB28" s="105" t="str">
        <f>IF(Tableau5[[#This Row],[Besoin CV3]]=Tableau5[[#This Row],[Remis CV3]],"OK","NOK")</f>
        <v>OK</v>
      </c>
      <c r="CD28">
        <f>SUMIFS(Tableau4[NB Remis],Tableau4[Réf matériel],Tableau5[[#This Row],[Réf matériel]],Tableau4[Matricule],"CV1")</f>
        <v>0</v>
      </c>
      <c r="CE28" s="105" t="str">
        <f>IF(Tableau5[[#This Row],[Besoin CV1]]=Tableau5[[#This Row],[Remis CV1]],"OK","NOK")</f>
        <v>OK</v>
      </c>
      <c r="CG28">
        <f>SUMIFS(Tableau4[NB Remis],Tableau4[Réf matériel],Tableau5[[#This Row],[Réf matériel]],Tableau4[Matricule],"CV4")</f>
        <v>0</v>
      </c>
      <c r="CH28" s="106" t="str">
        <f>IF(Tableau5[[#This Row],[Besoin CV4]]=Tableau5[[#This Row],[Remis CV4]],"OK","NOK")</f>
        <v>OK</v>
      </c>
    </row>
    <row r="29" spans="2:86" x14ac:dyDescent="0.25">
      <c r="B29" t="s">
        <v>411</v>
      </c>
      <c r="D29">
        <f>SUMIFS(Tableau4[NB Remis],Tableau4[Réf matériel],Tableau5[[#This Row],[Réf matériel]],Tableau4[Matricule],"OAI")</f>
        <v>0</v>
      </c>
      <c r="E29" s="105" t="str">
        <f>IF(Tableau5[[#This Row],[Besoin OAI]]=Tableau5[[#This Row],[Remis OAI]],"OK","NOK")</f>
        <v>OK</v>
      </c>
      <c r="G29">
        <f>SUMIFS(Tableau4[NB Remis],Tableau4[Réf matériel],Tableau5[[#This Row],[Réf matériel]],Tableau4[Matricule],"ABE")</f>
        <v>0</v>
      </c>
      <c r="H29" s="105" t="str">
        <f>IF(Tableau5[[#This Row],[Besoin ABE]]=Tableau5[[#This Row],[Remis ABE]],"OK","NOK")</f>
        <v>OK</v>
      </c>
      <c r="J29">
        <f>SUMIFS(Tableau4[NB Remis],Tableau4[Réf matériel],Tableau5[[#This Row],[Réf matériel]],Tableau4[Matricule],"SBI")</f>
        <v>0</v>
      </c>
      <c r="K29" s="105" t="str">
        <f>IF(Tableau5[[#This Row],[Besoin SBI]]=Tableau5[[#This Row],[Remis SBI]],"OK","NOK")</f>
        <v>OK</v>
      </c>
      <c r="M29">
        <f>SUMIFS(Tableau4[NB Remis],Tableau4[Réf matériel],Tableau5[[#This Row],[Réf matériel]],Tableau4[Matricule],"ABI")</f>
        <v>0</v>
      </c>
      <c r="N29" s="105" t="str">
        <f>IF(Tableau5[[#This Row],[Besoin ABI]]=Tableau5[[#This Row],[Remis ABI]],"OK","NOK")</f>
        <v>OK</v>
      </c>
      <c r="P29">
        <f>SUMIFS(Tableau4[NB Remis],Tableau4[Réf matériel],Tableau5[[#This Row],[Réf matériel]],Tableau4[Matricule],"DCE")</f>
        <v>0</v>
      </c>
      <c r="Q29" s="105" t="str">
        <f>IF(Tableau5[[#This Row],[Besoin DCE]]=Tableau5[[#This Row],[Remis DCE]],"OK","NOK")</f>
        <v>OK</v>
      </c>
      <c r="S29">
        <f>SUMIFS(Tableau4[NB Remis],Tableau4[Réf matériel],Tableau5[[#This Row],[Réf matériel]],Tableau4[Matricule],"JDE")</f>
        <v>0</v>
      </c>
      <c r="T29" s="105" t="str">
        <f>IF(Tableau5[[#This Row],[Besoin JDE]]=Tableau5[[#This Row],[Remis JDE]],"OK","NOK")</f>
        <v>OK</v>
      </c>
      <c r="V29">
        <f>SUMIFS(Tableau4[NB Remis],Tableau4[Réf matériel],Tableau5[[#This Row],[Réf matériel]],Tableau4[Matricule],"ODI")</f>
        <v>0</v>
      </c>
      <c r="W29" s="105" t="str">
        <f>IF(Tableau5[[#This Row],[Besoin ODI]]=Tableau5[[#This Row],[Remis ODI]],"OK","NOK")</f>
        <v>OK</v>
      </c>
      <c r="Y29">
        <f>SUMIFS(Tableau4[NB Remis],Tableau4[Réf matériel],Tableau5[[#This Row],[Réf matériel]],Tableau4[Matricule],"MFO")</f>
        <v>0</v>
      </c>
      <c r="Z29" s="105" t="str">
        <f>IF(Tableau5[[#This Row],[Besoin MFO]]=Tableau5[[#This Row],[Remis MFO]],"OK","NOK")</f>
        <v>OK</v>
      </c>
      <c r="AB29">
        <f>SUMIFS(Tableau4[NB Remis],Tableau4[Réf matériel],Tableau5[[#This Row],[Réf matériel]],Tableau4[Matricule],"SDU")</f>
        <v>0</v>
      </c>
      <c r="AC29" s="105" t="str">
        <f>IF(Tableau5[[#This Row],[Besoin SDU]]=Tableau5[[#This Row],[Remis SDU]],"OK","NOK")</f>
        <v>OK</v>
      </c>
      <c r="AE29">
        <f>SUMIFS(Tableau4[NB Remis],Tableau4[Réf matériel],Tableau5[[#This Row],[Réf matériel]],Tableau4[Matricule],"GGA")</f>
        <v>0</v>
      </c>
      <c r="AF29" s="105" t="str">
        <f>IF(Tableau5[[#This Row],[Besoin GGA2]]=Tableau5[[#This Row],[Remis GGA3]],"OK","NOK")</f>
        <v>OK</v>
      </c>
      <c r="AH29">
        <f>SUMIFS(Tableau4[NB Remis],Tableau4[Réf matériel],Tableau5[[#This Row],[Réf matériel]],Tableau4[Matricule],"RGE")</f>
        <v>0</v>
      </c>
      <c r="AI29" s="105" t="str">
        <f>IF(Tableau5[[#This Row],[Besoin RGE]]=Tableau5[[#This Row],[Remis RGE]],"OK","NOK")</f>
        <v>OK</v>
      </c>
      <c r="AK29">
        <f>SUMIFS(Tableau4[NB Remis],Tableau4[Réf matériel],Tableau5[[#This Row],[Réf matériel]],Tableau4[Matricule],"CKE")</f>
        <v>0</v>
      </c>
      <c r="AL29" s="105" t="str">
        <f>IF(Tableau5[[#This Row],[Besoin CKE]]=Tableau5[[#This Row],[Remis CKE]],"OK","NOK")</f>
        <v>OK</v>
      </c>
      <c r="AN29">
        <f>SUMIFS(Tableau4[NB Remis],Tableau4[Réf matériel],Tableau5[[#This Row],[Réf matériel]],Tableau4[Matricule],"DMA")</f>
        <v>0</v>
      </c>
      <c r="AO29" s="105" t="str">
        <f>IF(Tableau5[[#This Row],[Besoin DMA]]=Tableau5[[#This Row],[Remis DMA]],"OK","NOK")</f>
        <v>OK</v>
      </c>
      <c r="AQ29">
        <f>SUMIFS(Tableau4[NB Remis],Tableau4[Réf matériel],Tableau5[[#This Row],[Réf matériel]],Tableau4[Matricule],"LMO")</f>
        <v>0</v>
      </c>
      <c r="AR29" s="105" t="str">
        <f>IF(Tableau5[[#This Row],[Besoin LMO]]=Tableau5[[#This Row],[Remis LMO]],"OK","NOK")</f>
        <v>OK</v>
      </c>
      <c r="AT29">
        <f>SUMIFS(Tableau4[NB Remis],Tableau4[Réf matériel],Tableau5[[#This Row],[Réf matériel]],Tableau4[Matricule],"TMO")</f>
        <v>0</v>
      </c>
      <c r="AU29" s="105" t="str">
        <f>IF(Tableau5[[#This Row],[Besoin TMO]]=Tableau5[[#This Row],[Remis TMO]],"OK","NOK")</f>
        <v>OK</v>
      </c>
      <c r="AV29">
        <v>1</v>
      </c>
      <c r="AW29">
        <f>SUMIFS(Tableau4[NB Remis],Tableau4[Réf matériel],Tableau5[[#This Row],[Réf matériel]],Tableau4[Matricule],"JPA")</f>
        <v>1</v>
      </c>
      <c r="AX29" s="105" t="str">
        <f>IF(Tableau5[[#This Row],[Besoin JPA]]=Tableau5[[#This Row],[Remis JPA]],"OK","NOK")</f>
        <v>OK</v>
      </c>
      <c r="AY29">
        <v>1</v>
      </c>
      <c r="AZ29">
        <f>SUMIFS(Tableau4[NB Remis],Tableau4[Réf matériel],Tableau5[[#This Row],[Réf matériel]],Tableau4[Matricule],"MPE")</f>
        <v>1</v>
      </c>
      <c r="BA29" s="105" t="str">
        <f>IF(Tableau5[[#This Row],[Besoin MPE]]=Tableau5[[#This Row],[Remis MPE]],"OK","NOK")</f>
        <v>OK</v>
      </c>
      <c r="BC29">
        <f>SUMIFS(Tableau4[NB Remis],Tableau4[Réf matériel],Tableau5[[#This Row],[Réf matériel]],Tableau4[Matricule],"SPR")</f>
        <v>0</v>
      </c>
      <c r="BD29" s="105" t="str">
        <f>IF(Tableau5[[#This Row],[Besoin SPR]]=Tableau5[[#This Row],[Remis SPR]],"OK","NOK")</f>
        <v>OK</v>
      </c>
      <c r="BF29">
        <f>SUMIFS(Tableau4[NB Remis],Tableau4[Réf matériel],Tableau5[[#This Row],[Réf matériel]],Tableau4[Matricule],"MRO")</f>
        <v>0</v>
      </c>
      <c r="BG29" s="105" t="str">
        <f>IF(Tableau5[[#This Row],[Besoin MRO]]=Tableau5[[#This Row],[Remis MRO]],"OK","NOK")</f>
        <v>OK</v>
      </c>
      <c r="BI29">
        <f>SUMIFS(Tableau4[NB Remis],Tableau4[Réf matériel],Tableau5[[#This Row],[Réf matériel]],Tableau4[Matricule],"LSA")</f>
        <v>0</v>
      </c>
      <c r="BJ29" s="105" t="str">
        <f>IF(Tableau5[[#This Row],[Besoin LSA]]=Tableau5[[#This Row],[Remis LSA]],"OK","NOK")</f>
        <v>OK</v>
      </c>
      <c r="BL29">
        <f>SUMIFS(Tableau4[NB Remis],Tableau4[Réf matériel],Tableau5[[#This Row],[Réf matériel]],Tableau4[Matricule],"SST")</f>
        <v>0</v>
      </c>
      <c r="BM29" s="105" t="str">
        <f>IF(Tableau5[[#This Row],[Besoin SST]]=Tableau5[[#This Row],[Remis SST]],"OK","NOK")</f>
        <v>OK</v>
      </c>
      <c r="BO29">
        <f>SUMIFS(Tableau4[NB Remis],Tableau4[Réf matériel],Tableau5[[#This Row],[Réf matériel]],Tableau4[Matricule],"CTH")</f>
        <v>0</v>
      </c>
      <c r="BP29" s="105" t="str">
        <f>IF(Tableau5[[#This Row],[Besoin CTH]]=Tableau5[[#This Row],[Remis CTH]],"OK","NOK")</f>
        <v>OK</v>
      </c>
      <c r="BR29">
        <f>SUMIFS(Tableau4[NB Remis],Tableau4[Réf matériel],Tableau5[[#This Row],[Réf matériel]],Tableau4[Matricule],"AVU")</f>
        <v>0</v>
      </c>
      <c r="BS29" s="105" t="str">
        <f>IF(Tableau5[[#This Row],[Besoin AVU]]=Tableau5[[#This Row],[Remis AVU]],"OK","NOK")</f>
        <v>OK</v>
      </c>
      <c r="BU29">
        <f>SUMIFS(Tableau4[NB Remis],Tableau4[Réf matériel],Tableau5[[#This Row],[Réf matériel]],Tableau4[Matricule],"FZE")</f>
        <v>0</v>
      </c>
      <c r="BV29" s="105" t="str">
        <f>IF(Tableau5[[#This Row],[Besoin FZE]]=Tableau5[[#This Row],[Remis FZE]],"OK","NOK")</f>
        <v>OK</v>
      </c>
      <c r="BX29">
        <f>SUMIFS(Tableau4[NB Remis],Tableau4[Réf matériel],Tableau5[[#This Row],[Réf matériel]],Tableau4[Matricule],"CV2")</f>
        <v>0</v>
      </c>
      <c r="BY29" s="105" t="str">
        <f>IF(Tableau5[[#This Row],[Besoin CV2]]=Tableau5[[#This Row],[Remis CV2]],"OK","NOK")</f>
        <v>OK</v>
      </c>
      <c r="CA29">
        <f>SUMIFS(Tableau4[NB Remis],Tableau4[Réf matériel],Tableau5[[#This Row],[Réf matériel]],Tableau4[Matricule],"CV3")</f>
        <v>0</v>
      </c>
      <c r="CB29" s="105" t="str">
        <f>IF(Tableau5[[#This Row],[Besoin CV3]]=Tableau5[[#This Row],[Remis CV3]],"OK","NOK")</f>
        <v>OK</v>
      </c>
      <c r="CD29">
        <f>SUMIFS(Tableau4[NB Remis],Tableau4[Réf matériel],Tableau5[[#This Row],[Réf matériel]],Tableau4[Matricule],"CV1")</f>
        <v>0</v>
      </c>
      <c r="CE29" s="105" t="str">
        <f>IF(Tableau5[[#This Row],[Besoin CV1]]=Tableau5[[#This Row],[Remis CV1]],"OK","NOK")</f>
        <v>OK</v>
      </c>
      <c r="CG29">
        <f>SUMIFS(Tableau4[NB Remis],Tableau4[Réf matériel],Tableau5[[#This Row],[Réf matériel]],Tableau4[Matricule],"CV4")</f>
        <v>0</v>
      </c>
      <c r="CH29" s="106" t="str">
        <f>IF(Tableau5[[#This Row],[Besoin CV4]]=Tableau5[[#This Row],[Remis CV4]],"OK","NOK")</f>
        <v>OK</v>
      </c>
    </row>
    <row r="30" spans="2:86" x14ac:dyDescent="0.25">
      <c r="B30" t="s">
        <v>412</v>
      </c>
      <c r="C30">
        <v>1</v>
      </c>
      <c r="D30">
        <f>SUMIFS(Tableau4[NB Remis],Tableau4[Réf matériel],Tableau5[[#This Row],[Réf matériel]],Tableau4[Matricule],"OAI")</f>
        <v>1</v>
      </c>
      <c r="E30" s="105" t="str">
        <f>IF(Tableau5[[#This Row],[Besoin OAI]]=Tableau5[[#This Row],[Remis OAI]],"OK","NOK")</f>
        <v>OK</v>
      </c>
      <c r="F30">
        <v>1</v>
      </c>
      <c r="G30">
        <f>SUMIFS(Tableau4[NB Remis],Tableau4[Réf matériel],Tableau5[[#This Row],[Réf matériel]],Tableau4[Matricule],"ABE")</f>
        <v>1</v>
      </c>
      <c r="H30" s="105" t="str">
        <f>IF(Tableau5[[#This Row],[Besoin ABE]]=Tableau5[[#This Row],[Remis ABE]],"OK","NOK")</f>
        <v>OK</v>
      </c>
      <c r="J30">
        <f>SUMIFS(Tableau4[NB Remis],Tableau4[Réf matériel],Tableau5[[#This Row],[Réf matériel]],Tableau4[Matricule],"SBI")</f>
        <v>0</v>
      </c>
      <c r="K30" s="105" t="str">
        <f>IF(Tableau5[[#This Row],[Besoin SBI]]=Tableau5[[#This Row],[Remis SBI]],"OK","NOK")</f>
        <v>OK</v>
      </c>
      <c r="L30">
        <v>1</v>
      </c>
      <c r="M30">
        <f>SUMIFS(Tableau4[NB Remis],Tableau4[Réf matériel],Tableau5[[#This Row],[Réf matériel]],Tableau4[Matricule],"ABI")</f>
        <v>1</v>
      </c>
      <c r="N30" s="105" t="str">
        <f>IF(Tableau5[[#This Row],[Besoin ABI]]=Tableau5[[#This Row],[Remis ABI]],"OK","NOK")</f>
        <v>OK</v>
      </c>
      <c r="P30">
        <f>SUMIFS(Tableau4[NB Remis],Tableau4[Réf matériel],Tableau5[[#This Row],[Réf matériel]],Tableau4[Matricule],"DCE")</f>
        <v>0</v>
      </c>
      <c r="Q30" s="105" t="str">
        <f>IF(Tableau5[[#This Row],[Besoin DCE]]=Tableau5[[#This Row],[Remis DCE]],"OK","NOK")</f>
        <v>OK</v>
      </c>
      <c r="R30">
        <v>1</v>
      </c>
      <c r="S30">
        <f>SUMIFS(Tableau4[NB Remis],Tableau4[Réf matériel],Tableau5[[#This Row],[Réf matériel]],Tableau4[Matricule],"JDE")</f>
        <v>1</v>
      </c>
      <c r="T30" s="105" t="str">
        <f>IF(Tableau5[[#This Row],[Besoin JDE]]=Tableau5[[#This Row],[Remis JDE]],"OK","NOK")</f>
        <v>OK</v>
      </c>
      <c r="U30">
        <v>1</v>
      </c>
      <c r="V30">
        <f>SUMIFS(Tableau4[NB Remis],Tableau4[Réf matériel],Tableau5[[#This Row],[Réf matériel]],Tableau4[Matricule],"ODI")</f>
        <v>1</v>
      </c>
      <c r="W30" s="105" t="str">
        <f>IF(Tableau5[[#This Row],[Besoin ODI]]=Tableau5[[#This Row],[Remis ODI]],"OK","NOK")</f>
        <v>OK</v>
      </c>
      <c r="Y30">
        <f>SUMIFS(Tableau4[NB Remis],Tableau4[Réf matériel],Tableau5[[#This Row],[Réf matériel]],Tableau4[Matricule],"MFO")</f>
        <v>0</v>
      </c>
      <c r="Z30" s="105" t="str">
        <f>IF(Tableau5[[#This Row],[Besoin MFO]]=Tableau5[[#This Row],[Remis MFO]],"OK","NOK")</f>
        <v>OK</v>
      </c>
      <c r="AB30">
        <f>SUMIFS(Tableau4[NB Remis],Tableau4[Réf matériel],Tableau5[[#This Row],[Réf matériel]],Tableau4[Matricule],"SDU")</f>
        <v>0</v>
      </c>
      <c r="AC30" s="105" t="str">
        <f>IF(Tableau5[[#This Row],[Besoin SDU]]=Tableau5[[#This Row],[Remis SDU]],"OK","NOK")</f>
        <v>OK</v>
      </c>
      <c r="AE30">
        <f>SUMIFS(Tableau4[NB Remis],Tableau4[Réf matériel],Tableau5[[#This Row],[Réf matériel]],Tableau4[Matricule],"GGA")</f>
        <v>0</v>
      </c>
      <c r="AF30" s="105" t="str">
        <f>IF(Tableau5[[#This Row],[Besoin GGA2]]=Tableau5[[#This Row],[Remis GGA3]],"OK","NOK")</f>
        <v>OK</v>
      </c>
      <c r="AG30">
        <v>1</v>
      </c>
      <c r="AH30">
        <f>SUMIFS(Tableau4[NB Remis],Tableau4[Réf matériel],Tableau5[[#This Row],[Réf matériel]],Tableau4[Matricule],"RGE")</f>
        <v>2</v>
      </c>
      <c r="AI30" s="105" t="str">
        <f>IF(Tableau5[[#This Row],[Besoin RGE]]=Tableau5[[#This Row],[Remis RGE]],"OK","NOK")</f>
        <v>NOK</v>
      </c>
      <c r="AJ30">
        <v>1</v>
      </c>
      <c r="AK30">
        <f>SUMIFS(Tableau4[NB Remis],Tableau4[Réf matériel],Tableau5[[#This Row],[Réf matériel]],Tableau4[Matricule],"CKE")</f>
        <v>1</v>
      </c>
      <c r="AL30" s="105" t="str">
        <f>IF(Tableau5[[#This Row],[Besoin CKE]]=Tableau5[[#This Row],[Remis CKE]],"OK","NOK")</f>
        <v>OK</v>
      </c>
      <c r="AN30">
        <f>SUMIFS(Tableau4[NB Remis],Tableau4[Réf matériel],Tableau5[[#This Row],[Réf matériel]],Tableau4[Matricule],"DMA")</f>
        <v>0</v>
      </c>
      <c r="AO30" s="105" t="str">
        <f>IF(Tableau5[[#This Row],[Besoin DMA]]=Tableau5[[#This Row],[Remis DMA]],"OK","NOK")</f>
        <v>OK</v>
      </c>
      <c r="AQ30">
        <f>SUMIFS(Tableau4[NB Remis],Tableau4[Réf matériel],Tableau5[[#This Row],[Réf matériel]],Tableau4[Matricule],"LMO")</f>
        <v>0</v>
      </c>
      <c r="AR30" s="105" t="str">
        <f>IF(Tableau5[[#This Row],[Besoin LMO]]=Tableau5[[#This Row],[Remis LMO]],"OK","NOK")</f>
        <v>OK</v>
      </c>
      <c r="AS30">
        <v>1</v>
      </c>
      <c r="AT30">
        <f>SUMIFS(Tableau4[NB Remis],Tableau4[Réf matériel],Tableau5[[#This Row],[Réf matériel]],Tableau4[Matricule],"TMO")</f>
        <v>1</v>
      </c>
      <c r="AU30" s="105" t="str">
        <f>IF(Tableau5[[#This Row],[Besoin TMO]]=Tableau5[[#This Row],[Remis TMO]],"OK","NOK")</f>
        <v>OK</v>
      </c>
      <c r="AV30">
        <v>1</v>
      </c>
      <c r="AW30">
        <f>SUMIFS(Tableau4[NB Remis],Tableau4[Réf matériel],Tableau5[[#This Row],[Réf matériel]],Tableau4[Matricule],"JPA")</f>
        <v>1</v>
      </c>
      <c r="AX30" s="105" t="str">
        <f>IF(Tableau5[[#This Row],[Besoin JPA]]=Tableau5[[#This Row],[Remis JPA]],"OK","NOK")</f>
        <v>OK</v>
      </c>
      <c r="AZ30">
        <f>SUMIFS(Tableau4[NB Remis],Tableau4[Réf matériel],Tableau5[[#This Row],[Réf matériel]],Tableau4[Matricule],"MPE")</f>
        <v>0</v>
      </c>
      <c r="BA30" s="105" t="str">
        <f>IF(Tableau5[[#This Row],[Besoin MPE]]=Tableau5[[#This Row],[Remis MPE]],"OK","NOK")</f>
        <v>OK</v>
      </c>
      <c r="BB30">
        <v>1</v>
      </c>
      <c r="BC30">
        <f>SUMIFS(Tableau4[NB Remis],Tableau4[Réf matériel],Tableau5[[#This Row],[Réf matériel]],Tableau4[Matricule],"SPR")</f>
        <v>1</v>
      </c>
      <c r="BD30" s="105" t="str">
        <f>IF(Tableau5[[#This Row],[Besoin SPR]]=Tableau5[[#This Row],[Remis SPR]],"OK","NOK")</f>
        <v>OK</v>
      </c>
      <c r="BE30">
        <v>1</v>
      </c>
      <c r="BF30">
        <f>SUMIFS(Tableau4[NB Remis],Tableau4[Réf matériel],Tableau5[[#This Row],[Réf matériel]],Tableau4[Matricule],"MRO")</f>
        <v>1</v>
      </c>
      <c r="BG30" s="105" t="str">
        <f>IF(Tableau5[[#This Row],[Besoin MRO]]=Tableau5[[#This Row],[Remis MRO]],"OK","NOK")</f>
        <v>OK</v>
      </c>
      <c r="BH30">
        <v>1</v>
      </c>
      <c r="BI30">
        <f>SUMIFS(Tableau4[NB Remis],Tableau4[Réf matériel],Tableau5[[#This Row],[Réf matériel]],Tableau4[Matricule],"LSA")</f>
        <v>1</v>
      </c>
      <c r="BJ30" s="105" t="str">
        <f>IF(Tableau5[[#This Row],[Besoin LSA]]=Tableau5[[#This Row],[Remis LSA]],"OK","NOK")</f>
        <v>OK</v>
      </c>
      <c r="BK30">
        <v>1</v>
      </c>
      <c r="BL30">
        <f>SUMIFS(Tableau4[NB Remis],Tableau4[Réf matériel],Tableau5[[#This Row],[Réf matériel]],Tableau4[Matricule],"SST")</f>
        <v>1</v>
      </c>
      <c r="BM30" s="105" t="str">
        <f>IF(Tableau5[[#This Row],[Besoin SST]]=Tableau5[[#This Row],[Remis SST]],"OK","NOK")</f>
        <v>OK</v>
      </c>
      <c r="BO30">
        <f>SUMIFS(Tableau4[NB Remis],Tableau4[Réf matériel],Tableau5[[#This Row],[Réf matériel]],Tableau4[Matricule],"CTH")</f>
        <v>0</v>
      </c>
      <c r="BP30" s="105" t="str">
        <f>IF(Tableau5[[#This Row],[Besoin CTH]]=Tableau5[[#This Row],[Remis CTH]],"OK","NOK")</f>
        <v>OK</v>
      </c>
      <c r="BQ30">
        <v>1</v>
      </c>
      <c r="BR30">
        <f>SUMIFS(Tableau4[NB Remis],Tableau4[Réf matériel],Tableau5[[#This Row],[Réf matériel]],Tableau4[Matricule],"AVU")</f>
        <v>1</v>
      </c>
      <c r="BS30" s="105" t="str">
        <f>IF(Tableau5[[#This Row],[Besoin AVU]]=Tableau5[[#This Row],[Remis AVU]],"OK","NOK")</f>
        <v>OK</v>
      </c>
      <c r="BU30">
        <f>SUMIFS(Tableau4[NB Remis],Tableau4[Réf matériel],Tableau5[[#This Row],[Réf matériel]],Tableau4[Matricule],"FZE")</f>
        <v>0</v>
      </c>
      <c r="BV30" s="105" t="str">
        <f>IF(Tableau5[[#This Row],[Besoin FZE]]=Tableau5[[#This Row],[Remis FZE]],"OK","NOK")</f>
        <v>OK</v>
      </c>
      <c r="BW30">
        <v>1</v>
      </c>
      <c r="BX30">
        <f>SUMIFS(Tableau4[NB Remis],Tableau4[Réf matériel],Tableau5[[#This Row],[Réf matériel]],Tableau4[Matricule],"CV2")</f>
        <v>1</v>
      </c>
      <c r="BY30" s="105" t="str">
        <f>IF(Tableau5[[#This Row],[Besoin CV2]]=Tableau5[[#This Row],[Remis CV2]],"OK","NOK")</f>
        <v>OK</v>
      </c>
      <c r="BZ30">
        <v>1</v>
      </c>
      <c r="CA30">
        <f>SUMIFS(Tableau4[NB Remis],Tableau4[Réf matériel],Tableau5[[#This Row],[Réf matériel]],Tableau4[Matricule],"CV3")</f>
        <v>1</v>
      </c>
      <c r="CB30" s="105" t="str">
        <f>IF(Tableau5[[#This Row],[Besoin CV3]]=Tableau5[[#This Row],[Remis CV3]],"OK","NOK")</f>
        <v>OK</v>
      </c>
      <c r="CC30">
        <v>1</v>
      </c>
      <c r="CD30">
        <f>SUMIFS(Tableau4[NB Remis],Tableau4[Réf matériel],Tableau5[[#This Row],[Réf matériel]],Tableau4[Matricule],"CV1")</f>
        <v>1</v>
      </c>
      <c r="CE30" s="105" t="str">
        <f>IF(Tableau5[[#This Row],[Besoin CV1]]=Tableau5[[#This Row],[Remis CV1]],"OK","NOK")</f>
        <v>OK</v>
      </c>
      <c r="CG30">
        <f>SUMIFS(Tableau4[NB Remis],Tableau4[Réf matériel],Tableau5[[#This Row],[Réf matériel]],Tableau4[Matricule],"CV4")</f>
        <v>0</v>
      </c>
      <c r="CH30" s="106" t="str">
        <f>IF(Tableau5[[#This Row],[Besoin CV4]]=Tableau5[[#This Row],[Remis CV4]],"OK","NOK")</f>
        <v>OK</v>
      </c>
    </row>
    <row r="31" spans="2:86" x14ac:dyDescent="0.25">
      <c r="B31" t="s">
        <v>413</v>
      </c>
      <c r="D31">
        <f>SUMIFS(Tableau4[NB Remis],Tableau4[Réf matériel],Tableau5[[#This Row],[Réf matériel]],Tableau4[Matricule],"OAI")</f>
        <v>0</v>
      </c>
      <c r="E31" s="105" t="str">
        <f>IF(Tableau5[[#This Row],[Besoin OAI]]=Tableau5[[#This Row],[Remis OAI]],"OK","NOK")</f>
        <v>OK</v>
      </c>
      <c r="G31">
        <f>SUMIFS(Tableau4[NB Remis],Tableau4[Réf matériel],Tableau5[[#This Row],[Réf matériel]],Tableau4[Matricule],"ABE")</f>
        <v>0</v>
      </c>
      <c r="H31" s="105" t="str">
        <f>IF(Tableau5[[#This Row],[Besoin ABE]]=Tableau5[[#This Row],[Remis ABE]],"OK","NOK")</f>
        <v>OK</v>
      </c>
      <c r="J31">
        <f>SUMIFS(Tableau4[NB Remis],Tableau4[Réf matériel],Tableau5[[#This Row],[Réf matériel]],Tableau4[Matricule],"SBI")</f>
        <v>0</v>
      </c>
      <c r="K31" s="105" t="str">
        <f>IF(Tableau5[[#This Row],[Besoin SBI]]=Tableau5[[#This Row],[Remis SBI]],"OK","NOK")</f>
        <v>OK</v>
      </c>
      <c r="M31">
        <f>SUMIFS(Tableau4[NB Remis],Tableau4[Réf matériel],Tableau5[[#This Row],[Réf matériel]],Tableau4[Matricule],"ABI")</f>
        <v>0</v>
      </c>
      <c r="N31" s="105" t="str">
        <f>IF(Tableau5[[#This Row],[Besoin ABI]]=Tableau5[[#This Row],[Remis ABI]],"OK","NOK")</f>
        <v>OK</v>
      </c>
      <c r="P31">
        <f>SUMIFS(Tableau4[NB Remis],Tableau4[Réf matériel],Tableau5[[#This Row],[Réf matériel]],Tableau4[Matricule],"DCE")</f>
        <v>0</v>
      </c>
      <c r="Q31" s="105" t="str">
        <f>IF(Tableau5[[#This Row],[Besoin DCE]]=Tableau5[[#This Row],[Remis DCE]],"OK","NOK")</f>
        <v>OK</v>
      </c>
      <c r="S31">
        <f>SUMIFS(Tableau4[NB Remis],Tableau4[Réf matériel],Tableau5[[#This Row],[Réf matériel]],Tableau4[Matricule],"JDE")</f>
        <v>0</v>
      </c>
      <c r="T31" s="105" t="str">
        <f>IF(Tableau5[[#This Row],[Besoin JDE]]=Tableau5[[#This Row],[Remis JDE]],"OK","NOK")</f>
        <v>OK</v>
      </c>
      <c r="V31">
        <f>SUMIFS(Tableau4[NB Remis],Tableau4[Réf matériel],Tableau5[[#This Row],[Réf matériel]],Tableau4[Matricule],"ODI")</f>
        <v>0</v>
      </c>
      <c r="W31" s="105" t="str">
        <f>IF(Tableau5[[#This Row],[Besoin ODI]]=Tableau5[[#This Row],[Remis ODI]],"OK","NOK")</f>
        <v>OK</v>
      </c>
      <c r="Y31">
        <f>SUMIFS(Tableau4[NB Remis],Tableau4[Réf matériel],Tableau5[[#This Row],[Réf matériel]],Tableau4[Matricule],"MFO")</f>
        <v>0</v>
      </c>
      <c r="Z31" s="105" t="str">
        <f>IF(Tableau5[[#This Row],[Besoin MFO]]=Tableau5[[#This Row],[Remis MFO]],"OK","NOK")</f>
        <v>OK</v>
      </c>
      <c r="AB31">
        <f>SUMIFS(Tableau4[NB Remis],Tableau4[Réf matériel],Tableau5[[#This Row],[Réf matériel]],Tableau4[Matricule],"SDU")</f>
        <v>0</v>
      </c>
      <c r="AC31" s="105" t="str">
        <f>IF(Tableau5[[#This Row],[Besoin SDU]]=Tableau5[[#This Row],[Remis SDU]],"OK","NOK")</f>
        <v>OK</v>
      </c>
      <c r="AE31">
        <f>SUMIFS(Tableau4[NB Remis],Tableau4[Réf matériel],Tableau5[[#This Row],[Réf matériel]],Tableau4[Matricule],"GGA")</f>
        <v>0</v>
      </c>
      <c r="AF31" s="105" t="str">
        <f>IF(Tableau5[[#This Row],[Besoin GGA2]]=Tableau5[[#This Row],[Remis GGA3]],"OK","NOK")</f>
        <v>OK</v>
      </c>
      <c r="AH31">
        <f>SUMIFS(Tableau4[NB Remis],Tableau4[Réf matériel],Tableau5[[#This Row],[Réf matériel]],Tableau4[Matricule],"RGE")</f>
        <v>0</v>
      </c>
      <c r="AI31" s="105" t="str">
        <f>IF(Tableau5[[#This Row],[Besoin RGE]]=Tableau5[[#This Row],[Remis RGE]],"OK","NOK")</f>
        <v>OK</v>
      </c>
      <c r="AK31">
        <f>SUMIFS(Tableau4[NB Remis],Tableau4[Réf matériel],Tableau5[[#This Row],[Réf matériel]],Tableau4[Matricule],"CKE")</f>
        <v>0</v>
      </c>
      <c r="AL31" s="105" t="str">
        <f>IF(Tableau5[[#This Row],[Besoin CKE]]=Tableau5[[#This Row],[Remis CKE]],"OK","NOK")</f>
        <v>OK</v>
      </c>
      <c r="AN31">
        <f>SUMIFS(Tableau4[NB Remis],Tableau4[Réf matériel],Tableau5[[#This Row],[Réf matériel]],Tableau4[Matricule],"DMA")</f>
        <v>0</v>
      </c>
      <c r="AO31" s="105" t="str">
        <f>IF(Tableau5[[#This Row],[Besoin DMA]]=Tableau5[[#This Row],[Remis DMA]],"OK","NOK")</f>
        <v>OK</v>
      </c>
      <c r="AQ31">
        <f>SUMIFS(Tableau4[NB Remis],Tableau4[Réf matériel],Tableau5[[#This Row],[Réf matériel]],Tableau4[Matricule],"LMO")</f>
        <v>0</v>
      </c>
      <c r="AR31" s="105" t="str">
        <f>IF(Tableau5[[#This Row],[Besoin LMO]]=Tableau5[[#This Row],[Remis LMO]],"OK","NOK")</f>
        <v>OK</v>
      </c>
      <c r="AS31">
        <v>1</v>
      </c>
      <c r="AT31">
        <f>SUMIFS(Tableau4[NB Remis],Tableau4[Réf matériel],Tableau5[[#This Row],[Réf matériel]],Tableau4[Matricule],"TMO")</f>
        <v>1</v>
      </c>
      <c r="AU31" s="105" t="str">
        <f>IF(Tableau5[[#This Row],[Besoin TMO]]=Tableau5[[#This Row],[Remis TMO]],"OK","NOK")</f>
        <v>OK</v>
      </c>
      <c r="AV31">
        <v>1</v>
      </c>
      <c r="AW31">
        <f>SUMIFS(Tableau4[NB Remis],Tableau4[Réf matériel],Tableau5[[#This Row],[Réf matériel]],Tableau4[Matricule],"JPA")</f>
        <v>1</v>
      </c>
      <c r="AX31" s="105" t="str">
        <f>IF(Tableau5[[#This Row],[Besoin JPA]]=Tableau5[[#This Row],[Remis JPA]],"OK","NOK")</f>
        <v>OK</v>
      </c>
      <c r="AZ31">
        <f>SUMIFS(Tableau4[NB Remis],Tableau4[Réf matériel],Tableau5[[#This Row],[Réf matériel]],Tableau4[Matricule],"MPE")</f>
        <v>0</v>
      </c>
      <c r="BA31" s="105" t="str">
        <f>IF(Tableau5[[#This Row],[Besoin MPE]]=Tableau5[[#This Row],[Remis MPE]],"OK","NOK")</f>
        <v>OK</v>
      </c>
      <c r="BC31">
        <f>SUMIFS(Tableau4[NB Remis],Tableau4[Réf matériel],Tableau5[[#This Row],[Réf matériel]],Tableau4[Matricule],"SPR")</f>
        <v>0</v>
      </c>
      <c r="BD31" s="105" t="str">
        <f>IF(Tableau5[[#This Row],[Besoin SPR]]=Tableau5[[#This Row],[Remis SPR]],"OK","NOK")</f>
        <v>OK</v>
      </c>
      <c r="BF31">
        <f>SUMIFS(Tableau4[NB Remis],Tableau4[Réf matériel],Tableau5[[#This Row],[Réf matériel]],Tableau4[Matricule],"MRO")</f>
        <v>0</v>
      </c>
      <c r="BG31" s="105" t="str">
        <f>IF(Tableau5[[#This Row],[Besoin MRO]]=Tableau5[[#This Row],[Remis MRO]],"OK","NOK")</f>
        <v>OK</v>
      </c>
      <c r="BI31">
        <f>SUMIFS(Tableau4[NB Remis],Tableau4[Réf matériel],Tableau5[[#This Row],[Réf matériel]],Tableau4[Matricule],"LSA")</f>
        <v>0</v>
      </c>
      <c r="BJ31" s="105" t="str">
        <f>IF(Tableau5[[#This Row],[Besoin LSA]]=Tableau5[[#This Row],[Remis LSA]],"OK","NOK")</f>
        <v>OK</v>
      </c>
      <c r="BL31">
        <f>SUMIFS(Tableau4[NB Remis],Tableau4[Réf matériel],Tableau5[[#This Row],[Réf matériel]],Tableau4[Matricule],"SST")</f>
        <v>0</v>
      </c>
      <c r="BM31" s="105" t="str">
        <f>IF(Tableau5[[#This Row],[Besoin SST]]=Tableau5[[#This Row],[Remis SST]],"OK","NOK")</f>
        <v>OK</v>
      </c>
      <c r="BO31">
        <f>SUMIFS(Tableau4[NB Remis],Tableau4[Réf matériel],Tableau5[[#This Row],[Réf matériel]],Tableau4[Matricule],"CTH")</f>
        <v>0</v>
      </c>
      <c r="BP31" s="105" t="str">
        <f>IF(Tableau5[[#This Row],[Besoin CTH]]=Tableau5[[#This Row],[Remis CTH]],"OK","NOK")</f>
        <v>OK</v>
      </c>
      <c r="BR31">
        <f>SUMIFS(Tableau4[NB Remis],Tableau4[Réf matériel],Tableau5[[#This Row],[Réf matériel]],Tableau4[Matricule],"AVU")</f>
        <v>0</v>
      </c>
      <c r="BS31" s="105" t="str">
        <f>IF(Tableau5[[#This Row],[Besoin AVU]]=Tableau5[[#This Row],[Remis AVU]],"OK","NOK")</f>
        <v>OK</v>
      </c>
      <c r="BU31">
        <f>SUMIFS(Tableau4[NB Remis],Tableau4[Réf matériel],Tableau5[[#This Row],[Réf matériel]],Tableau4[Matricule],"FZE")</f>
        <v>0</v>
      </c>
      <c r="BV31" s="105" t="str">
        <f>IF(Tableau5[[#This Row],[Besoin FZE]]=Tableau5[[#This Row],[Remis FZE]],"OK","NOK")</f>
        <v>OK</v>
      </c>
      <c r="BX31">
        <f>SUMIFS(Tableau4[NB Remis],Tableau4[Réf matériel],Tableau5[[#This Row],[Réf matériel]],Tableau4[Matricule],"CV2")</f>
        <v>0</v>
      </c>
      <c r="BY31" s="105" t="str">
        <f>IF(Tableau5[[#This Row],[Besoin CV2]]=Tableau5[[#This Row],[Remis CV2]],"OK","NOK")</f>
        <v>OK</v>
      </c>
      <c r="CA31">
        <f>SUMIFS(Tableau4[NB Remis],Tableau4[Réf matériel],Tableau5[[#This Row],[Réf matériel]],Tableau4[Matricule],"CV3")</f>
        <v>0</v>
      </c>
      <c r="CB31" s="105" t="str">
        <f>IF(Tableau5[[#This Row],[Besoin CV3]]=Tableau5[[#This Row],[Remis CV3]],"OK","NOK")</f>
        <v>OK</v>
      </c>
      <c r="CD31">
        <f>SUMIFS(Tableau4[NB Remis],Tableau4[Réf matériel],Tableau5[[#This Row],[Réf matériel]],Tableau4[Matricule],"CV1")</f>
        <v>0</v>
      </c>
      <c r="CE31" s="105" t="str">
        <f>IF(Tableau5[[#This Row],[Besoin CV1]]=Tableau5[[#This Row],[Remis CV1]],"OK","NOK")</f>
        <v>OK</v>
      </c>
      <c r="CG31">
        <f>SUMIFS(Tableau4[NB Remis],Tableau4[Réf matériel],Tableau5[[#This Row],[Réf matériel]],Tableau4[Matricule],"CV4")</f>
        <v>0</v>
      </c>
      <c r="CH31" s="106" t="str">
        <f>IF(Tableau5[[#This Row],[Besoin CV4]]=Tableau5[[#This Row],[Remis CV4]],"OK","NOK")</f>
        <v>OK</v>
      </c>
    </row>
    <row r="32" spans="2:86" x14ac:dyDescent="0.25">
      <c r="B32" t="s">
        <v>426</v>
      </c>
      <c r="D32">
        <f>SUMIFS(Tableau4[NB Remis],Tableau4[Réf matériel],Tableau5[[#This Row],[Réf matériel]],Tableau4[Matricule],"OAI")</f>
        <v>0</v>
      </c>
      <c r="E32" s="105" t="str">
        <f>IF(Tableau5[[#This Row],[Besoin OAI]]=Tableau5[[#This Row],[Remis OAI]],"OK","NOK")</f>
        <v>OK</v>
      </c>
      <c r="G32">
        <f>SUMIFS(Tableau4[NB Remis],Tableau4[Réf matériel],Tableau5[[#This Row],[Réf matériel]],Tableau4[Matricule],"ABE")</f>
        <v>0</v>
      </c>
      <c r="H32" s="105" t="str">
        <f>IF(Tableau5[[#This Row],[Besoin ABE]]=Tableau5[[#This Row],[Remis ABE]],"OK","NOK")</f>
        <v>OK</v>
      </c>
      <c r="J32">
        <f>SUMIFS(Tableau4[NB Remis],Tableau4[Réf matériel],Tableau5[[#This Row],[Réf matériel]],Tableau4[Matricule],"SBI")</f>
        <v>0</v>
      </c>
      <c r="K32" s="105" t="str">
        <f>IF(Tableau5[[#This Row],[Besoin SBI]]=Tableau5[[#This Row],[Remis SBI]],"OK","NOK")</f>
        <v>OK</v>
      </c>
      <c r="M32">
        <f>SUMIFS(Tableau4[NB Remis],Tableau4[Réf matériel],Tableau5[[#This Row],[Réf matériel]],Tableau4[Matricule],"ABI")</f>
        <v>0</v>
      </c>
      <c r="N32" s="105" t="str">
        <f>IF(Tableau5[[#This Row],[Besoin ABI]]=Tableau5[[#This Row],[Remis ABI]],"OK","NOK")</f>
        <v>OK</v>
      </c>
      <c r="P32">
        <f>SUMIFS(Tableau4[NB Remis],Tableau4[Réf matériel],Tableau5[[#This Row],[Réf matériel]],Tableau4[Matricule],"DCE")</f>
        <v>0</v>
      </c>
      <c r="Q32" s="105" t="str">
        <f>IF(Tableau5[[#This Row],[Besoin DCE]]=Tableau5[[#This Row],[Remis DCE]],"OK","NOK")</f>
        <v>OK</v>
      </c>
      <c r="S32">
        <f>SUMIFS(Tableau4[NB Remis],Tableau4[Réf matériel],Tableau5[[#This Row],[Réf matériel]],Tableau4[Matricule],"JDE")</f>
        <v>0</v>
      </c>
      <c r="T32" s="105" t="str">
        <f>IF(Tableau5[[#This Row],[Besoin JDE]]=Tableau5[[#This Row],[Remis JDE]],"OK","NOK")</f>
        <v>OK</v>
      </c>
      <c r="V32">
        <f>SUMIFS(Tableau4[NB Remis],Tableau4[Réf matériel],Tableau5[[#This Row],[Réf matériel]],Tableau4[Matricule],"ODI")</f>
        <v>0</v>
      </c>
      <c r="W32" s="105" t="str">
        <f>IF(Tableau5[[#This Row],[Besoin ODI]]=Tableau5[[#This Row],[Remis ODI]],"OK","NOK")</f>
        <v>OK</v>
      </c>
      <c r="Y32">
        <f>SUMIFS(Tableau4[NB Remis],Tableau4[Réf matériel],Tableau5[[#This Row],[Réf matériel]],Tableau4[Matricule],"MFO")</f>
        <v>0</v>
      </c>
      <c r="Z32" s="105" t="str">
        <f>IF(Tableau5[[#This Row],[Besoin MFO]]=Tableau5[[#This Row],[Remis MFO]],"OK","NOK")</f>
        <v>OK</v>
      </c>
      <c r="AB32">
        <f>SUMIFS(Tableau4[NB Remis],Tableau4[Réf matériel],Tableau5[[#This Row],[Réf matériel]],Tableau4[Matricule],"SDU")</f>
        <v>0</v>
      </c>
      <c r="AC32" s="105" t="str">
        <f>IF(Tableau5[[#This Row],[Besoin SDU]]=Tableau5[[#This Row],[Remis SDU]],"OK","NOK")</f>
        <v>OK</v>
      </c>
      <c r="AE32">
        <f>SUMIFS(Tableau4[NB Remis],Tableau4[Réf matériel],Tableau5[[#This Row],[Réf matériel]],Tableau4[Matricule],"GGA")</f>
        <v>0</v>
      </c>
      <c r="AF32" s="105" t="str">
        <f>IF(Tableau5[[#This Row],[Besoin GGA2]]=Tableau5[[#This Row],[Remis GGA3]],"OK","NOK")</f>
        <v>OK</v>
      </c>
      <c r="AH32">
        <f>SUMIFS(Tableau4[NB Remis],Tableau4[Réf matériel],Tableau5[[#This Row],[Réf matériel]],Tableau4[Matricule],"RGE")</f>
        <v>0</v>
      </c>
      <c r="AI32" s="105" t="str">
        <f>IF(Tableau5[[#This Row],[Besoin RGE]]=Tableau5[[#This Row],[Remis RGE]],"OK","NOK")</f>
        <v>OK</v>
      </c>
      <c r="AK32">
        <f>SUMIFS(Tableau4[NB Remis],Tableau4[Réf matériel],Tableau5[[#This Row],[Réf matériel]],Tableau4[Matricule],"CKE")</f>
        <v>0</v>
      </c>
      <c r="AL32" s="105" t="str">
        <f>IF(Tableau5[[#This Row],[Besoin CKE]]=Tableau5[[#This Row],[Remis CKE]],"OK","NOK")</f>
        <v>OK</v>
      </c>
      <c r="AN32">
        <f>SUMIFS(Tableau4[NB Remis],Tableau4[Réf matériel],Tableau5[[#This Row],[Réf matériel]],Tableau4[Matricule],"DMA")</f>
        <v>0</v>
      </c>
      <c r="AO32" s="105" t="str">
        <f>IF(Tableau5[[#This Row],[Besoin DMA]]=Tableau5[[#This Row],[Remis DMA]],"OK","NOK")</f>
        <v>OK</v>
      </c>
      <c r="AQ32">
        <f>SUMIFS(Tableau4[NB Remis],Tableau4[Réf matériel],Tableau5[[#This Row],[Réf matériel]],Tableau4[Matricule],"LMO")</f>
        <v>0</v>
      </c>
      <c r="AR32" s="105" t="str">
        <f>IF(Tableau5[[#This Row],[Besoin LMO]]=Tableau5[[#This Row],[Remis LMO]],"OK","NOK")</f>
        <v>OK</v>
      </c>
      <c r="AT32">
        <f>SUMIFS(Tableau4[NB Remis],Tableau4[Réf matériel],Tableau5[[#This Row],[Réf matériel]],Tableau4[Matricule],"TMO")</f>
        <v>0</v>
      </c>
      <c r="AU32" s="105" t="str">
        <f>IF(Tableau5[[#This Row],[Besoin TMO]]=Tableau5[[#This Row],[Remis TMO]],"OK","NOK")</f>
        <v>OK</v>
      </c>
      <c r="AV32">
        <v>1</v>
      </c>
      <c r="AW32">
        <f>SUMIFS(Tableau4[NB Remis],Tableau4[Réf matériel],Tableau5[[#This Row],[Réf matériel]],Tableau4[Matricule],"JPA")</f>
        <v>1</v>
      </c>
      <c r="AX32" s="105" t="str">
        <f>IF(Tableau5[[#This Row],[Besoin JPA]]=Tableau5[[#This Row],[Remis JPA]],"OK","NOK")</f>
        <v>OK</v>
      </c>
      <c r="AZ32">
        <f>SUMIFS(Tableau4[NB Remis],Tableau4[Réf matériel],Tableau5[[#This Row],[Réf matériel]],Tableau4[Matricule],"MPE")</f>
        <v>0</v>
      </c>
      <c r="BA32" s="105" t="str">
        <f>IF(Tableau5[[#This Row],[Besoin MPE]]=Tableau5[[#This Row],[Remis MPE]],"OK","NOK")</f>
        <v>OK</v>
      </c>
      <c r="BC32">
        <f>SUMIFS(Tableau4[NB Remis],Tableau4[Réf matériel],Tableau5[[#This Row],[Réf matériel]],Tableau4[Matricule],"SPR")</f>
        <v>0</v>
      </c>
      <c r="BD32" s="105" t="str">
        <f>IF(Tableau5[[#This Row],[Besoin SPR]]=Tableau5[[#This Row],[Remis SPR]],"OK","NOK")</f>
        <v>OK</v>
      </c>
      <c r="BF32">
        <f>SUMIFS(Tableau4[NB Remis],Tableau4[Réf matériel],Tableau5[[#This Row],[Réf matériel]],Tableau4[Matricule],"MRO")</f>
        <v>0</v>
      </c>
      <c r="BG32" s="105" t="str">
        <f>IF(Tableau5[[#This Row],[Besoin MRO]]=Tableau5[[#This Row],[Remis MRO]],"OK","NOK")</f>
        <v>OK</v>
      </c>
      <c r="BI32">
        <f>SUMIFS(Tableau4[NB Remis],Tableau4[Réf matériel],Tableau5[[#This Row],[Réf matériel]],Tableau4[Matricule],"LSA")</f>
        <v>0</v>
      </c>
      <c r="BJ32" s="105" t="str">
        <f>IF(Tableau5[[#This Row],[Besoin LSA]]=Tableau5[[#This Row],[Remis LSA]],"OK","NOK")</f>
        <v>OK</v>
      </c>
      <c r="BL32">
        <f>SUMIFS(Tableau4[NB Remis],Tableau4[Réf matériel],Tableau5[[#This Row],[Réf matériel]],Tableau4[Matricule],"SST")</f>
        <v>0</v>
      </c>
      <c r="BM32" s="105" t="str">
        <f>IF(Tableau5[[#This Row],[Besoin SST]]=Tableau5[[#This Row],[Remis SST]],"OK","NOK")</f>
        <v>OK</v>
      </c>
      <c r="BO32">
        <f>SUMIFS(Tableau4[NB Remis],Tableau4[Réf matériel],Tableau5[[#This Row],[Réf matériel]],Tableau4[Matricule],"CTH")</f>
        <v>0</v>
      </c>
      <c r="BP32" s="105" t="str">
        <f>IF(Tableau5[[#This Row],[Besoin CTH]]=Tableau5[[#This Row],[Remis CTH]],"OK","NOK")</f>
        <v>OK</v>
      </c>
      <c r="BR32">
        <f>SUMIFS(Tableau4[NB Remis],Tableau4[Réf matériel],Tableau5[[#This Row],[Réf matériel]],Tableau4[Matricule],"AVU")</f>
        <v>0</v>
      </c>
      <c r="BS32" s="105" t="str">
        <f>IF(Tableau5[[#This Row],[Besoin AVU]]=Tableau5[[#This Row],[Remis AVU]],"OK","NOK")</f>
        <v>OK</v>
      </c>
      <c r="BU32">
        <f>SUMIFS(Tableau4[NB Remis],Tableau4[Réf matériel],Tableau5[[#This Row],[Réf matériel]],Tableau4[Matricule],"FZE")</f>
        <v>0</v>
      </c>
      <c r="BV32" s="105" t="str">
        <f>IF(Tableau5[[#This Row],[Besoin FZE]]=Tableau5[[#This Row],[Remis FZE]],"OK","NOK")</f>
        <v>OK</v>
      </c>
      <c r="BX32">
        <f>SUMIFS(Tableau4[NB Remis],Tableau4[Réf matériel],Tableau5[[#This Row],[Réf matériel]],Tableau4[Matricule],"CV2")</f>
        <v>0</v>
      </c>
      <c r="BY32" s="105" t="str">
        <f>IF(Tableau5[[#This Row],[Besoin CV2]]=Tableau5[[#This Row],[Remis CV2]],"OK","NOK")</f>
        <v>OK</v>
      </c>
      <c r="CA32">
        <f>SUMIFS(Tableau4[NB Remis],Tableau4[Réf matériel],Tableau5[[#This Row],[Réf matériel]],Tableau4[Matricule],"CV3")</f>
        <v>0</v>
      </c>
      <c r="CB32" s="105" t="str">
        <f>IF(Tableau5[[#This Row],[Besoin CV3]]=Tableau5[[#This Row],[Remis CV3]],"OK","NOK")</f>
        <v>OK</v>
      </c>
      <c r="CD32">
        <f>SUMIFS(Tableau4[NB Remis],Tableau4[Réf matériel],Tableau5[[#This Row],[Réf matériel]],Tableau4[Matricule],"CV1")</f>
        <v>0</v>
      </c>
      <c r="CE32" s="105" t="str">
        <f>IF(Tableau5[[#This Row],[Besoin CV1]]=Tableau5[[#This Row],[Remis CV1]],"OK","NOK")</f>
        <v>OK</v>
      </c>
      <c r="CG32">
        <f>SUMIFS(Tableau4[NB Remis],Tableau4[Réf matériel],Tableau5[[#This Row],[Réf matériel]],Tableau4[Matricule],"CV4")</f>
        <v>0</v>
      </c>
      <c r="CH32" s="106" t="str">
        <f>IF(Tableau5[[#This Row],[Besoin CV4]]=Tableau5[[#This Row],[Remis CV4]],"OK","NOK")</f>
        <v>OK</v>
      </c>
    </row>
    <row r="33" spans="2:86" x14ac:dyDescent="0.25">
      <c r="B33" t="s">
        <v>414</v>
      </c>
      <c r="C33">
        <v>1</v>
      </c>
      <c r="D33">
        <f>SUMIFS(Tableau4[NB Remis],Tableau4[Réf matériel],Tableau5[[#This Row],[Réf matériel]],Tableau4[Matricule],"OAI")</f>
        <v>1</v>
      </c>
      <c r="E33" s="105" t="str">
        <f>IF(Tableau5[[#This Row],[Besoin OAI]]=Tableau5[[#This Row],[Remis OAI]],"OK","NOK")</f>
        <v>OK</v>
      </c>
      <c r="F33">
        <v>1</v>
      </c>
      <c r="G33">
        <f>SUMIFS(Tableau4[NB Remis],Tableau4[Réf matériel],Tableau5[[#This Row],[Réf matériel]],Tableau4[Matricule],"ABE")</f>
        <v>1</v>
      </c>
      <c r="H33" s="105" t="str">
        <f>IF(Tableau5[[#This Row],[Besoin ABE]]=Tableau5[[#This Row],[Remis ABE]],"OK","NOK")</f>
        <v>OK</v>
      </c>
      <c r="J33">
        <f>SUMIFS(Tableau4[NB Remis],Tableau4[Réf matériel],Tableau5[[#This Row],[Réf matériel]],Tableau4[Matricule],"SBI")</f>
        <v>0</v>
      </c>
      <c r="K33" s="105" t="str">
        <f>IF(Tableau5[[#This Row],[Besoin SBI]]=Tableau5[[#This Row],[Remis SBI]],"OK","NOK")</f>
        <v>OK</v>
      </c>
      <c r="L33">
        <v>1</v>
      </c>
      <c r="M33">
        <f>SUMIFS(Tableau4[NB Remis],Tableau4[Réf matériel],Tableau5[[#This Row],[Réf matériel]],Tableau4[Matricule],"ABI")</f>
        <v>1</v>
      </c>
      <c r="N33" s="105" t="str">
        <f>IF(Tableau5[[#This Row],[Besoin ABI]]=Tableau5[[#This Row],[Remis ABI]],"OK","NOK")</f>
        <v>OK</v>
      </c>
      <c r="P33">
        <f>SUMIFS(Tableau4[NB Remis],Tableau4[Réf matériel],Tableau5[[#This Row],[Réf matériel]],Tableau4[Matricule],"DCE")</f>
        <v>0</v>
      </c>
      <c r="Q33" s="105" t="str">
        <f>IF(Tableau5[[#This Row],[Besoin DCE]]=Tableau5[[#This Row],[Remis DCE]],"OK","NOK")</f>
        <v>OK</v>
      </c>
      <c r="R33">
        <v>1</v>
      </c>
      <c r="S33">
        <f>SUMIFS(Tableau4[NB Remis],Tableau4[Réf matériel],Tableau5[[#This Row],[Réf matériel]],Tableau4[Matricule],"JDE")</f>
        <v>1</v>
      </c>
      <c r="T33" s="105" t="str">
        <f>IF(Tableau5[[#This Row],[Besoin JDE]]=Tableau5[[#This Row],[Remis JDE]],"OK","NOK")</f>
        <v>OK</v>
      </c>
      <c r="U33">
        <v>1</v>
      </c>
      <c r="V33">
        <f>SUMIFS(Tableau4[NB Remis],Tableau4[Réf matériel],Tableau5[[#This Row],[Réf matériel]],Tableau4[Matricule],"ODI")</f>
        <v>1</v>
      </c>
      <c r="W33" s="105" t="str">
        <f>IF(Tableau5[[#This Row],[Besoin ODI]]=Tableau5[[#This Row],[Remis ODI]],"OK","NOK")</f>
        <v>OK</v>
      </c>
      <c r="Y33">
        <f>SUMIFS(Tableau4[NB Remis],Tableau4[Réf matériel],Tableau5[[#This Row],[Réf matériel]],Tableau4[Matricule],"MFO")</f>
        <v>0</v>
      </c>
      <c r="Z33" s="105" t="str">
        <f>IF(Tableau5[[#This Row],[Besoin MFO]]=Tableau5[[#This Row],[Remis MFO]],"OK","NOK")</f>
        <v>OK</v>
      </c>
      <c r="AB33">
        <f>SUMIFS(Tableau4[NB Remis],Tableau4[Réf matériel],Tableau5[[#This Row],[Réf matériel]],Tableau4[Matricule],"SDU")</f>
        <v>0</v>
      </c>
      <c r="AC33" s="105" t="str">
        <f>IF(Tableau5[[#This Row],[Besoin SDU]]=Tableau5[[#This Row],[Remis SDU]],"OK","NOK")</f>
        <v>OK</v>
      </c>
      <c r="AE33">
        <f>SUMIFS(Tableau4[NB Remis],Tableau4[Réf matériel],Tableau5[[#This Row],[Réf matériel]],Tableau4[Matricule],"GGA")</f>
        <v>0</v>
      </c>
      <c r="AF33" s="105" t="str">
        <f>IF(Tableau5[[#This Row],[Besoin GGA2]]=Tableau5[[#This Row],[Remis GGA3]],"OK","NOK")</f>
        <v>OK</v>
      </c>
      <c r="AG33">
        <v>1</v>
      </c>
      <c r="AH33">
        <f>SUMIFS(Tableau4[NB Remis],Tableau4[Réf matériel],Tableau5[[#This Row],[Réf matériel]],Tableau4[Matricule],"RGE")</f>
        <v>1</v>
      </c>
      <c r="AI33" s="105" t="str">
        <f>IF(Tableau5[[#This Row],[Besoin RGE]]=Tableau5[[#This Row],[Remis RGE]],"OK","NOK")</f>
        <v>OK</v>
      </c>
      <c r="AJ33">
        <v>1</v>
      </c>
      <c r="AK33">
        <f>SUMIFS(Tableau4[NB Remis],Tableau4[Réf matériel],Tableau5[[#This Row],[Réf matériel]],Tableau4[Matricule],"CKE")</f>
        <v>1</v>
      </c>
      <c r="AL33" s="105" t="str">
        <f>IF(Tableau5[[#This Row],[Besoin CKE]]=Tableau5[[#This Row],[Remis CKE]],"OK","NOK")</f>
        <v>OK</v>
      </c>
      <c r="AN33">
        <f>SUMIFS(Tableau4[NB Remis],Tableau4[Réf matériel],Tableau5[[#This Row],[Réf matériel]],Tableau4[Matricule],"DMA")</f>
        <v>0</v>
      </c>
      <c r="AO33" s="105" t="str">
        <f>IF(Tableau5[[#This Row],[Besoin DMA]]=Tableau5[[#This Row],[Remis DMA]],"OK","NOK")</f>
        <v>OK</v>
      </c>
      <c r="AQ33">
        <f>SUMIFS(Tableau4[NB Remis],Tableau4[Réf matériel],Tableau5[[#This Row],[Réf matériel]],Tableau4[Matricule],"LMO")</f>
        <v>0</v>
      </c>
      <c r="AR33" s="105" t="str">
        <f>IF(Tableau5[[#This Row],[Besoin LMO]]=Tableau5[[#This Row],[Remis LMO]],"OK","NOK")</f>
        <v>OK</v>
      </c>
      <c r="AS33">
        <v>1</v>
      </c>
      <c r="AT33">
        <f>SUMIFS(Tableau4[NB Remis],Tableau4[Réf matériel],Tableau5[[#This Row],[Réf matériel]],Tableau4[Matricule],"TMO")</f>
        <v>1</v>
      </c>
      <c r="AU33" s="105" t="str">
        <f>IF(Tableau5[[#This Row],[Besoin TMO]]=Tableau5[[#This Row],[Remis TMO]],"OK","NOK")</f>
        <v>OK</v>
      </c>
      <c r="AV33">
        <v>1</v>
      </c>
      <c r="AW33">
        <f>SUMIFS(Tableau4[NB Remis],Tableau4[Réf matériel],Tableau5[[#This Row],[Réf matériel]],Tableau4[Matricule],"JPA")</f>
        <v>1</v>
      </c>
      <c r="AX33" s="105" t="str">
        <f>IF(Tableau5[[#This Row],[Besoin JPA]]=Tableau5[[#This Row],[Remis JPA]],"OK","NOK")</f>
        <v>OK</v>
      </c>
      <c r="AZ33">
        <f>SUMIFS(Tableau4[NB Remis],Tableau4[Réf matériel],Tableau5[[#This Row],[Réf matériel]],Tableau4[Matricule],"MPE")</f>
        <v>0</v>
      </c>
      <c r="BA33" s="105" t="str">
        <f>IF(Tableau5[[#This Row],[Besoin MPE]]=Tableau5[[#This Row],[Remis MPE]],"OK","NOK")</f>
        <v>OK</v>
      </c>
      <c r="BB33">
        <v>1</v>
      </c>
      <c r="BC33">
        <f>SUMIFS(Tableau4[NB Remis],Tableau4[Réf matériel],Tableau5[[#This Row],[Réf matériel]],Tableau4[Matricule],"SPR")</f>
        <v>1</v>
      </c>
      <c r="BD33" s="105" t="str">
        <f>IF(Tableau5[[#This Row],[Besoin SPR]]=Tableau5[[#This Row],[Remis SPR]],"OK","NOK")</f>
        <v>OK</v>
      </c>
      <c r="BE33">
        <v>1</v>
      </c>
      <c r="BF33">
        <f>SUMIFS(Tableau4[NB Remis],Tableau4[Réf matériel],Tableau5[[#This Row],[Réf matériel]],Tableau4[Matricule],"MRO")</f>
        <v>1</v>
      </c>
      <c r="BG33" s="105" t="str">
        <f>IF(Tableau5[[#This Row],[Besoin MRO]]=Tableau5[[#This Row],[Remis MRO]],"OK","NOK")</f>
        <v>OK</v>
      </c>
      <c r="BH33">
        <v>1</v>
      </c>
      <c r="BI33">
        <f>SUMIFS(Tableau4[NB Remis],Tableau4[Réf matériel],Tableau5[[#This Row],[Réf matériel]],Tableau4[Matricule],"LSA")</f>
        <v>1</v>
      </c>
      <c r="BJ33" s="105" t="str">
        <f>IF(Tableau5[[#This Row],[Besoin LSA]]=Tableau5[[#This Row],[Remis LSA]],"OK","NOK")</f>
        <v>OK</v>
      </c>
      <c r="BK33">
        <v>1</v>
      </c>
      <c r="BL33">
        <f>SUMIFS(Tableau4[NB Remis],Tableau4[Réf matériel],Tableau5[[#This Row],[Réf matériel]],Tableau4[Matricule],"SST")</f>
        <v>1</v>
      </c>
      <c r="BM33" s="105" t="str">
        <f>IF(Tableau5[[#This Row],[Besoin SST]]=Tableau5[[#This Row],[Remis SST]],"OK","NOK")</f>
        <v>OK</v>
      </c>
      <c r="BO33">
        <f>SUMIFS(Tableau4[NB Remis],Tableau4[Réf matériel],Tableau5[[#This Row],[Réf matériel]],Tableau4[Matricule],"CTH")</f>
        <v>0</v>
      </c>
      <c r="BP33" s="105" t="str">
        <f>IF(Tableau5[[#This Row],[Besoin CTH]]=Tableau5[[#This Row],[Remis CTH]],"OK","NOK")</f>
        <v>OK</v>
      </c>
      <c r="BQ33">
        <v>1</v>
      </c>
      <c r="BR33">
        <f>SUMIFS(Tableau4[NB Remis],Tableau4[Réf matériel],Tableau5[[#This Row],[Réf matériel]],Tableau4[Matricule],"AVU")</f>
        <v>1</v>
      </c>
      <c r="BS33" s="105" t="str">
        <f>IF(Tableau5[[#This Row],[Besoin AVU]]=Tableau5[[#This Row],[Remis AVU]],"OK","NOK")</f>
        <v>OK</v>
      </c>
      <c r="BU33">
        <f>SUMIFS(Tableau4[NB Remis],Tableau4[Réf matériel],Tableau5[[#This Row],[Réf matériel]],Tableau4[Matricule],"FZE")</f>
        <v>0</v>
      </c>
      <c r="BV33" s="105" t="str">
        <f>IF(Tableau5[[#This Row],[Besoin FZE]]=Tableau5[[#This Row],[Remis FZE]],"OK","NOK")</f>
        <v>OK</v>
      </c>
      <c r="BW33">
        <v>1</v>
      </c>
      <c r="BX33">
        <f>SUMIFS(Tableau4[NB Remis],Tableau4[Réf matériel],Tableau5[[#This Row],[Réf matériel]],Tableau4[Matricule],"CV2")</f>
        <v>1</v>
      </c>
      <c r="BY33" s="105" t="str">
        <f>IF(Tableau5[[#This Row],[Besoin CV2]]=Tableau5[[#This Row],[Remis CV2]],"OK","NOK")</f>
        <v>OK</v>
      </c>
      <c r="BZ33">
        <v>1</v>
      </c>
      <c r="CA33">
        <f>SUMIFS(Tableau4[NB Remis],Tableau4[Réf matériel],Tableau5[[#This Row],[Réf matériel]],Tableau4[Matricule],"CV3")</f>
        <v>1</v>
      </c>
      <c r="CB33" s="105" t="str">
        <f>IF(Tableau5[[#This Row],[Besoin CV3]]=Tableau5[[#This Row],[Remis CV3]],"OK","NOK")</f>
        <v>OK</v>
      </c>
      <c r="CC33">
        <v>1</v>
      </c>
      <c r="CD33">
        <f>SUMIFS(Tableau4[NB Remis],Tableau4[Réf matériel],Tableau5[[#This Row],[Réf matériel]],Tableau4[Matricule],"CV1")</f>
        <v>1</v>
      </c>
      <c r="CE33" s="105" t="str">
        <f>IF(Tableau5[[#This Row],[Besoin CV1]]=Tableau5[[#This Row],[Remis CV1]],"OK","NOK")</f>
        <v>OK</v>
      </c>
      <c r="CG33">
        <f>SUMIFS(Tableau4[NB Remis],Tableau4[Réf matériel],Tableau5[[#This Row],[Réf matériel]],Tableau4[Matricule],"CV4")</f>
        <v>0</v>
      </c>
      <c r="CH33" s="106" t="str">
        <f>IF(Tableau5[[#This Row],[Besoin CV4]]=Tableau5[[#This Row],[Remis CV4]],"OK","NOK")</f>
        <v>OK</v>
      </c>
    </row>
    <row r="34" spans="2:86" x14ac:dyDescent="0.25">
      <c r="B34" t="s">
        <v>427</v>
      </c>
      <c r="D34">
        <f>SUMIFS(Tableau4[NB Remis],Tableau4[Réf matériel],Tableau5[[#This Row],[Réf matériel]],Tableau4[Matricule],"OAI")</f>
        <v>0</v>
      </c>
      <c r="E34" s="105" t="str">
        <f>IF(Tableau5[[#This Row],[Besoin OAI]]=Tableau5[[#This Row],[Remis OAI]],"OK","NOK")</f>
        <v>OK</v>
      </c>
      <c r="G34">
        <f>SUMIFS(Tableau4[NB Remis],Tableau4[Réf matériel],Tableau5[[#This Row],[Réf matériel]],Tableau4[Matricule],"ABE")</f>
        <v>0</v>
      </c>
      <c r="H34" s="105" t="str">
        <f>IF(Tableau5[[#This Row],[Besoin ABE]]=Tableau5[[#This Row],[Remis ABE]],"OK","NOK")</f>
        <v>OK</v>
      </c>
      <c r="J34">
        <f>SUMIFS(Tableau4[NB Remis],Tableau4[Réf matériel],Tableau5[[#This Row],[Réf matériel]],Tableau4[Matricule],"SBI")</f>
        <v>0</v>
      </c>
      <c r="K34" s="105" t="str">
        <f>IF(Tableau5[[#This Row],[Besoin SBI]]=Tableau5[[#This Row],[Remis SBI]],"OK","NOK")</f>
        <v>OK</v>
      </c>
      <c r="M34">
        <f>SUMIFS(Tableau4[NB Remis],Tableau4[Réf matériel],Tableau5[[#This Row],[Réf matériel]],Tableau4[Matricule],"ABI")</f>
        <v>0</v>
      </c>
      <c r="N34" s="105" t="str">
        <f>IF(Tableau5[[#This Row],[Besoin ABI]]=Tableau5[[#This Row],[Remis ABI]],"OK","NOK")</f>
        <v>OK</v>
      </c>
      <c r="P34">
        <f>SUMIFS(Tableau4[NB Remis],Tableau4[Réf matériel],Tableau5[[#This Row],[Réf matériel]],Tableau4[Matricule],"DCE")</f>
        <v>0</v>
      </c>
      <c r="Q34" s="105" t="str">
        <f>IF(Tableau5[[#This Row],[Besoin DCE]]=Tableau5[[#This Row],[Remis DCE]],"OK","NOK")</f>
        <v>OK</v>
      </c>
      <c r="S34">
        <f>SUMIFS(Tableau4[NB Remis],Tableau4[Réf matériel],Tableau5[[#This Row],[Réf matériel]],Tableau4[Matricule],"JDE")</f>
        <v>0</v>
      </c>
      <c r="T34" s="105" t="str">
        <f>IF(Tableau5[[#This Row],[Besoin JDE]]=Tableau5[[#This Row],[Remis JDE]],"OK","NOK")</f>
        <v>OK</v>
      </c>
      <c r="V34">
        <f>SUMIFS(Tableau4[NB Remis],Tableau4[Réf matériel],Tableau5[[#This Row],[Réf matériel]],Tableau4[Matricule],"ODI")</f>
        <v>0</v>
      </c>
      <c r="W34" s="105" t="str">
        <f>IF(Tableau5[[#This Row],[Besoin ODI]]=Tableau5[[#This Row],[Remis ODI]],"OK","NOK")</f>
        <v>OK</v>
      </c>
      <c r="Y34">
        <f>SUMIFS(Tableau4[NB Remis],Tableau4[Réf matériel],Tableau5[[#This Row],[Réf matériel]],Tableau4[Matricule],"MFO")</f>
        <v>0</v>
      </c>
      <c r="Z34" s="105" t="str">
        <f>IF(Tableau5[[#This Row],[Besoin MFO]]=Tableau5[[#This Row],[Remis MFO]],"OK","NOK")</f>
        <v>OK</v>
      </c>
      <c r="AB34">
        <f>SUMIFS(Tableau4[NB Remis],Tableau4[Réf matériel],Tableau5[[#This Row],[Réf matériel]],Tableau4[Matricule],"SDU")</f>
        <v>0</v>
      </c>
      <c r="AC34" s="105" t="str">
        <f>IF(Tableau5[[#This Row],[Besoin SDU]]=Tableau5[[#This Row],[Remis SDU]],"OK","NOK")</f>
        <v>OK</v>
      </c>
      <c r="AE34">
        <f>SUMIFS(Tableau4[NB Remis],Tableau4[Réf matériel],Tableau5[[#This Row],[Réf matériel]],Tableau4[Matricule],"GGA")</f>
        <v>0</v>
      </c>
      <c r="AF34" s="105" t="str">
        <f>IF(Tableau5[[#This Row],[Besoin GGA2]]=Tableau5[[#This Row],[Remis GGA3]],"OK","NOK")</f>
        <v>OK</v>
      </c>
      <c r="AH34">
        <f>SUMIFS(Tableau4[NB Remis],Tableau4[Réf matériel],Tableau5[[#This Row],[Réf matériel]],Tableau4[Matricule],"RGE")</f>
        <v>0</v>
      </c>
      <c r="AI34" s="105" t="str">
        <f>IF(Tableau5[[#This Row],[Besoin RGE]]=Tableau5[[#This Row],[Remis RGE]],"OK","NOK")</f>
        <v>OK</v>
      </c>
      <c r="AK34">
        <f>SUMIFS(Tableau4[NB Remis],Tableau4[Réf matériel],Tableau5[[#This Row],[Réf matériel]],Tableau4[Matricule],"CKE")</f>
        <v>0</v>
      </c>
      <c r="AL34" s="105" t="str">
        <f>IF(Tableau5[[#This Row],[Besoin CKE]]=Tableau5[[#This Row],[Remis CKE]],"OK","NOK")</f>
        <v>OK</v>
      </c>
      <c r="AN34">
        <f>SUMIFS(Tableau4[NB Remis],Tableau4[Réf matériel],Tableau5[[#This Row],[Réf matériel]],Tableau4[Matricule],"DMA")</f>
        <v>0</v>
      </c>
      <c r="AO34" s="105" t="str">
        <f>IF(Tableau5[[#This Row],[Besoin DMA]]=Tableau5[[#This Row],[Remis DMA]],"OK","NOK")</f>
        <v>OK</v>
      </c>
      <c r="AQ34">
        <f>SUMIFS(Tableau4[NB Remis],Tableau4[Réf matériel],Tableau5[[#This Row],[Réf matériel]],Tableau4[Matricule],"LMO")</f>
        <v>0</v>
      </c>
      <c r="AR34" s="105" t="str">
        <f>IF(Tableau5[[#This Row],[Besoin LMO]]=Tableau5[[#This Row],[Remis LMO]],"OK","NOK")</f>
        <v>OK</v>
      </c>
      <c r="AT34">
        <f>SUMIFS(Tableau4[NB Remis],Tableau4[Réf matériel],Tableau5[[#This Row],[Réf matériel]],Tableau4[Matricule],"TMO")</f>
        <v>0</v>
      </c>
      <c r="AU34" s="105" t="str">
        <f>IF(Tableau5[[#This Row],[Besoin TMO]]=Tableau5[[#This Row],[Remis TMO]],"OK","NOK")</f>
        <v>OK</v>
      </c>
      <c r="AV34">
        <v>1</v>
      </c>
      <c r="AW34">
        <f>SUMIFS(Tableau4[NB Remis],Tableau4[Réf matériel],Tableau5[[#This Row],[Réf matériel]],Tableau4[Matricule],"JPA")</f>
        <v>1</v>
      </c>
      <c r="AX34" s="105" t="str">
        <f>IF(Tableau5[[#This Row],[Besoin JPA]]=Tableau5[[#This Row],[Remis JPA]],"OK","NOK")</f>
        <v>OK</v>
      </c>
      <c r="AZ34">
        <f>SUMIFS(Tableau4[NB Remis],Tableau4[Réf matériel],Tableau5[[#This Row],[Réf matériel]],Tableau4[Matricule],"MPE")</f>
        <v>0</v>
      </c>
      <c r="BA34" s="105" t="str">
        <f>IF(Tableau5[[#This Row],[Besoin MPE]]=Tableau5[[#This Row],[Remis MPE]],"OK","NOK")</f>
        <v>OK</v>
      </c>
      <c r="BC34">
        <f>SUMIFS(Tableau4[NB Remis],Tableau4[Réf matériel],Tableau5[[#This Row],[Réf matériel]],Tableau4[Matricule],"SPR")</f>
        <v>0</v>
      </c>
      <c r="BD34" s="105" t="str">
        <f>IF(Tableau5[[#This Row],[Besoin SPR]]=Tableau5[[#This Row],[Remis SPR]],"OK","NOK")</f>
        <v>OK</v>
      </c>
      <c r="BF34">
        <f>SUMIFS(Tableau4[NB Remis],Tableau4[Réf matériel],Tableau5[[#This Row],[Réf matériel]],Tableau4[Matricule],"MRO")</f>
        <v>0</v>
      </c>
      <c r="BG34" s="105" t="str">
        <f>IF(Tableau5[[#This Row],[Besoin MRO]]=Tableau5[[#This Row],[Remis MRO]],"OK","NOK")</f>
        <v>OK</v>
      </c>
      <c r="BI34">
        <f>SUMIFS(Tableau4[NB Remis],Tableau4[Réf matériel],Tableau5[[#This Row],[Réf matériel]],Tableau4[Matricule],"LSA")</f>
        <v>0</v>
      </c>
      <c r="BJ34" s="105" t="str">
        <f>IF(Tableau5[[#This Row],[Besoin LSA]]=Tableau5[[#This Row],[Remis LSA]],"OK","NOK")</f>
        <v>OK</v>
      </c>
      <c r="BL34">
        <f>SUMIFS(Tableau4[NB Remis],Tableau4[Réf matériel],Tableau5[[#This Row],[Réf matériel]],Tableau4[Matricule],"SST")</f>
        <v>0</v>
      </c>
      <c r="BM34" s="105" t="str">
        <f>IF(Tableau5[[#This Row],[Besoin SST]]=Tableau5[[#This Row],[Remis SST]],"OK","NOK")</f>
        <v>OK</v>
      </c>
      <c r="BO34">
        <f>SUMIFS(Tableau4[NB Remis],Tableau4[Réf matériel],Tableau5[[#This Row],[Réf matériel]],Tableau4[Matricule],"CTH")</f>
        <v>0</v>
      </c>
      <c r="BP34" s="105" t="str">
        <f>IF(Tableau5[[#This Row],[Besoin CTH]]=Tableau5[[#This Row],[Remis CTH]],"OK","NOK")</f>
        <v>OK</v>
      </c>
      <c r="BR34">
        <f>SUMIFS(Tableau4[NB Remis],Tableau4[Réf matériel],Tableau5[[#This Row],[Réf matériel]],Tableau4[Matricule],"AVU")</f>
        <v>0</v>
      </c>
      <c r="BS34" s="105" t="str">
        <f>IF(Tableau5[[#This Row],[Besoin AVU]]=Tableau5[[#This Row],[Remis AVU]],"OK","NOK")</f>
        <v>OK</v>
      </c>
      <c r="BU34">
        <f>SUMIFS(Tableau4[NB Remis],Tableau4[Réf matériel],Tableau5[[#This Row],[Réf matériel]],Tableau4[Matricule],"FZE")</f>
        <v>0</v>
      </c>
      <c r="BV34" s="105" t="str">
        <f>IF(Tableau5[[#This Row],[Besoin FZE]]=Tableau5[[#This Row],[Remis FZE]],"OK","NOK")</f>
        <v>OK</v>
      </c>
      <c r="BX34">
        <f>SUMIFS(Tableau4[NB Remis],Tableau4[Réf matériel],Tableau5[[#This Row],[Réf matériel]],Tableau4[Matricule],"CV2")</f>
        <v>0</v>
      </c>
      <c r="BY34" s="105" t="str">
        <f>IF(Tableau5[[#This Row],[Besoin CV2]]=Tableau5[[#This Row],[Remis CV2]],"OK","NOK")</f>
        <v>OK</v>
      </c>
      <c r="CA34">
        <f>SUMIFS(Tableau4[NB Remis],Tableau4[Réf matériel],Tableau5[[#This Row],[Réf matériel]],Tableau4[Matricule],"CV3")</f>
        <v>0</v>
      </c>
      <c r="CB34" s="105" t="str">
        <f>IF(Tableau5[[#This Row],[Besoin CV3]]=Tableau5[[#This Row],[Remis CV3]],"OK","NOK")</f>
        <v>OK</v>
      </c>
      <c r="CD34">
        <f>SUMIFS(Tableau4[NB Remis],Tableau4[Réf matériel],Tableau5[[#This Row],[Réf matériel]],Tableau4[Matricule],"CV1")</f>
        <v>0</v>
      </c>
      <c r="CE34" s="105" t="str">
        <f>IF(Tableau5[[#This Row],[Besoin CV1]]=Tableau5[[#This Row],[Remis CV1]],"OK","NOK")</f>
        <v>OK</v>
      </c>
      <c r="CG34">
        <f>SUMIFS(Tableau4[NB Remis],Tableau4[Réf matériel],Tableau5[[#This Row],[Réf matériel]],Tableau4[Matricule],"CV4")</f>
        <v>0</v>
      </c>
      <c r="CH34" s="106" t="str">
        <f>IF(Tableau5[[#This Row],[Besoin CV4]]=Tableau5[[#This Row],[Remis CV4]],"OK","NOK")</f>
        <v>OK</v>
      </c>
    </row>
    <row r="35" spans="2:86" x14ac:dyDescent="0.25">
      <c r="B35" t="s">
        <v>415</v>
      </c>
      <c r="C35">
        <v>1</v>
      </c>
      <c r="D35">
        <f>SUMIFS(Tableau4[NB Remis],Tableau4[Réf matériel],Tableau5[[#This Row],[Réf matériel]],Tableau4[Matricule],"OAI")</f>
        <v>1</v>
      </c>
      <c r="E35" s="105" t="str">
        <f>IF(Tableau5[[#This Row],[Besoin OAI]]=Tableau5[[#This Row],[Remis OAI]],"OK","NOK")</f>
        <v>OK</v>
      </c>
      <c r="F35">
        <v>1</v>
      </c>
      <c r="G35">
        <f>SUMIFS(Tableau4[NB Remis],Tableau4[Réf matériel],Tableau5[[#This Row],[Réf matériel]],Tableau4[Matricule],"ABE")</f>
        <v>1</v>
      </c>
      <c r="H35" s="105" t="str">
        <f>IF(Tableau5[[#This Row],[Besoin ABE]]=Tableau5[[#This Row],[Remis ABE]],"OK","NOK")</f>
        <v>OK</v>
      </c>
      <c r="J35">
        <f>SUMIFS(Tableau4[NB Remis],Tableau4[Réf matériel],Tableau5[[#This Row],[Réf matériel]],Tableau4[Matricule],"SBI")</f>
        <v>0</v>
      </c>
      <c r="K35" s="105" t="str">
        <f>IF(Tableau5[[#This Row],[Besoin SBI]]=Tableau5[[#This Row],[Remis SBI]],"OK","NOK")</f>
        <v>OK</v>
      </c>
      <c r="L35">
        <v>1</v>
      </c>
      <c r="M35">
        <f>SUMIFS(Tableau4[NB Remis],Tableau4[Réf matériel],Tableau5[[#This Row],[Réf matériel]],Tableau4[Matricule],"ABI")</f>
        <v>1</v>
      </c>
      <c r="N35" s="105" t="str">
        <f>IF(Tableau5[[#This Row],[Besoin ABI]]=Tableau5[[#This Row],[Remis ABI]],"OK","NOK")</f>
        <v>OK</v>
      </c>
      <c r="P35">
        <f>SUMIFS(Tableau4[NB Remis],Tableau4[Réf matériel],Tableau5[[#This Row],[Réf matériel]],Tableau4[Matricule],"DCE")</f>
        <v>0</v>
      </c>
      <c r="Q35" s="105" t="str">
        <f>IF(Tableau5[[#This Row],[Besoin DCE]]=Tableau5[[#This Row],[Remis DCE]],"OK","NOK")</f>
        <v>OK</v>
      </c>
      <c r="R35">
        <v>1</v>
      </c>
      <c r="S35">
        <f>SUMIFS(Tableau4[NB Remis],Tableau4[Réf matériel],Tableau5[[#This Row],[Réf matériel]],Tableau4[Matricule],"JDE")</f>
        <v>1</v>
      </c>
      <c r="T35" s="105" t="str">
        <f>IF(Tableau5[[#This Row],[Besoin JDE]]=Tableau5[[#This Row],[Remis JDE]],"OK","NOK")</f>
        <v>OK</v>
      </c>
      <c r="U35">
        <v>1</v>
      </c>
      <c r="V35">
        <f>SUMIFS(Tableau4[NB Remis],Tableau4[Réf matériel],Tableau5[[#This Row],[Réf matériel]],Tableau4[Matricule],"ODI")</f>
        <v>1</v>
      </c>
      <c r="W35" s="105" t="str">
        <f>IF(Tableau5[[#This Row],[Besoin ODI]]=Tableau5[[#This Row],[Remis ODI]],"OK","NOK")</f>
        <v>OK</v>
      </c>
      <c r="Y35">
        <f>SUMIFS(Tableau4[NB Remis],Tableau4[Réf matériel],Tableau5[[#This Row],[Réf matériel]],Tableau4[Matricule],"MFO")</f>
        <v>0</v>
      </c>
      <c r="Z35" s="105" t="str">
        <f>IF(Tableau5[[#This Row],[Besoin MFO]]=Tableau5[[#This Row],[Remis MFO]],"OK","NOK")</f>
        <v>OK</v>
      </c>
      <c r="AB35">
        <f>SUMIFS(Tableau4[NB Remis],Tableau4[Réf matériel],Tableau5[[#This Row],[Réf matériel]],Tableau4[Matricule],"SDU")</f>
        <v>0</v>
      </c>
      <c r="AC35" s="105" t="str">
        <f>IF(Tableau5[[#This Row],[Besoin SDU]]=Tableau5[[#This Row],[Remis SDU]],"OK","NOK")</f>
        <v>OK</v>
      </c>
      <c r="AE35">
        <f>SUMIFS(Tableau4[NB Remis],Tableau4[Réf matériel],Tableau5[[#This Row],[Réf matériel]],Tableau4[Matricule],"GGA")</f>
        <v>0</v>
      </c>
      <c r="AF35" s="105" t="str">
        <f>IF(Tableau5[[#This Row],[Besoin GGA2]]=Tableau5[[#This Row],[Remis GGA3]],"OK","NOK")</f>
        <v>OK</v>
      </c>
      <c r="AG35">
        <v>1</v>
      </c>
      <c r="AH35">
        <f>SUMIFS(Tableau4[NB Remis],Tableau4[Réf matériel],Tableau5[[#This Row],[Réf matériel]],Tableau4[Matricule],"RGE")</f>
        <v>2</v>
      </c>
      <c r="AI35" s="105" t="str">
        <f>IF(Tableau5[[#This Row],[Besoin RGE]]=Tableau5[[#This Row],[Remis RGE]],"OK","NOK")</f>
        <v>NOK</v>
      </c>
      <c r="AJ35">
        <v>1</v>
      </c>
      <c r="AK35">
        <f>SUMIFS(Tableau4[NB Remis],Tableau4[Réf matériel],Tableau5[[#This Row],[Réf matériel]],Tableau4[Matricule],"CKE")</f>
        <v>1</v>
      </c>
      <c r="AL35" s="105" t="str">
        <f>IF(Tableau5[[#This Row],[Besoin CKE]]=Tableau5[[#This Row],[Remis CKE]],"OK","NOK")</f>
        <v>OK</v>
      </c>
      <c r="AN35">
        <f>SUMIFS(Tableau4[NB Remis],Tableau4[Réf matériel],Tableau5[[#This Row],[Réf matériel]],Tableau4[Matricule],"DMA")</f>
        <v>0</v>
      </c>
      <c r="AO35" s="105" t="str">
        <f>IF(Tableau5[[#This Row],[Besoin DMA]]=Tableau5[[#This Row],[Remis DMA]],"OK","NOK")</f>
        <v>OK</v>
      </c>
      <c r="AQ35">
        <f>SUMIFS(Tableau4[NB Remis],Tableau4[Réf matériel],Tableau5[[#This Row],[Réf matériel]],Tableau4[Matricule],"LMO")</f>
        <v>0</v>
      </c>
      <c r="AR35" s="105" t="str">
        <f>IF(Tableau5[[#This Row],[Besoin LMO]]=Tableau5[[#This Row],[Remis LMO]],"OK","NOK")</f>
        <v>OK</v>
      </c>
      <c r="AS35">
        <v>1</v>
      </c>
      <c r="AT35">
        <f>SUMIFS(Tableau4[NB Remis],Tableau4[Réf matériel],Tableau5[[#This Row],[Réf matériel]],Tableau4[Matricule],"TMO")</f>
        <v>1</v>
      </c>
      <c r="AU35" s="105" t="str">
        <f>IF(Tableau5[[#This Row],[Besoin TMO]]=Tableau5[[#This Row],[Remis TMO]],"OK","NOK")</f>
        <v>OK</v>
      </c>
      <c r="AV35">
        <v>1</v>
      </c>
      <c r="AW35">
        <f>SUMIFS(Tableau4[NB Remis],Tableau4[Réf matériel],Tableau5[[#This Row],[Réf matériel]],Tableau4[Matricule],"JPA")</f>
        <v>1</v>
      </c>
      <c r="AX35" s="105" t="str">
        <f>IF(Tableau5[[#This Row],[Besoin JPA]]=Tableau5[[#This Row],[Remis JPA]],"OK","NOK")</f>
        <v>OK</v>
      </c>
      <c r="AZ35">
        <f>SUMIFS(Tableau4[NB Remis],Tableau4[Réf matériel],Tableau5[[#This Row],[Réf matériel]],Tableau4[Matricule],"MPE")</f>
        <v>0</v>
      </c>
      <c r="BA35" s="105" t="str">
        <f>IF(Tableau5[[#This Row],[Besoin MPE]]=Tableau5[[#This Row],[Remis MPE]],"OK","NOK")</f>
        <v>OK</v>
      </c>
      <c r="BB35">
        <v>1</v>
      </c>
      <c r="BC35">
        <f>SUMIFS(Tableau4[NB Remis],Tableau4[Réf matériel],Tableau5[[#This Row],[Réf matériel]],Tableau4[Matricule],"SPR")</f>
        <v>1</v>
      </c>
      <c r="BD35" s="105" t="str">
        <f>IF(Tableau5[[#This Row],[Besoin SPR]]=Tableau5[[#This Row],[Remis SPR]],"OK","NOK")</f>
        <v>OK</v>
      </c>
      <c r="BE35">
        <v>1</v>
      </c>
      <c r="BF35">
        <f>SUMIFS(Tableau4[NB Remis],Tableau4[Réf matériel],Tableau5[[#This Row],[Réf matériel]],Tableau4[Matricule],"MRO")</f>
        <v>1</v>
      </c>
      <c r="BG35" s="105" t="str">
        <f>IF(Tableau5[[#This Row],[Besoin MRO]]=Tableau5[[#This Row],[Remis MRO]],"OK","NOK")</f>
        <v>OK</v>
      </c>
      <c r="BH35">
        <v>1</v>
      </c>
      <c r="BI35">
        <f>SUMIFS(Tableau4[NB Remis],Tableau4[Réf matériel],Tableau5[[#This Row],[Réf matériel]],Tableau4[Matricule],"LSA")</f>
        <v>1</v>
      </c>
      <c r="BJ35" s="105" t="str">
        <f>IF(Tableau5[[#This Row],[Besoin LSA]]=Tableau5[[#This Row],[Remis LSA]],"OK","NOK")</f>
        <v>OK</v>
      </c>
      <c r="BK35">
        <v>1</v>
      </c>
      <c r="BL35">
        <f>SUMIFS(Tableau4[NB Remis],Tableau4[Réf matériel],Tableau5[[#This Row],[Réf matériel]],Tableau4[Matricule],"SST")</f>
        <v>1</v>
      </c>
      <c r="BM35" s="105" t="str">
        <f>IF(Tableau5[[#This Row],[Besoin SST]]=Tableau5[[#This Row],[Remis SST]],"OK","NOK")</f>
        <v>OK</v>
      </c>
      <c r="BO35">
        <f>SUMIFS(Tableau4[NB Remis],Tableau4[Réf matériel],Tableau5[[#This Row],[Réf matériel]],Tableau4[Matricule],"CTH")</f>
        <v>0</v>
      </c>
      <c r="BP35" s="105" t="str">
        <f>IF(Tableau5[[#This Row],[Besoin CTH]]=Tableau5[[#This Row],[Remis CTH]],"OK","NOK")</f>
        <v>OK</v>
      </c>
      <c r="BQ35">
        <v>1</v>
      </c>
      <c r="BR35">
        <f>SUMIFS(Tableau4[NB Remis],Tableau4[Réf matériel],Tableau5[[#This Row],[Réf matériel]],Tableau4[Matricule],"AVU")</f>
        <v>1</v>
      </c>
      <c r="BS35" s="105" t="str">
        <f>IF(Tableau5[[#This Row],[Besoin AVU]]=Tableau5[[#This Row],[Remis AVU]],"OK","NOK")</f>
        <v>OK</v>
      </c>
      <c r="BU35">
        <f>SUMIFS(Tableau4[NB Remis],Tableau4[Réf matériel],Tableau5[[#This Row],[Réf matériel]],Tableau4[Matricule],"FZE")</f>
        <v>0</v>
      </c>
      <c r="BV35" s="105" t="str">
        <f>IF(Tableau5[[#This Row],[Besoin FZE]]=Tableau5[[#This Row],[Remis FZE]],"OK","NOK")</f>
        <v>OK</v>
      </c>
      <c r="BW35">
        <v>1</v>
      </c>
      <c r="BX35">
        <f>SUMIFS(Tableau4[NB Remis],Tableau4[Réf matériel],Tableau5[[#This Row],[Réf matériel]],Tableau4[Matricule],"CV2")</f>
        <v>1</v>
      </c>
      <c r="BY35" s="105" t="str">
        <f>IF(Tableau5[[#This Row],[Besoin CV2]]=Tableau5[[#This Row],[Remis CV2]],"OK","NOK")</f>
        <v>OK</v>
      </c>
      <c r="BZ35">
        <v>1</v>
      </c>
      <c r="CA35">
        <f>SUMIFS(Tableau4[NB Remis],Tableau4[Réf matériel],Tableau5[[#This Row],[Réf matériel]],Tableau4[Matricule],"CV3")</f>
        <v>1</v>
      </c>
      <c r="CB35" s="105" t="str">
        <f>IF(Tableau5[[#This Row],[Besoin CV3]]=Tableau5[[#This Row],[Remis CV3]],"OK","NOK")</f>
        <v>OK</v>
      </c>
      <c r="CC35">
        <v>1</v>
      </c>
      <c r="CD35">
        <f>SUMIFS(Tableau4[NB Remis],Tableau4[Réf matériel],Tableau5[[#This Row],[Réf matériel]],Tableau4[Matricule],"CV1")</f>
        <v>1</v>
      </c>
      <c r="CE35" s="105" t="str">
        <f>IF(Tableau5[[#This Row],[Besoin CV1]]=Tableau5[[#This Row],[Remis CV1]],"OK","NOK")</f>
        <v>OK</v>
      </c>
      <c r="CG35">
        <f>SUMIFS(Tableau4[NB Remis],Tableau4[Réf matériel],Tableau5[[#This Row],[Réf matériel]],Tableau4[Matricule],"CV4")</f>
        <v>0</v>
      </c>
      <c r="CH35" s="106" t="str">
        <f>IF(Tableau5[[#This Row],[Besoin CV4]]=Tableau5[[#This Row],[Remis CV4]],"OK","NOK")</f>
        <v>OK</v>
      </c>
    </row>
    <row r="36" spans="2:86" x14ac:dyDescent="0.25">
      <c r="B36" t="s">
        <v>453</v>
      </c>
      <c r="D36">
        <f>SUMIFS(Tableau4[NB Remis],Tableau4[Réf matériel],Tableau5[[#This Row],[Réf matériel]],Tableau4[Matricule],"OAI")</f>
        <v>0</v>
      </c>
      <c r="E36" s="105" t="str">
        <f>IF(Tableau5[[#This Row],[Besoin OAI]]=Tableau5[[#This Row],[Remis OAI]],"OK","NOK")</f>
        <v>OK</v>
      </c>
      <c r="G36">
        <f>SUMIFS(Tableau4[NB Remis],Tableau4[Réf matériel],Tableau5[[#This Row],[Réf matériel]],Tableau4[Matricule],"ABE")</f>
        <v>0</v>
      </c>
      <c r="H36" s="105" t="str">
        <f>IF(Tableau5[[#This Row],[Besoin ABE]]=Tableau5[[#This Row],[Remis ABE]],"OK","NOK")</f>
        <v>OK</v>
      </c>
      <c r="J36">
        <f>SUMIFS(Tableau4[NB Remis],Tableau4[Réf matériel],Tableau5[[#This Row],[Réf matériel]],Tableau4[Matricule],"SBI")</f>
        <v>0</v>
      </c>
      <c r="K36" s="105" t="str">
        <f>IF(Tableau5[[#This Row],[Besoin SBI]]=Tableau5[[#This Row],[Remis SBI]],"OK","NOK")</f>
        <v>OK</v>
      </c>
      <c r="M36">
        <f>SUMIFS(Tableau4[NB Remis],Tableau4[Réf matériel],Tableau5[[#This Row],[Réf matériel]],Tableau4[Matricule],"ABI")</f>
        <v>0</v>
      </c>
      <c r="N36" s="105" t="str">
        <f>IF(Tableau5[[#This Row],[Besoin ABI]]=Tableau5[[#This Row],[Remis ABI]],"OK","NOK")</f>
        <v>OK</v>
      </c>
      <c r="P36">
        <f>SUMIFS(Tableau4[NB Remis],Tableau4[Réf matériel],Tableau5[[#This Row],[Réf matériel]],Tableau4[Matricule],"DCE")</f>
        <v>0</v>
      </c>
      <c r="Q36" s="105" t="str">
        <f>IF(Tableau5[[#This Row],[Besoin DCE]]=Tableau5[[#This Row],[Remis DCE]],"OK","NOK")</f>
        <v>OK</v>
      </c>
      <c r="R36">
        <v>1</v>
      </c>
      <c r="S36">
        <f>SUMIFS(Tableau4[NB Remis],Tableau4[Réf matériel],Tableau5[[#This Row],[Réf matériel]],Tableau4[Matricule],"JDE")</f>
        <v>1</v>
      </c>
      <c r="T36" s="105" t="str">
        <f>IF(Tableau5[[#This Row],[Besoin JDE]]=Tableau5[[#This Row],[Remis JDE]],"OK","NOK")</f>
        <v>OK</v>
      </c>
      <c r="V36">
        <f>SUMIFS(Tableau4[NB Remis],Tableau4[Réf matériel],Tableau5[[#This Row],[Réf matériel]],Tableau4[Matricule],"ODI")</f>
        <v>0</v>
      </c>
      <c r="W36" s="105" t="str">
        <f>IF(Tableau5[[#This Row],[Besoin ODI]]=Tableau5[[#This Row],[Remis ODI]],"OK","NOK")</f>
        <v>OK</v>
      </c>
      <c r="Y36">
        <f>SUMIFS(Tableau4[NB Remis],Tableau4[Réf matériel],Tableau5[[#This Row],[Réf matériel]],Tableau4[Matricule],"MFO")</f>
        <v>0</v>
      </c>
      <c r="Z36" s="105" t="str">
        <f>IF(Tableau5[[#This Row],[Besoin MFO]]=Tableau5[[#This Row],[Remis MFO]],"OK","NOK")</f>
        <v>OK</v>
      </c>
      <c r="AB36">
        <f>SUMIFS(Tableau4[NB Remis],Tableau4[Réf matériel],Tableau5[[#This Row],[Réf matériel]],Tableau4[Matricule],"SDU")</f>
        <v>0</v>
      </c>
      <c r="AC36" s="105" t="str">
        <f>IF(Tableau5[[#This Row],[Besoin SDU]]=Tableau5[[#This Row],[Remis SDU]],"OK","NOK")</f>
        <v>OK</v>
      </c>
      <c r="AE36">
        <f>SUMIFS(Tableau4[NB Remis],Tableau4[Réf matériel],Tableau5[[#This Row],[Réf matériel]],Tableau4[Matricule],"GGA")</f>
        <v>0</v>
      </c>
      <c r="AF36" s="105" t="str">
        <f>IF(Tableau5[[#This Row],[Besoin GGA2]]=Tableau5[[#This Row],[Remis GGA3]],"OK","NOK")</f>
        <v>OK</v>
      </c>
      <c r="AH36">
        <f>SUMIFS(Tableau4[NB Remis],Tableau4[Réf matériel],Tableau5[[#This Row],[Réf matériel]],Tableau4[Matricule],"RGE")</f>
        <v>0</v>
      </c>
      <c r="AI36" s="105" t="str">
        <f>IF(Tableau5[[#This Row],[Besoin RGE]]=Tableau5[[#This Row],[Remis RGE]],"OK","NOK")</f>
        <v>OK</v>
      </c>
      <c r="AK36">
        <f>SUMIFS(Tableau4[NB Remis],Tableau4[Réf matériel],Tableau5[[#This Row],[Réf matériel]],Tableau4[Matricule],"CKE")</f>
        <v>0</v>
      </c>
      <c r="AL36" s="105" t="str">
        <f>IF(Tableau5[[#This Row],[Besoin CKE]]=Tableau5[[#This Row],[Remis CKE]],"OK","NOK")</f>
        <v>OK</v>
      </c>
      <c r="AN36">
        <f>SUMIFS(Tableau4[NB Remis],Tableau4[Réf matériel],Tableau5[[#This Row],[Réf matériel]],Tableau4[Matricule],"DMA")</f>
        <v>0</v>
      </c>
      <c r="AO36" s="105" t="str">
        <f>IF(Tableau5[[#This Row],[Besoin DMA]]=Tableau5[[#This Row],[Remis DMA]],"OK","NOK")</f>
        <v>OK</v>
      </c>
      <c r="AQ36">
        <f>SUMIFS(Tableau4[NB Remis],Tableau4[Réf matériel],Tableau5[[#This Row],[Réf matériel]],Tableau4[Matricule],"LMO")</f>
        <v>0</v>
      </c>
      <c r="AR36" s="105" t="str">
        <f>IF(Tableau5[[#This Row],[Besoin LMO]]=Tableau5[[#This Row],[Remis LMO]],"OK","NOK")</f>
        <v>OK</v>
      </c>
      <c r="AT36">
        <f>SUMIFS(Tableau4[NB Remis],Tableau4[Réf matériel],Tableau5[[#This Row],[Réf matériel]],Tableau4[Matricule],"TMO")</f>
        <v>0</v>
      </c>
      <c r="AU36" s="105" t="str">
        <f>IF(Tableau5[[#This Row],[Besoin TMO]]=Tableau5[[#This Row],[Remis TMO]],"OK","NOK")</f>
        <v>OK</v>
      </c>
      <c r="AW36">
        <f>SUMIFS(Tableau4[NB Remis],Tableau4[Réf matériel],Tableau5[[#This Row],[Réf matériel]],Tableau4[Matricule],"JPA")</f>
        <v>0</v>
      </c>
      <c r="AX36" s="105" t="str">
        <f>IF(Tableau5[[#This Row],[Besoin JPA]]=Tableau5[[#This Row],[Remis JPA]],"OK","NOK")</f>
        <v>OK</v>
      </c>
      <c r="AZ36">
        <f>SUMIFS(Tableau4[NB Remis],Tableau4[Réf matériel],Tableau5[[#This Row],[Réf matériel]],Tableau4[Matricule],"MPE")</f>
        <v>0</v>
      </c>
      <c r="BA36" s="105" t="str">
        <f>IF(Tableau5[[#This Row],[Besoin MPE]]=Tableau5[[#This Row],[Remis MPE]],"OK","NOK")</f>
        <v>OK</v>
      </c>
      <c r="BC36">
        <f>SUMIFS(Tableau4[NB Remis],Tableau4[Réf matériel],Tableau5[[#This Row],[Réf matériel]],Tableau4[Matricule],"SPR")</f>
        <v>0</v>
      </c>
      <c r="BD36" s="105" t="str">
        <f>IF(Tableau5[[#This Row],[Besoin SPR]]=Tableau5[[#This Row],[Remis SPR]],"OK","NOK")</f>
        <v>OK</v>
      </c>
      <c r="BF36">
        <f>SUMIFS(Tableau4[NB Remis],Tableau4[Réf matériel],Tableau5[[#This Row],[Réf matériel]],Tableau4[Matricule],"MRO")</f>
        <v>0</v>
      </c>
      <c r="BG36" s="105" t="str">
        <f>IF(Tableau5[[#This Row],[Besoin MRO]]=Tableau5[[#This Row],[Remis MRO]],"OK","NOK")</f>
        <v>OK</v>
      </c>
      <c r="BI36">
        <f>SUMIFS(Tableau4[NB Remis],Tableau4[Réf matériel],Tableau5[[#This Row],[Réf matériel]],Tableau4[Matricule],"LSA")</f>
        <v>0</v>
      </c>
      <c r="BJ36" s="105" t="str">
        <f>IF(Tableau5[[#This Row],[Besoin LSA]]=Tableau5[[#This Row],[Remis LSA]],"OK","NOK")</f>
        <v>OK</v>
      </c>
      <c r="BL36">
        <f>SUMIFS(Tableau4[NB Remis],Tableau4[Réf matériel],Tableau5[[#This Row],[Réf matériel]],Tableau4[Matricule],"SST")</f>
        <v>0</v>
      </c>
      <c r="BM36" s="105" t="str">
        <f>IF(Tableau5[[#This Row],[Besoin SST]]=Tableau5[[#This Row],[Remis SST]],"OK","NOK")</f>
        <v>OK</v>
      </c>
      <c r="BO36">
        <f>SUMIFS(Tableau4[NB Remis],Tableau4[Réf matériel],Tableau5[[#This Row],[Réf matériel]],Tableau4[Matricule],"CTH")</f>
        <v>0</v>
      </c>
      <c r="BP36" s="105" t="str">
        <f>IF(Tableau5[[#This Row],[Besoin CTH]]=Tableau5[[#This Row],[Remis CTH]],"OK","NOK")</f>
        <v>OK</v>
      </c>
      <c r="BR36">
        <f>SUMIFS(Tableau4[NB Remis],Tableau4[Réf matériel],Tableau5[[#This Row],[Réf matériel]],Tableau4[Matricule],"AVU")</f>
        <v>0</v>
      </c>
      <c r="BS36" s="105" t="str">
        <f>IF(Tableau5[[#This Row],[Besoin AVU]]=Tableau5[[#This Row],[Remis AVU]],"OK","NOK")</f>
        <v>OK</v>
      </c>
      <c r="BU36">
        <f>SUMIFS(Tableau4[NB Remis],Tableau4[Réf matériel],Tableau5[[#This Row],[Réf matériel]],Tableau4[Matricule],"FZE")</f>
        <v>0</v>
      </c>
      <c r="BV36" s="105" t="str">
        <f>IF(Tableau5[[#This Row],[Besoin FZE]]=Tableau5[[#This Row],[Remis FZE]],"OK","NOK")</f>
        <v>OK</v>
      </c>
      <c r="BX36">
        <f>SUMIFS(Tableau4[NB Remis],Tableau4[Réf matériel],Tableau5[[#This Row],[Réf matériel]],Tableau4[Matricule],"CV2")</f>
        <v>0</v>
      </c>
      <c r="BY36" s="105" t="str">
        <f>IF(Tableau5[[#This Row],[Besoin CV2]]=Tableau5[[#This Row],[Remis CV2]],"OK","NOK")</f>
        <v>OK</v>
      </c>
      <c r="CA36">
        <f>SUMIFS(Tableau4[NB Remis],Tableau4[Réf matériel],Tableau5[[#This Row],[Réf matériel]],Tableau4[Matricule],"CV3")</f>
        <v>0</v>
      </c>
      <c r="CB36" s="105" t="str">
        <f>IF(Tableau5[[#This Row],[Besoin CV3]]=Tableau5[[#This Row],[Remis CV3]],"OK","NOK")</f>
        <v>OK</v>
      </c>
      <c r="CD36">
        <f>SUMIFS(Tableau4[NB Remis],Tableau4[Réf matériel],Tableau5[[#This Row],[Réf matériel]],Tableau4[Matricule],"CV1")</f>
        <v>0</v>
      </c>
      <c r="CE36" s="105" t="str">
        <f>IF(Tableau5[[#This Row],[Besoin CV1]]=Tableau5[[#This Row],[Remis CV1]],"OK","NOK")</f>
        <v>OK</v>
      </c>
      <c r="CF36">
        <v>1</v>
      </c>
      <c r="CG36">
        <f>SUMIFS(Tableau4[NB Remis],Tableau4[Réf matériel],Tableau5[[#This Row],[Réf matériel]],Tableau4[Matricule],"CV4")</f>
        <v>1</v>
      </c>
      <c r="CH36" s="106" t="str">
        <f>IF(Tableau5[[#This Row],[Besoin CV4]]=Tableau5[[#This Row],[Remis CV4]],"OK","NOK")</f>
        <v>OK</v>
      </c>
    </row>
    <row r="37" spans="2:86" x14ac:dyDescent="0.25">
      <c r="B37" t="s">
        <v>437</v>
      </c>
      <c r="D37">
        <f>SUMIFS(Tableau4[NB Remis],Tableau4[Réf matériel],Tableau5[[#This Row],[Réf matériel]],Tableau4[Matricule],"OAI")</f>
        <v>0</v>
      </c>
      <c r="E37" s="105" t="str">
        <f>IF(Tableau5[[#This Row],[Besoin OAI]]=Tableau5[[#This Row],[Remis OAI]],"OK","NOK")</f>
        <v>OK</v>
      </c>
      <c r="G37">
        <f>SUMIFS(Tableau4[NB Remis],Tableau4[Réf matériel],Tableau5[[#This Row],[Réf matériel]],Tableau4[Matricule],"ABE")</f>
        <v>0</v>
      </c>
      <c r="H37" s="105" t="str">
        <f>IF(Tableau5[[#This Row],[Besoin ABE]]=Tableau5[[#This Row],[Remis ABE]],"OK","NOK")</f>
        <v>OK</v>
      </c>
      <c r="J37">
        <f>SUMIFS(Tableau4[NB Remis],Tableau4[Réf matériel],Tableau5[[#This Row],[Réf matériel]],Tableau4[Matricule],"SBI")</f>
        <v>0</v>
      </c>
      <c r="K37" s="105" t="str">
        <f>IF(Tableau5[[#This Row],[Besoin SBI]]=Tableau5[[#This Row],[Remis SBI]],"OK","NOK")</f>
        <v>OK</v>
      </c>
      <c r="M37">
        <f>SUMIFS(Tableau4[NB Remis],Tableau4[Réf matériel],Tableau5[[#This Row],[Réf matériel]],Tableau4[Matricule],"ABI")</f>
        <v>0</v>
      </c>
      <c r="N37" s="105" t="str">
        <f>IF(Tableau5[[#This Row],[Besoin ABI]]=Tableau5[[#This Row],[Remis ABI]],"OK","NOK")</f>
        <v>OK</v>
      </c>
      <c r="P37">
        <f>SUMIFS(Tableau4[NB Remis],Tableau4[Réf matériel],Tableau5[[#This Row],[Réf matériel]],Tableau4[Matricule],"DCE")</f>
        <v>0</v>
      </c>
      <c r="Q37" s="105" t="str">
        <f>IF(Tableau5[[#This Row],[Besoin DCE]]=Tableau5[[#This Row],[Remis DCE]],"OK","NOK")</f>
        <v>OK</v>
      </c>
      <c r="S37">
        <f>SUMIFS(Tableau4[NB Remis],Tableau4[Réf matériel],Tableau5[[#This Row],[Réf matériel]],Tableau4[Matricule],"JDE")</f>
        <v>0</v>
      </c>
      <c r="T37" s="105" t="str">
        <f>IF(Tableau5[[#This Row],[Besoin JDE]]=Tableau5[[#This Row],[Remis JDE]],"OK","NOK")</f>
        <v>OK</v>
      </c>
      <c r="V37">
        <f>SUMIFS(Tableau4[NB Remis],Tableau4[Réf matériel],Tableau5[[#This Row],[Réf matériel]],Tableau4[Matricule],"ODI")</f>
        <v>0</v>
      </c>
      <c r="W37" s="105" t="str">
        <f>IF(Tableau5[[#This Row],[Besoin ODI]]=Tableau5[[#This Row],[Remis ODI]],"OK","NOK")</f>
        <v>OK</v>
      </c>
      <c r="Y37">
        <f>SUMIFS(Tableau4[NB Remis],Tableau4[Réf matériel],Tableau5[[#This Row],[Réf matériel]],Tableau4[Matricule],"MFO")</f>
        <v>0</v>
      </c>
      <c r="Z37" s="105" t="str">
        <f>IF(Tableau5[[#This Row],[Besoin MFO]]=Tableau5[[#This Row],[Remis MFO]],"OK","NOK")</f>
        <v>OK</v>
      </c>
      <c r="AB37">
        <f>SUMIFS(Tableau4[NB Remis],Tableau4[Réf matériel],Tableau5[[#This Row],[Réf matériel]],Tableau4[Matricule],"SDU")</f>
        <v>0</v>
      </c>
      <c r="AC37" s="105" t="str">
        <f>IF(Tableau5[[#This Row],[Besoin SDU]]=Tableau5[[#This Row],[Remis SDU]],"OK","NOK")</f>
        <v>OK</v>
      </c>
      <c r="AE37">
        <f>SUMIFS(Tableau4[NB Remis],Tableau4[Réf matériel],Tableau5[[#This Row],[Réf matériel]],Tableau4[Matricule],"GGA")</f>
        <v>0</v>
      </c>
      <c r="AF37" s="105" t="str">
        <f>IF(Tableau5[[#This Row],[Besoin GGA2]]=Tableau5[[#This Row],[Remis GGA3]],"OK","NOK")</f>
        <v>OK</v>
      </c>
      <c r="AH37">
        <f>SUMIFS(Tableau4[NB Remis],Tableau4[Réf matériel],Tableau5[[#This Row],[Réf matériel]],Tableau4[Matricule],"RGE")</f>
        <v>0</v>
      </c>
      <c r="AI37" s="105" t="str">
        <f>IF(Tableau5[[#This Row],[Besoin RGE]]=Tableau5[[#This Row],[Remis RGE]],"OK","NOK")</f>
        <v>OK</v>
      </c>
      <c r="AK37">
        <f>SUMIFS(Tableau4[NB Remis],Tableau4[Réf matériel],Tableau5[[#This Row],[Réf matériel]],Tableau4[Matricule],"CKE")</f>
        <v>0</v>
      </c>
      <c r="AL37" s="105" t="str">
        <f>IF(Tableau5[[#This Row],[Besoin CKE]]=Tableau5[[#This Row],[Remis CKE]],"OK","NOK")</f>
        <v>OK</v>
      </c>
      <c r="AN37">
        <f>SUMIFS(Tableau4[NB Remis],Tableau4[Réf matériel],Tableau5[[#This Row],[Réf matériel]],Tableau4[Matricule],"DMA")</f>
        <v>0</v>
      </c>
      <c r="AO37" s="105" t="str">
        <f>IF(Tableau5[[#This Row],[Besoin DMA]]=Tableau5[[#This Row],[Remis DMA]],"OK","NOK")</f>
        <v>OK</v>
      </c>
      <c r="AQ37">
        <f>SUMIFS(Tableau4[NB Remis],Tableau4[Réf matériel],Tableau5[[#This Row],[Réf matériel]],Tableau4[Matricule],"LMO")</f>
        <v>0</v>
      </c>
      <c r="AR37" s="105" t="str">
        <f>IF(Tableau5[[#This Row],[Besoin LMO]]=Tableau5[[#This Row],[Remis LMO]],"OK","NOK")</f>
        <v>OK</v>
      </c>
      <c r="AT37">
        <f>SUMIFS(Tableau4[NB Remis],Tableau4[Réf matériel],Tableau5[[#This Row],[Réf matériel]],Tableau4[Matricule],"TMO")</f>
        <v>0</v>
      </c>
      <c r="AU37" s="105" t="str">
        <f>IF(Tableau5[[#This Row],[Besoin TMO]]=Tableau5[[#This Row],[Remis TMO]],"OK","NOK")</f>
        <v>OK</v>
      </c>
      <c r="AV37">
        <v>1</v>
      </c>
      <c r="AW37">
        <f>SUMIFS(Tableau4[NB Remis],Tableau4[Réf matériel],Tableau5[[#This Row],[Réf matériel]],Tableau4[Matricule],"JPA")</f>
        <v>1</v>
      </c>
      <c r="AX37" s="105" t="str">
        <f>IF(Tableau5[[#This Row],[Besoin JPA]]=Tableau5[[#This Row],[Remis JPA]],"OK","NOK")</f>
        <v>OK</v>
      </c>
      <c r="AZ37">
        <f>SUMIFS(Tableau4[NB Remis],Tableau4[Réf matériel],Tableau5[[#This Row],[Réf matériel]],Tableau4[Matricule],"MPE")</f>
        <v>0</v>
      </c>
      <c r="BA37" s="105" t="str">
        <f>IF(Tableau5[[#This Row],[Besoin MPE]]=Tableau5[[#This Row],[Remis MPE]],"OK","NOK")</f>
        <v>OK</v>
      </c>
      <c r="BC37">
        <f>SUMIFS(Tableau4[NB Remis],Tableau4[Réf matériel],Tableau5[[#This Row],[Réf matériel]],Tableau4[Matricule],"SPR")</f>
        <v>0</v>
      </c>
      <c r="BD37" s="105" t="str">
        <f>IF(Tableau5[[#This Row],[Besoin SPR]]=Tableau5[[#This Row],[Remis SPR]],"OK","NOK")</f>
        <v>OK</v>
      </c>
      <c r="BF37">
        <f>SUMIFS(Tableau4[NB Remis],Tableau4[Réf matériel],Tableau5[[#This Row],[Réf matériel]],Tableau4[Matricule],"MRO")</f>
        <v>0</v>
      </c>
      <c r="BG37" s="105" t="str">
        <f>IF(Tableau5[[#This Row],[Besoin MRO]]=Tableau5[[#This Row],[Remis MRO]],"OK","NOK")</f>
        <v>OK</v>
      </c>
      <c r="BI37">
        <f>SUMIFS(Tableau4[NB Remis],Tableau4[Réf matériel],Tableau5[[#This Row],[Réf matériel]],Tableau4[Matricule],"LSA")</f>
        <v>0</v>
      </c>
      <c r="BJ37" s="105" t="str">
        <f>IF(Tableau5[[#This Row],[Besoin LSA]]=Tableau5[[#This Row],[Remis LSA]],"OK","NOK")</f>
        <v>OK</v>
      </c>
      <c r="BL37">
        <f>SUMIFS(Tableau4[NB Remis],Tableau4[Réf matériel],Tableau5[[#This Row],[Réf matériel]],Tableau4[Matricule],"SST")</f>
        <v>0</v>
      </c>
      <c r="BM37" s="105" t="str">
        <f>IF(Tableau5[[#This Row],[Besoin SST]]=Tableau5[[#This Row],[Remis SST]],"OK","NOK")</f>
        <v>OK</v>
      </c>
      <c r="BO37">
        <f>SUMIFS(Tableau4[NB Remis],Tableau4[Réf matériel],Tableau5[[#This Row],[Réf matériel]],Tableau4[Matricule],"CTH")</f>
        <v>0</v>
      </c>
      <c r="BP37" s="105" t="str">
        <f>IF(Tableau5[[#This Row],[Besoin CTH]]=Tableau5[[#This Row],[Remis CTH]],"OK","NOK")</f>
        <v>OK</v>
      </c>
      <c r="BR37">
        <f>SUMIFS(Tableau4[NB Remis],Tableau4[Réf matériel],Tableau5[[#This Row],[Réf matériel]],Tableau4[Matricule],"AVU")</f>
        <v>0</v>
      </c>
      <c r="BS37" s="105" t="str">
        <f>IF(Tableau5[[#This Row],[Besoin AVU]]=Tableau5[[#This Row],[Remis AVU]],"OK","NOK")</f>
        <v>OK</v>
      </c>
      <c r="BU37">
        <f>SUMIFS(Tableau4[NB Remis],Tableau4[Réf matériel],Tableau5[[#This Row],[Réf matériel]],Tableau4[Matricule],"FZE")</f>
        <v>0</v>
      </c>
      <c r="BV37" s="105" t="str">
        <f>IF(Tableau5[[#This Row],[Besoin FZE]]=Tableau5[[#This Row],[Remis FZE]],"OK","NOK")</f>
        <v>OK</v>
      </c>
      <c r="BX37">
        <f>SUMIFS(Tableau4[NB Remis],Tableau4[Réf matériel],Tableau5[[#This Row],[Réf matériel]],Tableau4[Matricule],"CV2")</f>
        <v>0</v>
      </c>
      <c r="BY37" s="105" t="str">
        <f>IF(Tableau5[[#This Row],[Besoin CV2]]=Tableau5[[#This Row],[Remis CV2]],"OK","NOK")</f>
        <v>OK</v>
      </c>
      <c r="CA37">
        <f>SUMIFS(Tableau4[NB Remis],Tableau4[Réf matériel],Tableau5[[#This Row],[Réf matériel]],Tableau4[Matricule],"CV3")</f>
        <v>0</v>
      </c>
      <c r="CB37" s="105" t="str">
        <f>IF(Tableau5[[#This Row],[Besoin CV3]]=Tableau5[[#This Row],[Remis CV3]],"OK","NOK")</f>
        <v>OK</v>
      </c>
      <c r="CD37">
        <f>SUMIFS(Tableau4[NB Remis],Tableau4[Réf matériel],Tableau5[[#This Row],[Réf matériel]],Tableau4[Matricule],"CV1")</f>
        <v>0</v>
      </c>
      <c r="CE37" s="105" t="str">
        <f>IF(Tableau5[[#This Row],[Besoin CV1]]=Tableau5[[#This Row],[Remis CV1]],"OK","NOK")</f>
        <v>OK</v>
      </c>
      <c r="CG37">
        <f>SUMIFS(Tableau4[NB Remis],Tableau4[Réf matériel],Tableau5[[#This Row],[Réf matériel]],Tableau4[Matricule],"CV4")</f>
        <v>0</v>
      </c>
      <c r="CH37" s="106" t="str">
        <f>IF(Tableau5[[#This Row],[Besoin CV4]]=Tableau5[[#This Row],[Remis CV4]],"OK","NOK")</f>
        <v>OK</v>
      </c>
    </row>
    <row r="38" spans="2:86" x14ac:dyDescent="0.25">
      <c r="B38" t="s">
        <v>431</v>
      </c>
      <c r="D38">
        <f>SUMIFS(Tableau4[NB Remis],Tableau4[Réf matériel],Tableau5[[#This Row],[Réf matériel]],Tableau4[Matricule],"OAI")</f>
        <v>0</v>
      </c>
      <c r="E38" s="105" t="str">
        <f>IF(Tableau5[[#This Row],[Besoin OAI]]=Tableau5[[#This Row],[Remis OAI]],"OK","NOK")</f>
        <v>OK</v>
      </c>
      <c r="G38">
        <f>SUMIFS(Tableau4[NB Remis],Tableau4[Réf matériel],Tableau5[[#This Row],[Réf matériel]],Tableau4[Matricule],"ABE")</f>
        <v>0</v>
      </c>
      <c r="H38" s="105" t="str">
        <f>IF(Tableau5[[#This Row],[Besoin ABE]]=Tableau5[[#This Row],[Remis ABE]],"OK","NOK")</f>
        <v>OK</v>
      </c>
      <c r="J38">
        <f>SUMIFS(Tableau4[NB Remis],Tableau4[Réf matériel],Tableau5[[#This Row],[Réf matériel]],Tableau4[Matricule],"SBI")</f>
        <v>0</v>
      </c>
      <c r="K38" s="105" t="str">
        <f>IF(Tableau5[[#This Row],[Besoin SBI]]=Tableau5[[#This Row],[Remis SBI]],"OK","NOK")</f>
        <v>OK</v>
      </c>
      <c r="M38">
        <f>SUMIFS(Tableau4[NB Remis],Tableau4[Réf matériel],Tableau5[[#This Row],[Réf matériel]],Tableau4[Matricule],"ABI")</f>
        <v>0</v>
      </c>
      <c r="N38" s="105" t="str">
        <f>IF(Tableau5[[#This Row],[Besoin ABI]]=Tableau5[[#This Row],[Remis ABI]],"OK","NOK")</f>
        <v>OK</v>
      </c>
      <c r="P38">
        <f>SUMIFS(Tableau4[NB Remis],Tableau4[Réf matériel],Tableau5[[#This Row],[Réf matériel]],Tableau4[Matricule],"DCE")</f>
        <v>0</v>
      </c>
      <c r="Q38" s="105" t="str">
        <f>IF(Tableau5[[#This Row],[Besoin DCE]]=Tableau5[[#This Row],[Remis DCE]],"OK","NOK")</f>
        <v>OK</v>
      </c>
      <c r="S38">
        <f>SUMIFS(Tableau4[NB Remis],Tableau4[Réf matériel],Tableau5[[#This Row],[Réf matériel]],Tableau4[Matricule],"JDE")</f>
        <v>0</v>
      </c>
      <c r="T38" s="105" t="str">
        <f>IF(Tableau5[[#This Row],[Besoin JDE]]=Tableau5[[#This Row],[Remis JDE]],"OK","NOK")</f>
        <v>OK</v>
      </c>
      <c r="V38">
        <f>SUMIFS(Tableau4[NB Remis],Tableau4[Réf matériel],Tableau5[[#This Row],[Réf matériel]],Tableau4[Matricule],"ODI")</f>
        <v>0</v>
      </c>
      <c r="W38" s="105" t="str">
        <f>IF(Tableau5[[#This Row],[Besoin ODI]]=Tableau5[[#This Row],[Remis ODI]],"OK","NOK")</f>
        <v>OK</v>
      </c>
      <c r="Y38">
        <f>SUMIFS(Tableau4[NB Remis],Tableau4[Réf matériel],Tableau5[[#This Row],[Réf matériel]],Tableau4[Matricule],"MFO")</f>
        <v>0</v>
      </c>
      <c r="Z38" s="105" t="str">
        <f>IF(Tableau5[[#This Row],[Besoin MFO]]=Tableau5[[#This Row],[Remis MFO]],"OK","NOK")</f>
        <v>OK</v>
      </c>
      <c r="AB38">
        <f>SUMIFS(Tableau4[NB Remis],Tableau4[Réf matériel],Tableau5[[#This Row],[Réf matériel]],Tableau4[Matricule],"SDU")</f>
        <v>0</v>
      </c>
      <c r="AC38" s="105" t="str">
        <f>IF(Tableau5[[#This Row],[Besoin SDU]]=Tableau5[[#This Row],[Remis SDU]],"OK","NOK")</f>
        <v>OK</v>
      </c>
      <c r="AE38">
        <f>SUMIFS(Tableau4[NB Remis],Tableau4[Réf matériel],Tableau5[[#This Row],[Réf matériel]],Tableau4[Matricule],"GGA")</f>
        <v>0</v>
      </c>
      <c r="AF38" s="105" t="str">
        <f>IF(Tableau5[[#This Row],[Besoin GGA2]]=Tableau5[[#This Row],[Remis GGA3]],"OK","NOK")</f>
        <v>OK</v>
      </c>
      <c r="AH38">
        <f>SUMIFS(Tableau4[NB Remis],Tableau4[Réf matériel],Tableau5[[#This Row],[Réf matériel]],Tableau4[Matricule],"RGE")</f>
        <v>0</v>
      </c>
      <c r="AI38" s="105" t="str">
        <f>IF(Tableau5[[#This Row],[Besoin RGE]]=Tableau5[[#This Row],[Remis RGE]],"OK","NOK")</f>
        <v>OK</v>
      </c>
      <c r="AK38">
        <f>SUMIFS(Tableau4[NB Remis],Tableau4[Réf matériel],Tableau5[[#This Row],[Réf matériel]],Tableau4[Matricule],"CKE")</f>
        <v>0</v>
      </c>
      <c r="AL38" s="105" t="str">
        <f>IF(Tableau5[[#This Row],[Besoin CKE]]=Tableau5[[#This Row],[Remis CKE]],"OK","NOK")</f>
        <v>OK</v>
      </c>
      <c r="AN38">
        <f>SUMIFS(Tableau4[NB Remis],Tableau4[Réf matériel],Tableau5[[#This Row],[Réf matériel]],Tableau4[Matricule],"DMA")</f>
        <v>0</v>
      </c>
      <c r="AO38" s="105" t="str">
        <f>IF(Tableau5[[#This Row],[Besoin DMA]]=Tableau5[[#This Row],[Remis DMA]],"OK","NOK")</f>
        <v>OK</v>
      </c>
      <c r="AQ38">
        <f>SUMIFS(Tableau4[NB Remis],Tableau4[Réf matériel],Tableau5[[#This Row],[Réf matériel]],Tableau4[Matricule],"LMO")</f>
        <v>0</v>
      </c>
      <c r="AR38" s="105" t="str">
        <f>IF(Tableau5[[#This Row],[Besoin LMO]]=Tableau5[[#This Row],[Remis LMO]],"OK","NOK")</f>
        <v>OK</v>
      </c>
      <c r="AT38">
        <f>SUMIFS(Tableau4[NB Remis],Tableau4[Réf matériel],Tableau5[[#This Row],[Réf matériel]],Tableau4[Matricule],"TMO")</f>
        <v>0</v>
      </c>
      <c r="AU38" s="105" t="str">
        <f>IF(Tableau5[[#This Row],[Besoin TMO]]=Tableau5[[#This Row],[Remis TMO]],"OK","NOK")</f>
        <v>OK</v>
      </c>
      <c r="AW38">
        <f>SUMIFS(Tableau4[NB Remis],Tableau4[Réf matériel],Tableau5[[#This Row],[Réf matériel]],Tableau4[Matricule],"JPA")</f>
        <v>0</v>
      </c>
      <c r="AX38" s="105" t="str">
        <f>IF(Tableau5[[#This Row],[Besoin JPA]]=Tableau5[[#This Row],[Remis JPA]],"OK","NOK")</f>
        <v>OK</v>
      </c>
      <c r="AZ38">
        <f>SUMIFS(Tableau4[NB Remis],Tableau4[Réf matériel],Tableau5[[#This Row],[Réf matériel]],Tableau4[Matricule],"MPE")</f>
        <v>0</v>
      </c>
      <c r="BA38" s="105" t="str">
        <f>IF(Tableau5[[#This Row],[Besoin MPE]]=Tableau5[[#This Row],[Remis MPE]],"OK","NOK")</f>
        <v>OK</v>
      </c>
      <c r="BC38">
        <f>SUMIFS(Tableau4[NB Remis],Tableau4[Réf matériel],Tableau5[[#This Row],[Réf matériel]],Tableau4[Matricule],"SPR")</f>
        <v>0</v>
      </c>
      <c r="BD38" s="105" t="str">
        <f>IF(Tableau5[[#This Row],[Besoin SPR]]=Tableau5[[#This Row],[Remis SPR]],"OK","NOK")</f>
        <v>OK</v>
      </c>
      <c r="BF38">
        <f>SUMIFS(Tableau4[NB Remis],Tableau4[Réf matériel],Tableau5[[#This Row],[Réf matériel]],Tableau4[Matricule],"MRO")</f>
        <v>0</v>
      </c>
      <c r="BG38" s="105" t="str">
        <f>IF(Tableau5[[#This Row],[Besoin MRO]]=Tableau5[[#This Row],[Remis MRO]],"OK","NOK")</f>
        <v>OK</v>
      </c>
      <c r="BI38">
        <f>SUMIFS(Tableau4[NB Remis],Tableau4[Réf matériel],Tableau5[[#This Row],[Réf matériel]],Tableau4[Matricule],"LSA")</f>
        <v>0</v>
      </c>
      <c r="BJ38" s="105" t="str">
        <f>IF(Tableau5[[#This Row],[Besoin LSA]]=Tableau5[[#This Row],[Remis LSA]],"OK","NOK")</f>
        <v>OK</v>
      </c>
      <c r="BK38">
        <v>1</v>
      </c>
      <c r="BL38">
        <f>SUMIFS(Tableau4[NB Remis],Tableau4[Réf matériel],Tableau5[[#This Row],[Réf matériel]],Tableau4[Matricule],"SST")</f>
        <v>1</v>
      </c>
      <c r="BM38" s="105" t="str">
        <f>IF(Tableau5[[#This Row],[Besoin SST]]=Tableau5[[#This Row],[Remis SST]],"OK","NOK")</f>
        <v>OK</v>
      </c>
      <c r="BO38">
        <f>SUMIFS(Tableau4[NB Remis],Tableau4[Réf matériel],Tableau5[[#This Row],[Réf matériel]],Tableau4[Matricule],"CTH")</f>
        <v>0</v>
      </c>
      <c r="BP38" s="105" t="str">
        <f>IF(Tableau5[[#This Row],[Besoin CTH]]=Tableau5[[#This Row],[Remis CTH]],"OK","NOK")</f>
        <v>OK</v>
      </c>
      <c r="BR38">
        <f>SUMIFS(Tableau4[NB Remis],Tableau4[Réf matériel],Tableau5[[#This Row],[Réf matériel]],Tableau4[Matricule],"AVU")</f>
        <v>0</v>
      </c>
      <c r="BS38" s="105" t="str">
        <f>IF(Tableau5[[#This Row],[Besoin AVU]]=Tableau5[[#This Row],[Remis AVU]],"OK","NOK")</f>
        <v>OK</v>
      </c>
      <c r="BU38">
        <f>SUMIFS(Tableau4[NB Remis],Tableau4[Réf matériel],Tableau5[[#This Row],[Réf matériel]],Tableau4[Matricule],"FZE")</f>
        <v>0</v>
      </c>
      <c r="BV38" s="105" t="str">
        <f>IF(Tableau5[[#This Row],[Besoin FZE]]=Tableau5[[#This Row],[Remis FZE]],"OK","NOK")</f>
        <v>OK</v>
      </c>
      <c r="BX38">
        <f>SUMIFS(Tableau4[NB Remis],Tableau4[Réf matériel],Tableau5[[#This Row],[Réf matériel]],Tableau4[Matricule],"CV2")</f>
        <v>0</v>
      </c>
      <c r="BY38" s="105" t="str">
        <f>IF(Tableau5[[#This Row],[Besoin CV2]]=Tableau5[[#This Row],[Remis CV2]],"OK","NOK")</f>
        <v>OK</v>
      </c>
      <c r="CA38">
        <f>SUMIFS(Tableau4[NB Remis],Tableau4[Réf matériel],Tableau5[[#This Row],[Réf matériel]],Tableau4[Matricule],"CV3")</f>
        <v>0</v>
      </c>
      <c r="CB38" s="105" t="str">
        <f>IF(Tableau5[[#This Row],[Besoin CV3]]=Tableau5[[#This Row],[Remis CV3]],"OK","NOK")</f>
        <v>OK</v>
      </c>
      <c r="CD38">
        <f>SUMIFS(Tableau4[NB Remis],Tableau4[Réf matériel],Tableau5[[#This Row],[Réf matériel]],Tableau4[Matricule],"CV1")</f>
        <v>0</v>
      </c>
      <c r="CE38" s="105" t="str">
        <f>IF(Tableau5[[#This Row],[Besoin CV1]]=Tableau5[[#This Row],[Remis CV1]],"OK","NOK")</f>
        <v>OK</v>
      </c>
      <c r="CG38">
        <f>SUMIFS(Tableau4[NB Remis],Tableau4[Réf matériel],Tableau5[[#This Row],[Réf matériel]],Tableau4[Matricule],"CV4")</f>
        <v>0</v>
      </c>
      <c r="CH38" s="106" t="str">
        <f>IF(Tableau5[[#This Row],[Besoin CV4]]=Tableau5[[#This Row],[Remis CV4]],"OK","NOK")</f>
        <v>OK</v>
      </c>
    </row>
    <row r="39" spans="2:86" x14ac:dyDescent="0.25">
      <c r="B39" t="s">
        <v>452</v>
      </c>
      <c r="D39">
        <f>SUMIFS(Tableau4[NB Remis],Tableau4[Réf matériel],Tableau5[[#This Row],[Réf matériel]],Tableau4[Matricule],"OAI")</f>
        <v>0</v>
      </c>
      <c r="E39" s="105" t="str">
        <f>IF(Tableau5[[#This Row],[Besoin OAI]]=Tableau5[[#This Row],[Remis OAI]],"OK","NOK")</f>
        <v>OK</v>
      </c>
      <c r="G39">
        <f>SUMIFS(Tableau4[NB Remis],Tableau4[Réf matériel],Tableau5[[#This Row],[Réf matériel]],Tableau4[Matricule],"ABE")</f>
        <v>0</v>
      </c>
      <c r="H39" s="105" t="str">
        <f>IF(Tableau5[[#This Row],[Besoin ABE]]=Tableau5[[#This Row],[Remis ABE]],"OK","NOK")</f>
        <v>OK</v>
      </c>
      <c r="J39">
        <f>SUMIFS(Tableau4[NB Remis],Tableau4[Réf matériel],Tableau5[[#This Row],[Réf matériel]],Tableau4[Matricule],"SBI")</f>
        <v>0</v>
      </c>
      <c r="K39" s="105" t="str">
        <f>IF(Tableau5[[#This Row],[Besoin SBI]]=Tableau5[[#This Row],[Remis SBI]],"OK","NOK")</f>
        <v>OK</v>
      </c>
      <c r="M39">
        <f>SUMIFS(Tableau4[NB Remis],Tableau4[Réf matériel],Tableau5[[#This Row],[Réf matériel]],Tableau4[Matricule],"ABI")</f>
        <v>0</v>
      </c>
      <c r="N39" s="105" t="str">
        <f>IF(Tableau5[[#This Row],[Besoin ABI]]=Tableau5[[#This Row],[Remis ABI]],"OK","NOK")</f>
        <v>OK</v>
      </c>
      <c r="O39">
        <v>1</v>
      </c>
      <c r="P39">
        <f>SUMIFS(Tableau4[NB Remis],Tableau4[Réf matériel],Tableau5[[#This Row],[Réf matériel]],Tableau4[Matricule],"DCE")</f>
        <v>1</v>
      </c>
      <c r="Q39" s="105" t="str">
        <f>IF(Tableau5[[#This Row],[Besoin DCE]]=Tableau5[[#This Row],[Remis DCE]],"OK","NOK")</f>
        <v>OK</v>
      </c>
      <c r="S39">
        <f>SUMIFS(Tableau4[NB Remis],Tableau4[Réf matériel],Tableau5[[#This Row],[Réf matériel]],Tableau4[Matricule],"JDE")</f>
        <v>0</v>
      </c>
      <c r="T39" s="105" t="str">
        <f>IF(Tableau5[[#This Row],[Besoin JDE]]=Tableau5[[#This Row],[Remis JDE]],"OK","NOK")</f>
        <v>OK</v>
      </c>
      <c r="V39">
        <f>SUMIFS(Tableau4[NB Remis],Tableau4[Réf matériel],Tableau5[[#This Row],[Réf matériel]],Tableau4[Matricule],"ODI")</f>
        <v>0</v>
      </c>
      <c r="W39" s="105" t="str">
        <f>IF(Tableau5[[#This Row],[Besoin ODI]]=Tableau5[[#This Row],[Remis ODI]],"OK","NOK")</f>
        <v>OK</v>
      </c>
      <c r="Y39">
        <f>SUMIFS(Tableau4[NB Remis],Tableau4[Réf matériel],Tableau5[[#This Row],[Réf matériel]],Tableau4[Matricule],"MFO")</f>
        <v>0</v>
      </c>
      <c r="Z39" s="105" t="str">
        <f>IF(Tableau5[[#This Row],[Besoin MFO]]=Tableau5[[#This Row],[Remis MFO]],"OK","NOK")</f>
        <v>OK</v>
      </c>
      <c r="AB39">
        <f>SUMIFS(Tableau4[NB Remis],Tableau4[Réf matériel],Tableau5[[#This Row],[Réf matériel]],Tableau4[Matricule],"SDU")</f>
        <v>0</v>
      </c>
      <c r="AC39" s="105" t="str">
        <f>IF(Tableau5[[#This Row],[Besoin SDU]]=Tableau5[[#This Row],[Remis SDU]],"OK","NOK")</f>
        <v>OK</v>
      </c>
      <c r="AE39">
        <f>SUMIFS(Tableau4[NB Remis],Tableau4[Réf matériel],Tableau5[[#This Row],[Réf matériel]],Tableau4[Matricule],"GGA")</f>
        <v>0</v>
      </c>
      <c r="AF39" s="105" t="str">
        <f>IF(Tableau5[[#This Row],[Besoin GGA2]]=Tableau5[[#This Row],[Remis GGA3]],"OK","NOK")</f>
        <v>OK</v>
      </c>
      <c r="AH39">
        <f>SUMIFS(Tableau4[NB Remis],Tableau4[Réf matériel],Tableau5[[#This Row],[Réf matériel]],Tableau4[Matricule],"RGE")</f>
        <v>0</v>
      </c>
      <c r="AI39" s="105" t="str">
        <f>IF(Tableau5[[#This Row],[Besoin RGE]]=Tableau5[[#This Row],[Remis RGE]],"OK","NOK")</f>
        <v>OK</v>
      </c>
      <c r="AK39">
        <f>SUMIFS(Tableau4[NB Remis],Tableau4[Réf matériel],Tableau5[[#This Row],[Réf matériel]],Tableau4[Matricule],"CKE")</f>
        <v>0</v>
      </c>
      <c r="AL39" s="105" t="str">
        <f>IF(Tableau5[[#This Row],[Besoin CKE]]=Tableau5[[#This Row],[Remis CKE]],"OK","NOK")</f>
        <v>OK</v>
      </c>
      <c r="AN39">
        <f>SUMIFS(Tableau4[NB Remis],Tableau4[Réf matériel],Tableau5[[#This Row],[Réf matériel]],Tableau4[Matricule],"DMA")</f>
        <v>0</v>
      </c>
      <c r="AO39" s="105" t="str">
        <f>IF(Tableau5[[#This Row],[Besoin DMA]]=Tableau5[[#This Row],[Remis DMA]],"OK","NOK")</f>
        <v>OK</v>
      </c>
      <c r="AQ39">
        <f>SUMIFS(Tableau4[NB Remis],Tableau4[Réf matériel],Tableau5[[#This Row],[Réf matériel]],Tableau4[Matricule],"LMO")</f>
        <v>0</v>
      </c>
      <c r="AR39" s="105" t="str">
        <f>IF(Tableau5[[#This Row],[Besoin LMO]]=Tableau5[[#This Row],[Remis LMO]],"OK","NOK")</f>
        <v>OK</v>
      </c>
      <c r="AT39">
        <f>SUMIFS(Tableau4[NB Remis],Tableau4[Réf matériel],Tableau5[[#This Row],[Réf matériel]],Tableau4[Matricule],"TMO")</f>
        <v>0</v>
      </c>
      <c r="AU39" s="105" t="str">
        <f>IF(Tableau5[[#This Row],[Besoin TMO]]=Tableau5[[#This Row],[Remis TMO]],"OK","NOK")</f>
        <v>OK</v>
      </c>
      <c r="AW39">
        <f>SUMIFS(Tableau4[NB Remis],Tableau4[Réf matériel],Tableau5[[#This Row],[Réf matériel]],Tableau4[Matricule],"JPA")</f>
        <v>0</v>
      </c>
      <c r="AX39" s="105" t="str">
        <f>IF(Tableau5[[#This Row],[Besoin JPA]]=Tableau5[[#This Row],[Remis JPA]],"OK","NOK")</f>
        <v>OK</v>
      </c>
      <c r="AZ39">
        <f>SUMIFS(Tableau4[NB Remis],Tableau4[Réf matériel],Tableau5[[#This Row],[Réf matériel]],Tableau4[Matricule],"MPE")</f>
        <v>0</v>
      </c>
      <c r="BA39" s="105" t="str">
        <f>IF(Tableau5[[#This Row],[Besoin MPE]]=Tableau5[[#This Row],[Remis MPE]],"OK","NOK")</f>
        <v>OK</v>
      </c>
      <c r="BC39">
        <f>SUMIFS(Tableau4[NB Remis],Tableau4[Réf matériel],Tableau5[[#This Row],[Réf matériel]],Tableau4[Matricule],"SPR")</f>
        <v>0</v>
      </c>
      <c r="BD39" s="105" t="str">
        <f>IF(Tableau5[[#This Row],[Besoin SPR]]=Tableau5[[#This Row],[Remis SPR]],"OK","NOK")</f>
        <v>OK</v>
      </c>
      <c r="BF39">
        <f>SUMIFS(Tableau4[NB Remis],Tableau4[Réf matériel],Tableau5[[#This Row],[Réf matériel]],Tableau4[Matricule],"MRO")</f>
        <v>0</v>
      </c>
      <c r="BG39" s="105" t="str">
        <f>IF(Tableau5[[#This Row],[Besoin MRO]]=Tableau5[[#This Row],[Remis MRO]],"OK","NOK")</f>
        <v>OK</v>
      </c>
      <c r="BI39">
        <f>SUMIFS(Tableau4[NB Remis],Tableau4[Réf matériel],Tableau5[[#This Row],[Réf matériel]],Tableau4[Matricule],"LSA")</f>
        <v>0</v>
      </c>
      <c r="BJ39" s="105" t="str">
        <f>IF(Tableau5[[#This Row],[Besoin LSA]]=Tableau5[[#This Row],[Remis LSA]],"OK","NOK")</f>
        <v>OK</v>
      </c>
      <c r="BL39">
        <f>SUMIFS(Tableau4[NB Remis],Tableau4[Réf matériel],Tableau5[[#This Row],[Réf matériel]],Tableau4[Matricule],"SST")</f>
        <v>0</v>
      </c>
      <c r="BM39" s="105" t="str">
        <f>IF(Tableau5[[#This Row],[Besoin SST]]=Tableau5[[#This Row],[Remis SST]],"OK","NOK")</f>
        <v>OK</v>
      </c>
      <c r="BO39">
        <f>SUMIFS(Tableau4[NB Remis],Tableau4[Réf matériel],Tableau5[[#This Row],[Réf matériel]],Tableau4[Matricule],"CTH")</f>
        <v>0</v>
      </c>
      <c r="BP39" s="105" t="str">
        <f>IF(Tableau5[[#This Row],[Besoin CTH]]=Tableau5[[#This Row],[Remis CTH]],"OK","NOK")</f>
        <v>OK</v>
      </c>
      <c r="BR39">
        <f>SUMIFS(Tableau4[NB Remis],Tableau4[Réf matériel],Tableau5[[#This Row],[Réf matériel]],Tableau4[Matricule],"AVU")</f>
        <v>0</v>
      </c>
      <c r="BS39" s="105" t="str">
        <f>IF(Tableau5[[#This Row],[Besoin AVU]]=Tableau5[[#This Row],[Remis AVU]],"OK","NOK")</f>
        <v>OK</v>
      </c>
      <c r="BU39">
        <f>SUMIFS(Tableau4[NB Remis],Tableau4[Réf matériel],Tableau5[[#This Row],[Réf matériel]],Tableau4[Matricule],"FZE")</f>
        <v>0</v>
      </c>
      <c r="BV39" s="105" t="str">
        <f>IF(Tableau5[[#This Row],[Besoin FZE]]=Tableau5[[#This Row],[Remis FZE]],"OK","NOK")</f>
        <v>OK</v>
      </c>
      <c r="BX39">
        <f>SUMIFS(Tableau4[NB Remis],Tableau4[Réf matériel],Tableau5[[#This Row],[Réf matériel]],Tableau4[Matricule],"CV2")</f>
        <v>0</v>
      </c>
      <c r="BY39" s="105" t="str">
        <f>IF(Tableau5[[#This Row],[Besoin CV2]]=Tableau5[[#This Row],[Remis CV2]],"OK","NOK")</f>
        <v>OK</v>
      </c>
      <c r="CA39">
        <f>SUMIFS(Tableau4[NB Remis],Tableau4[Réf matériel],Tableau5[[#This Row],[Réf matériel]],Tableau4[Matricule],"CV3")</f>
        <v>0</v>
      </c>
      <c r="CB39" s="105" t="str">
        <f>IF(Tableau5[[#This Row],[Besoin CV3]]=Tableau5[[#This Row],[Remis CV3]],"OK","NOK")</f>
        <v>OK</v>
      </c>
      <c r="CD39">
        <f>SUMIFS(Tableau4[NB Remis],Tableau4[Réf matériel],Tableau5[[#This Row],[Réf matériel]],Tableau4[Matricule],"CV1")</f>
        <v>0</v>
      </c>
      <c r="CE39" s="105" t="str">
        <f>IF(Tableau5[[#This Row],[Besoin CV1]]=Tableau5[[#This Row],[Remis CV1]],"OK","NOK")</f>
        <v>OK</v>
      </c>
      <c r="CG39">
        <f>SUMIFS(Tableau4[NB Remis],Tableau4[Réf matériel],Tableau5[[#This Row],[Réf matériel]],Tableau4[Matricule],"CV4")</f>
        <v>0</v>
      </c>
      <c r="CH39" s="106" t="str">
        <f>IF(Tableau5[[#This Row],[Besoin CV4]]=Tableau5[[#This Row],[Remis CV4]],"OK","NOK")</f>
        <v>OK</v>
      </c>
    </row>
    <row r="40" spans="2:86" x14ac:dyDescent="0.25">
      <c r="B40" t="s">
        <v>275</v>
      </c>
      <c r="D40">
        <f>SUMIFS(Tableau4[NB Remis],Tableau4[Réf matériel],Tableau5[[#This Row],[Réf matériel]],Tableau4[Matricule],"OAI")</f>
        <v>0</v>
      </c>
      <c r="E40" s="105" t="str">
        <f>IF(Tableau5[[#This Row],[Besoin OAI]]=Tableau5[[#This Row],[Remis OAI]],"OK","NOK")</f>
        <v>OK</v>
      </c>
      <c r="G40">
        <f>SUMIFS(Tableau4[NB Remis],Tableau4[Réf matériel],Tableau5[[#This Row],[Réf matériel]],Tableau4[Matricule],"ABE")</f>
        <v>0</v>
      </c>
      <c r="H40" s="105" t="str">
        <f>IF(Tableau5[[#This Row],[Besoin ABE]]=Tableau5[[#This Row],[Remis ABE]],"OK","NOK")</f>
        <v>OK</v>
      </c>
      <c r="J40">
        <f>SUMIFS(Tableau4[NB Remis],Tableau4[Réf matériel],Tableau5[[#This Row],[Réf matériel]],Tableau4[Matricule],"SBI")</f>
        <v>0</v>
      </c>
      <c r="K40" s="105" t="str">
        <f>IF(Tableau5[[#This Row],[Besoin SBI]]=Tableau5[[#This Row],[Remis SBI]],"OK","NOK")</f>
        <v>OK</v>
      </c>
      <c r="M40">
        <f>SUMIFS(Tableau4[NB Remis],Tableau4[Réf matériel],Tableau5[[#This Row],[Réf matériel]],Tableau4[Matricule],"ABI")</f>
        <v>0</v>
      </c>
      <c r="N40" s="105" t="str">
        <f>IF(Tableau5[[#This Row],[Besoin ABI]]=Tableau5[[#This Row],[Remis ABI]],"OK","NOK")</f>
        <v>OK</v>
      </c>
      <c r="P40">
        <f>SUMIFS(Tableau4[NB Remis],Tableau4[Réf matériel],Tableau5[[#This Row],[Réf matériel]],Tableau4[Matricule],"DCE")</f>
        <v>0</v>
      </c>
      <c r="Q40" s="105" t="str">
        <f>IF(Tableau5[[#This Row],[Besoin DCE]]=Tableau5[[#This Row],[Remis DCE]],"OK","NOK")</f>
        <v>OK</v>
      </c>
      <c r="S40">
        <f>SUMIFS(Tableau4[NB Remis],Tableau4[Réf matériel],Tableau5[[#This Row],[Réf matériel]],Tableau4[Matricule],"JDE")</f>
        <v>0</v>
      </c>
      <c r="T40" s="105" t="str">
        <f>IF(Tableau5[[#This Row],[Besoin JDE]]=Tableau5[[#This Row],[Remis JDE]],"OK","NOK")</f>
        <v>OK</v>
      </c>
      <c r="V40">
        <f>SUMIFS(Tableau4[NB Remis],Tableau4[Réf matériel],Tableau5[[#This Row],[Réf matériel]],Tableau4[Matricule],"ODI")</f>
        <v>0</v>
      </c>
      <c r="W40" s="105" t="str">
        <f>IF(Tableau5[[#This Row],[Besoin ODI]]=Tableau5[[#This Row],[Remis ODI]],"OK","NOK")</f>
        <v>OK</v>
      </c>
      <c r="Y40">
        <f>SUMIFS(Tableau4[NB Remis],Tableau4[Réf matériel],Tableau5[[#This Row],[Réf matériel]],Tableau4[Matricule],"MFO")</f>
        <v>0</v>
      </c>
      <c r="Z40" s="105" t="str">
        <f>IF(Tableau5[[#This Row],[Besoin MFO]]=Tableau5[[#This Row],[Remis MFO]],"OK","NOK")</f>
        <v>OK</v>
      </c>
      <c r="AB40">
        <f>SUMIFS(Tableau4[NB Remis],Tableau4[Réf matériel],Tableau5[[#This Row],[Réf matériel]],Tableau4[Matricule],"SDU")</f>
        <v>0</v>
      </c>
      <c r="AC40" s="105" t="str">
        <f>IF(Tableau5[[#This Row],[Besoin SDU]]=Tableau5[[#This Row],[Remis SDU]],"OK","NOK")</f>
        <v>OK</v>
      </c>
      <c r="AE40">
        <f>SUMIFS(Tableau4[NB Remis],Tableau4[Réf matériel],Tableau5[[#This Row],[Réf matériel]],Tableau4[Matricule],"GGA")</f>
        <v>0</v>
      </c>
      <c r="AF40" s="105" t="str">
        <f>IF(Tableau5[[#This Row],[Besoin GGA2]]=Tableau5[[#This Row],[Remis GGA3]],"OK","NOK")</f>
        <v>OK</v>
      </c>
      <c r="AH40">
        <f>SUMIFS(Tableau4[NB Remis],Tableau4[Réf matériel],Tableau5[[#This Row],[Réf matériel]],Tableau4[Matricule],"RGE")</f>
        <v>1</v>
      </c>
      <c r="AI40" s="105" t="str">
        <f>IF(Tableau5[[#This Row],[Besoin RGE]]=Tableau5[[#This Row],[Remis RGE]],"OK","NOK")</f>
        <v>NOK</v>
      </c>
      <c r="AK40">
        <f>SUMIFS(Tableau4[NB Remis],Tableau4[Réf matériel],Tableau5[[#This Row],[Réf matériel]],Tableau4[Matricule],"CKE")</f>
        <v>0</v>
      </c>
      <c r="AL40" s="105" t="str">
        <f>IF(Tableau5[[#This Row],[Besoin CKE]]=Tableau5[[#This Row],[Remis CKE]],"OK","NOK")</f>
        <v>OK</v>
      </c>
      <c r="AN40">
        <f>SUMIFS(Tableau4[NB Remis],Tableau4[Réf matériel],Tableau5[[#This Row],[Réf matériel]],Tableau4[Matricule],"DMA")</f>
        <v>0</v>
      </c>
      <c r="AO40" s="105" t="str">
        <f>IF(Tableau5[[#This Row],[Besoin DMA]]=Tableau5[[#This Row],[Remis DMA]],"OK","NOK")</f>
        <v>OK</v>
      </c>
      <c r="AQ40">
        <f>SUMIFS(Tableau4[NB Remis],Tableau4[Réf matériel],Tableau5[[#This Row],[Réf matériel]],Tableau4[Matricule],"LMO")</f>
        <v>0</v>
      </c>
      <c r="AR40" s="105" t="str">
        <f>IF(Tableau5[[#This Row],[Besoin LMO]]=Tableau5[[#This Row],[Remis LMO]],"OK","NOK")</f>
        <v>OK</v>
      </c>
      <c r="AT40">
        <f>SUMIFS(Tableau4[NB Remis],Tableau4[Réf matériel],Tableau5[[#This Row],[Réf matériel]],Tableau4[Matricule],"TMO")</f>
        <v>0</v>
      </c>
      <c r="AU40" s="105" t="str">
        <f>IF(Tableau5[[#This Row],[Besoin TMO]]=Tableau5[[#This Row],[Remis TMO]],"OK","NOK")</f>
        <v>OK</v>
      </c>
      <c r="AW40">
        <f>SUMIFS(Tableau4[NB Remis],Tableau4[Réf matériel],Tableau5[[#This Row],[Réf matériel]],Tableau4[Matricule],"JPA")</f>
        <v>0</v>
      </c>
      <c r="AX40" s="105" t="str">
        <f>IF(Tableau5[[#This Row],[Besoin JPA]]=Tableau5[[#This Row],[Remis JPA]],"OK","NOK")</f>
        <v>OK</v>
      </c>
      <c r="AZ40">
        <f>SUMIFS(Tableau4[NB Remis],Tableau4[Réf matériel],Tableau5[[#This Row],[Réf matériel]],Tableau4[Matricule],"MPE")</f>
        <v>0</v>
      </c>
      <c r="BA40" s="105" t="str">
        <f>IF(Tableau5[[#This Row],[Besoin MPE]]=Tableau5[[#This Row],[Remis MPE]],"OK","NOK")</f>
        <v>OK</v>
      </c>
      <c r="BC40">
        <f>SUMIFS(Tableau4[NB Remis],Tableau4[Réf matériel],Tableau5[[#This Row],[Réf matériel]],Tableau4[Matricule],"SPR")</f>
        <v>0</v>
      </c>
      <c r="BD40" s="105" t="str">
        <f>IF(Tableau5[[#This Row],[Besoin SPR]]=Tableau5[[#This Row],[Remis SPR]],"OK","NOK")</f>
        <v>OK</v>
      </c>
      <c r="BF40">
        <f>SUMIFS(Tableau4[NB Remis],Tableau4[Réf matériel],Tableau5[[#This Row],[Réf matériel]],Tableau4[Matricule],"MRO")</f>
        <v>0</v>
      </c>
      <c r="BG40" s="105" t="str">
        <f>IF(Tableau5[[#This Row],[Besoin MRO]]=Tableau5[[#This Row],[Remis MRO]],"OK","NOK")</f>
        <v>OK</v>
      </c>
      <c r="BI40">
        <f>SUMIFS(Tableau4[NB Remis],Tableau4[Réf matériel],Tableau5[[#This Row],[Réf matériel]],Tableau4[Matricule],"LSA")</f>
        <v>0</v>
      </c>
      <c r="BJ40" s="105" t="str">
        <f>IF(Tableau5[[#This Row],[Besoin LSA]]=Tableau5[[#This Row],[Remis LSA]],"OK","NOK")</f>
        <v>OK</v>
      </c>
      <c r="BK40">
        <v>1</v>
      </c>
      <c r="BL40">
        <f>SUMIFS(Tableau4[NB Remis],Tableau4[Réf matériel],Tableau5[[#This Row],[Réf matériel]],Tableau4[Matricule],"SST")</f>
        <v>1</v>
      </c>
      <c r="BM40" s="105" t="str">
        <f>IF(Tableau5[[#This Row],[Besoin SST]]=Tableau5[[#This Row],[Remis SST]],"OK","NOK")</f>
        <v>OK</v>
      </c>
      <c r="BO40">
        <f>SUMIFS(Tableau4[NB Remis],Tableau4[Réf matériel],Tableau5[[#This Row],[Réf matériel]],Tableau4[Matricule],"CTH")</f>
        <v>0</v>
      </c>
      <c r="BP40" s="105" t="str">
        <f>IF(Tableau5[[#This Row],[Besoin CTH]]=Tableau5[[#This Row],[Remis CTH]],"OK","NOK")</f>
        <v>OK</v>
      </c>
      <c r="BR40">
        <f>SUMIFS(Tableau4[NB Remis],Tableau4[Réf matériel],Tableau5[[#This Row],[Réf matériel]],Tableau4[Matricule],"AVU")</f>
        <v>0</v>
      </c>
      <c r="BS40" s="105" t="str">
        <f>IF(Tableau5[[#This Row],[Besoin AVU]]=Tableau5[[#This Row],[Remis AVU]],"OK","NOK")</f>
        <v>OK</v>
      </c>
      <c r="BU40">
        <f>SUMIFS(Tableau4[NB Remis],Tableau4[Réf matériel],Tableau5[[#This Row],[Réf matériel]],Tableau4[Matricule],"FZE")</f>
        <v>0</v>
      </c>
      <c r="BV40" s="105" t="str">
        <f>IF(Tableau5[[#This Row],[Besoin FZE]]=Tableau5[[#This Row],[Remis FZE]],"OK","NOK")</f>
        <v>OK</v>
      </c>
      <c r="BX40">
        <f>SUMIFS(Tableau4[NB Remis],Tableau4[Réf matériel],Tableau5[[#This Row],[Réf matériel]],Tableau4[Matricule],"CV2")</f>
        <v>0</v>
      </c>
      <c r="BY40" s="105" t="str">
        <f>IF(Tableau5[[#This Row],[Besoin CV2]]=Tableau5[[#This Row],[Remis CV2]],"OK","NOK")</f>
        <v>OK</v>
      </c>
      <c r="BZ40">
        <v>1</v>
      </c>
      <c r="CA40">
        <f>SUMIFS(Tableau4[NB Remis],Tableau4[Réf matériel],Tableau5[[#This Row],[Réf matériel]],Tableau4[Matricule],"CV3")</f>
        <v>1</v>
      </c>
      <c r="CB40" s="105" t="str">
        <f>IF(Tableau5[[#This Row],[Besoin CV3]]=Tableau5[[#This Row],[Remis CV3]],"OK","NOK")</f>
        <v>OK</v>
      </c>
      <c r="CD40">
        <f>SUMIFS(Tableau4[NB Remis],Tableau4[Réf matériel],Tableau5[[#This Row],[Réf matériel]],Tableau4[Matricule],"CV1")</f>
        <v>0</v>
      </c>
      <c r="CE40" s="105" t="str">
        <f>IF(Tableau5[[#This Row],[Besoin CV1]]=Tableau5[[#This Row],[Remis CV1]],"OK","NOK")</f>
        <v>OK</v>
      </c>
      <c r="CF40">
        <v>1</v>
      </c>
      <c r="CG40">
        <f>SUMIFS(Tableau4[NB Remis],Tableau4[Réf matériel],Tableau5[[#This Row],[Réf matériel]],Tableau4[Matricule],"CV4")</f>
        <v>1</v>
      </c>
      <c r="CH40" s="106" t="str">
        <f>IF(Tableau5[[#This Row],[Besoin CV4]]=Tableau5[[#This Row],[Remis CV4]],"OK","NOK")</f>
        <v>OK</v>
      </c>
    </row>
    <row r="41" spans="2:86" x14ac:dyDescent="0.25">
      <c r="B41" t="s">
        <v>392</v>
      </c>
      <c r="C41">
        <v>1</v>
      </c>
      <c r="D41">
        <f>SUMIFS(Tableau4[NB Remis],Tableau4[Réf matériel],Tableau5[[#This Row],[Réf matériel]],Tableau4[Matricule],"OAI")</f>
        <v>1</v>
      </c>
      <c r="E41" s="105" t="str">
        <f>IF(Tableau5[[#This Row],[Besoin OAI]]=Tableau5[[#This Row],[Remis OAI]],"OK","NOK")</f>
        <v>OK</v>
      </c>
      <c r="F41">
        <v>1</v>
      </c>
      <c r="G41">
        <f>SUMIFS(Tableau4[NB Remis],Tableau4[Réf matériel],Tableau5[[#This Row],[Réf matériel]],Tableau4[Matricule],"ABE")</f>
        <v>1</v>
      </c>
      <c r="H41" s="105" t="str">
        <f>IF(Tableau5[[#This Row],[Besoin ABE]]=Tableau5[[#This Row],[Remis ABE]],"OK","NOK")</f>
        <v>OK</v>
      </c>
      <c r="J41">
        <f>SUMIFS(Tableau4[NB Remis],Tableau4[Réf matériel],Tableau5[[#This Row],[Réf matériel]],Tableau4[Matricule],"SBI")</f>
        <v>0</v>
      </c>
      <c r="K41" s="105" t="str">
        <f>IF(Tableau5[[#This Row],[Besoin SBI]]=Tableau5[[#This Row],[Remis SBI]],"OK","NOK")</f>
        <v>OK</v>
      </c>
      <c r="L41">
        <v>1</v>
      </c>
      <c r="M41">
        <f>SUMIFS(Tableau4[NB Remis],Tableau4[Réf matériel],Tableau5[[#This Row],[Réf matériel]],Tableau4[Matricule],"ABI")</f>
        <v>1</v>
      </c>
      <c r="N41" s="105" t="str">
        <f>IF(Tableau5[[#This Row],[Besoin ABI]]=Tableau5[[#This Row],[Remis ABI]],"OK","NOK")</f>
        <v>OK</v>
      </c>
      <c r="P41">
        <f>SUMIFS(Tableau4[NB Remis],Tableau4[Réf matériel],Tableau5[[#This Row],[Réf matériel]],Tableau4[Matricule],"DCE")</f>
        <v>0</v>
      </c>
      <c r="Q41" s="105" t="str">
        <f>IF(Tableau5[[#This Row],[Besoin DCE]]=Tableau5[[#This Row],[Remis DCE]],"OK","NOK")</f>
        <v>OK</v>
      </c>
      <c r="R41">
        <v>1</v>
      </c>
      <c r="S41">
        <f>SUMIFS(Tableau4[NB Remis],Tableau4[Réf matériel],Tableau5[[#This Row],[Réf matériel]],Tableau4[Matricule],"JDE")</f>
        <v>2</v>
      </c>
      <c r="T41" s="105" t="str">
        <f>IF(Tableau5[[#This Row],[Besoin JDE]]=Tableau5[[#This Row],[Remis JDE]],"OK","NOK")</f>
        <v>NOK</v>
      </c>
      <c r="U41">
        <v>1</v>
      </c>
      <c r="V41">
        <f>SUMIFS(Tableau4[NB Remis],Tableau4[Réf matériel],Tableau5[[#This Row],[Réf matériel]],Tableau4[Matricule],"ODI")</f>
        <v>1</v>
      </c>
      <c r="W41" s="105" t="str">
        <f>IF(Tableau5[[#This Row],[Besoin ODI]]=Tableau5[[#This Row],[Remis ODI]],"OK","NOK")</f>
        <v>OK</v>
      </c>
      <c r="Y41">
        <f>SUMIFS(Tableau4[NB Remis],Tableau4[Réf matériel],Tableau5[[#This Row],[Réf matériel]],Tableau4[Matricule],"MFO")</f>
        <v>0</v>
      </c>
      <c r="Z41" s="105" t="str">
        <f>IF(Tableau5[[#This Row],[Besoin MFO]]=Tableau5[[#This Row],[Remis MFO]],"OK","NOK")</f>
        <v>OK</v>
      </c>
      <c r="AB41">
        <f>SUMIFS(Tableau4[NB Remis],Tableau4[Réf matériel],Tableau5[[#This Row],[Réf matériel]],Tableau4[Matricule],"SDU")</f>
        <v>0</v>
      </c>
      <c r="AC41" s="105" t="str">
        <f>IF(Tableau5[[#This Row],[Besoin SDU]]=Tableau5[[#This Row],[Remis SDU]],"OK","NOK")</f>
        <v>OK</v>
      </c>
      <c r="AD41">
        <v>1</v>
      </c>
      <c r="AE41">
        <f>SUMIFS(Tableau4[NB Remis],Tableau4[Réf matériel],Tableau5[[#This Row],[Réf matériel]],Tableau4[Matricule],"GGA")</f>
        <v>1</v>
      </c>
      <c r="AF41" s="105" t="str">
        <f>IF(Tableau5[[#This Row],[Besoin GGA2]]=Tableau5[[#This Row],[Remis GGA3]],"OK","NOK")</f>
        <v>OK</v>
      </c>
      <c r="AG41">
        <v>1</v>
      </c>
      <c r="AH41">
        <f>SUMIFS(Tableau4[NB Remis],Tableau4[Réf matériel],Tableau5[[#This Row],[Réf matériel]],Tableau4[Matricule],"RGE")</f>
        <v>2</v>
      </c>
      <c r="AI41" s="105" t="str">
        <f>IF(Tableau5[[#This Row],[Besoin RGE]]=Tableau5[[#This Row],[Remis RGE]],"OK","NOK")</f>
        <v>NOK</v>
      </c>
      <c r="AJ41">
        <v>1</v>
      </c>
      <c r="AK41">
        <f>SUMIFS(Tableau4[NB Remis],Tableau4[Réf matériel],Tableau5[[#This Row],[Réf matériel]],Tableau4[Matricule],"CKE")</f>
        <v>1</v>
      </c>
      <c r="AL41" s="105" t="str">
        <f>IF(Tableau5[[#This Row],[Besoin CKE]]=Tableau5[[#This Row],[Remis CKE]],"OK","NOK")</f>
        <v>OK</v>
      </c>
      <c r="AN41">
        <f>SUMIFS(Tableau4[NB Remis],Tableau4[Réf matériel],Tableau5[[#This Row],[Réf matériel]],Tableau4[Matricule],"DMA")</f>
        <v>0</v>
      </c>
      <c r="AO41" s="105" t="str">
        <f>IF(Tableau5[[#This Row],[Besoin DMA]]=Tableau5[[#This Row],[Remis DMA]],"OK","NOK")</f>
        <v>OK</v>
      </c>
      <c r="AP41">
        <v>1</v>
      </c>
      <c r="AQ41">
        <f>SUMIFS(Tableau4[NB Remis],Tableau4[Réf matériel],Tableau5[[#This Row],[Réf matériel]],Tableau4[Matricule],"LMO")</f>
        <v>1</v>
      </c>
      <c r="AR41" s="105" t="str">
        <f>IF(Tableau5[[#This Row],[Besoin LMO]]=Tableau5[[#This Row],[Remis LMO]],"OK","NOK")</f>
        <v>OK</v>
      </c>
      <c r="AS41">
        <v>1</v>
      </c>
      <c r="AT41">
        <f>SUMIFS(Tableau4[NB Remis],Tableau4[Réf matériel],Tableau5[[#This Row],[Réf matériel]],Tableau4[Matricule],"TMO")</f>
        <v>1</v>
      </c>
      <c r="AU41" s="105" t="str">
        <f>IF(Tableau5[[#This Row],[Besoin TMO]]=Tableau5[[#This Row],[Remis TMO]],"OK","NOK")</f>
        <v>OK</v>
      </c>
      <c r="AV41">
        <v>1</v>
      </c>
      <c r="AW41">
        <f>SUMIFS(Tableau4[NB Remis],Tableau4[Réf matériel],Tableau5[[#This Row],[Réf matériel]],Tableau4[Matricule],"JPA")</f>
        <v>1</v>
      </c>
      <c r="AX41" s="105" t="str">
        <f>IF(Tableau5[[#This Row],[Besoin JPA]]=Tableau5[[#This Row],[Remis JPA]],"OK","NOK")</f>
        <v>OK</v>
      </c>
      <c r="AZ41">
        <f>SUMIFS(Tableau4[NB Remis],Tableau4[Réf matériel],Tableau5[[#This Row],[Réf matériel]],Tableau4[Matricule],"MPE")</f>
        <v>0</v>
      </c>
      <c r="BA41" s="105" t="str">
        <f>IF(Tableau5[[#This Row],[Besoin MPE]]=Tableau5[[#This Row],[Remis MPE]],"OK","NOK")</f>
        <v>OK</v>
      </c>
      <c r="BB41">
        <v>1</v>
      </c>
      <c r="BC41">
        <f>SUMIFS(Tableau4[NB Remis],Tableau4[Réf matériel],Tableau5[[#This Row],[Réf matériel]],Tableau4[Matricule],"SPR")</f>
        <v>1</v>
      </c>
      <c r="BD41" s="105" t="str">
        <f>IF(Tableau5[[#This Row],[Besoin SPR]]=Tableau5[[#This Row],[Remis SPR]],"OK","NOK")</f>
        <v>OK</v>
      </c>
      <c r="BE41">
        <v>1</v>
      </c>
      <c r="BF41">
        <f>SUMIFS(Tableau4[NB Remis],Tableau4[Réf matériel],Tableau5[[#This Row],[Réf matériel]],Tableau4[Matricule],"MRO")</f>
        <v>1</v>
      </c>
      <c r="BG41" s="105" t="str">
        <f>IF(Tableau5[[#This Row],[Besoin MRO]]=Tableau5[[#This Row],[Remis MRO]],"OK","NOK")</f>
        <v>OK</v>
      </c>
      <c r="BH41">
        <v>1</v>
      </c>
      <c r="BI41">
        <f>SUMIFS(Tableau4[NB Remis],Tableau4[Réf matériel],Tableau5[[#This Row],[Réf matériel]],Tableau4[Matricule],"LSA")</f>
        <v>1</v>
      </c>
      <c r="BJ41" s="105" t="str">
        <f>IF(Tableau5[[#This Row],[Besoin LSA]]=Tableau5[[#This Row],[Remis LSA]],"OK","NOK")</f>
        <v>OK</v>
      </c>
      <c r="BK41">
        <v>1</v>
      </c>
      <c r="BL41">
        <f>SUMIFS(Tableau4[NB Remis],Tableau4[Réf matériel],Tableau5[[#This Row],[Réf matériel]],Tableau4[Matricule],"SST")</f>
        <v>1</v>
      </c>
      <c r="BM41" s="105" t="str">
        <f>IF(Tableau5[[#This Row],[Besoin SST]]=Tableau5[[#This Row],[Remis SST]],"OK","NOK")</f>
        <v>OK</v>
      </c>
      <c r="BO41">
        <f>SUMIFS(Tableau4[NB Remis],Tableau4[Réf matériel],Tableau5[[#This Row],[Réf matériel]],Tableau4[Matricule],"CTH")</f>
        <v>0</v>
      </c>
      <c r="BP41" s="105" t="str">
        <f>IF(Tableau5[[#This Row],[Besoin CTH]]=Tableau5[[#This Row],[Remis CTH]],"OK","NOK")</f>
        <v>OK</v>
      </c>
      <c r="BQ41">
        <v>1</v>
      </c>
      <c r="BR41">
        <f>SUMIFS(Tableau4[NB Remis],Tableau4[Réf matériel],Tableau5[[#This Row],[Réf matériel]],Tableau4[Matricule],"AVU")</f>
        <v>1</v>
      </c>
      <c r="BS41" s="105" t="str">
        <f>IF(Tableau5[[#This Row],[Besoin AVU]]=Tableau5[[#This Row],[Remis AVU]],"OK","NOK")</f>
        <v>OK</v>
      </c>
      <c r="BU41">
        <f>SUMIFS(Tableau4[NB Remis],Tableau4[Réf matériel],Tableau5[[#This Row],[Réf matériel]],Tableau4[Matricule],"FZE")</f>
        <v>0</v>
      </c>
      <c r="BV41" s="105" t="str">
        <f>IF(Tableau5[[#This Row],[Besoin FZE]]=Tableau5[[#This Row],[Remis FZE]],"OK","NOK")</f>
        <v>OK</v>
      </c>
      <c r="BW41">
        <v>1</v>
      </c>
      <c r="BX41">
        <f>SUMIFS(Tableau4[NB Remis],Tableau4[Réf matériel],Tableau5[[#This Row],[Réf matériel]],Tableau4[Matricule],"CV2")</f>
        <v>1</v>
      </c>
      <c r="BY41" s="105" t="str">
        <f>IF(Tableau5[[#This Row],[Besoin CV2]]=Tableau5[[#This Row],[Remis CV2]],"OK","NOK")</f>
        <v>OK</v>
      </c>
      <c r="BZ41">
        <v>1</v>
      </c>
      <c r="CA41">
        <f>SUMIFS(Tableau4[NB Remis],Tableau4[Réf matériel],Tableau5[[#This Row],[Réf matériel]],Tableau4[Matricule],"CV3")</f>
        <v>1</v>
      </c>
      <c r="CB41" s="105" t="str">
        <f>IF(Tableau5[[#This Row],[Besoin CV3]]=Tableau5[[#This Row],[Remis CV3]],"OK","NOK")</f>
        <v>OK</v>
      </c>
      <c r="CC41">
        <v>1</v>
      </c>
      <c r="CD41">
        <f>SUMIFS(Tableau4[NB Remis],Tableau4[Réf matériel],Tableau5[[#This Row],[Réf matériel]],Tableau4[Matricule],"CV1")</f>
        <v>1</v>
      </c>
      <c r="CE41" s="105" t="str">
        <f>IF(Tableau5[[#This Row],[Besoin CV1]]=Tableau5[[#This Row],[Remis CV1]],"OK","NOK")</f>
        <v>OK</v>
      </c>
      <c r="CF41">
        <v>1</v>
      </c>
      <c r="CG41">
        <f>SUMIFS(Tableau4[NB Remis],Tableau4[Réf matériel],Tableau5[[#This Row],[Réf matériel]],Tableau4[Matricule],"CV4")</f>
        <v>1</v>
      </c>
      <c r="CH41" s="106" t="str">
        <f>IF(Tableau5[[#This Row],[Besoin CV4]]=Tableau5[[#This Row],[Remis CV4]],"OK","NOK")</f>
        <v>OK</v>
      </c>
    </row>
    <row r="42" spans="2:86" x14ac:dyDescent="0.25">
      <c r="B42" t="s">
        <v>563</v>
      </c>
      <c r="C42">
        <v>0</v>
      </c>
      <c r="D42" s="90">
        <f>SUMIFS(Tableau4[NB Remis],Tableau4[Réf matériel],Tableau5[[#This Row],[Réf matériel]],Tableau4[Matricule],"OAI")</f>
        <v>0</v>
      </c>
      <c r="E42" s="106" t="str">
        <f>IF(Tableau5[[#This Row],[Besoin OAI]]=Tableau5[[#This Row],[Remis OAI]],"OK","NOK")</f>
        <v>OK</v>
      </c>
      <c r="F42">
        <v>0</v>
      </c>
      <c r="G42" s="90">
        <f>SUMIFS(Tableau4[NB Remis],Tableau4[Réf matériel],Tableau5[[#This Row],[Réf matériel]],Tableau4[Matricule],"ABE")</f>
        <v>0</v>
      </c>
      <c r="H42" s="106" t="str">
        <f>IF(Tableau5[[#This Row],[Besoin ABE]]=Tableau5[[#This Row],[Remis ABE]],"OK","NOK")</f>
        <v>OK</v>
      </c>
      <c r="I42">
        <v>0</v>
      </c>
      <c r="J42" s="90">
        <f>SUMIFS(Tableau4[NB Remis],Tableau4[Réf matériel],Tableau5[[#This Row],[Réf matériel]],Tableau4[Matricule],"SBI")</f>
        <v>0</v>
      </c>
      <c r="K42" s="106" t="str">
        <f>IF(Tableau5[[#This Row],[Besoin SBI]]=Tableau5[[#This Row],[Remis SBI]],"OK","NOK")</f>
        <v>OK</v>
      </c>
      <c r="L42">
        <v>0</v>
      </c>
      <c r="M42" s="90">
        <f>SUMIFS(Tableau4[NB Remis],Tableau4[Réf matériel],Tableau5[[#This Row],[Réf matériel]],Tableau4[Matricule],"ABI")</f>
        <v>0</v>
      </c>
      <c r="N42" s="106" t="str">
        <f>IF(Tableau5[[#This Row],[Besoin ABI]]=Tableau5[[#This Row],[Remis ABI]],"OK","NOK")</f>
        <v>OK</v>
      </c>
      <c r="O42">
        <v>0</v>
      </c>
      <c r="P42" s="90">
        <f>SUMIFS(Tableau4[NB Remis],Tableau4[Réf matériel],Tableau5[[#This Row],[Réf matériel]],Tableau4[Matricule],"DCE")</f>
        <v>0</v>
      </c>
      <c r="Q42" s="106" t="str">
        <f>IF(Tableau5[[#This Row],[Besoin DCE]]=Tableau5[[#This Row],[Remis DCE]],"OK","NOK")</f>
        <v>OK</v>
      </c>
      <c r="R42">
        <v>0</v>
      </c>
      <c r="S42" s="90">
        <f>SUMIFS(Tableau4[NB Remis],Tableau4[Réf matériel],Tableau5[[#This Row],[Réf matériel]],Tableau4[Matricule],"JDE")</f>
        <v>0</v>
      </c>
      <c r="T42" s="106" t="str">
        <f>IF(Tableau5[[#This Row],[Besoin JDE]]=Tableau5[[#This Row],[Remis JDE]],"OK","NOK")</f>
        <v>OK</v>
      </c>
      <c r="U42">
        <v>0</v>
      </c>
      <c r="V42" s="90">
        <f>SUMIFS(Tableau4[NB Remis],Tableau4[Réf matériel],Tableau5[[#This Row],[Réf matériel]],Tableau4[Matricule],"ODI")</f>
        <v>0</v>
      </c>
      <c r="W42" s="106" t="str">
        <f>IF(Tableau5[[#This Row],[Besoin ODI]]=Tableau5[[#This Row],[Remis ODI]],"OK","NOK")</f>
        <v>OK</v>
      </c>
      <c r="X42">
        <v>0</v>
      </c>
      <c r="Y42" s="90">
        <f>SUMIFS(Tableau4[NB Remis],Tableau4[Réf matériel],Tableau5[[#This Row],[Réf matériel]],Tableau4[Matricule],"MFO")</f>
        <v>0</v>
      </c>
      <c r="Z42" s="106" t="str">
        <f>IF(Tableau5[[#This Row],[Besoin MFO]]=Tableau5[[#This Row],[Remis MFO]],"OK","NOK")</f>
        <v>OK</v>
      </c>
      <c r="AA42">
        <v>0</v>
      </c>
      <c r="AB42">
        <f>SUMIFS(Tableau4[NB Remis],Tableau4[Réf matériel],Tableau5[[#This Row],[Réf matériel]],Tableau4[Matricule],"SDU")</f>
        <v>0</v>
      </c>
      <c r="AC42" s="106" t="str">
        <f>IF(Tableau5[[#This Row],[Besoin SDU]]=Tableau5[[#This Row],[Remis SDU]],"OK","NOK")</f>
        <v>OK</v>
      </c>
      <c r="AD42">
        <v>0</v>
      </c>
      <c r="AE42" s="90">
        <f>SUMIFS(Tableau4[NB Remis],Tableau4[Réf matériel],Tableau5[[#This Row],[Réf matériel]],Tableau4[Matricule],"GGA")</f>
        <v>0</v>
      </c>
      <c r="AF42" s="106" t="str">
        <f>IF(Tableau5[[#This Row],[Besoin GGA2]]=Tableau5[[#This Row],[Remis GGA3]],"OK","NOK")</f>
        <v>OK</v>
      </c>
      <c r="AG42">
        <v>0</v>
      </c>
      <c r="AH42" s="90">
        <f>SUMIFS(Tableau4[NB Remis],Tableau4[Réf matériel],Tableau5[[#This Row],[Réf matériel]],Tableau4[Matricule],"RGE")</f>
        <v>0</v>
      </c>
      <c r="AI42" s="106" t="str">
        <f>IF(Tableau5[[#This Row],[Besoin RGE]]=Tableau5[[#This Row],[Remis RGE]],"OK","NOK")</f>
        <v>OK</v>
      </c>
      <c r="AJ42">
        <v>0</v>
      </c>
      <c r="AK42" s="90">
        <f>SUMIFS(Tableau4[NB Remis],Tableau4[Réf matériel],Tableau5[[#This Row],[Réf matériel]],Tableau4[Matricule],"CKE")</f>
        <v>0</v>
      </c>
      <c r="AL42" s="106" t="str">
        <f>IF(Tableau5[[#This Row],[Besoin CKE]]=Tableau5[[#This Row],[Remis CKE]],"OK","NOK")</f>
        <v>OK</v>
      </c>
      <c r="AM42">
        <v>0</v>
      </c>
      <c r="AN42" s="90">
        <f>SUMIFS(Tableau4[NB Remis],Tableau4[Réf matériel],Tableau5[[#This Row],[Réf matériel]],Tableau4[Matricule],"DMA")</f>
        <v>0</v>
      </c>
      <c r="AO42" s="106" t="str">
        <f>IF(Tableau5[[#This Row],[Besoin DMA]]=Tableau5[[#This Row],[Remis DMA]],"OK","NOK")</f>
        <v>OK</v>
      </c>
      <c r="AP42">
        <v>0</v>
      </c>
      <c r="AQ42" s="90">
        <f>SUMIFS(Tableau4[NB Remis],Tableau4[Réf matériel],Tableau5[[#This Row],[Réf matériel]],Tableau4[Matricule],"LMO")</f>
        <v>0</v>
      </c>
      <c r="AR42" s="106" t="str">
        <f>IF(Tableau5[[#This Row],[Besoin LMO]]=Tableau5[[#This Row],[Remis LMO]],"OK","NOK")</f>
        <v>OK</v>
      </c>
      <c r="AS42">
        <v>0</v>
      </c>
      <c r="AT42" s="90">
        <f>SUMIFS(Tableau4[NB Remis],Tableau4[Réf matériel],Tableau5[[#This Row],[Réf matériel]],Tableau4[Matricule],"TMO")</f>
        <v>0</v>
      </c>
      <c r="AU42" s="106" t="str">
        <f>IF(Tableau5[[#This Row],[Besoin TMO]]=Tableau5[[#This Row],[Remis TMO]],"OK","NOK")</f>
        <v>OK</v>
      </c>
      <c r="AV42">
        <v>0</v>
      </c>
      <c r="AW42" s="90">
        <f>SUMIFS(Tableau4[NB Remis],Tableau4[Réf matériel],Tableau5[[#This Row],[Réf matériel]],Tableau4[Matricule],"JPA")</f>
        <v>0</v>
      </c>
      <c r="AX42" s="106" t="str">
        <f>IF(Tableau5[[#This Row],[Besoin JPA]]=Tableau5[[#This Row],[Remis JPA]],"OK","NOK")</f>
        <v>OK</v>
      </c>
      <c r="AY42">
        <v>0</v>
      </c>
      <c r="AZ42" s="90">
        <f>SUMIFS(Tableau4[NB Remis],Tableau4[Réf matériel],Tableau5[[#This Row],[Réf matériel]],Tableau4[Matricule],"MPE")</f>
        <v>0</v>
      </c>
      <c r="BA42" s="106" t="str">
        <f>IF(Tableau5[[#This Row],[Besoin MPE]]=Tableau5[[#This Row],[Remis MPE]],"OK","NOK")</f>
        <v>OK</v>
      </c>
      <c r="BB42">
        <v>3</v>
      </c>
      <c r="BC42" s="90">
        <f>SUMIFS(Tableau4[NB Remis],Tableau4[Réf matériel],Tableau5[[#This Row],[Réf matériel]],Tableau4[Matricule],"SPR")</f>
        <v>3</v>
      </c>
      <c r="BD42" s="106" t="str">
        <f>IF(Tableau5[[#This Row],[Besoin SPR]]=Tableau5[[#This Row],[Remis SPR]],"OK","NOK")</f>
        <v>OK</v>
      </c>
      <c r="BE42">
        <v>0</v>
      </c>
      <c r="BF42" s="90">
        <f>SUMIFS(Tableau4[NB Remis],Tableau4[Réf matériel],Tableau5[[#This Row],[Réf matériel]],Tableau4[Matricule],"MRO")</f>
        <v>0</v>
      </c>
      <c r="BG42" s="106" t="str">
        <f>IF(Tableau5[[#This Row],[Besoin MRO]]=Tableau5[[#This Row],[Remis MRO]],"OK","NOK")</f>
        <v>OK</v>
      </c>
      <c r="BH42">
        <v>0</v>
      </c>
      <c r="BI42" s="90">
        <f>SUMIFS(Tableau4[NB Remis],Tableau4[Réf matériel],Tableau5[[#This Row],[Réf matériel]],Tableau4[Matricule],"LSA")</f>
        <v>0</v>
      </c>
      <c r="BJ42" s="106" t="str">
        <f>IF(Tableau5[[#This Row],[Besoin LSA]]=Tableau5[[#This Row],[Remis LSA]],"OK","NOK")</f>
        <v>OK</v>
      </c>
      <c r="BK42">
        <v>0</v>
      </c>
      <c r="BL42" s="90">
        <f>SUMIFS(Tableau4[NB Remis],Tableau4[Réf matériel],Tableau5[[#This Row],[Réf matériel]],Tableau4[Matricule],"SST")</f>
        <v>0</v>
      </c>
      <c r="BM42" s="106" t="str">
        <f>IF(Tableau5[[#This Row],[Besoin SST]]=Tableau5[[#This Row],[Remis SST]],"OK","NOK")</f>
        <v>OK</v>
      </c>
      <c r="BN42">
        <v>0</v>
      </c>
      <c r="BO42" s="90">
        <f>SUMIFS(Tableau4[NB Remis],Tableau4[Réf matériel],Tableau5[[#This Row],[Réf matériel]],Tableau4[Matricule],"CTH")</f>
        <v>0</v>
      </c>
      <c r="BP42" s="106" t="str">
        <f>IF(Tableau5[[#This Row],[Besoin CTH]]=Tableau5[[#This Row],[Remis CTH]],"OK","NOK")</f>
        <v>OK</v>
      </c>
      <c r="BQ42">
        <v>0</v>
      </c>
      <c r="BR42">
        <f>SUMIFS(Tableau4[NB Remis],Tableau4[Réf matériel],Tableau5[[#This Row],[Réf matériel]],Tableau4[Matricule],"AVU")</f>
        <v>0</v>
      </c>
      <c r="BS42" s="106" t="str">
        <f>IF(Tableau5[[#This Row],[Besoin AVU]]=Tableau5[[#This Row],[Remis AVU]],"OK","NOK")</f>
        <v>OK</v>
      </c>
      <c r="BT42">
        <v>0</v>
      </c>
      <c r="BU42" s="90">
        <f>SUMIFS(Tableau4[NB Remis],Tableau4[Réf matériel],Tableau5[[#This Row],[Réf matériel]],Tableau4[Matricule],"FZE")</f>
        <v>0</v>
      </c>
      <c r="BV42" s="106" t="str">
        <f>IF(Tableau5[[#This Row],[Besoin FZE]]=Tableau5[[#This Row],[Remis FZE]],"OK","NOK")</f>
        <v>OK</v>
      </c>
      <c r="BW42">
        <v>0</v>
      </c>
      <c r="BX42">
        <f>SUMIFS(Tableau4[NB Remis],Tableau4[Réf matériel],Tableau5[[#This Row],[Réf matériel]],Tableau4[Matricule],"CV2")</f>
        <v>0</v>
      </c>
      <c r="BY42" s="106" t="str">
        <f>IF(Tableau5[[#This Row],[Besoin CV2]]=Tableau5[[#This Row],[Remis CV2]],"OK","NOK")</f>
        <v>OK</v>
      </c>
      <c r="BZ42">
        <v>0</v>
      </c>
      <c r="CA42">
        <f>SUMIFS(Tableau4[NB Remis],Tableau4[Réf matériel],Tableau5[[#This Row],[Réf matériel]],Tableau4[Matricule],"CV3")</f>
        <v>0</v>
      </c>
      <c r="CB42" s="106" t="str">
        <f>IF(Tableau5[[#This Row],[Besoin CV3]]=Tableau5[[#This Row],[Remis CV3]],"OK","NOK")</f>
        <v>OK</v>
      </c>
      <c r="CC42">
        <v>0</v>
      </c>
      <c r="CD42" s="90">
        <f>SUMIFS(Tableau4[NB Remis],Tableau4[Réf matériel],Tableau5[[#This Row],[Réf matériel]],Tableau4[Matricule],"CV1")</f>
        <v>0</v>
      </c>
      <c r="CE42" s="106" t="str">
        <f>IF(Tableau5[[#This Row],[Besoin CV1]]=Tableau5[[#This Row],[Remis CV1]],"OK","NOK")</f>
        <v>OK</v>
      </c>
      <c r="CF42">
        <v>0</v>
      </c>
      <c r="CG42">
        <f>SUMIFS(Tableau4[NB Remis],Tableau4[Réf matériel],Tableau5[[#This Row],[Réf matériel]],Tableau4[Matricule],"CV4")</f>
        <v>0</v>
      </c>
      <c r="CH42" s="106" t="str">
        <f>IF(Tableau5[[#This Row],[Besoin CV4]]=Tableau5[[#This Row],[Remis CV4]],"OK","NOK")</f>
        <v>OK</v>
      </c>
    </row>
    <row r="43" spans="2:86" x14ac:dyDescent="0.25">
      <c r="B43" t="s">
        <v>398</v>
      </c>
      <c r="C43">
        <v>1</v>
      </c>
      <c r="D43">
        <f>SUMIFS(Tableau4[NB Remis],Tableau4[Réf matériel],Tableau5[[#This Row],[Réf matériel]],Tableau4[Matricule],"OAI")</f>
        <v>1</v>
      </c>
      <c r="E43" s="105" t="str">
        <f>IF(Tableau5[[#This Row],[Besoin OAI]]=Tableau5[[#This Row],[Remis OAI]],"OK","NOK")</f>
        <v>OK</v>
      </c>
      <c r="F43">
        <v>1</v>
      </c>
      <c r="G43">
        <f>SUMIFS(Tableau4[NB Remis],Tableau4[Réf matériel],Tableau5[[#This Row],[Réf matériel]],Tableau4[Matricule],"ABE")</f>
        <v>1</v>
      </c>
      <c r="H43" s="105" t="str">
        <f>IF(Tableau5[[#This Row],[Besoin ABE]]=Tableau5[[#This Row],[Remis ABE]],"OK","NOK")</f>
        <v>OK</v>
      </c>
      <c r="J43">
        <f>SUMIFS(Tableau4[NB Remis],Tableau4[Réf matériel],Tableau5[[#This Row],[Réf matériel]],Tableau4[Matricule],"SBI")</f>
        <v>0</v>
      </c>
      <c r="K43" s="105" t="str">
        <f>IF(Tableau5[[#This Row],[Besoin SBI]]=Tableau5[[#This Row],[Remis SBI]],"OK","NOK")</f>
        <v>OK</v>
      </c>
      <c r="L43">
        <v>1</v>
      </c>
      <c r="M43">
        <f>SUMIFS(Tableau4[NB Remis],Tableau4[Réf matériel],Tableau5[[#This Row],[Réf matériel]],Tableau4[Matricule],"ABI")</f>
        <v>1</v>
      </c>
      <c r="N43" s="105" t="str">
        <f>IF(Tableau5[[#This Row],[Besoin ABI]]=Tableau5[[#This Row],[Remis ABI]],"OK","NOK")</f>
        <v>OK</v>
      </c>
      <c r="P43">
        <f>SUMIFS(Tableau4[NB Remis],Tableau4[Réf matériel],Tableau5[[#This Row],[Réf matériel]],Tableau4[Matricule],"DCE")</f>
        <v>0</v>
      </c>
      <c r="Q43" s="105" t="str">
        <f>IF(Tableau5[[#This Row],[Besoin DCE]]=Tableau5[[#This Row],[Remis DCE]],"OK","NOK")</f>
        <v>OK</v>
      </c>
      <c r="R43">
        <v>1</v>
      </c>
      <c r="S43">
        <f>SUMIFS(Tableau4[NB Remis],Tableau4[Réf matériel],Tableau5[[#This Row],[Réf matériel]],Tableau4[Matricule],"JDE")</f>
        <v>1</v>
      </c>
      <c r="T43" s="105" t="str">
        <f>IF(Tableau5[[#This Row],[Besoin JDE]]=Tableau5[[#This Row],[Remis JDE]],"OK","NOK")</f>
        <v>OK</v>
      </c>
      <c r="U43">
        <v>1</v>
      </c>
      <c r="V43">
        <f>SUMIFS(Tableau4[NB Remis],Tableau4[Réf matériel],Tableau5[[#This Row],[Réf matériel]],Tableau4[Matricule],"ODI")</f>
        <v>1</v>
      </c>
      <c r="W43" s="105" t="str">
        <f>IF(Tableau5[[#This Row],[Besoin ODI]]=Tableau5[[#This Row],[Remis ODI]],"OK","NOK")</f>
        <v>OK</v>
      </c>
      <c r="Y43">
        <f>SUMIFS(Tableau4[NB Remis],Tableau4[Réf matériel],Tableau5[[#This Row],[Réf matériel]],Tableau4[Matricule],"MFO")</f>
        <v>0</v>
      </c>
      <c r="Z43" s="105" t="str">
        <f>IF(Tableau5[[#This Row],[Besoin MFO]]=Tableau5[[#This Row],[Remis MFO]],"OK","NOK")</f>
        <v>OK</v>
      </c>
      <c r="AB43">
        <f>SUMIFS(Tableau4[NB Remis],Tableau4[Réf matériel],Tableau5[[#This Row],[Réf matériel]],Tableau4[Matricule],"SDU")</f>
        <v>0</v>
      </c>
      <c r="AC43" s="105" t="str">
        <f>IF(Tableau5[[#This Row],[Besoin SDU]]=Tableau5[[#This Row],[Remis SDU]],"OK","NOK")</f>
        <v>OK</v>
      </c>
      <c r="AE43">
        <f>SUMIFS(Tableau4[NB Remis],Tableau4[Réf matériel],Tableau5[[#This Row],[Réf matériel]],Tableau4[Matricule],"GGA")</f>
        <v>0</v>
      </c>
      <c r="AF43" s="105" t="str">
        <f>IF(Tableau5[[#This Row],[Besoin GGA2]]=Tableau5[[#This Row],[Remis GGA3]],"OK","NOK")</f>
        <v>OK</v>
      </c>
      <c r="AG43">
        <v>1</v>
      </c>
      <c r="AH43">
        <f>SUMIFS(Tableau4[NB Remis],Tableau4[Réf matériel],Tableau5[[#This Row],[Réf matériel]],Tableau4[Matricule],"RGE")</f>
        <v>2</v>
      </c>
      <c r="AI43" s="105" t="str">
        <f>IF(Tableau5[[#This Row],[Besoin RGE]]=Tableau5[[#This Row],[Remis RGE]],"OK","NOK")</f>
        <v>NOK</v>
      </c>
      <c r="AJ43">
        <v>1</v>
      </c>
      <c r="AK43">
        <f>SUMIFS(Tableau4[NB Remis],Tableau4[Réf matériel],Tableau5[[#This Row],[Réf matériel]],Tableau4[Matricule],"CKE")</f>
        <v>1</v>
      </c>
      <c r="AL43" s="105" t="str">
        <f>IF(Tableau5[[#This Row],[Besoin CKE]]=Tableau5[[#This Row],[Remis CKE]],"OK","NOK")</f>
        <v>OK</v>
      </c>
      <c r="AN43">
        <f>SUMIFS(Tableau4[NB Remis],Tableau4[Réf matériel],Tableau5[[#This Row],[Réf matériel]],Tableau4[Matricule],"DMA")</f>
        <v>0</v>
      </c>
      <c r="AO43" s="105" t="str">
        <f>IF(Tableau5[[#This Row],[Besoin DMA]]=Tableau5[[#This Row],[Remis DMA]],"OK","NOK")</f>
        <v>OK</v>
      </c>
      <c r="AQ43">
        <f>SUMIFS(Tableau4[NB Remis],Tableau4[Réf matériel],Tableau5[[#This Row],[Réf matériel]],Tableau4[Matricule],"LMO")</f>
        <v>0</v>
      </c>
      <c r="AR43" s="105" t="str">
        <f>IF(Tableau5[[#This Row],[Besoin LMO]]=Tableau5[[#This Row],[Remis LMO]],"OK","NOK")</f>
        <v>OK</v>
      </c>
      <c r="AS43">
        <v>1</v>
      </c>
      <c r="AT43">
        <f>SUMIFS(Tableau4[NB Remis],Tableau4[Réf matériel],Tableau5[[#This Row],[Réf matériel]],Tableau4[Matricule],"TMO")</f>
        <v>1</v>
      </c>
      <c r="AU43" s="105" t="str">
        <f>IF(Tableau5[[#This Row],[Besoin TMO]]=Tableau5[[#This Row],[Remis TMO]],"OK","NOK")</f>
        <v>OK</v>
      </c>
      <c r="AV43">
        <v>1</v>
      </c>
      <c r="AW43">
        <f>SUMIFS(Tableau4[NB Remis],Tableau4[Réf matériel],Tableau5[[#This Row],[Réf matériel]],Tableau4[Matricule],"JPA")</f>
        <v>1</v>
      </c>
      <c r="AX43" s="105" t="str">
        <f>IF(Tableau5[[#This Row],[Besoin JPA]]=Tableau5[[#This Row],[Remis JPA]],"OK","NOK")</f>
        <v>OK</v>
      </c>
      <c r="AZ43">
        <f>SUMIFS(Tableau4[NB Remis],Tableau4[Réf matériel],Tableau5[[#This Row],[Réf matériel]],Tableau4[Matricule],"MPE")</f>
        <v>0</v>
      </c>
      <c r="BA43" s="105" t="str">
        <f>IF(Tableau5[[#This Row],[Besoin MPE]]=Tableau5[[#This Row],[Remis MPE]],"OK","NOK")</f>
        <v>OK</v>
      </c>
      <c r="BB43">
        <v>1</v>
      </c>
      <c r="BC43">
        <f>SUMIFS(Tableau4[NB Remis],Tableau4[Réf matériel],Tableau5[[#This Row],[Réf matériel]],Tableau4[Matricule],"SPR")</f>
        <v>1</v>
      </c>
      <c r="BD43" s="105" t="str">
        <f>IF(Tableau5[[#This Row],[Besoin SPR]]=Tableau5[[#This Row],[Remis SPR]],"OK","NOK")</f>
        <v>OK</v>
      </c>
      <c r="BE43">
        <v>1</v>
      </c>
      <c r="BF43">
        <f>SUMIFS(Tableau4[NB Remis],Tableau4[Réf matériel],Tableau5[[#This Row],[Réf matériel]],Tableau4[Matricule],"MRO")</f>
        <v>2</v>
      </c>
      <c r="BG43" s="105" t="str">
        <f>IF(Tableau5[[#This Row],[Besoin MRO]]=Tableau5[[#This Row],[Remis MRO]],"OK","NOK")</f>
        <v>NOK</v>
      </c>
      <c r="BH43">
        <v>1</v>
      </c>
      <c r="BI43">
        <f>SUMIFS(Tableau4[NB Remis],Tableau4[Réf matériel],Tableau5[[#This Row],[Réf matériel]],Tableau4[Matricule],"LSA")</f>
        <v>1</v>
      </c>
      <c r="BJ43" s="105" t="str">
        <f>IF(Tableau5[[#This Row],[Besoin LSA]]=Tableau5[[#This Row],[Remis LSA]],"OK","NOK")</f>
        <v>OK</v>
      </c>
      <c r="BK43">
        <v>1</v>
      </c>
      <c r="BL43">
        <f>SUMIFS(Tableau4[NB Remis],Tableau4[Réf matériel],Tableau5[[#This Row],[Réf matériel]],Tableau4[Matricule],"SST")</f>
        <v>1</v>
      </c>
      <c r="BM43" s="105" t="str">
        <f>IF(Tableau5[[#This Row],[Besoin SST]]=Tableau5[[#This Row],[Remis SST]],"OK","NOK")</f>
        <v>OK</v>
      </c>
      <c r="BO43">
        <f>SUMIFS(Tableau4[NB Remis],Tableau4[Réf matériel],Tableau5[[#This Row],[Réf matériel]],Tableau4[Matricule],"CTH")</f>
        <v>0</v>
      </c>
      <c r="BP43" s="105" t="str">
        <f>IF(Tableau5[[#This Row],[Besoin CTH]]=Tableau5[[#This Row],[Remis CTH]],"OK","NOK")</f>
        <v>OK</v>
      </c>
      <c r="BR43">
        <f>SUMIFS(Tableau4[NB Remis],Tableau4[Réf matériel],Tableau5[[#This Row],[Réf matériel]],Tableau4[Matricule],"AVU")</f>
        <v>0</v>
      </c>
      <c r="BS43" s="105" t="str">
        <f>IF(Tableau5[[#This Row],[Besoin AVU]]=Tableau5[[#This Row],[Remis AVU]],"OK","NOK")</f>
        <v>OK</v>
      </c>
      <c r="BU43">
        <f>SUMIFS(Tableau4[NB Remis],Tableau4[Réf matériel],Tableau5[[#This Row],[Réf matériel]],Tableau4[Matricule],"FZE")</f>
        <v>0</v>
      </c>
      <c r="BV43" s="105" t="str">
        <f>IF(Tableau5[[#This Row],[Besoin FZE]]=Tableau5[[#This Row],[Remis FZE]],"OK","NOK")</f>
        <v>OK</v>
      </c>
      <c r="BW43">
        <v>1</v>
      </c>
      <c r="BX43">
        <f>SUMIFS(Tableau4[NB Remis],Tableau4[Réf matériel],Tableau5[[#This Row],[Réf matériel]],Tableau4[Matricule],"CV2")</f>
        <v>1</v>
      </c>
      <c r="BY43" s="105" t="str">
        <f>IF(Tableau5[[#This Row],[Besoin CV2]]=Tableau5[[#This Row],[Remis CV2]],"OK","NOK")</f>
        <v>OK</v>
      </c>
      <c r="BZ43">
        <v>1</v>
      </c>
      <c r="CA43">
        <f>SUMIFS(Tableau4[NB Remis],Tableau4[Réf matériel],Tableau5[[#This Row],[Réf matériel]],Tableau4[Matricule],"CV3")</f>
        <v>1</v>
      </c>
      <c r="CB43" s="105" t="str">
        <f>IF(Tableau5[[#This Row],[Besoin CV3]]=Tableau5[[#This Row],[Remis CV3]],"OK","NOK")</f>
        <v>OK</v>
      </c>
      <c r="CC43">
        <v>1</v>
      </c>
      <c r="CD43">
        <f>SUMIFS(Tableau4[NB Remis],Tableau4[Réf matériel],Tableau5[[#This Row],[Réf matériel]],Tableau4[Matricule],"CV1")</f>
        <v>2</v>
      </c>
      <c r="CE43" s="105" t="str">
        <f>IF(Tableau5[[#This Row],[Besoin CV1]]=Tableau5[[#This Row],[Remis CV1]],"OK","NOK")</f>
        <v>NOK</v>
      </c>
      <c r="CF43">
        <v>1</v>
      </c>
      <c r="CG43">
        <f>SUMIFS(Tableau4[NB Remis],Tableau4[Réf matériel],Tableau5[[#This Row],[Réf matériel]],Tableau4[Matricule],"CV4")</f>
        <v>1</v>
      </c>
      <c r="CH43" s="106" t="str">
        <f>IF(Tableau5[[#This Row],[Besoin CV4]]=Tableau5[[#This Row],[Remis CV4]],"OK","NOK")</f>
        <v>OK</v>
      </c>
    </row>
    <row r="44" spans="2:86" x14ac:dyDescent="0.25">
      <c r="B44" t="s">
        <v>559</v>
      </c>
      <c r="D44" s="90">
        <f>SUMIFS(Tableau4[NB Remis],Tableau4[Réf matériel],Tableau5[[#This Row],[Réf matériel]],Tableau4[Matricule],"OAI")</f>
        <v>0</v>
      </c>
      <c r="E44" s="106" t="str">
        <f>IF(Tableau5[[#This Row],[Besoin OAI]]=Tableau5[[#This Row],[Remis OAI]],"OK","NOK")</f>
        <v>OK</v>
      </c>
      <c r="F44">
        <v>1</v>
      </c>
      <c r="G44" s="90">
        <f>SUMIFS(Tableau4[NB Remis],Tableau4[Réf matériel],Tableau5[[#This Row],[Réf matériel]],Tableau4[Matricule],"ABE")</f>
        <v>1</v>
      </c>
      <c r="H44" s="106" t="str">
        <f>IF(Tableau5[[#This Row],[Besoin ABE]]=Tableau5[[#This Row],[Remis ABE]],"OK","NOK")</f>
        <v>OK</v>
      </c>
      <c r="J44" s="90">
        <f>SUMIFS(Tableau4[NB Remis],Tableau4[Réf matériel],Tableau5[[#This Row],[Réf matériel]],Tableau4[Matricule],"SBI")</f>
        <v>0</v>
      </c>
      <c r="K44" s="106" t="str">
        <f>IF(Tableau5[[#This Row],[Besoin SBI]]=Tableau5[[#This Row],[Remis SBI]],"OK","NOK")</f>
        <v>OK</v>
      </c>
      <c r="M44" s="90">
        <f>SUMIFS(Tableau4[NB Remis],Tableau4[Réf matériel],Tableau5[[#This Row],[Réf matériel]],Tableau4[Matricule],"ABI")</f>
        <v>0</v>
      </c>
      <c r="N44" s="106" t="str">
        <f>IF(Tableau5[[#This Row],[Besoin ABI]]=Tableau5[[#This Row],[Remis ABI]],"OK","NOK")</f>
        <v>OK</v>
      </c>
      <c r="P44" s="90">
        <f>SUMIFS(Tableau4[NB Remis],Tableau4[Réf matériel],Tableau5[[#This Row],[Réf matériel]],Tableau4[Matricule],"DCE")</f>
        <v>0</v>
      </c>
      <c r="Q44" s="106" t="str">
        <f>IF(Tableau5[[#This Row],[Besoin DCE]]=Tableau5[[#This Row],[Remis DCE]],"OK","NOK")</f>
        <v>OK</v>
      </c>
      <c r="S44" s="90">
        <f>SUMIFS(Tableau4[NB Remis],Tableau4[Réf matériel],Tableau5[[#This Row],[Réf matériel]],Tableau4[Matricule],"JDE")</f>
        <v>0</v>
      </c>
      <c r="T44" s="106" t="str">
        <f>IF(Tableau5[[#This Row],[Besoin JDE]]=Tableau5[[#This Row],[Remis JDE]],"OK","NOK")</f>
        <v>OK</v>
      </c>
      <c r="V44" s="90">
        <f>SUMIFS(Tableau4[NB Remis],Tableau4[Réf matériel],Tableau5[[#This Row],[Réf matériel]],Tableau4[Matricule],"ODI")</f>
        <v>0</v>
      </c>
      <c r="W44" s="106" t="str">
        <f>IF(Tableau5[[#This Row],[Besoin ODI]]=Tableau5[[#This Row],[Remis ODI]],"OK","NOK")</f>
        <v>OK</v>
      </c>
      <c r="Y44" s="90">
        <f>SUMIFS(Tableau4[NB Remis],Tableau4[Réf matériel],Tableau5[[#This Row],[Réf matériel]],Tableau4[Matricule],"MFO")</f>
        <v>0</v>
      </c>
      <c r="Z44" s="106" t="str">
        <f>IF(Tableau5[[#This Row],[Besoin MFO]]=Tableau5[[#This Row],[Remis MFO]],"OK","NOK")</f>
        <v>OK</v>
      </c>
      <c r="AB44">
        <f>SUMIFS(Tableau4[NB Remis],Tableau4[Réf matériel],Tableau5[[#This Row],[Réf matériel]],Tableau4[Matricule],"SDU")</f>
        <v>0</v>
      </c>
      <c r="AC44" s="106" t="str">
        <f>IF(Tableau5[[#This Row],[Besoin SDU]]=Tableau5[[#This Row],[Remis SDU]],"OK","NOK")</f>
        <v>OK</v>
      </c>
      <c r="AE44" s="90">
        <f>SUMIFS(Tableau4[NB Remis],Tableau4[Réf matériel],Tableau5[[#This Row],[Réf matériel]],Tableau4[Matricule],"GGA")</f>
        <v>0</v>
      </c>
      <c r="AF44" s="106" t="str">
        <f>IF(Tableau5[[#This Row],[Besoin GGA2]]=Tableau5[[#This Row],[Remis GGA3]],"OK","NOK")</f>
        <v>OK</v>
      </c>
      <c r="AH44" s="90">
        <f>SUMIFS(Tableau4[NB Remis],Tableau4[Réf matériel],Tableau5[[#This Row],[Réf matériel]],Tableau4[Matricule],"RGE")</f>
        <v>0</v>
      </c>
      <c r="AI44" s="106" t="str">
        <f>IF(Tableau5[[#This Row],[Besoin RGE]]=Tableau5[[#This Row],[Remis RGE]],"OK","NOK")</f>
        <v>OK</v>
      </c>
      <c r="AK44" s="90">
        <f>SUMIFS(Tableau4[NB Remis],Tableau4[Réf matériel],Tableau5[[#This Row],[Réf matériel]],Tableau4[Matricule],"CKE")</f>
        <v>0</v>
      </c>
      <c r="AL44" s="106" t="str">
        <f>IF(Tableau5[[#This Row],[Besoin CKE]]=Tableau5[[#This Row],[Remis CKE]],"OK","NOK")</f>
        <v>OK</v>
      </c>
      <c r="AN44" s="90">
        <f>SUMIFS(Tableau4[NB Remis],Tableau4[Réf matériel],Tableau5[[#This Row],[Réf matériel]],Tableau4[Matricule],"DMA")</f>
        <v>0</v>
      </c>
      <c r="AO44" s="106" t="str">
        <f>IF(Tableau5[[#This Row],[Besoin DMA]]=Tableau5[[#This Row],[Remis DMA]],"OK","NOK")</f>
        <v>OK</v>
      </c>
      <c r="AQ44" s="90">
        <f>SUMIFS(Tableau4[NB Remis],Tableau4[Réf matériel],Tableau5[[#This Row],[Réf matériel]],Tableau4[Matricule],"LMO")</f>
        <v>0</v>
      </c>
      <c r="AR44" s="106" t="str">
        <f>IF(Tableau5[[#This Row],[Besoin LMO]]=Tableau5[[#This Row],[Remis LMO]],"OK","NOK")</f>
        <v>OK</v>
      </c>
      <c r="AT44" s="90">
        <f>SUMIFS(Tableau4[NB Remis],Tableau4[Réf matériel],Tableau5[[#This Row],[Réf matériel]],Tableau4[Matricule],"TMO")</f>
        <v>0</v>
      </c>
      <c r="AU44" s="106" t="str">
        <f>IF(Tableau5[[#This Row],[Besoin TMO]]=Tableau5[[#This Row],[Remis TMO]],"OK","NOK")</f>
        <v>OK</v>
      </c>
      <c r="AW44" s="90">
        <f>SUMIFS(Tableau4[NB Remis],Tableau4[Réf matériel],Tableau5[[#This Row],[Réf matériel]],Tableau4[Matricule],"JPA")</f>
        <v>0</v>
      </c>
      <c r="AX44" s="106" t="str">
        <f>IF(Tableau5[[#This Row],[Besoin JPA]]=Tableau5[[#This Row],[Remis JPA]],"OK","NOK")</f>
        <v>OK</v>
      </c>
      <c r="AZ44" s="90">
        <f>SUMIFS(Tableau4[NB Remis],Tableau4[Réf matériel],Tableau5[[#This Row],[Réf matériel]],Tableau4[Matricule],"MPE")</f>
        <v>0</v>
      </c>
      <c r="BA44" s="106" t="str">
        <f>IF(Tableau5[[#This Row],[Besoin MPE]]=Tableau5[[#This Row],[Remis MPE]],"OK","NOK")</f>
        <v>OK</v>
      </c>
      <c r="BC44" s="90">
        <f>SUMIFS(Tableau4[NB Remis],Tableau4[Réf matériel],Tableau5[[#This Row],[Réf matériel]],Tableau4[Matricule],"SPR")</f>
        <v>0</v>
      </c>
      <c r="BD44" s="106" t="str">
        <f>IF(Tableau5[[#This Row],[Besoin SPR]]=Tableau5[[#This Row],[Remis SPR]],"OK","NOK")</f>
        <v>OK</v>
      </c>
      <c r="BF44" s="90">
        <f>SUMIFS(Tableau4[NB Remis],Tableau4[Réf matériel],Tableau5[[#This Row],[Réf matériel]],Tableau4[Matricule],"MRO")</f>
        <v>0</v>
      </c>
      <c r="BG44" s="106" t="str">
        <f>IF(Tableau5[[#This Row],[Besoin MRO]]=Tableau5[[#This Row],[Remis MRO]],"OK","NOK")</f>
        <v>OK</v>
      </c>
      <c r="BI44" s="90">
        <f>SUMIFS(Tableau4[NB Remis],Tableau4[Réf matériel],Tableau5[[#This Row],[Réf matériel]],Tableau4[Matricule],"LSA")</f>
        <v>0</v>
      </c>
      <c r="BJ44" s="106" t="str">
        <f>IF(Tableau5[[#This Row],[Besoin LSA]]=Tableau5[[#This Row],[Remis LSA]],"OK","NOK")</f>
        <v>OK</v>
      </c>
      <c r="BL44" s="90">
        <f>SUMIFS(Tableau4[NB Remis],Tableau4[Réf matériel],Tableau5[[#This Row],[Réf matériel]],Tableau4[Matricule],"SST")</f>
        <v>0</v>
      </c>
      <c r="BM44" s="106" t="str">
        <f>IF(Tableau5[[#This Row],[Besoin SST]]=Tableau5[[#This Row],[Remis SST]],"OK","NOK")</f>
        <v>OK</v>
      </c>
      <c r="BO44" s="90">
        <f>SUMIFS(Tableau4[NB Remis],Tableau4[Réf matériel],Tableau5[[#This Row],[Réf matériel]],Tableau4[Matricule],"CTH")</f>
        <v>0</v>
      </c>
      <c r="BP44" s="106" t="str">
        <f>IF(Tableau5[[#This Row],[Besoin CTH]]=Tableau5[[#This Row],[Remis CTH]],"OK","NOK")</f>
        <v>OK</v>
      </c>
      <c r="BR44">
        <f>SUMIFS(Tableau4[NB Remis],Tableau4[Réf matériel],Tableau5[[#This Row],[Réf matériel]],Tableau4[Matricule],"AVU")</f>
        <v>0</v>
      </c>
      <c r="BS44" s="106" t="str">
        <f>IF(Tableau5[[#This Row],[Besoin AVU]]=Tableau5[[#This Row],[Remis AVU]],"OK","NOK")</f>
        <v>OK</v>
      </c>
      <c r="BU44" s="90">
        <f>SUMIFS(Tableau4[NB Remis],Tableau4[Réf matériel],Tableau5[[#This Row],[Réf matériel]],Tableau4[Matricule],"FZE")</f>
        <v>0</v>
      </c>
      <c r="BV44" s="106" t="str">
        <f>IF(Tableau5[[#This Row],[Besoin FZE]]=Tableau5[[#This Row],[Remis FZE]],"OK","NOK")</f>
        <v>OK</v>
      </c>
      <c r="BX44">
        <f>SUMIFS(Tableau4[NB Remis],Tableau4[Réf matériel],Tableau5[[#This Row],[Réf matériel]],Tableau4[Matricule],"CV2")</f>
        <v>0</v>
      </c>
      <c r="BY44" s="106" t="str">
        <f>IF(Tableau5[[#This Row],[Besoin CV2]]=Tableau5[[#This Row],[Remis CV2]],"OK","NOK")</f>
        <v>OK</v>
      </c>
      <c r="CA44">
        <f>SUMIFS(Tableau4[NB Remis],Tableau4[Réf matériel],Tableau5[[#This Row],[Réf matériel]],Tableau4[Matricule],"CV3")</f>
        <v>0</v>
      </c>
      <c r="CB44" s="106" t="str">
        <f>IF(Tableau5[[#This Row],[Besoin CV3]]=Tableau5[[#This Row],[Remis CV3]],"OK","NOK")</f>
        <v>OK</v>
      </c>
      <c r="CD44" s="90">
        <f>SUMIFS(Tableau4[NB Remis],Tableau4[Réf matériel],Tableau5[[#This Row],[Réf matériel]],Tableau4[Matricule],"CV1")</f>
        <v>0</v>
      </c>
      <c r="CE44" s="106" t="str">
        <f>IF(Tableau5[[#This Row],[Besoin CV1]]=Tableau5[[#This Row],[Remis CV1]],"OK","NOK")</f>
        <v>OK</v>
      </c>
      <c r="CG44">
        <f>SUMIFS(Tableau4[NB Remis],Tableau4[Réf matériel],Tableau5[[#This Row],[Réf matériel]],Tableau4[Matricule],"CV4")</f>
        <v>0</v>
      </c>
      <c r="CH44" s="106" t="str">
        <f>IF(Tableau5[[#This Row],[Besoin CV4]]=Tableau5[[#This Row],[Remis CV4]],"OK","NOK")</f>
        <v>OK</v>
      </c>
    </row>
    <row r="45" spans="2:86" x14ac:dyDescent="0.25">
      <c r="B45" t="s">
        <v>49</v>
      </c>
      <c r="C45">
        <v>1</v>
      </c>
      <c r="D45">
        <f>SUMIFS(Tableau4[NB Remis],Tableau4[Réf matériel],Tableau5[[#This Row],[Réf matériel]],Tableau4[Matricule],"OAI")</f>
        <v>1</v>
      </c>
      <c r="E45" s="105" t="str">
        <f>IF(Tableau5[[#This Row],[Besoin OAI]]=Tableau5[[#This Row],[Remis OAI]],"OK","NOK")</f>
        <v>OK</v>
      </c>
      <c r="F45">
        <v>1</v>
      </c>
      <c r="G45">
        <f>SUMIFS(Tableau4[NB Remis],Tableau4[Réf matériel],Tableau5[[#This Row],[Réf matériel]],Tableau4[Matricule],"ABE")</f>
        <v>1</v>
      </c>
      <c r="H45" s="105" t="str">
        <f>IF(Tableau5[[#This Row],[Besoin ABE]]=Tableau5[[#This Row],[Remis ABE]],"OK","NOK")</f>
        <v>OK</v>
      </c>
      <c r="J45">
        <f>SUMIFS(Tableau4[NB Remis],Tableau4[Réf matériel],Tableau5[[#This Row],[Réf matériel]],Tableau4[Matricule],"SBI")</f>
        <v>0</v>
      </c>
      <c r="K45" s="105" t="str">
        <f>IF(Tableau5[[#This Row],[Besoin SBI]]=Tableau5[[#This Row],[Remis SBI]],"OK","NOK")</f>
        <v>OK</v>
      </c>
      <c r="L45">
        <v>1</v>
      </c>
      <c r="M45">
        <f>SUMIFS(Tableau4[NB Remis],Tableau4[Réf matériel],Tableau5[[#This Row],[Réf matériel]],Tableau4[Matricule],"ABI")</f>
        <v>1</v>
      </c>
      <c r="N45" s="105" t="str">
        <f>IF(Tableau5[[#This Row],[Besoin ABI]]=Tableau5[[#This Row],[Remis ABI]],"OK","NOK")</f>
        <v>OK</v>
      </c>
      <c r="P45">
        <f>SUMIFS(Tableau4[NB Remis],Tableau4[Réf matériel],Tableau5[[#This Row],[Réf matériel]],Tableau4[Matricule],"DCE")</f>
        <v>0</v>
      </c>
      <c r="Q45" s="105" t="str">
        <f>IF(Tableau5[[#This Row],[Besoin DCE]]=Tableau5[[#This Row],[Remis DCE]],"OK","NOK")</f>
        <v>OK</v>
      </c>
      <c r="R45">
        <v>1</v>
      </c>
      <c r="S45">
        <f>SUMIFS(Tableau4[NB Remis],Tableau4[Réf matériel],Tableau5[[#This Row],[Réf matériel]],Tableau4[Matricule],"JDE")</f>
        <v>1</v>
      </c>
      <c r="T45" s="105" t="str">
        <f>IF(Tableau5[[#This Row],[Besoin JDE]]=Tableau5[[#This Row],[Remis JDE]],"OK","NOK")</f>
        <v>OK</v>
      </c>
      <c r="U45">
        <v>1</v>
      </c>
      <c r="V45">
        <f>SUMIFS(Tableau4[NB Remis],Tableau4[Réf matériel],Tableau5[[#This Row],[Réf matériel]],Tableau4[Matricule],"ODI")</f>
        <v>1</v>
      </c>
      <c r="W45" s="105" t="str">
        <f>IF(Tableau5[[#This Row],[Besoin ODI]]=Tableau5[[#This Row],[Remis ODI]],"OK","NOK")</f>
        <v>OK</v>
      </c>
      <c r="Y45">
        <f>SUMIFS(Tableau4[NB Remis],Tableau4[Réf matériel],Tableau5[[#This Row],[Réf matériel]],Tableau4[Matricule],"MFO")</f>
        <v>0</v>
      </c>
      <c r="Z45" s="105" t="str">
        <f>IF(Tableau5[[#This Row],[Besoin MFO]]=Tableau5[[#This Row],[Remis MFO]],"OK","NOK")</f>
        <v>OK</v>
      </c>
      <c r="AB45">
        <f>SUMIFS(Tableau4[NB Remis],Tableau4[Réf matériel],Tableau5[[#This Row],[Réf matériel]],Tableau4[Matricule],"SDU")</f>
        <v>0</v>
      </c>
      <c r="AC45" s="105" t="str">
        <f>IF(Tableau5[[#This Row],[Besoin SDU]]=Tableau5[[#This Row],[Remis SDU]],"OK","NOK")</f>
        <v>OK</v>
      </c>
      <c r="AE45">
        <f>SUMIFS(Tableau4[NB Remis],Tableau4[Réf matériel],Tableau5[[#This Row],[Réf matériel]],Tableau4[Matricule],"GGA")</f>
        <v>0</v>
      </c>
      <c r="AF45" s="105" t="str">
        <f>IF(Tableau5[[#This Row],[Besoin GGA2]]=Tableau5[[#This Row],[Remis GGA3]],"OK","NOK")</f>
        <v>OK</v>
      </c>
      <c r="AG45">
        <v>1</v>
      </c>
      <c r="AH45">
        <f>SUMIFS(Tableau4[NB Remis],Tableau4[Réf matériel],Tableau5[[#This Row],[Réf matériel]],Tableau4[Matricule],"RGE")</f>
        <v>2</v>
      </c>
      <c r="AI45" s="105" t="str">
        <f>IF(Tableau5[[#This Row],[Besoin RGE]]=Tableau5[[#This Row],[Remis RGE]],"OK","NOK")</f>
        <v>NOK</v>
      </c>
      <c r="AJ45">
        <v>1</v>
      </c>
      <c r="AK45">
        <f>SUMIFS(Tableau4[NB Remis],Tableau4[Réf matériel],Tableau5[[#This Row],[Réf matériel]],Tableau4[Matricule],"CKE")</f>
        <v>1</v>
      </c>
      <c r="AL45" s="105" t="str">
        <f>IF(Tableau5[[#This Row],[Besoin CKE]]=Tableau5[[#This Row],[Remis CKE]],"OK","NOK")</f>
        <v>OK</v>
      </c>
      <c r="AN45">
        <f>SUMIFS(Tableau4[NB Remis],Tableau4[Réf matériel],Tableau5[[#This Row],[Réf matériel]],Tableau4[Matricule],"DMA")</f>
        <v>0</v>
      </c>
      <c r="AO45" s="105" t="str">
        <f>IF(Tableau5[[#This Row],[Besoin DMA]]=Tableau5[[#This Row],[Remis DMA]],"OK","NOK")</f>
        <v>OK</v>
      </c>
      <c r="AP45">
        <v>1</v>
      </c>
      <c r="AQ45">
        <f>SUMIFS(Tableau4[NB Remis],Tableau4[Réf matériel],Tableau5[[#This Row],[Réf matériel]],Tableau4[Matricule],"LMO")</f>
        <v>1</v>
      </c>
      <c r="AR45" s="105" t="str">
        <f>IF(Tableau5[[#This Row],[Besoin LMO]]=Tableau5[[#This Row],[Remis LMO]],"OK","NOK")</f>
        <v>OK</v>
      </c>
      <c r="AT45">
        <f>SUMIFS(Tableau4[NB Remis],Tableau4[Réf matériel],Tableau5[[#This Row],[Réf matériel]],Tableau4[Matricule],"TMO")</f>
        <v>0</v>
      </c>
      <c r="AU45" s="105" t="str">
        <f>IF(Tableau5[[#This Row],[Besoin TMO]]=Tableau5[[#This Row],[Remis TMO]],"OK","NOK")</f>
        <v>OK</v>
      </c>
      <c r="AV45">
        <v>1</v>
      </c>
      <c r="AW45">
        <f>SUMIFS(Tableau4[NB Remis],Tableau4[Réf matériel],Tableau5[[#This Row],[Réf matériel]],Tableau4[Matricule],"JPA")</f>
        <v>1</v>
      </c>
      <c r="AX45" s="105" t="str">
        <f>IF(Tableau5[[#This Row],[Besoin JPA]]=Tableau5[[#This Row],[Remis JPA]],"OK","NOK")</f>
        <v>OK</v>
      </c>
      <c r="AY45">
        <v>1</v>
      </c>
      <c r="AZ45">
        <f>SUMIFS(Tableau4[NB Remis],Tableau4[Réf matériel],Tableau5[[#This Row],[Réf matériel]],Tableau4[Matricule],"MPE")</f>
        <v>1</v>
      </c>
      <c r="BA45" s="105" t="str">
        <f>IF(Tableau5[[#This Row],[Besoin MPE]]=Tableau5[[#This Row],[Remis MPE]],"OK","NOK")</f>
        <v>OK</v>
      </c>
      <c r="BB45">
        <v>1</v>
      </c>
      <c r="BC45">
        <f>SUMIFS(Tableau4[NB Remis],Tableau4[Réf matériel],Tableau5[[#This Row],[Réf matériel]],Tableau4[Matricule],"SPR")</f>
        <v>1</v>
      </c>
      <c r="BD45" s="105" t="str">
        <f>IF(Tableau5[[#This Row],[Besoin SPR]]=Tableau5[[#This Row],[Remis SPR]],"OK","NOK")</f>
        <v>OK</v>
      </c>
      <c r="BE45">
        <v>1</v>
      </c>
      <c r="BF45">
        <f>SUMIFS(Tableau4[NB Remis],Tableau4[Réf matériel],Tableau5[[#This Row],[Réf matériel]],Tableau4[Matricule],"MRO")</f>
        <v>1</v>
      </c>
      <c r="BG45" s="105" t="str">
        <f>IF(Tableau5[[#This Row],[Besoin MRO]]=Tableau5[[#This Row],[Remis MRO]],"OK","NOK")</f>
        <v>OK</v>
      </c>
      <c r="BH45">
        <v>1</v>
      </c>
      <c r="BI45">
        <f>SUMIFS(Tableau4[NB Remis],Tableau4[Réf matériel],Tableau5[[#This Row],[Réf matériel]],Tableau4[Matricule],"LSA")</f>
        <v>1</v>
      </c>
      <c r="BJ45" s="105" t="str">
        <f>IF(Tableau5[[#This Row],[Besoin LSA]]=Tableau5[[#This Row],[Remis LSA]],"OK","NOK")</f>
        <v>OK</v>
      </c>
      <c r="BK45">
        <v>1</v>
      </c>
      <c r="BL45">
        <f>SUMIFS(Tableau4[NB Remis],Tableau4[Réf matériel],Tableau5[[#This Row],[Réf matériel]],Tableau4[Matricule],"SST")</f>
        <v>1</v>
      </c>
      <c r="BM45" s="105" t="str">
        <f>IF(Tableau5[[#This Row],[Besoin SST]]=Tableau5[[#This Row],[Remis SST]],"OK","NOK")</f>
        <v>OK</v>
      </c>
      <c r="BO45">
        <f>SUMIFS(Tableau4[NB Remis],Tableau4[Réf matériel],Tableau5[[#This Row],[Réf matériel]],Tableau4[Matricule],"CTH")</f>
        <v>0</v>
      </c>
      <c r="BP45" s="105" t="str">
        <f>IF(Tableau5[[#This Row],[Besoin CTH]]=Tableau5[[#This Row],[Remis CTH]],"OK","NOK")</f>
        <v>OK</v>
      </c>
      <c r="BQ45">
        <v>1</v>
      </c>
      <c r="BR45">
        <f>SUMIFS(Tableau4[NB Remis],Tableau4[Réf matériel],Tableau5[[#This Row],[Réf matériel]],Tableau4[Matricule],"AVU")</f>
        <v>1</v>
      </c>
      <c r="BS45" s="105" t="str">
        <f>IF(Tableau5[[#This Row],[Besoin AVU]]=Tableau5[[#This Row],[Remis AVU]],"OK","NOK")</f>
        <v>OK</v>
      </c>
      <c r="BU45">
        <f>SUMIFS(Tableau4[NB Remis],Tableau4[Réf matériel],Tableau5[[#This Row],[Réf matériel]],Tableau4[Matricule],"FZE")</f>
        <v>0</v>
      </c>
      <c r="BV45" s="105" t="str">
        <f>IF(Tableau5[[#This Row],[Besoin FZE]]=Tableau5[[#This Row],[Remis FZE]],"OK","NOK")</f>
        <v>OK</v>
      </c>
      <c r="BW45">
        <v>1</v>
      </c>
      <c r="BX45">
        <f>SUMIFS(Tableau4[NB Remis],Tableau4[Réf matériel],Tableau5[[#This Row],[Réf matériel]],Tableau4[Matricule],"CV2")</f>
        <v>1</v>
      </c>
      <c r="BY45" s="105" t="str">
        <f>IF(Tableau5[[#This Row],[Besoin CV2]]=Tableau5[[#This Row],[Remis CV2]],"OK","NOK")</f>
        <v>OK</v>
      </c>
      <c r="BZ45">
        <v>1</v>
      </c>
      <c r="CA45">
        <f>SUMIFS(Tableau4[NB Remis],Tableau4[Réf matériel],Tableau5[[#This Row],[Réf matériel]],Tableau4[Matricule],"CV3")</f>
        <v>1</v>
      </c>
      <c r="CB45" s="105" t="str">
        <f>IF(Tableau5[[#This Row],[Besoin CV3]]=Tableau5[[#This Row],[Remis CV3]],"OK","NOK")</f>
        <v>OK</v>
      </c>
      <c r="CC45">
        <v>1</v>
      </c>
      <c r="CD45">
        <f>SUMIFS(Tableau4[NB Remis],Tableau4[Réf matériel],Tableau5[[#This Row],[Réf matériel]],Tableau4[Matricule],"CV1")</f>
        <v>1</v>
      </c>
      <c r="CE45" s="105" t="str">
        <f>IF(Tableau5[[#This Row],[Besoin CV1]]=Tableau5[[#This Row],[Remis CV1]],"OK","NOK")</f>
        <v>OK</v>
      </c>
      <c r="CF45">
        <v>1</v>
      </c>
      <c r="CG45">
        <f>SUMIFS(Tableau4[NB Remis],Tableau4[Réf matériel],Tableau5[[#This Row],[Réf matériel]],Tableau4[Matricule],"CV4")</f>
        <v>1</v>
      </c>
      <c r="CH45" s="106" t="str">
        <f>IF(Tableau5[[#This Row],[Besoin CV4]]=Tableau5[[#This Row],[Remis CV4]],"OK","NOK")</f>
        <v>OK</v>
      </c>
    </row>
    <row r="46" spans="2:86" x14ac:dyDescent="0.25">
      <c r="B46" t="s">
        <v>430</v>
      </c>
      <c r="D46">
        <f>SUMIFS(Tableau4[NB Remis],Tableau4[Réf matériel],Tableau5[[#This Row],[Réf matériel]],Tableau4[Matricule],"OAI")</f>
        <v>0</v>
      </c>
      <c r="E46" s="105" t="str">
        <f>IF(Tableau5[[#This Row],[Besoin OAI]]=Tableau5[[#This Row],[Remis OAI]],"OK","NOK")</f>
        <v>OK</v>
      </c>
      <c r="F46">
        <v>1</v>
      </c>
      <c r="G46">
        <f>SUMIFS(Tableau4[NB Remis],Tableau4[Réf matériel],Tableau5[[#This Row],[Réf matériel]],Tableau4[Matricule],"ABE")</f>
        <v>1</v>
      </c>
      <c r="H46" s="105" t="str">
        <f>IF(Tableau5[[#This Row],[Besoin ABE]]=Tableau5[[#This Row],[Remis ABE]],"OK","NOK")</f>
        <v>OK</v>
      </c>
      <c r="J46">
        <f>SUMIFS(Tableau4[NB Remis],Tableau4[Réf matériel],Tableau5[[#This Row],[Réf matériel]],Tableau4[Matricule],"SBI")</f>
        <v>0</v>
      </c>
      <c r="K46" s="105" t="str">
        <f>IF(Tableau5[[#This Row],[Besoin SBI]]=Tableau5[[#This Row],[Remis SBI]],"OK","NOK")</f>
        <v>OK</v>
      </c>
      <c r="M46">
        <f>SUMIFS(Tableau4[NB Remis],Tableau4[Réf matériel],Tableau5[[#This Row],[Réf matériel]],Tableau4[Matricule],"ABI")</f>
        <v>0</v>
      </c>
      <c r="N46" s="105" t="str">
        <f>IF(Tableau5[[#This Row],[Besoin ABI]]=Tableau5[[#This Row],[Remis ABI]],"OK","NOK")</f>
        <v>OK</v>
      </c>
      <c r="P46">
        <f>SUMIFS(Tableau4[NB Remis],Tableau4[Réf matériel],Tableau5[[#This Row],[Réf matériel]],Tableau4[Matricule],"DCE")</f>
        <v>0</v>
      </c>
      <c r="Q46" s="105" t="str">
        <f>IF(Tableau5[[#This Row],[Besoin DCE]]=Tableau5[[#This Row],[Remis DCE]],"OK","NOK")</f>
        <v>OK</v>
      </c>
      <c r="R46">
        <v>1</v>
      </c>
      <c r="S46">
        <f>SUMIFS(Tableau4[NB Remis],Tableau4[Réf matériel],Tableau5[[#This Row],[Réf matériel]],Tableau4[Matricule],"JDE")</f>
        <v>2</v>
      </c>
      <c r="T46" s="105" t="str">
        <f>IF(Tableau5[[#This Row],[Besoin JDE]]=Tableau5[[#This Row],[Remis JDE]],"OK","NOK")</f>
        <v>NOK</v>
      </c>
      <c r="U46">
        <v>1</v>
      </c>
      <c r="V46">
        <f>SUMIFS(Tableau4[NB Remis],Tableau4[Réf matériel],Tableau5[[#This Row],[Réf matériel]],Tableau4[Matricule],"ODI")</f>
        <v>1</v>
      </c>
      <c r="W46" s="105" t="str">
        <f>IF(Tableau5[[#This Row],[Besoin ODI]]=Tableau5[[#This Row],[Remis ODI]],"OK","NOK")</f>
        <v>OK</v>
      </c>
      <c r="Y46">
        <f>SUMIFS(Tableau4[NB Remis],Tableau4[Réf matériel],Tableau5[[#This Row],[Réf matériel]],Tableau4[Matricule],"MFO")</f>
        <v>0</v>
      </c>
      <c r="Z46" s="105" t="str">
        <f>IF(Tableau5[[#This Row],[Besoin MFO]]=Tableau5[[#This Row],[Remis MFO]],"OK","NOK")</f>
        <v>OK</v>
      </c>
      <c r="AB46">
        <f>SUMIFS(Tableau4[NB Remis],Tableau4[Réf matériel],Tableau5[[#This Row],[Réf matériel]],Tableau4[Matricule],"SDU")</f>
        <v>0</v>
      </c>
      <c r="AC46" s="105" t="str">
        <f>IF(Tableau5[[#This Row],[Besoin SDU]]=Tableau5[[#This Row],[Remis SDU]],"OK","NOK")</f>
        <v>OK</v>
      </c>
      <c r="AE46">
        <f>SUMIFS(Tableau4[NB Remis],Tableau4[Réf matériel],Tableau5[[#This Row],[Réf matériel]],Tableau4[Matricule],"GGA")</f>
        <v>0</v>
      </c>
      <c r="AF46" s="105" t="str">
        <f>IF(Tableau5[[#This Row],[Besoin GGA2]]=Tableau5[[#This Row],[Remis GGA3]],"OK","NOK")</f>
        <v>OK</v>
      </c>
      <c r="AH46">
        <f>SUMIFS(Tableau4[NB Remis],Tableau4[Réf matériel],Tableau5[[#This Row],[Réf matériel]],Tableau4[Matricule],"RGE")</f>
        <v>0</v>
      </c>
      <c r="AI46" s="105" t="str">
        <f>IF(Tableau5[[#This Row],[Besoin RGE]]=Tableau5[[#This Row],[Remis RGE]],"OK","NOK")</f>
        <v>OK</v>
      </c>
      <c r="AK46">
        <f>SUMIFS(Tableau4[NB Remis],Tableau4[Réf matériel],Tableau5[[#This Row],[Réf matériel]],Tableau4[Matricule],"CKE")</f>
        <v>0</v>
      </c>
      <c r="AL46" s="105" t="str">
        <f>IF(Tableau5[[#This Row],[Besoin CKE]]=Tableau5[[#This Row],[Remis CKE]],"OK","NOK")</f>
        <v>OK</v>
      </c>
      <c r="AN46">
        <f>SUMIFS(Tableau4[NB Remis],Tableau4[Réf matériel],Tableau5[[#This Row],[Réf matériel]],Tableau4[Matricule],"DMA")</f>
        <v>0</v>
      </c>
      <c r="AO46" s="105" t="str">
        <f>IF(Tableau5[[#This Row],[Besoin DMA]]=Tableau5[[#This Row],[Remis DMA]],"OK","NOK")</f>
        <v>OK</v>
      </c>
      <c r="AQ46">
        <f>SUMIFS(Tableau4[NB Remis],Tableau4[Réf matériel],Tableau5[[#This Row],[Réf matériel]],Tableau4[Matricule],"LMO")</f>
        <v>0</v>
      </c>
      <c r="AR46" s="105" t="str">
        <f>IF(Tableau5[[#This Row],[Besoin LMO]]=Tableau5[[#This Row],[Remis LMO]],"OK","NOK")</f>
        <v>OK</v>
      </c>
      <c r="AT46">
        <f>SUMIFS(Tableau4[NB Remis],Tableau4[Réf matériel],Tableau5[[#This Row],[Réf matériel]],Tableau4[Matricule],"TMO")</f>
        <v>0</v>
      </c>
      <c r="AU46" s="105" t="str">
        <f>IF(Tableau5[[#This Row],[Besoin TMO]]=Tableau5[[#This Row],[Remis TMO]],"OK","NOK")</f>
        <v>OK</v>
      </c>
      <c r="AW46">
        <f>SUMIFS(Tableau4[NB Remis],Tableau4[Réf matériel],Tableau5[[#This Row],[Réf matériel]],Tableau4[Matricule],"JPA")</f>
        <v>0</v>
      </c>
      <c r="AX46" s="105" t="str">
        <f>IF(Tableau5[[#This Row],[Besoin JPA]]=Tableau5[[#This Row],[Remis JPA]],"OK","NOK")</f>
        <v>OK</v>
      </c>
      <c r="AZ46">
        <f>SUMIFS(Tableau4[NB Remis],Tableau4[Réf matériel],Tableau5[[#This Row],[Réf matériel]],Tableau4[Matricule],"MPE")</f>
        <v>0</v>
      </c>
      <c r="BA46" s="105" t="str">
        <f>IF(Tableau5[[#This Row],[Besoin MPE]]=Tableau5[[#This Row],[Remis MPE]],"OK","NOK")</f>
        <v>OK</v>
      </c>
      <c r="BC46">
        <f>SUMIFS(Tableau4[NB Remis],Tableau4[Réf matériel],Tableau5[[#This Row],[Réf matériel]],Tableau4[Matricule],"SPR")</f>
        <v>0</v>
      </c>
      <c r="BD46" s="105" t="str">
        <f>IF(Tableau5[[#This Row],[Besoin SPR]]=Tableau5[[#This Row],[Remis SPR]],"OK","NOK")</f>
        <v>OK</v>
      </c>
      <c r="BE46">
        <v>1</v>
      </c>
      <c r="BF46">
        <f>SUMIFS(Tableau4[NB Remis],Tableau4[Réf matériel],Tableau5[[#This Row],[Réf matériel]],Tableau4[Matricule],"MRO")</f>
        <v>1</v>
      </c>
      <c r="BG46" s="105" t="str">
        <f>IF(Tableau5[[#This Row],[Besoin MRO]]=Tableau5[[#This Row],[Remis MRO]],"OK","NOK")</f>
        <v>OK</v>
      </c>
      <c r="BI46">
        <f>SUMIFS(Tableau4[NB Remis],Tableau4[Réf matériel],Tableau5[[#This Row],[Réf matériel]],Tableau4[Matricule],"LSA")</f>
        <v>0</v>
      </c>
      <c r="BJ46" s="105" t="str">
        <f>IF(Tableau5[[#This Row],[Besoin LSA]]=Tableau5[[#This Row],[Remis LSA]],"OK","NOK")</f>
        <v>OK</v>
      </c>
      <c r="BK46">
        <v>1</v>
      </c>
      <c r="BL46">
        <f>SUMIFS(Tableau4[NB Remis],Tableau4[Réf matériel],Tableau5[[#This Row],[Réf matériel]],Tableau4[Matricule],"SST")</f>
        <v>3</v>
      </c>
      <c r="BM46" s="105" t="str">
        <f>IF(Tableau5[[#This Row],[Besoin SST]]=Tableau5[[#This Row],[Remis SST]],"OK","NOK")</f>
        <v>NOK</v>
      </c>
      <c r="BO46">
        <f>SUMIFS(Tableau4[NB Remis],Tableau4[Réf matériel],Tableau5[[#This Row],[Réf matériel]],Tableau4[Matricule],"CTH")</f>
        <v>0</v>
      </c>
      <c r="BP46" s="105" t="str">
        <f>IF(Tableau5[[#This Row],[Besoin CTH]]=Tableau5[[#This Row],[Remis CTH]],"OK","NOK")</f>
        <v>OK</v>
      </c>
      <c r="BR46">
        <f>SUMIFS(Tableau4[NB Remis],Tableau4[Réf matériel],Tableau5[[#This Row],[Réf matériel]],Tableau4[Matricule],"AVU")</f>
        <v>0</v>
      </c>
      <c r="BS46" s="105" t="str">
        <f>IF(Tableau5[[#This Row],[Besoin AVU]]=Tableau5[[#This Row],[Remis AVU]],"OK","NOK")</f>
        <v>OK</v>
      </c>
      <c r="BU46">
        <f>SUMIFS(Tableau4[NB Remis],Tableau4[Réf matériel],Tableau5[[#This Row],[Réf matériel]],Tableau4[Matricule],"FZE")</f>
        <v>0</v>
      </c>
      <c r="BV46" s="105" t="str">
        <f>IF(Tableau5[[#This Row],[Besoin FZE]]=Tableau5[[#This Row],[Remis FZE]],"OK","NOK")</f>
        <v>OK</v>
      </c>
      <c r="BW46">
        <v>1</v>
      </c>
      <c r="BX46">
        <f>SUMIFS(Tableau4[NB Remis],Tableau4[Réf matériel],Tableau5[[#This Row],[Réf matériel]],Tableau4[Matricule],"CV2")</f>
        <v>1</v>
      </c>
      <c r="BY46" s="105" t="str">
        <f>IF(Tableau5[[#This Row],[Besoin CV2]]=Tableau5[[#This Row],[Remis CV2]],"OK","NOK")</f>
        <v>OK</v>
      </c>
      <c r="CA46">
        <f>SUMIFS(Tableau4[NB Remis],Tableau4[Réf matériel],Tableau5[[#This Row],[Réf matériel]],Tableau4[Matricule],"CV3")</f>
        <v>0</v>
      </c>
      <c r="CB46" s="105" t="str">
        <f>IF(Tableau5[[#This Row],[Besoin CV3]]=Tableau5[[#This Row],[Remis CV3]],"OK","NOK")</f>
        <v>OK</v>
      </c>
      <c r="CD46">
        <f>SUMIFS(Tableau4[NB Remis],Tableau4[Réf matériel],Tableau5[[#This Row],[Réf matériel]],Tableau4[Matricule],"CV1")</f>
        <v>0</v>
      </c>
      <c r="CE46" s="105" t="str">
        <f>IF(Tableau5[[#This Row],[Besoin CV1]]=Tableau5[[#This Row],[Remis CV1]],"OK","NOK")</f>
        <v>OK</v>
      </c>
      <c r="CF46">
        <v>1</v>
      </c>
      <c r="CG46">
        <f>SUMIFS(Tableau4[NB Remis],Tableau4[Réf matériel],Tableau5[[#This Row],[Réf matériel]],Tableau4[Matricule],"CV4")</f>
        <v>1</v>
      </c>
      <c r="CH46" s="106" t="str">
        <f>IF(Tableau5[[#This Row],[Besoin CV4]]=Tableau5[[#This Row],[Remis CV4]],"OK","NOK")</f>
        <v>OK</v>
      </c>
    </row>
    <row r="47" spans="2:86" x14ac:dyDescent="0.25">
      <c r="B47" t="s">
        <v>67</v>
      </c>
      <c r="C47">
        <v>1</v>
      </c>
      <c r="D47">
        <f>SUMIFS(Tableau4[NB Remis],Tableau4[Réf matériel],Tableau5[[#This Row],[Réf matériel]],Tableau4[Matricule],"OAI")</f>
        <v>1</v>
      </c>
      <c r="E47" s="105" t="str">
        <f>IF(Tableau5[[#This Row],[Besoin OAI]]=Tableau5[[#This Row],[Remis OAI]],"OK","NOK")</f>
        <v>OK</v>
      </c>
      <c r="F47">
        <v>1</v>
      </c>
      <c r="G47">
        <f>SUMIFS(Tableau4[NB Remis],Tableau4[Réf matériel],Tableau5[[#This Row],[Réf matériel]],Tableau4[Matricule],"ABE")</f>
        <v>1</v>
      </c>
      <c r="H47" s="105" t="str">
        <f>IF(Tableau5[[#This Row],[Besoin ABE]]=Tableau5[[#This Row],[Remis ABE]],"OK","NOK")</f>
        <v>OK</v>
      </c>
      <c r="J47">
        <f>SUMIFS(Tableau4[NB Remis],Tableau4[Réf matériel],Tableau5[[#This Row],[Réf matériel]],Tableau4[Matricule],"SBI")</f>
        <v>0</v>
      </c>
      <c r="K47" s="105" t="str">
        <f>IF(Tableau5[[#This Row],[Besoin SBI]]=Tableau5[[#This Row],[Remis SBI]],"OK","NOK")</f>
        <v>OK</v>
      </c>
      <c r="L47">
        <v>1</v>
      </c>
      <c r="M47">
        <f>SUMIFS(Tableau4[NB Remis],Tableau4[Réf matériel],Tableau5[[#This Row],[Réf matériel]],Tableau4[Matricule],"ABI")</f>
        <v>1</v>
      </c>
      <c r="N47" s="105" t="str">
        <f>IF(Tableau5[[#This Row],[Besoin ABI]]=Tableau5[[#This Row],[Remis ABI]],"OK","NOK")</f>
        <v>OK</v>
      </c>
      <c r="P47">
        <f>SUMIFS(Tableau4[NB Remis],Tableau4[Réf matériel],Tableau5[[#This Row],[Réf matériel]],Tableau4[Matricule],"DCE")</f>
        <v>0</v>
      </c>
      <c r="Q47" s="105" t="str">
        <f>IF(Tableau5[[#This Row],[Besoin DCE]]=Tableau5[[#This Row],[Remis DCE]],"OK","NOK")</f>
        <v>OK</v>
      </c>
      <c r="R47">
        <v>1</v>
      </c>
      <c r="S47">
        <f>SUMIFS(Tableau4[NB Remis],Tableau4[Réf matériel],Tableau5[[#This Row],[Réf matériel]],Tableau4[Matricule],"JDE")</f>
        <v>1</v>
      </c>
      <c r="T47" s="105" t="str">
        <f>IF(Tableau5[[#This Row],[Besoin JDE]]=Tableau5[[#This Row],[Remis JDE]],"OK","NOK")</f>
        <v>OK</v>
      </c>
      <c r="U47">
        <v>1</v>
      </c>
      <c r="V47">
        <f>SUMIFS(Tableau4[NB Remis],Tableau4[Réf matériel],Tableau5[[#This Row],[Réf matériel]],Tableau4[Matricule],"ODI")</f>
        <v>1</v>
      </c>
      <c r="W47" s="105" t="str">
        <f>IF(Tableau5[[#This Row],[Besoin ODI]]=Tableau5[[#This Row],[Remis ODI]],"OK","NOK")</f>
        <v>OK</v>
      </c>
      <c r="Y47">
        <f>SUMIFS(Tableau4[NB Remis],Tableau4[Réf matériel],Tableau5[[#This Row],[Réf matériel]],Tableau4[Matricule],"MFO")</f>
        <v>0</v>
      </c>
      <c r="Z47" s="105" t="str">
        <f>IF(Tableau5[[#This Row],[Besoin MFO]]=Tableau5[[#This Row],[Remis MFO]],"OK","NOK")</f>
        <v>OK</v>
      </c>
      <c r="AB47">
        <f>SUMIFS(Tableau4[NB Remis],Tableau4[Réf matériel],Tableau5[[#This Row],[Réf matériel]],Tableau4[Matricule],"SDU")</f>
        <v>0</v>
      </c>
      <c r="AC47" s="105" t="str">
        <f>IF(Tableau5[[#This Row],[Besoin SDU]]=Tableau5[[#This Row],[Remis SDU]],"OK","NOK")</f>
        <v>OK</v>
      </c>
      <c r="AE47">
        <f>SUMIFS(Tableau4[NB Remis],Tableau4[Réf matériel],Tableau5[[#This Row],[Réf matériel]],Tableau4[Matricule],"GGA")</f>
        <v>0</v>
      </c>
      <c r="AF47" s="105" t="str">
        <f>IF(Tableau5[[#This Row],[Besoin GGA2]]=Tableau5[[#This Row],[Remis GGA3]],"OK","NOK")</f>
        <v>OK</v>
      </c>
      <c r="AG47">
        <v>1</v>
      </c>
      <c r="AH47">
        <f>SUMIFS(Tableau4[NB Remis],Tableau4[Réf matériel],Tableau5[[#This Row],[Réf matériel]],Tableau4[Matricule],"RGE")</f>
        <v>2</v>
      </c>
      <c r="AI47" s="105" t="str">
        <f>IF(Tableau5[[#This Row],[Besoin RGE]]=Tableau5[[#This Row],[Remis RGE]],"OK","NOK")</f>
        <v>NOK</v>
      </c>
      <c r="AJ47">
        <v>1</v>
      </c>
      <c r="AK47">
        <f>SUMIFS(Tableau4[NB Remis],Tableau4[Réf matériel],Tableau5[[#This Row],[Réf matériel]],Tableau4[Matricule],"CKE")</f>
        <v>1</v>
      </c>
      <c r="AL47" s="105" t="str">
        <f>IF(Tableau5[[#This Row],[Besoin CKE]]=Tableau5[[#This Row],[Remis CKE]],"OK","NOK")</f>
        <v>OK</v>
      </c>
      <c r="AN47">
        <f>SUMIFS(Tableau4[NB Remis],Tableau4[Réf matériel],Tableau5[[#This Row],[Réf matériel]],Tableau4[Matricule],"DMA")</f>
        <v>0</v>
      </c>
      <c r="AO47" s="105" t="str">
        <f>IF(Tableau5[[#This Row],[Besoin DMA]]=Tableau5[[#This Row],[Remis DMA]],"OK","NOK")</f>
        <v>OK</v>
      </c>
      <c r="AQ47">
        <f>SUMIFS(Tableau4[NB Remis],Tableau4[Réf matériel],Tableau5[[#This Row],[Réf matériel]],Tableau4[Matricule],"LMO")</f>
        <v>0</v>
      </c>
      <c r="AR47" s="105" t="str">
        <f>IF(Tableau5[[#This Row],[Besoin LMO]]=Tableau5[[#This Row],[Remis LMO]],"OK","NOK")</f>
        <v>OK</v>
      </c>
      <c r="AS47">
        <v>1</v>
      </c>
      <c r="AT47">
        <f>SUMIFS(Tableau4[NB Remis],Tableau4[Réf matériel],Tableau5[[#This Row],[Réf matériel]],Tableau4[Matricule],"TMO")</f>
        <v>1</v>
      </c>
      <c r="AU47" s="105" t="str">
        <f>IF(Tableau5[[#This Row],[Besoin TMO]]=Tableau5[[#This Row],[Remis TMO]],"OK","NOK")</f>
        <v>OK</v>
      </c>
      <c r="AV47">
        <v>1</v>
      </c>
      <c r="AW47">
        <f>SUMIFS(Tableau4[NB Remis],Tableau4[Réf matériel],Tableau5[[#This Row],[Réf matériel]],Tableau4[Matricule],"JPA")</f>
        <v>1</v>
      </c>
      <c r="AX47" s="105" t="str">
        <f>IF(Tableau5[[#This Row],[Besoin JPA]]=Tableau5[[#This Row],[Remis JPA]],"OK","NOK")</f>
        <v>OK</v>
      </c>
      <c r="AZ47">
        <f>SUMIFS(Tableau4[NB Remis],Tableau4[Réf matériel],Tableau5[[#This Row],[Réf matériel]],Tableau4[Matricule],"MPE")</f>
        <v>0</v>
      </c>
      <c r="BA47" s="105" t="str">
        <f>IF(Tableau5[[#This Row],[Besoin MPE]]=Tableau5[[#This Row],[Remis MPE]],"OK","NOK")</f>
        <v>OK</v>
      </c>
      <c r="BB47">
        <v>1</v>
      </c>
      <c r="BC47">
        <f>SUMIFS(Tableau4[NB Remis],Tableau4[Réf matériel],Tableau5[[#This Row],[Réf matériel]],Tableau4[Matricule],"SPR")</f>
        <v>1</v>
      </c>
      <c r="BD47" s="105" t="str">
        <f>IF(Tableau5[[#This Row],[Besoin SPR]]=Tableau5[[#This Row],[Remis SPR]],"OK","NOK")</f>
        <v>OK</v>
      </c>
      <c r="BE47">
        <v>1</v>
      </c>
      <c r="BF47">
        <f>SUMIFS(Tableau4[NB Remis],Tableau4[Réf matériel],Tableau5[[#This Row],[Réf matériel]],Tableau4[Matricule],"MRO")</f>
        <v>1</v>
      </c>
      <c r="BG47" s="105" t="str">
        <f>IF(Tableau5[[#This Row],[Besoin MRO]]=Tableau5[[#This Row],[Remis MRO]],"OK","NOK")</f>
        <v>OK</v>
      </c>
      <c r="BH47">
        <v>1</v>
      </c>
      <c r="BI47">
        <f>SUMIFS(Tableau4[NB Remis],Tableau4[Réf matériel],Tableau5[[#This Row],[Réf matériel]],Tableau4[Matricule],"LSA")</f>
        <v>1</v>
      </c>
      <c r="BJ47" s="105" t="str">
        <f>IF(Tableau5[[#This Row],[Besoin LSA]]=Tableau5[[#This Row],[Remis LSA]],"OK","NOK")</f>
        <v>OK</v>
      </c>
      <c r="BK47">
        <v>1</v>
      </c>
      <c r="BL47">
        <f>SUMIFS(Tableau4[NB Remis],Tableau4[Réf matériel],Tableau5[[#This Row],[Réf matériel]],Tableau4[Matricule],"SST")</f>
        <v>1</v>
      </c>
      <c r="BM47" s="105" t="str">
        <f>IF(Tableau5[[#This Row],[Besoin SST]]=Tableau5[[#This Row],[Remis SST]],"OK","NOK")</f>
        <v>OK</v>
      </c>
      <c r="BO47">
        <f>SUMIFS(Tableau4[NB Remis],Tableau4[Réf matériel],Tableau5[[#This Row],[Réf matériel]],Tableau4[Matricule],"CTH")</f>
        <v>0</v>
      </c>
      <c r="BP47" s="105" t="str">
        <f>IF(Tableau5[[#This Row],[Besoin CTH]]=Tableau5[[#This Row],[Remis CTH]],"OK","NOK")</f>
        <v>OK</v>
      </c>
      <c r="BR47">
        <f>SUMIFS(Tableau4[NB Remis],Tableau4[Réf matériel],Tableau5[[#This Row],[Réf matériel]],Tableau4[Matricule],"AVU")</f>
        <v>0</v>
      </c>
      <c r="BS47" s="105" t="str">
        <f>IF(Tableau5[[#This Row],[Besoin AVU]]=Tableau5[[#This Row],[Remis AVU]],"OK","NOK")</f>
        <v>OK</v>
      </c>
      <c r="BU47">
        <f>SUMIFS(Tableau4[NB Remis],Tableau4[Réf matériel],Tableau5[[#This Row],[Réf matériel]],Tableau4[Matricule],"FZE")</f>
        <v>0</v>
      </c>
      <c r="BV47" s="105" t="str">
        <f>IF(Tableau5[[#This Row],[Besoin FZE]]=Tableau5[[#This Row],[Remis FZE]],"OK","NOK")</f>
        <v>OK</v>
      </c>
      <c r="BW47">
        <v>1</v>
      </c>
      <c r="BX47">
        <f>SUMIFS(Tableau4[NB Remis],Tableau4[Réf matériel],Tableau5[[#This Row],[Réf matériel]],Tableau4[Matricule],"CV2")</f>
        <v>1</v>
      </c>
      <c r="BY47" s="105" t="str">
        <f>IF(Tableau5[[#This Row],[Besoin CV2]]=Tableau5[[#This Row],[Remis CV2]],"OK","NOK")</f>
        <v>OK</v>
      </c>
      <c r="BZ47">
        <v>1</v>
      </c>
      <c r="CA47">
        <f>SUMIFS(Tableau4[NB Remis],Tableau4[Réf matériel],Tableau5[[#This Row],[Réf matériel]],Tableau4[Matricule],"CV3")</f>
        <v>1</v>
      </c>
      <c r="CB47" s="105" t="str">
        <f>IF(Tableau5[[#This Row],[Besoin CV3]]=Tableau5[[#This Row],[Remis CV3]],"OK","NOK")</f>
        <v>OK</v>
      </c>
      <c r="CC47">
        <v>1</v>
      </c>
      <c r="CD47">
        <f>SUMIFS(Tableau4[NB Remis],Tableau4[Réf matériel],Tableau5[[#This Row],[Réf matériel]],Tableau4[Matricule],"CV1")</f>
        <v>1</v>
      </c>
      <c r="CE47" s="105" t="str">
        <f>IF(Tableau5[[#This Row],[Besoin CV1]]=Tableau5[[#This Row],[Remis CV1]],"OK","NOK")</f>
        <v>OK</v>
      </c>
      <c r="CF47">
        <v>1</v>
      </c>
      <c r="CG47">
        <f>SUMIFS(Tableau4[NB Remis],Tableau4[Réf matériel],Tableau5[[#This Row],[Réf matériel]],Tableau4[Matricule],"CV4")</f>
        <v>1</v>
      </c>
      <c r="CH47" s="106" t="str">
        <f>IF(Tableau5[[#This Row],[Besoin CV4]]=Tableau5[[#This Row],[Remis CV4]],"OK","NOK")</f>
        <v>OK</v>
      </c>
    </row>
    <row r="48" spans="2:86" x14ac:dyDescent="0.25">
      <c r="B48" t="s">
        <v>199</v>
      </c>
      <c r="D48">
        <f>SUMIFS(Tableau4[NB Remis],Tableau4[Réf matériel],Tableau5[[#This Row],[Réf matériel]],Tableau4[Matricule],"OAI")</f>
        <v>0</v>
      </c>
      <c r="E48" s="105" t="str">
        <f>IF(Tableau5[[#This Row],[Besoin OAI]]=Tableau5[[#This Row],[Remis OAI]],"OK","NOK")</f>
        <v>OK</v>
      </c>
      <c r="G48">
        <f>SUMIFS(Tableau4[NB Remis],Tableau4[Réf matériel],Tableau5[[#This Row],[Réf matériel]],Tableau4[Matricule],"ABE")</f>
        <v>0</v>
      </c>
      <c r="H48" s="105" t="str">
        <f>IF(Tableau5[[#This Row],[Besoin ABE]]=Tableau5[[#This Row],[Remis ABE]],"OK","NOK")</f>
        <v>OK</v>
      </c>
      <c r="J48">
        <f>SUMIFS(Tableau4[NB Remis],Tableau4[Réf matériel],Tableau5[[#This Row],[Réf matériel]],Tableau4[Matricule],"SBI")</f>
        <v>0</v>
      </c>
      <c r="K48" s="105" t="str">
        <f>IF(Tableau5[[#This Row],[Besoin SBI]]=Tableau5[[#This Row],[Remis SBI]],"OK","NOK")</f>
        <v>OK</v>
      </c>
      <c r="M48">
        <f>SUMIFS(Tableau4[NB Remis],Tableau4[Réf matériel],Tableau5[[#This Row],[Réf matériel]],Tableau4[Matricule],"ABI")</f>
        <v>0</v>
      </c>
      <c r="N48" s="105" t="str">
        <f>IF(Tableau5[[#This Row],[Besoin ABI]]=Tableau5[[#This Row],[Remis ABI]],"OK","NOK")</f>
        <v>OK</v>
      </c>
      <c r="P48">
        <f>SUMIFS(Tableau4[NB Remis],Tableau4[Réf matériel],Tableau5[[#This Row],[Réf matériel]],Tableau4[Matricule],"DCE")</f>
        <v>0</v>
      </c>
      <c r="Q48" s="105" t="str">
        <f>IF(Tableau5[[#This Row],[Besoin DCE]]=Tableau5[[#This Row],[Remis DCE]],"OK","NOK")</f>
        <v>OK</v>
      </c>
      <c r="S48">
        <f>SUMIFS(Tableau4[NB Remis],Tableau4[Réf matériel],Tableau5[[#This Row],[Réf matériel]],Tableau4[Matricule],"JDE")</f>
        <v>0</v>
      </c>
      <c r="T48" s="105" t="str">
        <f>IF(Tableau5[[#This Row],[Besoin JDE]]=Tableau5[[#This Row],[Remis JDE]],"OK","NOK")</f>
        <v>OK</v>
      </c>
      <c r="V48">
        <f>SUMIFS(Tableau4[NB Remis],Tableau4[Réf matériel],Tableau5[[#This Row],[Réf matériel]],Tableau4[Matricule],"ODI")</f>
        <v>0</v>
      </c>
      <c r="W48" s="105" t="str">
        <f>IF(Tableau5[[#This Row],[Besoin ODI]]=Tableau5[[#This Row],[Remis ODI]],"OK","NOK")</f>
        <v>OK</v>
      </c>
      <c r="Y48">
        <f>SUMIFS(Tableau4[NB Remis],Tableau4[Réf matériel],Tableau5[[#This Row],[Réf matériel]],Tableau4[Matricule],"MFO")</f>
        <v>0</v>
      </c>
      <c r="Z48" s="105" t="str">
        <f>IF(Tableau5[[#This Row],[Besoin MFO]]=Tableau5[[#This Row],[Remis MFO]],"OK","NOK")</f>
        <v>OK</v>
      </c>
      <c r="AB48">
        <f>SUMIFS(Tableau4[NB Remis],Tableau4[Réf matériel],Tableau5[[#This Row],[Réf matériel]],Tableau4[Matricule],"SDU")</f>
        <v>0</v>
      </c>
      <c r="AC48" s="105" t="str">
        <f>IF(Tableau5[[#This Row],[Besoin SDU]]=Tableau5[[#This Row],[Remis SDU]],"OK","NOK")</f>
        <v>OK</v>
      </c>
      <c r="AE48">
        <f>SUMIFS(Tableau4[NB Remis],Tableau4[Réf matériel],Tableau5[[#This Row],[Réf matériel]],Tableau4[Matricule],"GGA")</f>
        <v>0</v>
      </c>
      <c r="AF48" s="105" t="str">
        <f>IF(Tableau5[[#This Row],[Besoin GGA2]]=Tableau5[[#This Row],[Remis GGA3]],"OK","NOK")</f>
        <v>OK</v>
      </c>
      <c r="AH48">
        <f>SUMIFS(Tableau4[NB Remis],Tableau4[Réf matériel],Tableau5[[#This Row],[Réf matériel]],Tableau4[Matricule],"RGE")</f>
        <v>0</v>
      </c>
      <c r="AI48" s="105" t="str">
        <f>IF(Tableau5[[#This Row],[Besoin RGE]]=Tableau5[[#This Row],[Remis RGE]],"OK","NOK")</f>
        <v>OK</v>
      </c>
      <c r="AK48">
        <f>SUMIFS(Tableau4[NB Remis],Tableau4[Réf matériel],Tableau5[[#This Row],[Réf matériel]],Tableau4[Matricule],"CKE")</f>
        <v>0</v>
      </c>
      <c r="AL48" s="105" t="str">
        <f>IF(Tableau5[[#This Row],[Besoin CKE]]=Tableau5[[#This Row],[Remis CKE]],"OK","NOK")</f>
        <v>OK</v>
      </c>
      <c r="AN48">
        <f>SUMIFS(Tableau4[NB Remis],Tableau4[Réf matériel],Tableau5[[#This Row],[Réf matériel]],Tableau4[Matricule],"DMA")</f>
        <v>0</v>
      </c>
      <c r="AO48" s="105" t="str">
        <f>IF(Tableau5[[#This Row],[Besoin DMA]]=Tableau5[[#This Row],[Remis DMA]],"OK","NOK")</f>
        <v>OK</v>
      </c>
      <c r="AQ48">
        <f>SUMIFS(Tableau4[NB Remis],Tableau4[Réf matériel],Tableau5[[#This Row],[Réf matériel]],Tableau4[Matricule],"LMO")</f>
        <v>0</v>
      </c>
      <c r="AR48" s="105" t="str">
        <f>IF(Tableau5[[#This Row],[Besoin LMO]]=Tableau5[[#This Row],[Remis LMO]],"OK","NOK")</f>
        <v>OK</v>
      </c>
      <c r="AT48">
        <f>SUMIFS(Tableau4[NB Remis],Tableau4[Réf matériel],Tableau5[[#This Row],[Réf matériel]],Tableau4[Matricule],"TMO")</f>
        <v>0</v>
      </c>
      <c r="AU48" s="105" t="str">
        <f>IF(Tableau5[[#This Row],[Besoin TMO]]=Tableau5[[#This Row],[Remis TMO]],"OK","NOK")</f>
        <v>OK</v>
      </c>
      <c r="AW48">
        <f>SUMIFS(Tableau4[NB Remis],Tableau4[Réf matériel],Tableau5[[#This Row],[Réf matériel]],Tableau4[Matricule],"JPA")</f>
        <v>0</v>
      </c>
      <c r="AX48" s="105" t="str">
        <f>IF(Tableau5[[#This Row],[Besoin JPA]]=Tableau5[[#This Row],[Remis JPA]],"OK","NOK")</f>
        <v>OK</v>
      </c>
      <c r="AY48">
        <v>1</v>
      </c>
      <c r="AZ48">
        <f>SUMIFS(Tableau4[NB Remis],Tableau4[Réf matériel],Tableau5[[#This Row],[Réf matériel]],Tableau4[Matricule],"MPE")</f>
        <v>1</v>
      </c>
      <c r="BA48" s="105" t="str">
        <f>IF(Tableau5[[#This Row],[Besoin MPE]]=Tableau5[[#This Row],[Remis MPE]],"OK","NOK")</f>
        <v>OK</v>
      </c>
      <c r="BC48">
        <f>SUMIFS(Tableau4[NB Remis],Tableau4[Réf matériel],Tableau5[[#This Row],[Réf matériel]],Tableau4[Matricule],"SPR")</f>
        <v>0</v>
      </c>
      <c r="BD48" s="105" t="str">
        <f>IF(Tableau5[[#This Row],[Besoin SPR]]=Tableau5[[#This Row],[Remis SPR]],"OK","NOK")</f>
        <v>OK</v>
      </c>
      <c r="BF48">
        <f>SUMIFS(Tableau4[NB Remis],Tableau4[Réf matériel],Tableau5[[#This Row],[Réf matériel]],Tableau4[Matricule],"MRO")</f>
        <v>0</v>
      </c>
      <c r="BG48" s="105" t="str">
        <f>IF(Tableau5[[#This Row],[Besoin MRO]]=Tableau5[[#This Row],[Remis MRO]],"OK","NOK")</f>
        <v>OK</v>
      </c>
      <c r="BI48">
        <f>SUMIFS(Tableau4[NB Remis],Tableau4[Réf matériel],Tableau5[[#This Row],[Réf matériel]],Tableau4[Matricule],"LSA")</f>
        <v>0</v>
      </c>
      <c r="BJ48" s="105" t="str">
        <f>IF(Tableau5[[#This Row],[Besoin LSA]]=Tableau5[[#This Row],[Remis LSA]],"OK","NOK")</f>
        <v>OK</v>
      </c>
      <c r="BL48">
        <f>SUMIFS(Tableau4[NB Remis],Tableau4[Réf matériel],Tableau5[[#This Row],[Réf matériel]],Tableau4[Matricule],"SST")</f>
        <v>0</v>
      </c>
      <c r="BM48" s="105" t="str">
        <f>IF(Tableau5[[#This Row],[Besoin SST]]=Tableau5[[#This Row],[Remis SST]],"OK","NOK")</f>
        <v>OK</v>
      </c>
      <c r="BO48">
        <f>SUMIFS(Tableau4[NB Remis],Tableau4[Réf matériel],Tableau5[[#This Row],[Réf matériel]],Tableau4[Matricule],"CTH")</f>
        <v>0</v>
      </c>
      <c r="BP48" s="105" t="str">
        <f>IF(Tableau5[[#This Row],[Besoin CTH]]=Tableau5[[#This Row],[Remis CTH]],"OK","NOK")</f>
        <v>OK</v>
      </c>
      <c r="BR48">
        <f>SUMIFS(Tableau4[NB Remis],Tableau4[Réf matériel],Tableau5[[#This Row],[Réf matériel]],Tableau4[Matricule],"AVU")</f>
        <v>0</v>
      </c>
      <c r="BS48" s="105" t="str">
        <f>IF(Tableau5[[#This Row],[Besoin AVU]]=Tableau5[[#This Row],[Remis AVU]],"OK","NOK")</f>
        <v>OK</v>
      </c>
      <c r="BU48">
        <f>SUMIFS(Tableau4[NB Remis],Tableau4[Réf matériel],Tableau5[[#This Row],[Réf matériel]],Tableau4[Matricule],"FZE")</f>
        <v>0</v>
      </c>
      <c r="BV48" s="105" t="str">
        <f>IF(Tableau5[[#This Row],[Besoin FZE]]=Tableau5[[#This Row],[Remis FZE]],"OK","NOK")</f>
        <v>OK</v>
      </c>
      <c r="BX48">
        <f>SUMIFS(Tableau4[NB Remis],Tableau4[Réf matériel],Tableau5[[#This Row],[Réf matériel]],Tableau4[Matricule],"CV2")</f>
        <v>0</v>
      </c>
      <c r="BY48" s="105" t="str">
        <f>IF(Tableau5[[#This Row],[Besoin CV2]]=Tableau5[[#This Row],[Remis CV2]],"OK","NOK")</f>
        <v>OK</v>
      </c>
      <c r="CA48">
        <f>SUMIFS(Tableau4[NB Remis],Tableau4[Réf matériel],Tableau5[[#This Row],[Réf matériel]],Tableau4[Matricule],"CV3")</f>
        <v>0</v>
      </c>
      <c r="CB48" s="105" t="str">
        <f>IF(Tableau5[[#This Row],[Besoin CV3]]=Tableau5[[#This Row],[Remis CV3]],"OK","NOK")</f>
        <v>OK</v>
      </c>
      <c r="CD48">
        <f>SUMIFS(Tableau4[NB Remis],Tableau4[Réf matériel],Tableau5[[#This Row],[Réf matériel]],Tableau4[Matricule],"CV1")</f>
        <v>0</v>
      </c>
      <c r="CE48" s="105" t="str">
        <f>IF(Tableau5[[#This Row],[Besoin CV1]]=Tableau5[[#This Row],[Remis CV1]],"OK","NOK")</f>
        <v>OK</v>
      </c>
      <c r="CG48">
        <f>SUMIFS(Tableau4[NB Remis],Tableau4[Réf matériel],Tableau5[[#This Row],[Réf matériel]],Tableau4[Matricule],"CV4")</f>
        <v>0</v>
      </c>
      <c r="CH48" s="106" t="str">
        <f>IF(Tableau5[[#This Row],[Besoin CV4]]=Tableau5[[#This Row],[Remis CV4]],"OK","NOK")</f>
        <v>OK</v>
      </c>
    </row>
    <row r="49" spans="2:86" x14ac:dyDescent="0.25">
      <c r="B49" t="s">
        <v>119</v>
      </c>
      <c r="D49">
        <f>SUMIFS(Tableau4[NB Remis],Tableau4[Réf matériel],Tableau5[[#This Row],[Réf matériel]],Tableau4[Matricule],"OAI")</f>
        <v>0</v>
      </c>
      <c r="E49" s="105" t="str">
        <f>IF(Tableau5[[#This Row],[Besoin OAI]]=Tableau5[[#This Row],[Remis OAI]],"OK","NOK")</f>
        <v>OK</v>
      </c>
      <c r="G49">
        <f>SUMIFS(Tableau4[NB Remis],Tableau4[Réf matériel],Tableau5[[#This Row],[Réf matériel]],Tableau4[Matricule],"ABE")</f>
        <v>0</v>
      </c>
      <c r="H49" s="105" t="str">
        <f>IF(Tableau5[[#This Row],[Besoin ABE]]=Tableau5[[#This Row],[Remis ABE]],"OK","NOK")</f>
        <v>OK</v>
      </c>
      <c r="J49">
        <f>SUMIFS(Tableau4[NB Remis],Tableau4[Réf matériel],Tableau5[[#This Row],[Réf matériel]],Tableau4[Matricule],"SBI")</f>
        <v>0</v>
      </c>
      <c r="K49" s="105" t="str">
        <f>IF(Tableau5[[#This Row],[Besoin SBI]]=Tableau5[[#This Row],[Remis SBI]],"OK","NOK")</f>
        <v>OK</v>
      </c>
      <c r="M49">
        <f>SUMIFS(Tableau4[NB Remis],Tableau4[Réf matériel],Tableau5[[#This Row],[Réf matériel]],Tableau4[Matricule],"ABI")</f>
        <v>0</v>
      </c>
      <c r="N49" s="105" t="str">
        <f>IF(Tableau5[[#This Row],[Besoin ABI]]=Tableau5[[#This Row],[Remis ABI]],"OK","NOK")</f>
        <v>OK</v>
      </c>
      <c r="P49">
        <f>SUMIFS(Tableau4[NB Remis],Tableau4[Réf matériel],Tableau5[[#This Row],[Réf matériel]],Tableau4[Matricule],"DCE")</f>
        <v>0</v>
      </c>
      <c r="Q49" s="105" t="str">
        <f>IF(Tableau5[[#This Row],[Besoin DCE]]=Tableau5[[#This Row],[Remis DCE]],"OK","NOK")</f>
        <v>OK</v>
      </c>
      <c r="S49">
        <f>SUMIFS(Tableau4[NB Remis],Tableau4[Réf matériel],Tableau5[[#This Row],[Réf matériel]],Tableau4[Matricule],"JDE")</f>
        <v>0</v>
      </c>
      <c r="T49" s="105" t="str">
        <f>IF(Tableau5[[#This Row],[Besoin JDE]]=Tableau5[[#This Row],[Remis JDE]],"OK","NOK")</f>
        <v>OK</v>
      </c>
      <c r="V49">
        <f>SUMIFS(Tableau4[NB Remis],Tableau4[Réf matériel],Tableau5[[#This Row],[Réf matériel]],Tableau4[Matricule],"ODI")</f>
        <v>0</v>
      </c>
      <c r="W49" s="105" t="str">
        <f>IF(Tableau5[[#This Row],[Besoin ODI]]=Tableau5[[#This Row],[Remis ODI]],"OK","NOK")</f>
        <v>OK</v>
      </c>
      <c r="Y49">
        <f>SUMIFS(Tableau4[NB Remis],Tableau4[Réf matériel],Tableau5[[#This Row],[Réf matériel]],Tableau4[Matricule],"MFO")</f>
        <v>0</v>
      </c>
      <c r="Z49" s="105" t="str">
        <f>IF(Tableau5[[#This Row],[Besoin MFO]]=Tableau5[[#This Row],[Remis MFO]],"OK","NOK")</f>
        <v>OK</v>
      </c>
      <c r="AB49">
        <f>SUMIFS(Tableau4[NB Remis],Tableau4[Réf matériel],Tableau5[[#This Row],[Réf matériel]],Tableau4[Matricule],"SDU")</f>
        <v>0</v>
      </c>
      <c r="AC49" s="105" t="str">
        <f>IF(Tableau5[[#This Row],[Besoin SDU]]=Tableau5[[#This Row],[Remis SDU]],"OK","NOK")</f>
        <v>OK</v>
      </c>
      <c r="AD49">
        <v>1</v>
      </c>
      <c r="AE49">
        <f>SUMIFS(Tableau4[NB Remis],Tableau4[Réf matériel],Tableau5[[#This Row],[Réf matériel]],Tableau4[Matricule],"GGA")</f>
        <v>1</v>
      </c>
      <c r="AF49" s="105" t="str">
        <f>IF(Tableau5[[#This Row],[Besoin GGA2]]=Tableau5[[#This Row],[Remis GGA3]],"OK","NOK")</f>
        <v>OK</v>
      </c>
      <c r="AH49">
        <f>SUMIFS(Tableau4[NB Remis],Tableau4[Réf matériel],Tableau5[[#This Row],[Réf matériel]],Tableau4[Matricule],"RGE")</f>
        <v>0</v>
      </c>
      <c r="AI49" s="105" t="str">
        <f>IF(Tableau5[[#This Row],[Besoin RGE]]=Tableau5[[#This Row],[Remis RGE]],"OK","NOK")</f>
        <v>OK</v>
      </c>
      <c r="AK49">
        <f>SUMIFS(Tableau4[NB Remis],Tableau4[Réf matériel],Tableau5[[#This Row],[Réf matériel]],Tableau4[Matricule],"CKE")</f>
        <v>0</v>
      </c>
      <c r="AL49" s="105" t="str">
        <f>IF(Tableau5[[#This Row],[Besoin CKE]]=Tableau5[[#This Row],[Remis CKE]],"OK","NOK")</f>
        <v>OK</v>
      </c>
      <c r="AN49">
        <f>SUMIFS(Tableau4[NB Remis],Tableau4[Réf matériel],Tableau5[[#This Row],[Réf matériel]],Tableau4[Matricule],"DMA")</f>
        <v>0</v>
      </c>
      <c r="AO49" s="105" t="str">
        <f>IF(Tableau5[[#This Row],[Besoin DMA]]=Tableau5[[#This Row],[Remis DMA]],"OK","NOK")</f>
        <v>OK</v>
      </c>
      <c r="AQ49">
        <f>SUMIFS(Tableau4[NB Remis],Tableau4[Réf matériel],Tableau5[[#This Row],[Réf matériel]],Tableau4[Matricule],"LMO")</f>
        <v>0</v>
      </c>
      <c r="AR49" s="105" t="str">
        <f>IF(Tableau5[[#This Row],[Besoin LMO]]=Tableau5[[#This Row],[Remis LMO]],"OK","NOK")</f>
        <v>OK</v>
      </c>
      <c r="AT49">
        <f>SUMIFS(Tableau4[NB Remis],Tableau4[Réf matériel],Tableau5[[#This Row],[Réf matériel]],Tableau4[Matricule],"TMO")</f>
        <v>0</v>
      </c>
      <c r="AU49" s="105" t="str">
        <f>IF(Tableau5[[#This Row],[Besoin TMO]]=Tableau5[[#This Row],[Remis TMO]],"OK","NOK")</f>
        <v>OK</v>
      </c>
      <c r="AW49">
        <f>SUMIFS(Tableau4[NB Remis],Tableau4[Réf matériel],Tableau5[[#This Row],[Réf matériel]],Tableau4[Matricule],"JPA")</f>
        <v>0</v>
      </c>
      <c r="AX49" s="105" t="str">
        <f>IF(Tableau5[[#This Row],[Besoin JPA]]=Tableau5[[#This Row],[Remis JPA]],"OK","NOK")</f>
        <v>OK</v>
      </c>
      <c r="AZ49">
        <f>SUMIFS(Tableau4[NB Remis],Tableau4[Réf matériel],Tableau5[[#This Row],[Réf matériel]],Tableau4[Matricule],"MPE")</f>
        <v>0</v>
      </c>
      <c r="BA49" s="105" t="str">
        <f>IF(Tableau5[[#This Row],[Besoin MPE]]=Tableau5[[#This Row],[Remis MPE]],"OK","NOK")</f>
        <v>OK</v>
      </c>
      <c r="BC49">
        <f>SUMIFS(Tableau4[NB Remis],Tableau4[Réf matériel],Tableau5[[#This Row],[Réf matériel]],Tableau4[Matricule],"SPR")</f>
        <v>0</v>
      </c>
      <c r="BD49" s="105" t="str">
        <f>IF(Tableau5[[#This Row],[Besoin SPR]]=Tableau5[[#This Row],[Remis SPR]],"OK","NOK")</f>
        <v>OK</v>
      </c>
      <c r="BF49">
        <f>SUMIFS(Tableau4[NB Remis],Tableau4[Réf matériel],Tableau5[[#This Row],[Réf matériel]],Tableau4[Matricule],"MRO")</f>
        <v>0</v>
      </c>
      <c r="BG49" s="105" t="str">
        <f>IF(Tableau5[[#This Row],[Besoin MRO]]=Tableau5[[#This Row],[Remis MRO]],"OK","NOK")</f>
        <v>OK</v>
      </c>
      <c r="BI49">
        <f>SUMIFS(Tableau4[NB Remis],Tableau4[Réf matériel],Tableau5[[#This Row],[Réf matériel]],Tableau4[Matricule],"LSA")</f>
        <v>0</v>
      </c>
      <c r="BJ49" s="105" t="str">
        <f>IF(Tableau5[[#This Row],[Besoin LSA]]=Tableau5[[#This Row],[Remis LSA]],"OK","NOK")</f>
        <v>OK</v>
      </c>
      <c r="BL49">
        <f>SUMIFS(Tableau4[NB Remis],Tableau4[Réf matériel],Tableau5[[#This Row],[Réf matériel]],Tableau4[Matricule],"SST")</f>
        <v>0</v>
      </c>
      <c r="BM49" s="105" t="str">
        <f>IF(Tableau5[[#This Row],[Besoin SST]]=Tableau5[[#This Row],[Remis SST]],"OK","NOK")</f>
        <v>OK</v>
      </c>
      <c r="BO49">
        <f>SUMIFS(Tableau4[NB Remis],Tableau4[Réf matériel],Tableau5[[#This Row],[Réf matériel]],Tableau4[Matricule],"CTH")</f>
        <v>0</v>
      </c>
      <c r="BP49" s="105" t="str">
        <f>IF(Tableau5[[#This Row],[Besoin CTH]]=Tableau5[[#This Row],[Remis CTH]],"OK","NOK")</f>
        <v>OK</v>
      </c>
      <c r="BR49">
        <f>SUMIFS(Tableau4[NB Remis],Tableau4[Réf matériel],Tableau5[[#This Row],[Réf matériel]],Tableau4[Matricule],"AVU")</f>
        <v>0</v>
      </c>
      <c r="BS49" s="105" t="str">
        <f>IF(Tableau5[[#This Row],[Besoin AVU]]=Tableau5[[#This Row],[Remis AVU]],"OK","NOK")</f>
        <v>OK</v>
      </c>
      <c r="BU49">
        <f>SUMIFS(Tableau4[NB Remis],Tableau4[Réf matériel],Tableau5[[#This Row],[Réf matériel]],Tableau4[Matricule],"FZE")</f>
        <v>0</v>
      </c>
      <c r="BV49" s="105" t="str">
        <f>IF(Tableau5[[#This Row],[Besoin FZE]]=Tableau5[[#This Row],[Remis FZE]],"OK","NOK")</f>
        <v>OK</v>
      </c>
      <c r="BX49">
        <f>SUMIFS(Tableau4[NB Remis],Tableau4[Réf matériel],Tableau5[[#This Row],[Réf matériel]],Tableau4[Matricule],"CV2")</f>
        <v>0</v>
      </c>
      <c r="BY49" s="105" t="str">
        <f>IF(Tableau5[[#This Row],[Besoin CV2]]=Tableau5[[#This Row],[Remis CV2]],"OK","NOK")</f>
        <v>OK</v>
      </c>
      <c r="CA49">
        <f>SUMIFS(Tableau4[NB Remis],Tableau4[Réf matériel],Tableau5[[#This Row],[Réf matériel]],Tableau4[Matricule],"CV3")</f>
        <v>0</v>
      </c>
      <c r="CB49" s="105" t="str">
        <f>IF(Tableau5[[#This Row],[Besoin CV3]]=Tableau5[[#This Row],[Remis CV3]],"OK","NOK")</f>
        <v>OK</v>
      </c>
      <c r="CD49">
        <f>SUMIFS(Tableau4[NB Remis],Tableau4[Réf matériel],Tableau5[[#This Row],[Réf matériel]],Tableau4[Matricule],"CV1")</f>
        <v>0</v>
      </c>
      <c r="CE49" s="105" t="str">
        <f>IF(Tableau5[[#This Row],[Besoin CV1]]=Tableau5[[#This Row],[Remis CV1]],"OK","NOK")</f>
        <v>OK</v>
      </c>
      <c r="CG49">
        <f>SUMIFS(Tableau4[NB Remis],Tableau4[Réf matériel],Tableau5[[#This Row],[Réf matériel]],Tableau4[Matricule],"CV4")</f>
        <v>0</v>
      </c>
      <c r="CH49" s="106" t="str">
        <f>IF(Tableau5[[#This Row],[Besoin CV4]]=Tableau5[[#This Row],[Remis CV4]],"OK","NOK")</f>
        <v>OK</v>
      </c>
    </row>
    <row r="50" spans="2:86" x14ac:dyDescent="0.25">
      <c r="B50" t="s">
        <v>400</v>
      </c>
      <c r="C50">
        <v>1</v>
      </c>
      <c r="D50">
        <f>SUMIFS(Tableau4[NB Remis],Tableau4[Réf matériel],Tableau5[[#This Row],[Réf matériel]],Tableau4[Matricule],"OAI")</f>
        <v>1</v>
      </c>
      <c r="E50" s="105" t="str">
        <f>IF(Tableau5[[#This Row],[Besoin OAI]]=Tableau5[[#This Row],[Remis OAI]],"OK","NOK")</f>
        <v>OK</v>
      </c>
      <c r="G50">
        <f>SUMIFS(Tableau4[NB Remis],Tableau4[Réf matériel],Tableau5[[#This Row],[Réf matériel]],Tableau4[Matricule],"ABE")</f>
        <v>0</v>
      </c>
      <c r="H50" s="105" t="str">
        <f>IF(Tableau5[[#This Row],[Besoin ABE]]=Tableau5[[#This Row],[Remis ABE]],"OK","NOK")</f>
        <v>OK</v>
      </c>
      <c r="J50">
        <f>SUMIFS(Tableau4[NB Remis],Tableau4[Réf matériel],Tableau5[[#This Row],[Réf matériel]],Tableau4[Matricule],"SBI")</f>
        <v>0</v>
      </c>
      <c r="K50" s="105" t="str">
        <f>IF(Tableau5[[#This Row],[Besoin SBI]]=Tableau5[[#This Row],[Remis SBI]],"OK","NOK")</f>
        <v>OK</v>
      </c>
      <c r="M50">
        <f>SUMIFS(Tableau4[NB Remis],Tableau4[Réf matériel],Tableau5[[#This Row],[Réf matériel]],Tableau4[Matricule],"ABI")</f>
        <v>0</v>
      </c>
      <c r="N50" s="105" t="str">
        <f>IF(Tableau5[[#This Row],[Besoin ABI]]=Tableau5[[#This Row],[Remis ABI]],"OK","NOK")</f>
        <v>OK</v>
      </c>
      <c r="P50">
        <f>SUMIFS(Tableau4[NB Remis],Tableau4[Réf matériel],Tableau5[[#This Row],[Réf matériel]],Tableau4[Matricule],"DCE")</f>
        <v>0</v>
      </c>
      <c r="Q50" s="105" t="str">
        <f>IF(Tableau5[[#This Row],[Besoin DCE]]=Tableau5[[#This Row],[Remis DCE]],"OK","NOK")</f>
        <v>OK</v>
      </c>
      <c r="R50">
        <v>1</v>
      </c>
      <c r="S50">
        <f>SUMIFS(Tableau4[NB Remis],Tableau4[Réf matériel],Tableau5[[#This Row],[Réf matériel]],Tableau4[Matricule],"JDE")</f>
        <v>1</v>
      </c>
      <c r="T50" s="105" t="str">
        <f>IF(Tableau5[[#This Row],[Besoin JDE]]=Tableau5[[#This Row],[Remis JDE]],"OK","NOK")</f>
        <v>OK</v>
      </c>
      <c r="V50">
        <f>SUMIFS(Tableau4[NB Remis],Tableau4[Réf matériel],Tableau5[[#This Row],[Réf matériel]],Tableau4[Matricule],"ODI")</f>
        <v>0</v>
      </c>
      <c r="W50" s="105" t="str">
        <f>IF(Tableau5[[#This Row],[Besoin ODI]]=Tableau5[[#This Row],[Remis ODI]],"OK","NOK")</f>
        <v>OK</v>
      </c>
      <c r="Y50">
        <f>SUMIFS(Tableau4[NB Remis],Tableau4[Réf matériel],Tableau5[[#This Row],[Réf matériel]],Tableau4[Matricule],"MFO")</f>
        <v>0</v>
      </c>
      <c r="Z50" s="105" t="str">
        <f>IF(Tableau5[[#This Row],[Besoin MFO]]=Tableau5[[#This Row],[Remis MFO]],"OK","NOK")</f>
        <v>OK</v>
      </c>
      <c r="AB50">
        <f>SUMIFS(Tableau4[NB Remis],Tableau4[Réf matériel],Tableau5[[#This Row],[Réf matériel]],Tableau4[Matricule],"SDU")</f>
        <v>0</v>
      </c>
      <c r="AC50" s="105" t="str">
        <f>IF(Tableau5[[#This Row],[Besoin SDU]]=Tableau5[[#This Row],[Remis SDU]],"OK","NOK")</f>
        <v>OK</v>
      </c>
      <c r="AE50">
        <f>SUMIFS(Tableau4[NB Remis],Tableau4[Réf matériel],Tableau5[[#This Row],[Réf matériel]],Tableau4[Matricule],"GGA")</f>
        <v>0</v>
      </c>
      <c r="AF50" s="105" t="str">
        <f>IF(Tableau5[[#This Row],[Besoin GGA2]]=Tableau5[[#This Row],[Remis GGA3]],"OK","NOK")</f>
        <v>OK</v>
      </c>
      <c r="AH50">
        <f>SUMIFS(Tableau4[NB Remis],Tableau4[Réf matériel],Tableau5[[#This Row],[Réf matériel]],Tableau4[Matricule],"RGE")</f>
        <v>0</v>
      </c>
      <c r="AI50" s="105" t="str">
        <f>IF(Tableau5[[#This Row],[Besoin RGE]]=Tableau5[[#This Row],[Remis RGE]],"OK","NOK")</f>
        <v>OK</v>
      </c>
      <c r="AK50">
        <f>SUMIFS(Tableau4[NB Remis],Tableau4[Réf matériel],Tableau5[[#This Row],[Réf matériel]],Tableau4[Matricule],"CKE")</f>
        <v>0</v>
      </c>
      <c r="AL50" s="105" t="str">
        <f>IF(Tableau5[[#This Row],[Besoin CKE]]=Tableau5[[#This Row],[Remis CKE]],"OK","NOK")</f>
        <v>OK</v>
      </c>
      <c r="AN50">
        <f>SUMIFS(Tableau4[NB Remis],Tableau4[Réf matériel],Tableau5[[#This Row],[Réf matériel]],Tableau4[Matricule],"DMA")</f>
        <v>0</v>
      </c>
      <c r="AO50" s="105" t="str">
        <f>IF(Tableau5[[#This Row],[Besoin DMA]]=Tableau5[[#This Row],[Remis DMA]],"OK","NOK")</f>
        <v>OK</v>
      </c>
      <c r="AQ50">
        <f>SUMIFS(Tableau4[NB Remis],Tableau4[Réf matériel],Tableau5[[#This Row],[Réf matériel]],Tableau4[Matricule],"LMO")</f>
        <v>0</v>
      </c>
      <c r="AR50" s="105" t="str">
        <f>IF(Tableau5[[#This Row],[Besoin LMO]]=Tableau5[[#This Row],[Remis LMO]],"OK","NOK")</f>
        <v>OK</v>
      </c>
      <c r="AT50">
        <f>SUMIFS(Tableau4[NB Remis],Tableau4[Réf matériel],Tableau5[[#This Row],[Réf matériel]],Tableau4[Matricule],"TMO")</f>
        <v>0</v>
      </c>
      <c r="AU50" s="105" t="str">
        <f>IF(Tableau5[[#This Row],[Besoin TMO]]=Tableau5[[#This Row],[Remis TMO]],"OK","NOK")</f>
        <v>OK</v>
      </c>
      <c r="AW50">
        <f>SUMIFS(Tableau4[NB Remis],Tableau4[Réf matériel],Tableau5[[#This Row],[Réf matériel]],Tableau4[Matricule],"JPA")</f>
        <v>0</v>
      </c>
      <c r="AX50" s="105" t="str">
        <f>IF(Tableau5[[#This Row],[Besoin JPA]]=Tableau5[[#This Row],[Remis JPA]],"OK","NOK")</f>
        <v>OK</v>
      </c>
      <c r="AZ50">
        <f>SUMIFS(Tableau4[NB Remis],Tableau4[Réf matériel],Tableau5[[#This Row],[Réf matériel]],Tableau4[Matricule],"MPE")</f>
        <v>0</v>
      </c>
      <c r="BA50" s="105" t="str">
        <f>IF(Tableau5[[#This Row],[Besoin MPE]]=Tableau5[[#This Row],[Remis MPE]],"OK","NOK")</f>
        <v>OK</v>
      </c>
      <c r="BB50">
        <v>1</v>
      </c>
      <c r="BC50">
        <f>SUMIFS(Tableau4[NB Remis],Tableau4[Réf matériel],Tableau5[[#This Row],[Réf matériel]],Tableau4[Matricule],"SPR")</f>
        <v>1</v>
      </c>
      <c r="BD50" s="105" t="str">
        <f>IF(Tableau5[[#This Row],[Besoin SPR]]=Tableau5[[#This Row],[Remis SPR]],"OK","NOK")</f>
        <v>OK</v>
      </c>
      <c r="BF50">
        <f>SUMIFS(Tableau4[NB Remis],Tableau4[Réf matériel],Tableau5[[#This Row],[Réf matériel]],Tableau4[Matricule],"MRO")</f>
        <v>0</v>
      </c>
      <c r="BG50" s="105" t="str">
        <f>IF(Tableau5[[#This Row],[Besoin MRO]]=Tableau5[[#This Row],[Remis MRO]],"OK","NOK")</f>
        <v>OK</v>
      </c>
      <c r="BI50">
        <f>SUMIFS(Tableau4[NB Remis],Tableau4[Réf matériel],Tableau5[[#This Row],[Réf matériel]],Tableau4[Matricule],"LSA")</f>
        <v>0</v>
      </c>
      <c r="BJ50" s="105" t="str">
        <f>IF(Tableau5[[#This Row],[Besoin LSA]]=Tableau5[[#This Row],[Remis LSA]],"OK","NOK")</f>
        <v>OK</v>
      </c>
      <c r="BK50">
        <v>1</v>
      </c>
      <c r="BL50">
        <f>SUMIFS(Tableau4[NB Remis],Tableau4[Réf matériel],Tableau5[[#This Row],[Réf matériel]],Tableau4[Matricule],"SST")</f>
        <v>1</v>
      </c>
      <c r="BM50" s="105" t="str">
        <f>IF(Tableau5[[#This Row],[Besoin SST]]=Tableau5[[#This Row],[Remis SST]],"OK","NOK")</f>
        <v>OK</v>
      </c>
      <c r="BO50">
        <f>SUMIFS(Tableau4[NB Remis],Tableau4[Réf matériel],Tableau5[[#This Row],[Réf matériel]],Tableau4[Matricule],"CTH")</f>
        <v>0</v>
      </c>
      <c r="BP50" s="105" t="str">
        <f>IF(Tableau5[[#This Row],[Besoin CTH]]=Tableau5[[#This Row],[Remis CTH]],"OK","NOK")</f>
        <v>OK</v>
      </c>
      <c r="BR50">
        <f>SUMIFS(Tableau4[NB Remis],Tableau4[Réf matériel],Tableau5[[#This Row],[Réf matériel]],Tableau4[Matricule],"AVU")</f>
        <v>0</v>
      </c>
      <c r="BS50" s="105" t="str">
        <f>IF(Tableau5[[#This Row],[Besoin AVU]]=Tableau5[[#This Row],[Remis AVU]],"OK","NOK")</f>
        <v>OK</v>
      </c>
      <c r="BU50">
        <f>SUMIFS(Tableau4[NB Remis],Tableau4[Réf matériel],Tableau5[[#This Row],[Réf matériel]],Tableau4[Matricule],"FZE")</f>
        <v>0</v>
      </c>
      <c r="BV50" s="105" t="str">
        <f>IF(Tableau5[[#This Row],[Besoin FZE]]=Tableau5[[#This Row],[Remis FZE]],"OK","NOK")</f>
        <v>OK</v>
      </c>
      <c r="BX50">
        <f>SUMIFS(Tableau4[NB Remis],Tableau4[Réf matériel],Tableau5[[#This Row],[Réf matériel]],Tableau4[Matricule],"CV2")</f>
        <v>0</v>
      </c>
      <c r="BY50" s="105" t="str">
        <f>IF(Tableau5[[#This Row],[Besoin CV2]]=Tableau5[[#This Row],[Remis CV2]],"OK","NOK")</f>
        <v>OK</v>
      </c>
      <c r="CA50">
        <f>SUMIFS(Tableau4[NB Remis],Tableau4[Réf matériel],Tableau5[[#This Row],[Réf matériel]],Tableau4[Matricule],"CV3")</f>
        <v>0</v>
      </c>
      <c r="CB50" s="105" t="str">
        <f>IF(Tableau5[[#This Row],[Besoin CV3]]=Tableau5[[#This Row],[Remis CV3]],"OK","NOK")</f>
        <v>OK</v>
      </c>
      <c r="CD50">
        <f>SUMIFS(Tableau4[NB Remis],Tableau4[Réf matériel],Tableau5[[#This Row],[Réf matériel]],Tableau4[Matricule],"CV1")</f>
        <v>0</v>
      </c>
      <c r="CE50" s="105" t="str">
        <f>IF(Tableau5[[#This Row],[Besoin CV1]]=Tableau5[[#This Row],[Remis CV1]],"OK","NOK")</f>
        <v>OK</v>
      </c>
      <c r="CG50">
        <f>SUMIFS(Tableau4[NB Remis],Tableau4[Réf matériel],Tableau5[[#This Row],[Réf matériel]],Tableau4[Matricule],"CV4")</f>
        <v>0</v>
      </c>
      <c r="CH50" s="106" t="str">
        <f>IF(Tableau5[[#This Row],[Besoin CV4]]=Tableau5[[#This Row],[Remis CV4]],"OK","NOK")</f>
        <v>OK</v>
      </c>
    </row>
    <row r="51" spans="2:86" x14ac:dyDescent="0.25">
      <c r="B51" t="s">
        <v>289</v>
      </c>
      <c r="C51">
        <v>1</v>
      </c>
      <c r="D51">
        <f>SUMIFS(Tableau4[NB Remis],Tableau4[Réf matériel],Tableau5[[#This Row],[Réf matériel]],Tableau4[Matricule],"OAI")</f>
        <v>1</v>
      </c>
      <c r="E51" s="105" t="str">
        <f>IF(Tableau5[[#This Row],[Besoin OAI]]=Tableau5[[#This Row],[Remis OAI]],"OK","NOK")</f>
        <v>OK</v>
      </c>
      <c r="G51">
        <f>SUMIFS(Tableau4[NB Remis],Tableau4[Réf matériel],Tableau5[[#This Row],[Réf matériel]],Tableau4[Matricule],"ABE")</f>
        <v>0</v>
      </c>
      <c r="H51" s="105" t="str">
        <f>IF(Tableau5[[#This Row],[Besoin ABE]]=Tableau5[[#This Row],[Remis ABE]],"OK","NOK")</f>
        <v>OK</v>
      </c>
      <c r="J51">
        <f>SUMIFS(Tableau4[NB Remis],Tableau4[Réf matériel],Tableau5[[#This Row],[Réf matériel]],Tableau4[Matricule],"SBI")</f>
        <v>0</v>
      </c>
      <c r="K51" s="105" t="str">
        <f>IF(Tableau5[[#This Row],[Besoin SBI]]=Tableau5[[#This Row],[Remis SBI]],"OK","NOK")</f>
        <v>OK</v>
      </c>
      <c r="M51">
        <f>SUMIFS(Tableau4[NB Remis],Tableau4[Réf matériel],Tableau5[[#This Row],[Réf matériel]],Tableau4[Matricule],"ABI")</f>
        <v>0</v>
      </c>
      <c r="N51" s="105" t="str">
        <f>IF(Tableau5[[#This Row],[Besoin ABI]]=Tableau5[[#This Row],[Remis ABI]],"OK","NOK")</f>
        <v>OK</v>
      </c>
      <c r="P51">
        <f>SUMIFS(Tableau4[NB Remis],Tableau4[Réf matériel],Tableau5[[#This Row],[Réf matériel]],Tableau4[Matricule],"DCE")</f>
        <v>0</v>
      </c>
      <c r="Q51" s="105" t="str">
        <f>IF(Tableau5[[#This Row],[Besoin DCE]]=Tableau5[[#This Row],[Remis DCE]],"OK","NOK")</f>
        <v>OK</v>
      </c>
      <c r="S51">
        <f>SUMIFS(Tableau4[NB Remis],Tableau4[Réf matériel],Tableau5[[#This Row],[Réf matériel]],Tableau4[Matricule],"JDE")</f>
        <v>0</v>
      </c>
      <c r="T51" s="105" t="str">
        <f>IF(Tableau5[[#This Row],[Besoin JDE]]=Tableau5[[#This Row],[Remis JDE]],"OK","NOK")</f>
        <v>OK</v>
      </c>
      <c r="V51">
        <f>SUMIFS(Tableau4[NB Remis],Tableau4[Réf matériel],Tableau5[[#This Row],[Réf matériel]],Tableau4[Matricule],"ODI")</f>
        <v>0</v>
      </c>
      <c r="W51" s="105" t="str">
        <f>IF(Tableau5[[#This Row],[Besoin ODI]]=Tableau5[[#This Row],[Remis ODI]],"OK","NOK")</f>
        <v>OK</v>
      </c>
      <c r="Y51">
        <f>SUMIFS(Tableau4[NB Remis],Tableau4[Réf matériel],Tableau5[[#This Row],[Réf matériel]],Tableau4[Matricule],"MFO")</f>
        <v>0</v>
      </c>
      <c r="Z51" s="105" t="str">
        <f>IF(Tableau5[[#This Row],[Besoin MFO]]=Tableau5[[#This Row],[Remis MFO]],"OK","NOK")</f>
        <v>OK</v>
      </c>
      <c r="AB51">
        <f>SUMIFS(Tableau4[NB Remis],Tableau4[Réf matériel],Tableau5[[#This Row],[Réf matériel]],Tableau4[Matricule],"SDU")</f>
        <v>0</v>
      </c>
      <c r="AC51" s="105" t="str">
        <f>IF(Tableau5[[#This Row],[Besoin SDU]]=Tableau5[[#This Row],[Remis SDU]],"OK","NOK")</f>
        <v>OK</v>
      </c>
      <c r="AE51">
        <f>SUMIFS(Tableau4[NB Remis],Tableau4[Réf matériel],Tableau5[[#This Row],[Réf matériel]],Tableau4[Matricule],"GGA")</f>
        <v>0</v>
      </c>
      <c r="AF51" s="105" t="str">
        <f>IF(Tableau5[[#This Row],[Besoin GGA2]]=Tableau5[[#This Row],[Remis GGA3]],"OK","NOK")</f>
        <v>OK</v>
      </c>
      <c r="AH51">
        <f>SUMIFS(Tableau4[NB Remis],Tableau4[Réf matériel],Tableau5[[#This Row],[Réf matériel]],Tableau4[Matricule],"RGE")</f>
        <v>0</v>
      </c>
      <c r="AI51" s="105" t="str">
        <f>IF(Tableau5[[#This Row],[Besoin RGE]]=Tableau5[[#This Row],[Remis RGE]],"OK","NOK")</f>
        <v>OK</v>
      </c>
      <c r="AK51">
        <f>SUMIFS(Tableau4[NB Remis],Tableau4[Réf matériel],Tableau5[[#This Row],[Réf matériel]],Tableau4[Matricule],"CKE")</f>
        <v>0</v>
      </c>
      <c r="AL51" s="105" t="str">
        <f>IF(Tableau5[[#This Row],[Besoin CKE]]=Tableau5[[#This Row],[Remis CKE]],"OK","NOK")</f>
        <v>OK</v>
      </c>
      <c r="AN51">
        <f>SUMIFS(Tableau4[NB Remis],Tableau4[Réf matériel],Tableau5[[#This Row],[Réf matériel]],Tableau4[Matricule],"DMA")</f>
        <v>0</v>
      </c>
      <c r="AO51" s="105" t="str">
        <f>IF(Tableau5[[#This Row],[Besoin DMA]]=Tableau5[[#This Row],[Remis DMA]],"OK","NOK")</f>
        <v>OK</v>
      </c>
      <c r="AQ51">
        <f>SUMIFS(Tableau4[NB Remis],Tableau4[Réf matériel],Tableau5[[#This Row],[Réf matériel]],Tableau4[Matricule],"LMO")</f>
        <v>0</v>
      </c>
      <c r="AR51" s="105" t="str">
        <f>IF(Tableau5[[#This Row],[Besoin LMO]]=Tableau5[[#This Row],[Remis LMO]],"OK","NOK")</f>
        <v>OK</v>
      </c>
      <c r="AT51">
        <f>SUMIFS(Tableau4[NB Remis],Tableau4[Réf matériel],Tableau5[[#This Row],[Réf matériel]],Tableau4[Matricule],"TMO")</f>
        <v>0</v>
      </c>
      <c r="AU51" s="105" t="str">
        <f>IF(Tableau5[[#This Row],[Besoin TMO]]=Tableau5[[#This Row],[Remis TMO]],"OK","NOK")</f>
        <v>OK</v>
      </c>
      <c r="AW51">
        <f>SUMIFS(Tableau4[NB Remis],Tableau4[Réf matériel],Tableau5[[#This Row],[Réf matériel]],Tableau4[Matricule],"JPA")</f>
        <v>0</v>
      </c>
      <c r="AX51" s="105" t="str">
        <f>IF(Tableau5[[#This Row],[Besoin JPA]]=Tableau5[[#This Row],[Remis JPA]],"OK","NOK")</f>
        <v>OK</v>
      </c>
      <c r="AZ51">
        <f>SUMIFS(Tableau4[NB Remis],Tableau4[Réf matériel],Tableau5[[#This Row],[Réf matériel]],Tableau4[Matricule],"MPE")</f>
        <v>0</v>
      </c>
      <c r="BA51" s="105" t="str">
        <f>IF(Tableau5[[#This Row],[Besoin MPE]]=Tableau5[[#This Row],[Remis MPE]],"OK","NOK")</f>
        <v>OK</v>
      </c>
      <c r="BB51">
        <v>1</v>
      </c>
      <c r="BC51">
        <f>SUMIFS(Tableau4[NB Remis],Tableau4[Réf matériel],Tableau5[[#This Row],[Réf matériel]],Tableau4[Matricule],"SPR")</f>
        <v>1</v>
      </c>
      <c r="BD51" s="105" t="str">
        <f>IF(Tableau5[[#This Row],[Besoin SPR]]=Tableau5[[#This Row],[Remis SPR]],"OK","NOK")</f>
        <v>OK</v>
      </c>
      <c r="BF51">
        <f>SUMIFS(Tableau4[NB Remis],Tableau4[Réf matériel],Tableau5[[#This Row],[Réf matériel]],Tableau4[Matricule],"MRO")</f>
        <v>0</v>
      </c>
      <c r="BG51" s="105" t="str">
        <f>IF(Tableau5[[#This Row],[Besoin MRO]]=Tableau5[[#This Row],[Remis MRO]],"OK","NOK")</f>
        <v>OK</v>
      </c>
      <c r="BI51">
        <f>SUMIFS(Tableau4[NB Remis],Tableau4[Réf matériel],Tableau5[[#This Row],[Réf matériel]],Tableau4[Matricule],"LSA")</f>
        <v>0</v>
      </c>
      <c r="BJ51" s="105" t="str">
        <f>IF(Tableau5[[#This Row],[Besoin LSA]]=Tableau5[[#This Row],[Remis LSA]],"OK","NOK")</f>
        <v>OK</v>
      </c>
      <c r="BL51">
        <f>SUMIFS(Tableau4[NB Remis],Tableau4[Réf matériel],Tableau5[[#This Row],[Réf matériel]],Tableau4[Matricule],"SST")</f>
        <v>0</v>
      </c>
      <c r="BM51" s="105" t="str">
        <f>IF(Tableau5[[#This Row],[Besoin SST]]=Tableau5[[#This Row],[Remis SST]],"OK","NOK")</f>
        <v>OK</v>
      </c>
      <c r="BN51">
        <v>1</v>
      </c>
      <c r="BO51">
        <f>SUMIFS(Tableau4[NB Remis],Tableau4[Réf matériel],Tableau5[[#This Row],[Réf matériel]],Tableau4[Matricule],"CTH")</f>
        <v>1</v>
      </c>
      <c r="BP51" s="105" t="str">
        <f>IF(Tableau5[[#This Row],[Besoin CTH]]=Tableau5[[#This Row],[Remis CTH]],"OK","NOK")</f>
        <v>OK</v>
      </c>
      <c r="BR51">
        <f>SUMIFS(Tableau4[NB Remis],Tableau4[Réf matériel],Tableau5[[#This Row],[Réf matériel]],Tableau4[Matricule],"AVU")</f>
        <v>0</v>
      </c>
      <c r="BS51" s="105" t="str">
        <f>IF(Tableau5[[#This Row],[Besoin AVU]]=Tableau5[[#This Row],[Remis AVU]],"OK","NOK")</f>
        <v>OK</v>
      </c>
      <c r="BU51">
        <f>SUMIFS(Tableau4[NB Remis],Tableau4[Réf matériel],Tableau5[[#This Row],[Réf matériel]],Tableau4[Matricule],"FZE")</f>
        <v>0</v>
      </c>
      <c r="BV51" s="105" t="str">
        <f>IF(Tableau5[[#This Row],[Besoin FZE]]=Tableau5[[#This Row],[Remis FZE]],"OK","NOK")</f>
        <v>OK</v>
      </c>
      <c r="BX51">
        <f>SUMIFS(Tableau4[NB Remis],Tableau4[Réf matériel],Tableau5[[#This Row],[Réf matériel]],Tableau4[Matricule],"CV2")</f>
        <v>0</v>
      </c>
      <c r="BY51" s="105" t="str">
        <f>IF(Tableau5[[#This Row],[Besoin CV2]]=Tableau5[[#This Row],[Remis CV2]],"OK","NOK")</f>
        <v>OK</v>
      </c>
      <c r="CA51">
        <f>SUMIFS(Tableau4[NB Remis],Tableau4[Réf matériel],Tableau5[[#This Row],[Réf matériel]],Tableau4[Matricule],"CV3")</f>
        <v>0</v>
      </c>
      <c r="CB51" s="105" t="str">
        <f>IF(Tableau5[[#This Row],[Besoin CV3]]=Tableau5[[#This Row],[Remis CV3]],"OK","NOK")</f>
        <v>OK</v>
      </c>
      <c r="CD51">
        <f>SUMIFS(Tableau4[NB Remis],Tableau4[Réf matériel],Tableau5[[#This Row],[Réf matériel]],Tableau4[Matricule],"CV1")</f>
        <v>0</v>
      </c>
      <c r="CE51" s="105" t="str">
        <f>IF(Tableau5[[#This Row],[Besoin CV1]]=Tableau5[[#This Row],[Remis CV1]],"OK","NOK")</f>
        <v>OK</v>
      </c>
      <c r="CG51">
        <f>SUMIFS(Tableau4[NB Remis],Tableau4[Réf matériel],Tableau5[[#This Row],[Réf matériel]],Tableau4[Matricule],"CV4")</f>
        <v>0</v>
      </c>
      <c r="CH51" s="106" t="str">
        <f>IF(Tableau5[[#This Row],[Besoin CV4]]=Tableau5[[#This Row],[Remis CV4]],"OK","NOK")</f>
        <v>OK</v>
      </c>
    </row>
    <row r="52" spans="2:86" x14ac:dyDescent="0.25">
      <c r="B52" t="s">
        <v>160</v>
      </c>
      <c r="D52">
        <f>SUMIFS(Tableau4[NB Remis],Tableau4[Réf matériel],Tableau5[[#This Row],[Réf matériel]],Tableau4[Matricule],"OAI")</f>
        <v>0</v>
      </c>
      <c r="E52" s="105" t="str">
        <f>IF(Tableau5[[#This Row],[Besoin OAI]]=Tableau5[[#This Row],[Remis OAI]],"OK","NOK")</f>
        <v>OK</v>
      </c>
      <c r="F52">
        <v>1</v>
      </c>
      <c r="G52">
        <f>SUMIFS(Tableau4[NB Remis],Tableau4[Réf matériel],Tableau5[[#This Row],[Réf matériel]],Tableau4[Matricule],"ABE")</f>
        <v>1</v>
      </c>
      <c r="H52" s="105" t="str">
        <f>IF(Tableau5[[#This Row],[Besoin ABE]]=Tableau5[[#This Row],[Remis ABE]],"OK","NOK")</f>
        <v>OK</v>
      </c>
      <c r="J52">
        <f>SUMIFS(Tableau4[NB Remis],Tableau4[Réf matériel],Tableau5[[#This Row],[Réf matériel]],Tableau4[Matricule],"SBI")</f>
        <v>0</v>
      </c>
      <c r="K52" s="105" t="str">
        <f>IF(Tableau5[[#This Row],[Besoin SBI]]=Tableau5[[#This Row],[Remis SBI]],"OK","NOK")</f>
        <v>OK</v>
      </c>
      <c r="M52">
        <f>SUMIFS(Tableau4[NB Remis],Tableau4[Réf matériel],Tableau5[[#This Row],[Réf matériel]],Tableau4[Matricule],"ABI")</f>
        <v>0</v>
      </c>
      <c r="N52" s="105" t="str">
        <f>IF(Tableau5[[#This Row],[Besoin ABI]]=Tableau5[[#This Row],[Remis ABI]],"OK","NOK")</f>
        <v>OK</v>
      </c>
      <c r="P52">
        <f>SUMIFS(Tableau4[NB Remis],Tableau4[Réf matériel],Tableau5[[#This Row],[Réf matériel]],Tableau4[Matricule],"DCE")</f>
        <v>0</v>
      </c>
      <c r="Q52" s="105" t="str">
        <f>IF(Tableau5[[#This Row],[Besoin DCE]]=Tableau5[[#This Row],[Remis DCE]],"OK","NOK")</f>
        <v>OK</v>
      </c>
      <c r="S52">
        <f>SUMIFS(Tableau4[NB Remis],Tableau4[Réf matériel],Tableau5[[#This Row],[Réf matériel]],Tableau4[Matricule],"JDE")</f>
        <v>0</v>
      </c>
      <c r="T52" s="105" t="str">
        <f>IF(Tableau5[[#This Row],[Besoin JDE]]=Tableau5[[#This Row],[Remis JDE]],"OK","NOK")</f>
        <v>OK</v>
      </c>
      <c r="V52">
        <f>SUMIFS(Tableau4[NB Remis],Tableau4[Réf matériel],Tableau5[[#This Row],[Réf matériel]],Tableau4[Matricule],"ODI")</f>
        <v>0</v>
      </c>
      <c r="W52" s="105" t="str">
        <f>IF(Tableau5[[#This Row],[Besoin ODI]]=Tableau5[[#This Row],[Remis ODI]],"OK","NOK")</f>
        <v>OK</v>
      </c>
      <c r="Y52">
        <f>SUMIFS(Tableau4[NB Remis],Tableau4[Réf matériel],Tableau5[[#This Row],[Réf matériel]],Tableau4[Matricule],"MFO")</f>
        <v>0</v>
      </c>
      <c r="Z52" s="105" t="str">
        <f>IF(Tableau5[[#This Row],[Besoin MFO]]=Tableau5[[#This Row],[Remis MFO]],"OK","NOK")</f>
        <v>OK</v>
      </c>
      <c r="AB52">
        <f>SUMIFS(Tableau4[NB Remis],Tableau4[Réf matériel],Tableau5[[#This Row],[Réf matériel]],Tableau4[Matricule],"SDU")</f>
        <v>0</v>
      </c>
      <c r="AC52" s="105" t="str">
        <f>IF(Tableau5[[#This Row],[Besoin SDU]]=Tableau5[[#This Row],[Remis SDU]],"OK","NOK")</f>
        <v>OK</v>
      </c>
      <c r="AE52">
        <f>SUMIFS(Tableau4[NB Remis],Tableau4[Réf matériel],Tableau5[[#This Row],[Réf matériel]],Tableau4[Matricule],"GGA")</f>
        <v>0</v>
      </c>
      <c r="AF52" s="105" t="str">
        <f>IF(Tableau5[[#This Row],[Besoin GGA2]]=Tableau5[[#This Row],[Remis GGA3]],"OK","NOK")</f>
        <v>OK</v>
      </c>
      <c r="AH52">
        <f>SUMIFS(Tableau4[NB Remis],Tableau4[Réf matériel],Tableau5[[#This Row],[Réf matériel]],Tableau4[Matricule],"RGE")</f>
        <v>0</v>
      </c>
      <c r="AI52" s="105" t="str">
        <f>IF(Tableau5[[#This Row],[Besoin RGE]]=Tableau5[[#This Row],[Remis RGE]],"OK","NOK")</f>
        <v>OK</v>
      </c>
      <c r="AJ52">
        <v>1</v>
      </c>
      <c r="AK52">
        <f>SUMIFS(Tableau4[NB Remis],Tableau4[Réf matériel],Tableau5[[#This Row],[Réf matériel]],Tableau4[Matricule],"CKE")</f>
        <v>1</v>
      </c>
      <c r="AL52" s="105" t="str">
        <f>IF(Tableau5[[#This Row],[Besoin CKE]]=Tableau5[[#This Row],[Remis CKE]],"OK","NOK")</f>
        <v>OK</v>
      </c>
      <c r="AN52">
        <f>SUMIFS(Tableau4[NB Remis],Tableau4[Réf matériel],Tableau5[[#This Row],[Réf matériel]],Tableau4[Matricule],"DMA")</f>
        <v>0</v>
      </c>
      <c r="AO52" s="105" t="str">
        <f>IF(Tableau5[[#This Row],[Besoin DMA]]=Tableau5[[#This Row],[Remis DMA]],"OK","NOK")</f>
        <v>OK</v>
      </c>
      <c r="AQ52">
        <f>SUMIFS(Tableau4[NB Remis],Tableau4[Réf matériel],Tableau5[[#This Row],[Réf matériel]],Tableau4[Matricule],"LMO")</f>
        <v>0</v>
      </c>
      <c r="AR52" s="105" t="str">
        <f>IF(Tableau5[[#This Row],[Besoin LMO]]=Tableau5[[#This Row],[Remis LMO]],"OK","NOK")</f>
        <v>OK</v>
      </c>
      <c r="AT52">
        <f>SUMIFS(Tableau4[NB Remis],Tableau4[Réf matériel],Tableau5[[#This Row],[Réf matériel]],Tableau4[Matricule],"TMO")</f>
        <v>0</v>
      </c>
      <c r="AU52" s="105" t="str">
        <f>IF(Tableau5[[#This Row],[Besoin TMO]]=Tableau5[[#This Row],[Remis TMO]],"OK","NOK")</f>
        <v>OK</v>
      </c>
      <c r="AW52">
        <f>SUMIFS(Tableau4[NB Remis],Tableau4[Réf matériel],Tableau5[[#This Row],[Réf matériel]],Tableau4[Matricule],"JPA")</f>
        <v>0</v>
      </c>
      <c r="AX52" s="105" t="str">
        <f>IF(Tableau5[[#This Row],[Besoin JPA]]=Tableau5[[#This Row],[Remis JPA]],"OK","NOK")</f>
        <v>OK</v>
      </c>
      <c r="AZ52">
        <f>SUMIFS(Tableau4[NB Remis],Tableau4[Réf matériel],Tableau5[[#This Row],[Réf matériel]],Tableau4[Matricule],"MPE")</f>
        <v>0</v>
      </c>
      <c r="BA52" s="105" t="str">
        <f>IF(Tableau5[[#This Row],[Besoin MPE]]=Tableau5[[#This Row],[Remis MPE]],"OK","NOK")</f>
        <v>OK</v>
      </c>
      <c r="BC52">
        <f>SUMIFS(Tableau4[NB Remis],Tableau4[Réf matériel],Tableau5[[#This Row],[Réf matériel]],Tableau4[Matricule],"SPR")</f>
        <v>0</v>
      </c>
      <c r="BD52" s="105" t="str">
        <f>IF(Tableau5[[#This Row],[Besoin SPR]]=Tableau5[[#This Row],[Remis SPR]],"OK","NOK")</f>
        <v>OK</v>
      </c>
      <c r="BF52">
        <f>SUMIFS(Tableau4[NB Remis],Tableau4[Réf matériel],Tableau5[[#This Row],[Réf matériel]],Tableau4[Matricule],"MRO")</f>
        <v>0</v>
      </c>
      <c r="BG52" s="105" t="str">
        <f>IF(Tableau5[[#This Row],[Besoin MRO]]=Tableau5[[#This Row],[Remis MRO]],"OK","NOK")</f>
        <v>OK</v>
      </c>
      <c r="BI52">
        <f>SUMIFS(Tableau4[NB Remis],Tableau4[Réf matériel],Tableau5[[#This Row],[Réf matériel]],Tableau4[Matricule],"LSA")</f>
        <v>0</v>
      </c>
      <c r="BJ52" s="105" t="str">
        <f>IF(Tableau5[[#This Row],[Besoin LSA]]=Tableau5[[#This Row],[Remis LSA]],"OK","NOK")</f>
        <v>OK</v>
      </c>
      <c r="BL52">
        <f>SUMIFS(Tableau4[NB Remis],Tableau4[Réf matériel],Tableau5[[#This Row],[Réf matériel]],Tableau4[Matricule],"SST")</f>
        <v>0</v>
      </c>
      <c r="BM52" s="105" t="str">
        <f>IF(Tableau5[[#This Row],[Besoin SST]]=Tableau5[[#This Row],[Remis SST]],"OK","NOK")</f>
        <v>OK</v>
      </c>
      <c r="BO52">
        <f>SUMIFS(Tableau4[NB Remis],Tableau4[Réf matériel],Tableau5[[#This Row],[Réf matériel]],Tableau4[Matricule],"CTH")</f>
        <v>0</v>
      </c>
      <c r="BP52" s="105" t="str">
        <f>IF(Tableau5[[#This Row],[Besoin CTH]]=Tableau5[[#This Row],[Remis CTH]],"OK","NOK")</f>
        <v>OK</v>
      </c>
      <c r="BR52">
        <f>SUMIFS(Tableau4[NB Remis],Tableau4[Réf matériel],Tableau5[[#This Row],[Réf matériel]],Tableau4[Matricule],"AVU")</f>
        <v>0</v>
      </c>
      <c r="BS52" s="105" t="str">
        <f>IF(Tableau5[[#This Row],[Besoin AVU]]=Tableau5[[#This Row],[Remis AVU]],"OK","NOK")</f>
        <v>OK</v>
      </c>
      <c r="BU52">
        <f>SUMIFS(Tableau4[NB Remis],Tableau4[Réf matériel],Tableau5[[#This Row],[Réf matériel]],Tableau4[Matricule],"FZE")</f>
        <v>0</v>
      </c>
      <c r="BV52" s="105" t="str">
        <f>IF(Tableau5[[#This Row],[Besoin FZE]]=Tableau5[[#This Row],[Remis FZE]],"OK","NOK")</f>
        <v>OK</v>
      </c>
      <c r="BX52">
        <f>SUMIFS(Tableau4[NB Remis],Tableau4[Réf matériel],Tableau5[[#This Row],[Réf matériel]],Tableau4[Matricule],"CV2")</f>
        <v>0</v>
      </c>
      <c r="BY52" s="105" t="str">
        <f>IF(Tableau5[[#This Row],[Besoin CV2]]=Tableau5[[#This Row],[Remis CV2]],"OK","NOK")</f>
        <v>OK</v>
      </c>
      <c r="CA52">
        <f>SUMIFS(Tableau4[NB Remis],Tableau4[Réf matériel],Tableau5[[#This Row],[Réf matériel]],Tableau4[Matricule],"CV3")</f>
        <v>0</v>
      </c>
      <c r="CB52" s="105" t="str">
        <f>IF(Tableau5[[#This Row],[Besoin CV3]]=Tableau5[[#This Row],[Remis CV3]],"OK","NOK")</f>
        <v>OK</v>
      </c>
      <c r="CD52">
        <f>SUMIFS(Tableau4[NB Remis],Tableau4[Réf matériel],Tableau5[[#This Row],[Réf matériel]],Tableau4[Matricule],"CV1")</f>
        <v>0</v>
      </c>
      <c r="CE52" s="105" t="str">
        <f>IF(Tableau5[[#This Row],[Besoin CV1]]=Tableau5[[#This Row],[Remis CV1]],"OK","NOK")</f>
        <v>OK</v>
      </c>
      <c r="CG52">
        <f>SUMIFS(Tableau4[NB Remis],Tableau4[Réf matériel],Tableau5[[#This Row],[Réf matériel]],Tableau4[Matricule],"CV4")</f>
        <v>0</v>
      </c>
      <c r="CH52" s="106" t="str">
        <f>IF(Tableau5[[#This Row],[Besoin CV4]]=Tableau5[[#This Row],[Remis CV4]],"OK","NOK")</f>
        <v>OK</v>
      </c>
    </row>
    <row r="53" spans="2:86" x14ac:dyDescent="0.25">
      <c r="B53" t="s">
        <v>418</v>
      </c>
      <c r="D53">
        <f>SUMIFS(Tableau4[NB Remis],Tableau4[Réf matériel],Tableau5[[#This Row],[Réf matériel]],Tableau4[Matricule],"OAI")</f>
        <v>0</v>
      </c>
      <c r="E53" s="105" t="str">
        <f>IF(Tableau5[[#This Row],[Besoin OAI]]=Tableau5[[#This Row],[Remis OAI]],"OK","NOK")</f>
        <v>OK</v>
      </c>
      <c r="F53">
        <v>1</v>
      </c>
      <c r="G53">
        <f>SUMIFS(Tableau4[NB Remis],Tableau4[Réf matériel],Tableau5[[#This Row],[Réf matériel]],Tableau4[Matricule],"ABE")</f>
        <v>1</v>
      </c>
      <c r="H53" s="105" t="str">
        <f>IF(Tableau5[[#This Row],[Besoin ABE]]=Tableau5[[#This Row],[Remis ABE]],"OK","NOK")</f>
        <v>OK</v>
      </c>
      <c r="J53">
        <f>SUMIFS(Tableau4[NB Remis],Tableau4[Réf matériel],Tableau5[[#This Row],[Réf matériel]],Tableau4[Matricule],"SBI")</f>
        <v>0</v>
      </c>
      <c r="K53" s="105" t="str">
        <f>IF(Tableau5[[#This Row],[Besoin SBI]]=Tableau5[[#This Row],[Remis SBI]],"OK","NOK")</f>
        <v>OK</v>
      </c>
      <c r="M53">
        <f>SUMIFS(Tableau4[NB Remis],Tableau4[Réf matériel],Tableau5[[#This Row],[Réf matériel]],Tableau4[Matricule],"ABI")</f>
        <v>0</v>
      </c>
      <c r="N53" s="105" t="str">
        <f>IF(Tableau5[[#This Row],[Besoin ABI]]=Tableau5[[#This Row],[Remis ABI]],"OK","NOK")</f>
        <v>OK</v>
      </c>
      <c r="P53">
        <f>SUMIFS(Tableau4[NB Remis],Tableau4[Réf matériel],Tableau5[[#This Row],[Réf matériel]],Tableau4[Matricule],"DCE")</f>
        <v>0</v>
      </c>
      <c r="Q53" s="105" t="str">
        <f>IF(Tableau5[[#This Row],[Besoin DCE]]=Tableau5[[#This Row],[Remis DCE]],"OK","NOK")</f>
        <v>OK</v>
      </c>
      <c r="S53">
        <f>SUMIFS(Tableau4[NB Remis],Tableau4[Réf matériel],Tableau5[[#This Row],[Réf matériel]],Tableau4[Matricule],"JDE")</f>
        <v>0</v>
      </c>
      <c r="T53" s="105" t="str">
        <f>IF(Tableau5[[#This Row],[Besoin JDE]]=Tableau5[[#This Row],[Remis JDE]],"OK","NOK")</f>
        <v>OK</v>
      </c>
      <c r="V53">
        <f>SUMIFS(Tableau4[NB Remis],Tableau4[Réf matériel],Tableau5[[#This Row],[Réf matériel]],Tableau4[Matricule],"ODI")</f>
        <v>0</v>
      </c>
      <c r="W53" s="105" t="str">
        <f>IF(Tableau5[[#This Row],[Besoin ODI]]=Tableau5[[#This Row],[Remis ODI]],"OK","NOK")</f>
        <v>OK</v>
      </c>
      <c r="Y53">
        <f>SUMIFS(Tableau4[NB Remis],Tableau4[Réf matériel],Tableau5[[#This Row],[Réf matériel]],Tableau4[Matricule],"MFO")</f>
        <v>0</v>
      </c>
      <c r="Z53" s="105" t="str">
        <f>IF(Tableau5[[#This Row],[Besoin MFO]]=Tableau5[[#This Row],[Remis MFO]],"OK","NOK")</f>
        <v>OK</v>
      </c>
      <c r="AB53">
        <f>SUMIFS(Tableau4[NB Remis],Tableau4[Réf matériel],Tableau5[[#This Row],[Réf matériel]],Tableau4[Matricule],"SDU")</f>
        <v>0</v>
      </c>
      <c r="AC53" s="105" t="str">
        <f>IF(Tableau5[[#This Row],[Besoin SDU]]=Tableau5[[#This Row],[Remis SDU]],"OK","NOK")</f>
        <v>OK</v>
      </c>
      <c r="AE53">
        <f>SUMIFS(Tableau4[NB Remis],Tableau4[Réf matériel],Tableau5[[#This Row],[Réf matériel]],Tableau4[Matricule],"GGA")</f>
        <v>0</v>
      </c>
      <c r="AF53" s="105" t="str">
        <f>IF(Tableau5[[#This Row],[Besoin GGA2]]=Tableau5[[#This Row],[Remis GGA3]],"OK","NOK")</f>
        <v>OK</v>
      </c>
      <c r="AH53">
        <f>SUMIFS(Tableau4[NB Remis],Tableau4[Réf matériel],Tableau5[[#This Row],[Réf matériel]],Tableau4[Matricule],"RGE")</f>
        <v>0</v>
      </c>
      <c r="AI53" s="105" t="str">
        <f>IF(Tableau5[[#This Row],[Besoin RGE]]=Tableau5[[#This Row],[Remis RGE]],"OK","NOK")</f>
        <v>OK</v>
      </c>
      <c r="AK53">
        <f>SUMIFS(Tableau4[NB Remis],Tableau4[Réf matériel],Tableau5[[#This Row],[Réf matériel]],Tableau4[Matricule],"CKE")</f>
        <v>0</v>
      </c>
      <c r="AL53" s="105" t="str">
        <f>IF(Tableau5[[#This Row],[Besoin CKE]]=Tableau5[[#This Row],[Remis CKE]],"OK","NOK")</f>
        <v>OK</v>
      </c>
      <c r="AN53">
        <f>SUMIFS(Tableau4[NB Remis],Tableau4[Réf matériel],Tableau5[[#This Row],[Réf matériel]],Tableau4[Matricule],"DMA")</f>
        <v>0</v>
      </c>
      <c r="AO53" s="105" t="str">
        <f>IF(Tableau5[[#This Row],[Besoin DMA]]=Tableau5[[#This Row],[Remis DMA]],"OK","NOK")</f>
        <v>OK</v>
      </c>
      <c r="AQ53">
        <f>SUMIFS(Tableau4[NB Remis],Tableau4[Réf matériel],Tableau5[[#This Row],[Réf matériel]],Tableau4[Matricule],"LMO")</f>
        <v>0</v>
      </c>
      <c r="AR53" s="105" t="str">
        <f>IF(Tableau5[[#This Row],[Besoin LMO]]=Tableau5[[#This Row],[Remis LMO]],"OK","NOK")</f>
        <v>OK</v>
      </c>
      <c r="AT53">
        <f>SUMIFS(Tableau4[NB Remis],Tableau4[Réf matériel],Tableau5[[#This Row],[Réf matériel]],Tableau4[Matricule],"TMO")</f>
        <v>0</v>
      </c>
      <c r="AU53" s="105" t="str">
        <f>IF(Tableau5[[#This Row],[Besoin TMO]]=Tableau5[[#This Row],[Remis TMO]],"OK","NOK")</f>
        <v>OK</v>
      </c>
      <c r="AW53">
        <f>SUMIFS(Tableau4[NB Remis],Tableau4[Réf matériel],Tableau5[[#This Row],[Réf matériel]],Tableau4[Matricule],"JPA")</f>
        <v>0</v>
      </c>
      <c r="AX53" s="105" t="str">
        <f>IF(Tableau5[[#This Row],[Besoin JPA]]=Tableau5[[#This Row],[Remis JPA]],"OK","NOK")</f>
        <v>OK</v>
      </c>
      <c r="AZ53">
        <f>SUMIFS(Tableau4[NB Remis],Tableau4[Réf matériel],Tableau5[[#This Row],[Réf matériel]],Tableau4[Matricule],"MPE")</f>
        <v>0</v>
      </c>
      <c r="BA53" s="105" t="str">
        <f>IF(Tableau5[[#This Row],[Besoin MPE]]=Tableau5[[#This Row],[Remis MPE]],"OK","NOK")</f>
        <v>OK</v>
      </c>
      <c r="BC53">
        <f>SUMIFS(Tableau4[NB Remis],Tableau4[Réf matériel],Tableau5[[#This Row],[Réf matériel]],Tableau4[Matricule],"SPR")</f>
        <v>0</v>
      </c>
      <c r="BD53" s="105" t="str">
        <f>IF(Tableau5[[#This Row],[Besoin SPR]]=Tableau5[[#This Row],[Remis SPR]],"OK","NOK")</f>
        <v>OK</v>
      </c>
      <c r="BF53">
        <f>SUMIFS(Tableau4[NB Remis],Tableau4[Réf matériel],Tableau5[[#This Row],[Réf matériel]],Tableau4[Matricule],"MRO")</f>
        <v>0</v>
      </c>
      <c r="BG53" s="105" t="str">
        <f>IF(Tableau5[[#This Row],[Besoin MRO]]=Tableau5[[#This Row],[Remis MRO]],"OK","NOK")</f>
        <v>OK</v>
      </c>
      <c r="BI53">
        <f>SUMIFS(Tableau4[NB Remis],Tableau4[Réf matériel],Tableau5[[#This Row],[Réf matériel]],Tableau4[Matricule],"LSA")</f>
        <v>0</v>
      </c>
      <c r="BJ53" s="105" t="str">
        <f>IF(Tableau5[[#This Row],[Besoin LSA]]=Tableau5[[#This Row],[Remis LSA]],"OK","NOK")</f>
        <v>OK</v>
      </c>
      <c r="BL53">
        <f>SUMIFS(Tableau4[NB Remis],Tableau4[Réf matériel],Tableau5[[#This Row],[Réf matériel]],Tableau4[Matricule],"SST")</f>
        <v>0</v>
      </c>
      <c r="BM53" s="105" t="str">
        <f>IF(Tableau5[[#This Row],[Besoin SST]]=Tableau5[[#This Row],[Remis SST]],"OK","NOK")</f>
        <v>OK</v>
      </c>
      <c r="BO53">
        <f>SUMIFS(Tableau4[NB Remis],Tableau4[Réf matériel],Tableau5[[#This Row],[Réf matériel]],Tableau4[Matricule],"CTH")</f>
        <v>0</v>
      </c>
      <c r="BP53" s="105" t="str">
        <f>IF(Tableau5[[#This Row],[Besoin CTH]]=Tableau5[[#This Row],[Remis CTH]],"OK","NOK")</f>
        <v>OK</v>
      </c>
      <c r="BR53">
        <f>SUMIFS(Tableau4[NB Remis],Tableau4[Réf matériel],Tableau5[[#This Row],[Réf matériel]],Tableau4[Matricule],"AVU")</f>
        <v>0</v>
      </c>
      <c r="BS53" s="105" t="str">
        <f>IF(Tableau5[[#This Row],[Besoin AVU]]=Tableau5[[#This Row],[Remis AVU]],"OK","NOK")</f>
        <v>OK</v>
      </c>
      <c r="BU53">
        <f>SUMIFS(Tableau4[NB Remis],Tableau4[Réf matériel],Tableau5[[#This Row],[Réf matériel]],Tableau4[Matricule],"FZE")</f>
        <v>0</v>
      </c>
      <c r="BV53" s="105" t="str">
        <f>IF(Tableau5[[#This Row],[Besoin FZE]]=Tableau5[[#This Row],[Remis FZE]],"OK","NOK")</f>
        <v>OK</v>
      </c>
      <c r="BX53">
        <f>SUMIFS(Tableau4[NB Remis],Tableau4[Réf matériel],Tableau5[[#This Row],[Réf matériel]],Tableau4[Matricule],"CV2")</f>
        <v>0</v>
      </c>
      <c r="BY53" s="105" t="str">
        <f>IF(Tableau5[[#This Row],[Besoin CV2]]=Tableau5[[#This Row],[Remis CV2]],"OK","NOK")</f>
        <v>OK</v>
      </c>
      <c r="CA53">
        <f>SUMIFS(Tableau4[NB Remis],Tableau4[Réf matériel],Tableau5[[#This Row],[Réf matériel]],Tableau4[Matricule],"CV3")</f>
        <v>0</v>
      </c>
      <c r="CB53" s="105" t="str">
        <f>IF(Tableau5[[#This Row],[Besoin CV3]]=Tableau5[[#This Row],[Remis CV3]],"OK","NOK")</f>
        <v>OK</v>
      </c>
      <c r="CD53">
        <f>SUMIFS(Tableau4[NB Remis],Tableau4[Réf matériel],Tableau5[[#This Row],[Réf matériel]],Tableau4[Matricule],"CV1")</f>
        <v>0</v>
      </c>
      <c r="CE53" s="105" t="str">
        <f>IF(Tableau5[[#This Row],[Besoin CV1]]=Tableau5[[#This Row],[Remis CV1]],"OK","NOK")</f>
        <v>OK</v>
      </c>
      <c r="CG53">
        <f>SUMIFS(Tableau4[NB Remis],Tableau4[Réf matériel],Tableau5[[#This Row],[Réf matériel]],Tableau4[Matricule],"CV4")</f>
        <v>0</v>
      </c>
      <c r="CH53" s="106" t="str">
        <f>IF(Tableau5[[#This Row],[Besoin CV4]]=Tableau5[[#This Row],[Remis CV4]],"OK","NOK")</f>
        <v>OK</v>
      </c>
    </row>
    <row r="54" spans="2:86" x14ac:dyDescent="0.25">
      <c r="B54" t="s">
        <v>513</v>
      </c>
      <c r="C54">
        <v>0</v>
      </c>
      <c r="D54" s="90">
        <f>SUMIFS(Tableau4[NB Remis],Tableau4[Réf matériel],Tableau5[[#This Row],[Réf matériel]],Tableau4[Matricule],"OAI")</f>
        <v>0</v>
      </c>
      <c r="E54" s="106" t="str">
        <f>IF(Tableau5[[#This Row],[Besoin OAI]]=Tableau5[[#This Row],[Remis OAI]],"OK","NOK")</f>
        <v>OK</v>
      </c>
      <c r="F54">
        <v>0</v>
      </c>
      <c r="G54" s="90">
        <f>SUMIFS(Tableau4[NB Remis],Tableau4[Réf matériel],Tableau5[[#This Row],[Réf matériel]],Tableau4[Matricule],"ABE")</f>
        <v>0</v>
      </c>
      <c r="H54" s="106" t="str">
        <f>IF(Tableau5[[#This Row],[Besoin ABE]]=Tableau5[[#This Row],[Remis ABE]],"OK","NOK")</f>
        <v>OK</v>
      </c>
      <c r="I54">
        <v>0</v>
      </c>
      <c r="J54" s="90">
        <f>SUMIFS(Tableau4[NB Remis],Tableau4[Réf matériel],Tableau5[[#This Row],[Réf matériel]],Tableau4[Matricule],"SBI")</f>
        <v>0</v>
      </c>
      <c r="K54" s="106" t="str">
        <f>IF(Tableau5[[#This Row],[Besoin SBI]]=Tableau5[[#This Row],[Remis SBI]],"OK","NOK")</f>
        <v>OK</v>
      </c>
      <c r="L54">
        <v>0</v>
      </c>
      <c r="M54" s="90">
        <f>SUMIFS(Tableau4[NB Remis],Tableau4[Réf matériel],Tableau5[[#This Row],[Réf matériel]],Tableau4[Matricule],"ABI")</f>
        <v>0</v>
      </c>
      <c r="N54" s="106" t="str">
        <f>IF(Tableau5[[#This Row],[Besoin ABI]]=Tableau5[[#This Row],[Remis ABI]],"OK","NOK")</f>
        <v>OK</v>
      </c>
      <c r="O54">
        <v>0</v>
      </c>
      <c r="P54" s="90">
        <f>SUMIFS(Tableau4[NB Remis],Tableau4[Réf matériel],Tableau5[[#This Row],[Réf matériel]],Tableau4[Matricule],"DCE")</f>
        <v>0</v>
      </c>
      <c r="Q54" s="106" t="str">
        <f>IF(Tableau5[[#This Row],[Besoin DCE]]=Tableau5[[#This Row],[Remis DCE]],"OK","NOK")</f>
        <v>OK</v>
      </c>
      <c r="R54">
        <v>1</v>
      </c>
      <c r="S54" s="90">
        <f>SUMIFS(Tableau4[NB Remis],Tableau4[Réf matériel],Tableau5[[#This Row],[Réf matériel]],Tableau4[Matricule],"JDE")</f>
        <v>1</v>
      </c>
      <c r="T54" s="106" t="str">
        <f>IF(Tableau5[[#This Row],[Besoin JDE]]=Tableau5[[#This Row],[Remis JDE]],"OK","NOK")</f>
        <v>OK</v>
      </c>
      <c r="U54">
        <v>0</v>
      </c>
      <c r="V54" s="90">
        <f>SUMIFS(Tableau4[NB Remis],Tableau4[Réf matériel],Tableau5[[#This Row],[Réf matériel]],Tableau4[Matricule],"ODI")</f>
        <v>0</v>
      </c>
      <c r="W54" s="106" t="str">
        <f>IF(Tableau5[[#This Row],[Besoin ODI]]=Tableau5[[#This Row],[Remis ODI]],"OK","NOK")</f>
        <v>OK</v>
      </c>
      <c r="X54">
        <v>0</v>
      </c>
      <c r="Y54" s="90">
        <f>SUMIFS(Tableau4[NB Remis],Tableau4[Réf matériel],Tableau5[[#This Row],[Réf matériel]],Tableau4[Matricule],"MFO")</f>
        <v>0</v>
      </c>
      <c r="Z54" s="106" t="str">
        <f>IF(Tableau5[[#This Row],[Besoin MFO]]=Tableau5[[#This Row],[Remis MFO]],"OK","NOK")</f>
        <v>OK</v>
      </c>
      <c r="AB54" s="90">
        <f>SUMIFS(Tableau4[NB Remis],Tableau4[Réf matériel],Tableau5[[#This Row],[Réf matériel]],Tableau4[Matricule],"SDU")</f>
        <v>0</v>
      </c>
      <c r="AC54" s="106" t="str">
        <f>IF(Tableau5[[#This Row],[Besoin SDU]]=Tableau5[[#This Row],[Remis SDU]],"OK","NOK")</f>
        <v>OK</v>
      </c>
      <c r="AD54">
        <v>0</v>
      </c>
      <c r="AE54" s="90">
        <f>SUMIFS(Tableau4[NB Remis],Tableau4[Réf matériel],Tableau5[[#This Row],[Réf matériel]],Tableau4[Matricule],"GGA")</f>
        <v>0</v>
      </c>
      <c r="AF54" s="106" t="str">
        <f>IF(Tableau5[[#This Row],[Besoin GGA2]]=Tableau5[[#This Row],[Remis GGA3]],"OK","NOK")</f>
        <v>OK</v>
      </c>
      <c r="AG54">
        <v>0</v>
      </c>
      <c r="AH54" s="90">
        <f>SUMIFS(Tableau4[NB Remis],Tableau4[Réf matériel],Tableau5[[#This Row],[Réf matériel]],Tableau4[Matricule],"RGE")</f>
        <v>0</v>
      </c>
      <c r="AI54" s="106" t="str">
        <f>IF(Tableau5[[#This Row],[Besoin RGE]]=Tableau5[[#This Row],[Remis RGE]],"OK","NOK")</f>
        <v>OK</v>
      </c>
      <c r="AJ54">
        <v>0</v>
      </c>
      <c r="AK54" s="90">
        <f>SUMIFS(Tableau4[NB Remis],Tableau4[Réf matériel],Tableau5[[#This Row],[Réf matériel]],Tableau4[Matricule],"CKE")</f>
        <v>0</v>
      </c>
      <c r="AL54" s="106" t="str">
        <f>IF(Tableau5[[#This Row],[Besoin CKE]]=Tableau5[[#This Row],[Remis CKE]],"OK","NOK")</f>
        <v>OK</v>
      </c>
      <c r="AN54" s="90">
        <f>SUMIFS(Tableau4[NB Remis],Tableau4[Réf matériel],Tableau5[[#This Row],[Réf matériel]],Tableau4[Matricule],"DMA")</f>
        <v>0</v>
      </c>
      <c r="AO54" s="106" t="str">
        <f>IF(Tableau5[[#This Row],[Besoin DMA]]=Tableau5[[#This Row],[Remis DMA]],"OK","NOK")</f>
        <v>OK</v>
      </c>
      <c r="AQ54" s="90">
        <f>SUMIFS(Tableau4[NB Remis],Tableau4[Réf matériel],Tableau5[[#This Row],[Réf matériel]],Tableau4[Matricule],"LMO")</f>
        <v>0</v>
      </c>
      <c r="AR54" s="106" t="str">
        <f>IF(Tableau5[[#This Row],[Besoin LMO]]=Tableau5[[#This Row],[Remis LMO]],"OK","NOK")</f>
        <v>OK</v>
      </c>
      <c r="AT54" s="90">
        <f>SUMIFS(Tableau4[NB Remis],Tableau4[Réf matériel],Tableau5[[#This Row],[Réf matériel]],Tableau4[Matricule],"TMO")</f>
        <v>0</v>
      </c>
      <c r="AU54" s="106" t="str">
        <f>IF(Tableau5[[#This Row],[Besoin TMO]]=Tableau5[[#This Row],[Remis TMO]],"OK","NOK")</f>
        <v>OK</v>
      </c>
      <c r="AW54" s="90">
        <f>SUMIFS(Tableau4[NB Remis],Tableau4[Réf matériel],Tableau5[[#This Row],[Réf matériel]],Tableau4[Matricule],"JPA")</f>
        <v>0</v>
      </c>
      <c r="AX54" s="106" t="str">
        <f>IF(Tableau5[[#This Row],[Besoin JPA]]=Tableau5[[#This Row],[Remis JPA]],"OK","NOK")</f>
        <v>OK</v>
      </c>
      <c r="AZ54" s="90">
        <f>SUMIFS(Tableau4[NB Remis],Tableau4[Réf matériel],Tableau5[[#This Row],[Réf matériel]],Tableau4[Matricule],"MPE")</f>
        <v>0</v>
      </c>
      <c r="BA54" s="106" t="str">
        <f>IF(Tableau5[[#This Row],[Besoin MPE]]=Tableau5[[#This Row],[Remis MPE]],"OK","NOK")</f>
        <v>OK</v>
      </c>
      <c r="BC54" s="90">
        <f>SUMIFS(Tableau4[NB Remis],Tableau4[Réf matériel],Tableau5[[#This Row],[Réf matériel]],Tableau4[Matricule],"SPR")</f>
        <v>0</v>
      </c>
      <c r="BD54" s="106" t="str">
        <f>IF(Tableau5[[#This Row],[Besoin SPR]]=Tableau5[[#This Row],[Remis SPR]],"OK","NOK")</f>
        <v>OK</v>
      </c>
      <c r="BF54" s="90">
        <f>SUMIFS(Tableau4[NB Remis],Tableau4[Réf matériel],Tableau5[[#This Row],[Réf matériel]],Tableau4[Matricule],"MRO")</f>
        <v>0</v>
      </c>
      <c r="BG54" s="106" t="str">
        <f>IF(Tableau5[[#This Row],[Besoin MRO]]=Tableau5[[#This Row],[Remis MRO]],"OK","NOK")</f>
        <v>OK</v>
      </c>
      <c r="BI54" s="90">
        <f>SUMIFS(Tableau4[NB Remis],Tableau4[Réf matériel],Tableau5[[#This Row],[Réf matériel]],Tableau4[Matricule],"LSA")</f>
        <v>0</v>
      </c>
      <c r="BJ54" s="106" t="str">
        <f>IF(Tableau5[[#This Row],[Besoin LSA]]=Tableau5[[#This Row],[Remis LSA]],"OK","NOK")</f>
        <v>OK</v>
      </c>
      <c r="BL54" s="90">
        <f>SUMIFS(Tableau4[NB Remis],Tableau4[Réf matériel],Tableau5[[#This Row],[Réf matériel]],Tableau4[Matricule],"SST")</f>
        <v>0</v>
      </c>
      <c r="BM54" s="106" t="str">
        <f>IF(Tableau5[[#This Row],[Besoin SST]]=Tableau5[[#This Row],[Remis SST]],"OK","NOK")</f>
        <v>OK</v>
      </c>
      <c r="BO54" s="90">
        <f>SUMIFS(Tableau4[NB Remis],Tableau4[Réf matériel],Tableau5[[#This Row],[Réf matériel]],Tableau4[Matricule],"CTH")</f>
        <v>0</v>
      </c>
      <c r="BP54" s="106" t="str">
        <f>IF(Tableau5[[#This Row],[Besoin CTH]]=Tableau5[[#This Row],[Remis CTH]],"OK","NOK")</f>
        <v>OK</v>
      </c>
      <c r="BR54" s="90">
        <f>SUMIFS(Tableau4[NB Remis],Tableau4[Réf matériel],Tableau5[[#This Row],[Réf matériel]],Tableau4[Matricule],"AVU")</f>
        <v>0</v>
      </c>
      <c r="BS54" s="105" t="str">
        <f>IF(Tableau5[[#This Row],[Besoin AVU]]=Tableau5[[#This Row],[Remis AVU]],"OK","NOK")</f>
        <v>OK</v>
      </c>
      <c r="BU54" s="90">
        <f>SUMIFS(Tableau4[NB Remis],Tableau4[Réf matériel],Tableau5[[#This Row],[Réf matériel]],Tableau4[Matricule],"FZE")</f>
        <v>0</v>
      </c>
      <c r="BV54" s="106" t="str">
        <f>IF(Tableau5[[#This Row],[Besoin FZE]]=Tableau5[[#This Row],[Remis FZE]],"OK","NOK")</f>
        <v>OK</v>
      </c>
      <c r="BX54">
        <f>SUMIFS(Tableau4[NB Remis],Tableau4[Réf matériel],Tableau5[[#This Row],[Réf matériel]],Tableau4[Matricule],"CV2")</f>
        <v>0</v>
      </c>
      <c r="BY54" s="106" t="str">
        <f>IF(Tableau5[[#This Row],[Besoin CV2]]=Tableau5[[#This Row],[Remis CV2]],"OK","NOK")</f>
        <v>OK</v>
      </c>
      <c r="CA54">
        <f>SUMIFS(Tableau4[NB Remis],Tableau4[Réf matériel],Tableau5[[#This Row],[Réf matériel]],Tableau4[Matricule],"CV3")</f>
        <v>0</v>
      </c>
      <c r="CB54" s="106" t="str">
        <f>IF(Tableau5[[#This Row],[Besoin CV3]]=Tableau5[[#This Row],[Remis CV3]],"OK","NOK")</f>
        <v>OK</v>
      </c>
      <c r="CD54" s="90">
        <f>SUMIFS(Tableau4[NB Remis],Tableau4[Réf matériel],Tableau5[[#This Row],[Réf matériel]],Tableau4[Matricule],"CV1")</f>
        <v>0</v>
      </c>
      <c r="CE54" s="106" t="str">
        <f>IF(Tableau5[[#This Row],[Besoin CV1]]=Tableau5[[#This Row],[Remis CV1]],"OK","NOK")</f>
        <v>OK</v>
      </c>
      <c r="CF54">
        <v>1</v>
      </c>
      <c r="CG54" s="90">
        <f>SUMIFS(Tableau4[NB Remis],Tableau4[Réf matériel],Tableau5[[#This Row],[Réf matériel]],Tableau4[Matricule],"CV4")</f>
        <v>1</v>
      </c>
      <c r="CH54" s="106" t="str">
        <f>IF(Tableau5[[#This Row],[Besoin CV4]]=Tableau5[[#This Row],[Remis CV4]],"OK","NOK")</f>
        <v>OK</v>
      </c>
    </row>
    <row r="55" spans="2:86" x14ac:dyDescent="0.25">
      <c r="B55" t="s">
        <v>419</v>
      </c>
      <c r="D55">
        <f>SUMIFS(Tableau4[NB Remis],Tableau4[Réf matériel],Tableau5[[#This Row],[Réf matériel]],Tableau4[Matricule],"OAI")</f>
        <v>0</v>
      </c>
      <c r="E55" s="105" t="str">
        <f>IF(Tableau5[[#This Row],[Besoin OAI]]=Tableau5[[#This Row],[Remis OAI]],"OK","NOK")</f>
        <v>OK</v>
      </c>
      <c r="G55">
        <f>SUMIFS(Tableau4[NB Remis],Tableau4[Réf matériel],Tableau5[[#This Row],[Réf matériel]],Tableau4[Matricule],"ABE")</f>
        <v>0</v>
      </c>
      <c r="H55" s="105" t="str">
        <f>IF(Tableau5[[#This Row],[Besoin ABE]]=Tableau5[[#This Row],[Remis ABE]],"OK","NOK")</f>
        <v>OK</v>
      </c>
      <c r="J55">
        <f>SUMIFS(Tableau4[NB Remis],Tableau4[Réf matériel],Tableau5[[#This Row],[Réf matériel]],Tableau4[Matricule],"SBI")</f>
        <v>0</v>
      </c>
      <c r="K55" s="105" t="str">
        <f>IF(Tableau5[[#This Row],[Besoin SBI]]=Tableau5[[#This Row],[Remis SBI]],"OK","NOK")</f>
        <v>OK</v>
      </c>
      <c r="M55">
        <f>SUMIFS(Tableau4[NB Remis],Tableau4[Réf matériel],Tableau5[[#This Row],[Réf matériel]],Tableau4[Matricule],"ABI")</f>
        <v>0</v>
      </c>
      <c r="N55" s="105" t="str">
        <f>IF(Tableau5[[#This Row],[Besoin ABI]]=Tableau5[[#This Row],[Remis ABI]],"OK","NOK")</f>
        <v>OK</v>
      </c>
      <c r="P55">
        <f>SUMIFS(Tableau4[NB Remis],Tableau4[Réf matériel],Tableau5[[#This Row],[Réf matériel]],Tableau4[Matricule],"DCE")</f>
        <v>0</v>
      </c>
      <c r="Q55" s="105" t="str">
        <f>IF(Tableau5[[#This Row],[Besoin DCE]]=Tableau5[[#This Row],[Remis DCE]],"OK","NOK")</f>
        <v>OK</v>
      </c>
      <c r="S55">
        <f>SUMIFS(Tableau4[NB Remis],Tableau4[Réf matériel],Tableau5[[#This Row],[Réf matériel]],Tableau4[Matricule],"JDE")</f>
        <v>0</v>
      </c>
      <c r="T55" s="105" t="str">
        <f>IF(Tableau5[[#This Row],[Besoin JDE]]=Tableau5[[#This Row],[Remis JDE]],"OK","NOK")</f>
        <v>OK</v>
      </c>
      <c r="V55">
        <f>SUMIFS(Tableau4[NB Remis],Tableau4[Réf matériel],Tableau5[[#This Row],[Réf matériel]],Tableau4[Matricule],"ODI")</f>
        <v>0</v>
      </c>
      <c r="W55" s="105" t="str">
        <f>IF(Tableau5[[#This Row],[Besoin ODI]]=Tableau5[[#This Row],[Remis ODI]],"OK","NOK")</f>
        <v>OK</v>
      </c>
      <c r="Y55">
        <f>SUMIFS(Tableau4[NB Remis],Tableau4[Réf matériel],Tableau5[[#This Row],[Réf matériel]],Tableau4[Matricule],"MFO")</f>
        <v>0</v>
      </c>
      <c r="Z55" s="105" t="str">
        <f>IF(Tableau5[[#This Row],[Besoin MFO]]=Tableau5[[#This Row],[Remis MFO]],"OK","NOK")</f>
        <v>OK</v>
      </c>
      <c r="AB55">
        <f>SUMIFS(Tableau4[NB Remis],Tableau4[Réf matériel],Tableau5[[#This Row],[Réf matériel]],Tableau4[Matricule],"SDU")</f>
        <v>0</v>
      </c>
      <c r="AC55" s="105" t="str">
        <f>IF(Tableau5[[#This Row],[Besoin SDU]]=Tableau5[[#This Row],[Remis SDU]],"OK","NOK")</f>
        <v>OK</v>
      </c>
      <c r="AD55">
        <v>1</v>
      </c>
      <c r="AE55">
        <f>SUMIFS(Tableau4[NB Remis],Tableau4[Réf matériel],Tableau5[[#This Row],[Réf matériel]],Tableau4[Matricule],"GGA")</f>
        <v>1</v>
      </c>
      <c r="AF55" s="105" t="str">
        <f>IF(Tableau5[[#This Row],[Besoin GGA2]]=Tableau5[[#This Row],[Remis GGA3]],"OK","NOK")</f>
        <v>OK</v>
      </c>
      <c r="AH55">
        <f>SUMIFS(Tableau4[NB Remis],Tableau4[Réf matériel],Tableau5[[#This Row],[Réf matériel]],Tableau4[Matricule],"RGE")</f>
        <v>0</v>
      </c>
      <c r="AI55" s="105" t="str">
        <f>IF(Tableau5[[#This Row],[Besoin RGE]]=Tableau5[[#This Row],[Remis RGE]],"OK","NOK")</f>
        <v>OK</v>
      </c>
      <c r="AK55">
        <f>SUMIFS(Tableau4[NB Remis],Tableau4[Réf matériel],Tableau5[[#This Row],[Réf matériel]],Tableau4[Matricule],"CKE")</f>
        <v>0</v>
      </c>
      <c r="AL55" s="105" t="str">
        <f>IF(Tableau5[[#This Row],[Besoin CKE]]=Tableau5[[#This Row],[Remis CKE]],"OK","NOK")</f>
        <v>OK</v>
      </c>
      <c r="AN55">
        <f>SUMIFS(Tableau4[NB Remis],Tableau4[Réf matériel],Tableau5[[#This Row],[Réf matériel]],Tableau4[Matricule],"DMA")</f>
        <v>0</v>
      </c>
      <c r="AO55" s="105" t="str">
        <f>IF(Tableau5[[#This Row],[Besoin DMA]]=Tableau5[[#This Row],[Remis DMA]],"OK","NOK")</f>
        <v>OK</v>
      </c>
      <c r="AQ55">
        <f>SUMIFS(Tableau4[NB Remis],Tableau4[Réf matériel],Tableau5[[#This Row],[Réf matériel]],Tableau4[Matricule],"LMO")</f>
        <v>0</v>
      </c>
      <c r="AR55" s="105" t="str">
        <f>IF(Tableau5[[#This Row],[Besoin LMO]]=Tableau5[[#This Row],[Remis LMO]],"OK","NOK")</f>
        <v>OK</v>
      </c>
      <c r="AS55">
        <v>1</v>
      </c>
      <c r="AT55">
        <f>SUMIFS(Tableau4[NB Remis],Tableau4[Réf matériel],Tableau5[[#This Row],[Réf matériel]],Tableau4[Matricule],"TMO")</f>
        <v>1</v>
      </c>
      <c r="AU55" s="105" t="str">
        <f>IF(Tableau5[[#This Row],[Besoin TMO]]=Tableau5[[#This Row],[Remis TMO]],"OK","NOK")</f>
        <v>OK</v>
      </c>
      <c r="AW55">
        <f>SUMIFS(Tableau4[NB Remis],Tableau4[Réf matériel],Tableau5[[#This Row],[Réf matériel]],Tableau4[Matricule],"JPA")</f>
        <v>0</v>
      </c>
      <c r="AX55" s="105" t="str">
        <f>IF(Tableau5[[#This Row],[Besoin JPA]]=Tableau5[[#This Row],[Remis JPA]],"OK","NOK")</f>
        <v>OK</v>
      </c>
      <c r="AZ55">
        <f>SUMIFS(Tableau4[NB Remis],Tableau4[Réf matériel],Tableau5[[#This Row],[Réf matériel]],Tableau4[Matricule],"MPE")</f>
        <v>0</v>
      </c>
      <c r="BA55" s="105" t="str">
        <f>IF(Tableau5[[#This Row],[Besoin MPE]]=Tableau5[[#This Row],[Remis MPE]],"OK","NOK")</f>
        <v>OK</v>
      </c>
      <c r="BC55">
        <f>SUMIFS(Tableau4[NB Remis],Tableau4[Réf matériel],Tableau5[[#This Row],[Réf matériel]],Tableau4[Matricule],"SPR")</f>
        <v>0</v>
      </c>
      <c r="BD55" s="105" t="str">
        <f>IF(Tableau5[[#This Row],[Besoin SPR]]=Tableau5[[#This Row],[Remis SPR]],"OK","NOK")</f>
        <v>OK</v>
      </c>
      <c r="BF55">
        <f>SUMIFS(Tableau4[NB Remis],Tableau4[Réf matériel],Tableau5[[#This Row],[Réf matériel]],Tableau4[Matricule],"MRO")</f>
        <v>0</v>
      </c>
      <c r="BG55" s="105" t="str">
        <f>IF(Tableau5[[#This Row],[Besoin MRO]]=Tableau5[[#This Row],[Remis MRO]],"OK","NOK")</f>
        <v>OK</v>
      </c>
      <c r="BI55">
        <f>SUMIFS(Tableau4[NB Remis],Tableau4[Réf matériel],Tableau5[[#This Row],[Réf matériel]],Tableau4[Matricule],"LSA")</f>
        <v>0</v>
      </c>
      <c r="BJ55" s="105" t="str">
        <f>IF(Tableau5[[#This Row],[Besoin LSA]]=Tableau5[[#This Row],[Remis LSA]],"OK","NOK")</f>
        <v>OK</v>
      </c>
      <c r="BL55">
        <f>SUMIFS(Tableau4[NB Remis],Tableau4[Réf matériel],Tableau5[[#This Row],[Réf matériel]],Tableau4[Matricule],"SST")</f>
        <v>0</v>
      </c>
      <c r="BM55" s="105" t="str">
        <f>IF(Tableau5[[#This Row],[Besoin SST]]=Tableau5[[#This Row],[Remis SST]],"OK","NOK")</f>
        <v>OK</v>
      </c>
      <c r="BO55">
        <f>SUMIFS(Tableau4[NB Remis],Tableau4[Réf matériel],Tableau5[[#This Row],[Réf matériel]],Tableau4[Matricule],"CTH")</f>
        <v>0</v>
      </c>
      <c r="BP55" s="105" t="str">
        <f>IF(Tableau5[[#This Row],[Besoin CTH]]=Tableau5[[#This Row],[Remis CTH]],"OK","NOK")</f>
        <v>OK</v>
      </c>
      <c r="BR55">
        <f>SUMIFS(Tableau4[NB Remis],Tableau4[Réf matériel],Tableau5[[#This Row],[Réf matériel]],Tableau4[Matricule],"AVU")</f>
        <v>0</v>
      </c>
      <c r="BS55" s="105" t="str">
        <f>IF(Tableau5[[#This Row],[Besoin AVU]]=Tableau5[[#This Row],[Remis AVU]],"OK","NOK")</f>
        <v>OK</v>
      </c>
      <c r="BU55">
        <f>SUMIFS(Tableau4[NB Remis],Tableau4[Réf matériel],Tableau5[[#This Row],[Réf matériel]],Tableau4[Matricule],"FZE")</f>
        <v>0</v>
      </c>
      <c r="BV55" s="105" t="str">
        <f>IF(Tableau5[[#This Row],[Besoin FZE]]=Tableau5[[#This Row],[Remis FZE]],"OK","NOK")</f>
        <v>OK</v>
      </c>
      <c r="BX55">
        <f>SUMIFS(Tableau4[NB Remis],Tableau4[Réf matériel],Tableau5[[#This Row],[Réf matériel]],Tableau4[Matricule],"CV2")</f>
        <v>0</v>
      </c>
      <c r="BY55" s="105" t="str">
        <f>IF(Tableau5[[#This Row],[Besoin CV2]]=Tableau5[[#This Row],[Remis CV2]],"OK","NOK")</f>
        <v>OK</v>
      </c>
      <c r="CA55">
        <f>SUMIFS(Tableau4[NB Remis],Tableau4[Réf matériel],Tableau5[[#This Row],[Réf matériel]],Tableau4[Matricule],"CV3")</f>
        <v>0</v>
      </c>
      <c r="CB55" s="105" t="str">
        <f>IF(Tableau5[[#This Row],[Besoin CV3]]=Tableau5[[#This Row],[Remis CV3]],"OK","NOK")</f>
        <v>OK</v>
      </c>
      <c r="CD55">
        <f>SUMIFS(Tableau4[NB Remis],Tableau4[Réf matériel],Tableau5[[#This Row],[Réf matériel]],Tableau4[Matricule],"CV1")</f>
        <v>0</v>
      </c>
      <c r="CE55" s="105" t="str">
        <f>IF(Tableau5[[#This Row],[Besoin CV1]]=Tableau5[[#This Row],[Remis CV1]],"OK","NOK")</f>
        <v>OK</v>
      </c>
      <c r="CG55">
        <f>SUMIFS(Tableau4[NB Remis],Tableau4[Réf matériel],Tableau5[[#This Row],[Réf matériel]],Tableau4[Matricule],"CV4")</f>
        <v>0</v>
      </c>
      <c r="CH55" s="106" t="str">
        <f>IF(Tableau5[[#This Row],[Besoin CV4]]=Tableau5[[#This Row],[Remis CV4]],"OK","NOK")</f>
        <v>OK</v>
      </c>
    </row>
    <row r="56" spans="2:86" x14ac:dyDescent="0.25">
      <c r="B56" t="s">
        <v>124</v>
      </c>
      <c r="D56">
        <f>SUMIFS(Tableau4[NB Remis],Tableau4[Réf matériel],Tableau5[[#This Row],[Réf matériel]],Tableau4[Matricule],"OAI")</f>
        <v>0</v>
      </c>
      <c r="E56" s="105" t="str">
        <f>IF(Tableau5[[#This Row],[Besoin OAI]]=Tableau5[[#This Row],[Remis OAI]],"OK","NOK")</f>
        <v>OK</v>
      </c>
      <c r="G56">
        <f>SUMIFS(Tableau4[NB Remis],Tableau4[Réf matériel],Tableau5[[#This Row],[Réf matériel]],Tableau4[Matricule],"ABE")</f>
        <v>0</v>
      </c>
      <c r="H56" s="105" t="str">
        <f>IF(Tableau5[[#This Row],[Besoin ABE]]=Tableau5[[#This Row],[Remis ABE]],"OK","NOK")</f>
        <v>OK</v>
      </c>
      <c r="J56">
        <f>SUMIFS(Tableau4[NB Remis],Tableau4[Réf matériel],Tableau5[[#This Row],[Réf matériel]],Tableau4[Matricule],"SBI")</f>
        <v>0</v>
      </c>
      <c r="K56" s="105" t="str">
        <f>IF(Tableau5[[#This Row],[Besoin SBI]]=Tableau5[[#This Row],[Remis SBI]],"OK","NOK")</f>
        <v>OK</v>
      </c>
      <c r="M56">
        <f>SUMIFS(Tableau4[NB Remis],Tableau4[Réf matériel],Tableau5[[#This Row],[Réf matériel]],Tableau4[Matricule],"ABI")</f>
        <v>0</v>
      </c>
      <c r="N56" s="105" t="str">
        <f>IF(Tableau5[[#This Row],[Besoin ABI]]=Tableau5[[#This Row],[Remis ABI]],"OK","NOK")</f>
        <v>OK</v>
      </c>
      <c r="P56">
        <f>SUMIFS(Tableau4[NB Remis],Tableau4[Réf matériel],Tableau5[[#This Row],[Réf matériel]],Tableau4[Matricule],"DCE")</f>
        <v>0</v>
      </c>
      <c r="Q56" s="105" t="str">
        <f>IF(Tableau5[[#This Row],[Besoin DCE]]=Tableau5[[#This Row],[Remis DCE]],"OK","NOK")</f>
        <v>OK</v>
      </c>
      <c r="R56">
        <v>1</v>
      </c>
      <c r="S56">
        <f>SUMIFS(Tableau4[NB Remis],Tableau4[Réf matériel],Tableau5[[#This Row],[Réf matériel]],Tableau4[Matricule],"JDE")</f>
        <v>1</v>
      </c>
      <c r="T56" s="105" t="str">
        <f>IF(Tableau5[[#This Row],[Besoin JDE]]=Tableau5[[#This Row],[Remis JDE]],"OK","NOK")</f>
        <v>OK</v>
      </c>
      <c r="V56">
        <f>SUMIFS(Tableau4[NB Remis],Tableau4[Réf matériel],Tableau5[[#This Row],[Réf matériel]],Tableau4[Matricule],"ODI")</f>
        <v>0</v>
      </c>
      <c r="W56" s="105" t="str">
        <f>IF(Tableau5[[#This Row],[Besoin ODI]]=Tableau5[[#This Row],[Remis ODI]],"OK","NOK")</f>
        <v>OK</v>
      </c>
      <c r="Y56">
        <f>SUMIFS(Tableau4[NB Remis],Tableau4[Réf matériel],Tableau5[[#This Row],[Réf matériel]],Tableau4[Matricule],"MFO")</f>
        <v>0</v>
      </c>
      <c r="Z56" s="105" t="str">
        <f>IF(Tableau5[[#This Row],[Besoin MFO]]=Tableau5[[#This Row],[Remis MFO]],"OK","NOK")</f>
        <v>OK</v>
      </c>
      <c r="AB56">
        <f>SUMIFS(Tableau4[NB Remis],Tableau4[Réf matériel],Tableau5[[#This Row],[Réf matériel]],Tableau4[Matricule],"SDU")</f>
        <v>0</v>
      </c>
      <c r="AC56" s="105" t="str">
        <f>IF(Tableau5[[#This Row],[Besoin SDU]]=Tableau5[[#This Row],[Remis SDU]],"OK","NOK")</f>
        <v>OK</v>
      </c>
      <c r="AE56">
        <f>SUMIFS(Tableau4[NB Remis],Tableau4[Réf matériel],Tableau5[[#This Row],[Réf matériel]],Tableau4[Matricule],"GGA")</f>
        <v>0</v>
      </c>
      <c r="AF56" s="105" t="str">
        <f>IF(Tableau5[[#This Row],[Besoin GGA2]]=Tableau5[[#This Row],[Remis GGA3]],"OK","NOK")</f>
        <v>OK</v>
      </c>
      <c r="AH56">
        <f>SUMIFS(Tableau4[NB Remis],Tableau4[Réf matériel],Tableau5[[#This Row],[Réf matériel]],Tableau4[Matricule],"RGE")</f>
        <v>0</v>
      </c>
      <c r="AI56" s="105" t="str">
        <f>IF(Tableau5[[#This Row],[Besoin RGE]]=Tableau5[[#This Row],[Remis RGE]],"OK","NOK")</f>
        <v>OK</v>
      </c>
      <c r="AK56">
        <f>SUMIFS(Tableau4[NB Remis],Tableau4[Réf matériel],Tableau5[[#This Row],[Réf matériel]],Tableau4[Matricule],"CKE")</f>
        <v>0</v>
      </c>
      <c r="AL56" s="105" t="str">
        <f>IF(Tableau5[[#This Row],[Besoin CKE]]=Tableau5[[#This Row],[Remis CKE]],"OK","NOK")</f>
        <v>OK</v>
      </c>
      <c r="AN56">
        <f>SUMIFS(Tableau4[NB Remis],Tableau4[Réf matériel],Tableau5[[#This Row],[Réf matériel]],Tableau4[Matricule],"DMA")</f>
        <v>0</v>
      </c>
      <c r="AO56" s="105" t="str">
        <f>IF(Tableau5[[#This Row],[Besoin DMA]]=Tableau5[[#This Row],[Remis DMA]],"OK","NOK")</f>
        <v>OK</v>
      </c>
      <c r="AQ56">
        <f>SUMIFS(Tableau4[NB Remis],Tableau4[Réf matériel],Tableau5[[#This Row],[Réf matériel]],Tableau4[Matricule],"LMO")</f>
        <v>0</v>
      </c>
      <c r="AR56" s="105" t="str">
        <f>IF(Tableau5[[#This Row],[Besoin LMO]]=Tableau5[[#This Row],[Remis LMO]],"OK","NOK")</f>
        <v>OK</v>
      </c>
      <c r="AT56">
        <f>SUMIFS(Tableau4[NB Remis],Tableau4[Réf matériel],Tableau5[[#This Row],[Réf matériel]],Tableau4[Matricule],"TMO")</f>
        <v>0</v>
      </c>
      <c r="AU56" s="105" t="str">
        <f>IF(Tableau5[[#This Row],[Besoin TMO]]=Tableau5[[#This Row],[Remis TMO]],"OK","NOK")</f>
        <v>OK</v>
      </c>
      <c r="AW56">
        <f>SUMIFS(Tableau4[NB Remis],Tableau4[Réf matériel],Tableau5[[#This Row],[Réf matériel]],Tableau4[Matricule],"JPA")</f>
        <v>0</v>
      </c>
      <c r="AX56" s="105" t="str">
        <f>IF(Tableau5[[#This Row],[Besoin JPA]]=Tableau5[[#This Row],[Remis JPA]],"OK","NOK")</f>
        <v>OK</v>
      </c>
      <c r="AZ56">
        <f>SUMIFS(Tableau4[NB Remis],Tableau4[Réf matériel],Tableau5[[#This Row],[Réf matériel]],Tableau4[Matricule],"MPE")</f>
        <v>0</v>
      </c>
      <c r="BA56" s="105" t="str">
        <f>IF(Tableau5[[#This Row],[Besoin MPE]]=Tableau5[[#This Row],[Remis MPE]],"OK","NOK")</f>
        <v>OK</v>
      </c>
      <c r="BB56">
        <v>1</v>
      </c>
      <c r="BC56">
        <f>SUMIFS(Tableau4[NB Remis],Tableau4[Réf matériel],Tableau5[[#This Row],[Réf matériel]],Tableau4[Matricule],"SPR")</f>
        <v>1</v>
      </c>
      <c r="BD56" s="105" t="str">
        <f>IF(Tableau5[[#This Row],[Besoin SPR]]=Tableau5[[#This Row],[Remis SPR]],"OK","NOK")</f>
        <v>OK</v>
      </c>
      <c r="BF56">
        <f>SUMIFS(Tableau4[NB Remis],Tableau4[Réf matériel],Tableau5[[#This Row],[Réf matériel]],Tableau4[Matricule],"MRO")</f>
        <v>0</v>
      </c>
      <c r="BG56" s="105" t="str">
        <f>IF(Tableau5[[#This Row],[Besoin MRO]]=Tableau5[[#This Row],[Remis MRO]],"OK","NOK")</f>
        <v>OK</v>
      </c>
      <c r="BI56">
        <f>SUMIFS(Tableau4[NB Remis],Tableau4[Réf matériel],Tableau5[[#This Row],[Réf matériel]],Tableau4[Matricule],"LSA")</f>
        <v>0</v>
      </c>
      <c r="BJ56" s="105" t="str">
        <f>IF(Tableau5[[#This Row],[Besoin LSA]]=Tableau5[[#This Row],[Remis LSA]],"OK","NOK")</f>
        <v>OK</v>
      </c>
      <c r="BK56">
        <v>1</v>
      </c>
      <c r="BL56">
        <f>SUMIFS(Tableau4[NB Remis],Tableau4[Réf matériel],Tableau5[[#This Row],[Réf matériel]],Tableau4[Matricule],"SST")</f>
        <v>1</v>
      </c>
      <c r="BM56" s="105" t="str">
        <f>IF(Tableau5[[#This Row],[Besoin SST]]=Tableau5[[#This Row],[Remis SST]],"OK","NOK")</f>
        <v>OK</v>
      </c>
      <c r="BO56">
        <f>SUMIFS(Tableau4[NB Remis],Tableau4[Réf matériel],Tableau5[[#This Row],[Réf matériel]],Tableau4[Matricule],"CTH")</f>
        <v>0</v>
      </c>
      <c r="BP56" s="105" t="str">
        <f>IF(Tableau5[[#This Row],[Besoin CTH]]=Tableau5[[#This Row],[Remis CTH]],"OK","NOK")</f>
        <v>OK</v>
      </c>
      <c r="BR56">
        <f>SUMIFS(Tableau4[NB Remis],Tableau4[Réf matériel],Tableau5[[#This Row],[Réf matériel]],Tableau4[Matricule],"AVU")</f>
        <v>0</v>
      </c>
      <c r="BS56" s="105" t="str">
        <f>IF(Tableau5[[#This Row],[Besoin AVU]]=Tableau5[[#This Row],[Remis AVU]],"OK","NOK")</f>
        <v>OK</v>
      </c>
      <c r="BU56">
        <f>SUMIFS(Tableau4[NB Remis],Tableau4[Réf matériel],Tableau5[[#This Row],[Réf matériel]],Tableau4[Matricule],"FZE")</f>
        <v>0</v>
      </c>
      <c r="BV56" s="105" t="str">
        <f>IF(Tableau5[[#This Row],[Besoin FZE]]=Tableau5[[#This Row],[Remis FZE]],"OK","NOK")</f>
        <v>OK</v>
      </c>
      <c r="BX56">
        <f>SUMIFS(Tableau4[NB Remis],Tableau4[Réf matériel],Tableau5[[#This Row],[Réf matériel]],Tableau4[Matricule],"CV2")</f>
        <v>0</v>
      </c>
      <c r="BY56" s="105" t="str">
        <f>IF(Tableau5[[#This Row],[Besoin CV2]]=Tableau5[[#This Row],[Remis CV2]],"OK","NOK")</f>
        <v>OK</v>
      </c>
      <c r="CA56">
        <f>SUMIFS(Tableau4[NB Remis],Tableau4[Réf matériel],Tableau5[[#This Row],[Réf matériel]],Tableau4[Matricule],"CV3")</f>
        <v>0</v>
      </c>
      <c r="CB56" s="105" t="str">
        <f>IF(Tableau5[[#This Row],[Besoin CV3]]=Tableau5[[#This Row],[Remis CV3]],"OK","NOK")</f>
        <v>OK</v>
      </c>
      <c r="CD56">
        <f>SUMIFS(Tableau4[NB Remis],Tableau4[Réf matériel],Tableau5[[#This Row],[Réf matériel]],Tableau4[Matricule],"CV1")</f>
        <v>0</v>
      </c>
      <c r="CE56" s="105" t="str">
        <f>IF(Tableau5[[#This Row],[Besoin CV1]]=Tableau5[[#This Row],[Remis CV1]],"OK","NOK")</f>
        <v>OK</v>
      </c>
      <c r="CF56">
        <v>1</v>
      </c>
      <c r="CG56">
        <f>SUMIFS(Tableau4[NB Remis],Tableau4[Réf matériel],Tableau5[[#This Row],[Réf matériel]],Tableau4[Matricule],"CV4")</f>
        <v>1</v>
      </c>
      <c r="CH56" s="106" t="str">
        <f>IF(Tableau5[[#This Row],[Besoin CV4]]=Tableau5[[#This Row],[Remis CV4]],"OK","NOK")</f>
        <v>OK</v>
      </c>
    </row>
    <row r="57" spans="2:86" x14ac:dyDescent="0.25">
      <c r="B57" t="s">
        <v>56</v>
      </c>
      <c r="C57">
        <v>1</v>
      </c>
      <c r="D57">
        <f>SUMIFS(Tableau4[NB Remis],Tableau4[Réf matériel],Tableau5[[#This Row],[Réf matériel]],Tableau4[Matricule],"OAI")</f>
        <v>1</v>
      </c>
      <c r="E57" s="105" t="str">
        <f>IF(Tableau5[[#This Row],[Besoin OAI]]=Tableau5[[#This Row],[Remis OAI]],"OK","NOK")</f>
        <v>OK</v>
      </c>
      <c r="F57">
        <v>1</v>
      </c>
      <c r="G57">
        <f>SUMIFS(Tableau4[NB Remis],Tableau4[Réf matériel],Tableau5[[#This Row],[Réf matériel]],Tableau4[Matricule],"ABE")</f>
        <v>1</v>
      </c>
      <c r="H57" s="105" t="str">
        <f>IF(Tableau5[[#This Row],[Besoin ABE]]=Tableau5[[#This Row],[Remis ABE]],"OK","NOK")</f>
        <v>OK</v>
      </c>
      <c r="I57">
        <v>1</v>
      </c>
      <c r="J57">
        <f>SUMIFS(Tableau4[NB Remis],Tableau4[Réf matériel],Tableau5[[#This Row],[Réf matériel]],Tableau4[Matricule],"SBI")</f>
        <v>1</v>
      </c>
      <c r="K57" s="105" t="str">
        <f>IF(Tableau5[[#This Row],[Besoin SBI]]=Tableau5[[#This Row],[Remis SBI]],"OK","NOK")</f>
        <v>OK</v>
      </c>
      <c r="L57">
        <v>1</v>
      </c>
      <c r="M57">
        <f>SUMIFS(Tableau4[NB Remis],Tableau4[Réf matériel],Tableau5[[#This Row],[Réf matériel]],Tableau4[Matricule],"ABI")</f>
        <v>1</v>
      </c>
      <c r="N57" s="105" t="str">
        <f>IF(Tableau5[[#This Row],[Besoin ABI]]=Tableau5[[#This Row],[Remis ABI]],"OK","NOK")</f>
        <v>OK</v>
      </c>
      <c r="P57">
        <f>SUMIFS(Tableau4[NB Remis],Tableau4[Réf matériel],Tableau5[[#This Row],[Réf matériel]],Tableau4[Matricule],"DCE")</f>
        <v>0</v>
      </c>
      <c r="Q57" s="105" t="str">
        <f>IF(Tableau5[[#This Row],[Besoin DCE]]=Tableau5[[#This Row],[Remis DCE]],"OK","NOK")</f>
        <v>OK</v>
      </c>
      <c r="R57">
        <v>1</v>
      </c>
      <c r="S57">
        <f>SUMIFS(Tableau4[NB Remis],Tableau4[Réf matériel],Tableau5[[#This Row],[Réf matériel]],Tableau4[Matricule],"JDE")</f>
        <v>1</v>
      </c>
      <c r="T57" s="105" t="str">
        <f>IF(Tableau5[[#This Row],[Besoin JDE]]=Tableau5[[#This Row],[Remis JDE]],"OK","NOK")</f>
        <v>OK</v>
      </c>
      <c r="U57">
        <v>1</v>
      </c>
      <c r="V57">
        <f>SUMIFS(Tableau4[NB Remis],Tableau4[Réf matériel],Tableau5[[#This Row],[Réf matériel]],Tableau4[Matricule],"ODI")</f>
        <v>1</v>
      </c>
      <c r="W57" s="105" t="str">
        <f>IF(Tableau5[[#This Row],[Besoin ODI]]=Tableau5[[#This Row],[Remis ODI]],"OK","NOK")</f>
        <v>OK</v>
      </c>
      <c r="Y57">
        <f>SUMIFS(Tableau4[NB Remis],Tableau4[Réf matériel],Tableau5[[#This Row],[Réf matériel]],Tableau4[Matricule],"MFO")</f>
        <v>0</v>
      </c>
      <c r="Z57" s="105" t="str">
        <f>IF(Tableau5[[#This Row],[Besoin MFO]]=Tableau5[[#This Row],[Remis MFO]],"OK","NOK")</f>
        <v>OK</v>
      </c>
      <c r="AB57">
        <f>SUMIFS(Tableau4[NB Remis],Tableau4[Réf matériel],Tableau5[[#This Row],[Réf matériel]],Tableau4[Matricule],"SDU")</f>
        <v>0</v>
      </c>
      <c r="AC57" s="105" t="str">
        <f>IF(Tableau5[[#This Row],[Besoin SDU]]=Tableau5[[#This Row],[Remis SDU]],"OK","NOK")</f>
        <v>OK</v>
      </c>
      <c r="AE57">
        <f>SUMIFS(Tableau4[NB Remis],Tableau4[Réf matériel],Tableau5[[#This Row],[Réf matériel]],Tableau4[Matricule],"GGA")</f>
        <v>0</v>
      </c>
      <c r="AF57" s="105" t="str">
        <f>IF(Tableau5[[#This Row],[Besoin GGA2]]=Tableau5[[#This Row],[Remis GGA3]],"OK","NOK")</f>
        <v>OK</v>
      </c>
      <c r="AG57">
        <v>1</v>
      </c>
      <c r="AH57">
        <f>SUMIFS(Tableau4[NB Remis],Tableau4[Réf matériel],Tableau5[[#This Row],[Réf matériel]],Tableau4[Matricule],"RGE")</f>
        <v>2</v>
      </c>
      <c r="AI57" s="105" t="str">
        <f>IF(Tableau5[[#This Row],[Besoin RGE]]=Tableau5[[#This Row],[Remis RGE]],"OK","NOK")</f>
        <v>NOK</v>
      </c>
      <c r="AJ57">
        <v>1</v>
      </c>
      <c r="AK57">
        <f>SUMIFS(Tableau4[NB Remis],Tableau4[Réf matériel],Tableau5[[#This Row],[Réf matériel]],Tableau4[Matricule],"CKE")</f>
        <v>1</v>
      </c>
      <c r="AL57" s="105" t="str">
        <f>IF(Tableau5[[#This Row],[Besoin CKE]]=Tableau5[[#This Row],[Remis CKE]],"OK","NOK")</f>
        <v>OK</v>
      </c>
      <c r="AN57">
        <f>SUMIFS(Tableau4[NB Remis],Tableau4[Réf matériel],Tableau5[[#This Row],[Réf matériel]],Tableau4[Matricule],"DMA")</f>
        <v>0</v>
      </c>
      <c r="AO57" s="105" t="str">
        <f>IF(Tableau5[[#This Row],[Besoin DMA]]=Tableau5[[#This Row],[Remis DMA]],"OK","NOK")</f>
        <v>OK</v>
      </c>
      <c r="AQ57">
        <f>SUMIFS(Tableau4[NB Remis],Tableau4[Réf matériel],Tableau5[[#This Row],[Réf matériel]],Tableau4[Matricule],"LMO")</f>
        <v>0</v>
      </c>
      <c r="AR57" s="105" t="str">
        <f>IF(Tableau5[[#This Row],[Besoin LMO]]=Tableau5[[#This Row],[Remis LMO]],"OK","NOK")</f>
        <v>OK</v>
      </c>
      <c r="AS57">
        <v>1</v>
      </c>
      <c r="AT57">
        <f>SUMIFS(Tableau4[NB Remis],Tableau4[Réf matériel],Tableau5[[#This Row],[Réf matériel]],Tableau4[Matricule],"TMO")</f>
        <v>1</v>
      </c>
      <c r="AU57" s="105" t="str">
        <f>IF(Tableau5[[#This Row],[Besoin TMO]]=Tableau5[[#This Row],[Remis TMO]],"OK","NOK")</f>
        <v>OK</v>
      </c>
      <c r="AV57">
        <v>1</v>
      </c>
      <c r="AW57">
        <f>SUMIFS(Tableau4[NB Remis],Tableau4[Réf matériel],Tableau5[[#This Row],[Réf matériel]],Tableau4[Matricule],"JPA")</f>
        <v>1</v>
      </c>
      <c r="AX57" s="105" t="str">
        <f>IF(Tableau5[[#This Row],[Besoin JPA]]=Tableau5[[#This Row],[Remis JPA]],"OK","NOK")</f>
        <v>OK</v>
      </c>
      <c r="AY57">
        <v>1</v>
      </c>
      <c r="AZ57">
        <f>SUMIFS(Tableau4[NB Remis],Tableau4[Réf matériel],Tableau5[[#This Row],[Réf matériel]],Tableau4[Matricule],"MPE")</f>
        <v>1</v>
      </c>
      <c r="BA57" s="105" t="str">
        <f>IF(Tableau5[[#This Row],[Besoin MPE]]=Tableau5[[#This Row],[Remis MPE]],"OK","NOK")</f>
        <v>OK</v>
      </c>
      <c r="BB57">
        <v>1</v>
      </c>
      <c r="BC57">
        <f>SUMIFS(Tableau4[NB Remis],Tableau4[Réf matériel],Tableau5[[#This Row],[Réf matériel]],Tableau4[Matricule],"SPR")</f>
        <v>1</v>
      </c>
      <c r="BD57" s="105" t="str">
        <f>IF(Tableau5[[#This Row],[Besoin SPR]]=Tableau5[[#This Row],[Remis SPR]],"OK","NOK")</f>
        <v>OK</v>
      </c>
      <c r="BE57">
        <v>1</v>
      </c>
      <c r="BF57">
        <f>SUMIFS(Tableau4[NB Remis],Tableau4[Réf matériel],Tableau5[[#This Row],[Réf matériel]],Tableau4[Matricule],"MRO")</f>
        <v>2</v>
      </c>
      <c r="BG57" s="105" t="str">
        <f>IF(Tableau5[[#This Row],[Besoin MRO]]=Tableau5[[#This Row],[Remis MRO]],"OK","NOK")</f>
        <v>NOK</v>
      </c>
      <c r="BH57">
        <v>1</v>
      </c>
      <c r="BI57">
        <f>SUMIFS(Tableau4[NB Remis],Tableau4[Réf matériel],Tableau5[[#This Row],[Réf matériel]],Tableau4[Matricule],"LSA")</f>
        <v>1</v>
      </c>
      <c r="BJ57" s="105" t="str">
        <f>IF(Tableau5[[#This Row],[Besoin LSA]]=Tableau5[[#This Row],[Remis LSA]],"OK","NOK")</f>
        <v>OK</v>
      </c>
      <c r="BK57">
        <v>1</v>
      </c>
      <c r="BL57">
        <f>SUMIFS(Tableau4[NB Remis],Tableau4[Réf matériel],Tableau5[[#This Row],[Réf matériel]],Tableau4[Matricule],"SST")</f>
        <v>1</v>
      </c>
      <c r="BM57" s="105" t="str">
        <f>IF(Tableau5[[#This Row],[Besoin SST]]=Tableau5[[#This Row],[Remis SST]],"OK","NOK")</f>
        <v>OK</v>
      </c>
      <c r="BO57">
        <f>SUMIFS(Tableau4[NB Remis],Tableau4[Réf matériel],Tableau5[[#This Row],[Réf matériel]],Tableau4[Matricule],"CTH")</f>
        <v>0</v>
      </c>
      <c r="BP57" s="105" t="str">
        <f>IF(Tableau5[[#This Row],[Besoin CTH]]=Tableau5[[#This Row],[Remis CTH]],"OK","NOK")</f>
        <v>OK</v>
      </c>
      <c r="BQ57">
        <v>1</v>
      </c>
      <c r="BR57">
        <f>SUMIFS(Tableau4[NB Remis],Tableau4[Réf matériel],Tableau5[[#This Row],[Réf matériel]],Tableau4[Matricule],"AVU")</f>
        <v>1</v>
      </c>
      <c r="BS57" s="105" t="str">
        <f>IF(Tableau5[[#This Row],[Besoin AVU]]=Tableau5[[#This Row],[Remis AVU]],"OK","NOK")</f>
        <v>OK</v>
      </c>
      <c r="BU57">
        <f>SUMIFS(Tableau4[NB Remis],Tableau4[Réf matériel],Tableau5[[#This Row],[Réf matériel]],Tableau4[Matricule],"FZE")</f>
        <v>0</v>
      </c>
      <c r="BV57" s="105" t="str">
        <f>IF(Tableau5[[#This Row],[Besoin FZE]]=Tableau5[[#This Row],[Remis FZE]],"OK","NOK")</f>
        <v>OK</v>
      </c>
      <c r="BW57">
        <v>1</v>
      </c>
      <c r="BX57">
        <f>SUMIFS(Tableau4[NB Remis],Tableau4[Réf matériel],Tableau5[[#This Row],[Réf matériel]],Tableau4[Matricule],"CV2")</f>
        <v>1</v>
      </c>
      <c r="BY57" s="105" t="str">
        <f>IF(Tableau5[[#This Row],[Besoin CV2]]=Tableau5[[#This Row],[Remis CV2]],"OK","NOK")</f>
        <v>OK</v>
      </c>
      <c r="BZ57">
        <v>1</v>
      </c>
      <c r="CA57">
        <f>SUMIFS(Tableau4[NB Remis],Tableau4[Réf matériel],Tableau5[[#This Row],[Réf matériel]],Tableau4[Matricule],"CV3")</f>
        <v>1</v>
      </c>
      <c r="CB57" s="105" t="str">
        <f>IF(Tableau5[[#This Row],[Besoin CV3]]=Tableau5[[#This Row],[Remis CV3]],"OK","NOK")</f>
        <v>OK</v>
      </c>
      <c r="CC57">
        <v>1</v>
      </c>
      <c r="CD57">
        <f>SUMIFS(Tableau4[NB Remis],Tableau4[Réf matériel],Tableau5[[#This Row],[Réf matériel]],Tableau4[Matricule],"CV1")</f>
        <v>1</v>
      </c>
      <c r="CE57" s="105" t="str">
        <f>IF(Tableau5[[#This Row],[Besoin CV1]]=Tableau5[[#This Row],[Remis CV1]],"OK","NOK")</f>
        <v>OK</v>
      </c>
      <c r="CF57">
        <v>1</v>
      </c>
      <c r="CG57">
        <f>SUMIFS(Tableau4[NB Remis],Tableau4[Réf matériel],Tableau5[[#This Row],[Réf matériel]],Tableau4[Matricule],"CV4")</f>
        <v>1</v>
      </c>
      <c r="CH57" s="106" t="str">
        <f>IF(Tableau5[[#This Row],[Besoin CV4]]=Tableau5[[#This Row],[Remis CV4]],"OK","NOK")</f>
        <v>OK</v>
      </c>
    </row>
    <row r="58" spans="2:86" x14ac:dyDescent="0.25">
      <c r="B58" t="s">
        <v>75</v>
      </c>
      <c r="C58">
        <v>1</v>
      </c>
      <c r="D58">
        <f>SUMIFS(Tableau4[NB Remis],Tableau4[Réf matériel],Tableau5[[#This Row],[Réf matériel]],Tableau4[Matricule],"OAI")</f>
        <v>1</v>
      </c>
      <c r="E58" s="105" t="str">
        <f>IF(Tableau5[[#This Row],[Besoin OAI]]=Tableau5[[#This Row],[Remis OAI]],"OK","NOK")</f>
        <v>OK</v>
      </c>
      <c r="F58">
        <v>1</v>
      </c>
      <c r="G58">
        <f>SUMIFS(Tableau4[NB Remis],Tableau4[Réf matériel],Tableau5[[#This Row],[Réf matériel]],Tableau4[Matricule],"ABE")</f>
        <v>1</v>
      </c>
      <c r="H58" s="105" t="str">
        <f>IF(Tableau5[[#This Row],[Besoin ABE]]=Tableau5[[#This Row],[Remis ABE]],"OK","NOK")</f>
        <v>OK</v>
      </c>
      <c r="I58">
        <v>1</v>
      </c>
      <c r="J58">
        <f>SUMIFS(Tableau4[NB Remis],Tableau4[Réf matériel],Tableau5[[#This Row],[Réf matériel]],Tableau4[Matricule],"SBI")</f>
        <v>1</v>
      </c>
      <c r="K58" s="105" t="str">
        <f>IF(Tableau5[[#This Row],[Besoin SBI]]=Tableau5[[#This Row],[Remis SBI]],"OK","NOK")</f>
        <v>OK</v>
      </c>
      <c r="L58">
        <v>1</v>
      </c>
      <c r="M58">
        <f>SUMIFS(Tableau4[NB Remis],Tableau4[Réf matériel],Tableau5[[#This Row],[Réf matériel]],Tableau4[Matricule],"ABI")</f>
        <v>1</v>
      </c>
      <c r="N58" s="105" t="str">
        <f>IF(Tableau5[[#This Row],[Besoin ABI]]=Tableau5[[#This Row],[Remis ABI]],"OK","NOK")</f>
        <v>OK</v>
      </c>
      <c r="P58">
        <f>SUMIFS(Tableau4[NB Remis],Tableau4[Réf matériel],Tableau5[[#This Row],[Réf matériel]],Tableau4[Matricule],"DCE")</f>
        <v>0</v>
      </c>
      <c r="Q58" s="105" t="str">
        <f>IF(Tableau5[[#This Row],[Besoin DCE]]=Tableau5[[#This Row],[Remis DCE]],"OK","NOK")</f>
        <v>OK</v>
      </c>
      <c r="R58">
        <v>1</v>
      </c>
      <c r="S58">
        <f>SUMIFS(Tableau4[NB Remis],Tableau4[Réf matériel],Tableau5[[#This Row],[Réf matériel]],Tableau4[Matricule],"JDE")</f>
        <v>1</v>
      </c>
      <c r="T58" s="105" t="str">
        <f>IF(Tableau5[[#This Row],[Besoin JDE]]=Tableau5[[#This Row],[Remis JDE]],"OK","NOK")</f>
        <v>OK</v>
      </c>
      <c r="U58">
        <v>1</v>
      </c>
      <c r="V58">
        <f>SUMIFS(Tableau4[NB Remis],Tableau4[Réf matériel],Tableau5[[#This Row],[Réf matériel]],Tableau4[Matricule],"ODI")</f>
        <v>1</v>
      </c>
      <c r="W58" s="105" t="str">
        <f>IF(Tableau5[[#This Row],[Besoin ODI]]=Tableau5[[#This Row],[Remis ODI]],"OK","NOK")</f>
        <v>OK</v>
      </c>
      <c r="X58">
        <v>1</v>
      </c>
      <c r="Y58">
        <f>SUMIFS(Tableau4[NB Remis],Tableau4[Réf matériel],Tableau5[[#This Row],[Réf matériel]],Tableau4[Matricule],"MFO")</f>
        <v>1</v>
      </c>
      <c r="Z58" s="105" t="str">
        <f>IF(Tableau5[[#This Row],[Besoin MFO]]=Tableau5[[#This Row],[Remis MFO]],"OK","NOK")</f>
        <v>OK</v>
      </c>
      <c r="AB58">
        <f>SUMIFS(Tableau4[NB Remis],Tableau4[Réf matériel],Tableau5[[#This Row],[Réf matériel]],Tableau4[Matricule],"SDU")</f>
        <v>0</v>
      </c>
      <c r="AC58" s="105" t="str">
        <f>IF(Tableau5[[#This Row],[Besoin SDU]]=Tableau5[[#This Row],[Remis SDU]],"OK","NOK")</f>
        <v>OK</v>
      </c>
      <c r="AD58">
        <v>1</v>
      </c>
      <c r="AE58">
        <f>SUMIFS(Tableau4[NB Remis],Tableau4[Réf matériel],Tableau5[[#This Row],[Réf matériel]],Tableau4[Matricule],"GGA")</f>
        <v>1</v>
      </c>
      <c r="AF58" s="105" t="str">
        <f>IF(Tableau5[[#This Row],[Besoin GGA2]]=Tableau5[[#This Row],[Remis GGA3]],"OK","NOK")</f>
        <v>OK</v>
      </c>
      <c r="AG58">
        <v>1</v>
      </c>
      <c r="AH58">
        <f>SUMIFS(Tableau4[NB Remis],Tableau4[Réf matériel],Tableau5[[#This Row],[Réf matériel]],Tableau4[Matricule],"RGE")</f>
        <v>1</v>
      </c>
      <c r="AI58" s="105" t="str">
        <f>IF(Tableau5[[#This Row],[Besoin RGE]]=Tableau5[[#This Row],[Remis RGE]],"OK","NOK")</f>
        <v>OK</v>
      </c>
      <c r="AJ58">
        <v>1</v>
      </c>
      <c r="AK58">
        <f>SUMIFS(Tableau4[NB Remis],Tableau4[Réf matériel],Tableau5[[#This Row],[Réf matériel]],Tableau4[Matricule],"CKE")</f>
        <v>1</v>
      </c>
      <c r="AL58" s="105" t="str">
        <f>IF(Tableau5[[#This Row],[Besoin CKE]]=Tableau5[[#This Row],[Remis CKE]],"OK","NOK")</f>
        <v>OK</v>
      </c>
      <c r="AM58">
        <v>1</v>
      </c>
      <c r="AN58">
        <f>SUMIFS(Tableau4[NB Remis],Tableau4[Réf matériel],Tableau5[[#This Row],[Réf matériel]],Tableau4[Matricule],"DMA")</f>
        <v>0</v>
      </c>
      <c r="AO58" s="105" t="str">
        <f>IF(Tableau5[[#This Row],[Besoin DMA]]=Tableau5[[#This Row],[Remis DMA]],"OK","NOK")</f>
        <v>NOK</v>
      </c>
      <c r="AP58">
        <v>1</v>
      </c>
      <c r="AQ58">
        <f>SUMIFS(Tableau4[NB Remis],Tableau4[Réf matériel],Tableau5[[#This Row],[Réf matériel]],Tableau4[Matricule],"LMO")</f>
        <v>1</v>
      </c>
      <c r="AR58" s="105" t="str">
        <f>IF(Tableau5[[#This Row],[Besoin LMO]]=Tableau5[[#This Row],[Remis LMO]],"OK","NOK")</f>
        <v>OK</v>
      </c>
      <c r="AS58">
        <v>1</v>
      </c>
      <c r="AT58">
        <f>SUMIFS(Tableau4[NB Remis],Tableau4[Réf matériel],Tableau5[[#This Row],[Réf matériel]],Tableau4[Matricule],"TMO")</f>
        <v>1</v>
      </c>
      <c r="AU58" s="105" t="str">
        <f>IF(Tableau5[[#This Row],[Besoin TMO]]=Tableau5[[#This Row],[Remis TMO]],"OK","NOK")</f>
        <v>OK</v>
      </c>
      <c r="AV58">
        <v>1</v>
      </c>
      <c r="AW58">
        <f>SUMIFS(Tableau4[NB Remis],Tableau4[Réf matériel],Tableau5[[#This Row],[Réf matériel]],Tableau4[Matricule],"JPA")</f>
        <v>0</v>
      </c>
      <c r="AX58" s="105" t="str">
        <f>IF(Tableau5[[#This Row],[Besoin JPA]]=Tableau5[[#This Row],[Remis JPA]],"OK","NOK")</f>
        <v>NOK</v>
      </c>
      <c r="AY58">
        <v>1</v>
      </c>
      <c r="AZ58">
        <f>SUMIFS(Tableau4[NB Remis],Tableau4[Réf matériel],Tableau5[[#This Row],[Réf matériel]],Tableau4[Matricule],"MPE")</f>
        <v>1</v>
      </c>
      <c r="BA58" s="105" t="str">
        <f>IF(Tableau5[[#This Row],[Besoin MPE]]=Tableau5[[#This Row],[Remis MPE]],"OK","NOK")</f>
        <v>OK</v>
      </c>
      <c r="BB58">
        <v>1</v>
      </c>
      <c r="BC58">
        <f>SUMIFS(Tableau4[NB Remis],Tableau4[Réf matériel],Tableau5[[#This Row],[Réf matériel]],Tableau4[Matricule],"SPR")</f>
        <v>1</v>
      </c>
      <c r="BD58" s="105" t="str">
        <f>IF(Tableau5[[#This Row],[Besoin SPR]]=Tableau5[[#This Row],[Remis SPR]],"OK","NOK")</f>
        <v>OK</v>
      </c>
      <c r="BE58">
        <v>1</v>
      </c>
      <c r="BF58">
        <f>SUMIFS(Tableau4[NB Remis],Tableau4[Réf matériel],Tableau5[[#This Row],[Réf matériel]],Tableau4[Matricule],"MRO")</f>
        <v>1</v>
      </c>
      <c r="BG58" s="105" t="str">
        <f>IF(Tableau5[[#This Row],[Besoin MRO]]=Tableau5[[#This Row],[Remis MRO]],"OK","NOK")</f>
        <v>OK</v>
      </c>
      <c r="BH58">
        <v>1</v>
      </c>
      <c r="BI58">
        <f>SUMIFS(Tableau4[NB Remis],Tableau4[Réf matériel],Tableau5[[#This Row],[Réf matériel]],Tableau4[Matricule],"LSA")</f>
        <v>2</v>
      </c>
      <c r="BJ58" s="105" t="str">
        <f>IF(Tableau5[[#This Row],[Besoin LSA]]=Tableau5[[#This Row],[Remis LSA]],"OK","NOK")</f>
        <v>NOK</v>
      </c>
      <c r="BK58">
        <v>1</v>
      </c>
      <c r="BL58">
        <f>SUMIFS(Tableau4[NB Remis],Tableau4[Réf matériel],Tableau5[[#This Row],[Réf matériel]],Tableau4[Matricule],"SST")</f>
        <v>1</v>
      </c>
      <c r="BM58" s="105" t="str">
        <f>IF(Tableau5[[#This Row],[Besoin SST]]=Tableau5[[#This Row],[Remis SST]],"OK","NOK")</f>
        <v>OK</v>
      </c>
      <c r="BO58">
        <f>SUMIFS(Tableau4[NB Remis],Tableau4[Réf matériel],Tableau5[[#This Row],[Réf matériel]],Tableau4[Matricule],"CTH")</f>
        <v>0</v>
      </c>
      <c r="BP58" s="105" t="str">
        <f>IF(Tableau5[[#This Row],[Besoin CTH]]=Tableau5[[#This Row],[Remis CTH]],"OK","NOK")</f>
        <v>OK</v>
      </c>
      <c r="BR58">
        <f>SUMIFS(Tableau4[NB Remis],Tableau4[Réf matériel],Tableau5[[#This Row],[Réf matériel]],Tableau4[Matricule],"AVU")</f>
        <v>0</v>
      </c>
      <c r="BS58" s="105" t="str">
        <f>IF(Tableau5[[#This Row],[Besoin AVU]]=Tableau5[[#This Row],[Remis AVU]],"OK","NOK")</f>
        <v>OK</v>
      </c>
      <c r="BT58">
        <v>1</v>
      </c>
      <c r="BU58">
        <f>SUMIFS(Tableau4[NB Remis],Tableau4[Réf matériel],Tableau5[[#This Row],[Réf matériel]],Tableau4[Matricule],"FZE")</f>
        <v>1</v>
      </c>
      <c r="BV58" s="105" t="str">
        <f>IF(Tableau5[[#This Row],[Besoin FZE]]=Tableau5[[#This Row],[Remis FZE]],"OK","NOK")</f>
        <v>OK</v>
      </c>
      <c r="BW58">
        <v>1</v>
      </c>
      <c r="BX58">
        <f>SUMIFS(Tableau4[NB Remis],Tableau4[Réf matériel],Tableau5[[#This Row],[Réf matériel]],Tableau4[Matricule],"CV2")</f>
        <v>1</v>
      </c>
      <c r="BY58" s="105" t="str">
        <f>IF(Tableau5[[#This Row],[Besoin CV2]]=Tableau5[[#This Row],[Remis CV2]],"OK","NOK")</f>
        <v>OK</v>
      </c>
      <c r="BZ58">
        <v>1</v>
      </c>
      <c r="CA58">
        <f>SUMIFS(Tableau4[NB Remis],Tableau4[Réf matériel],Tableau5[[#This Row],[Réf matériel]],Tableau4[Matricule],"CV3")</f>
        <v>1</v>
      </c>
      <c r="CB58" s="105" t="str">
        <f>IF(Tableau5[[#This Row],[Besoin CV3]]=Tableau5[[#This Row],[Remis CV3]],"OK","NOK")</f>
        <v>OK</v>
      </c>
      <c r="CD58">
        <f>SUMIFS(Tableau4[NB Remis],Tableau4[Réf matériel],Tableau5[[#This Row],[Réf matériel]],Tableau4[Matricule],"CV1")</f>
        <v>0</v>
      </c>
      <c r="CE58" s="105" t="str">
        <f>IF(Tableau5[[#This Row],[Besoin CV1]]=Tableau5[[#This Row],[Remis CV1]],"OK","NOK")</f>
        <v>OK</v>
      </c>
      <c r="CF58">
        <v>1</v>
      </c>
      <c r="CG58">
        <f>SUMIFS(Tableau4[NB Remis],Tableau4[Réf matériel],Tableau5[[#This Row],[Réf matériel]],Tableau4[Matricule],"CV4")</f>
        <v>1</v>
      </c>
      <c r="CH58" s="106" t="str">
        <f>IF(Tableau5[[#This Row],[Besoin CV4]]=Tableau5[[#This Row],[Remis CV4]],"OK","NOK")</f>
        <v>OK</v>
      </c>
    </row>
    <row r="59" spans="2:86" x14ac:dyDescent="0.25">
      <c r="B59" t="s">
        <v>394</v>
      </c>
      <c r="C59">
        <v>1</v>
      </c>
      <c r="D59">
        <f>SUMIFS(Tableau4[NB Remis],Tableau4[Réf matériel],Tableau5[[#This Row],[Réf matériel]],Tableau4[Matricule],"OAI")</f>
        <v>1</v>
      </c>
      <c r="E59" s="105" t="str">
        <f>IF(Tableau5[[#This Row],[Besoin OAI]]=Tableau5[[#This Row],[Remis OAI]],"OK","NOK")</f>
        <v>OK</v>
      </c>
      <c r="F59">
        <v>1</v>
      </c>
      <c r="G59">
        <f>SUMIFS(Tableau4[NB Remis],Tableau4[Réf matériel],Tableau5[[#This Row],[Réf matériel]],Tableau4[Matricule],"ABE")</f>
        <v>1</v>
      </c>
      <c r="H59" s="105" t="str">
        <f>IF(Tableau5[[#This Row],[Besoin ABE]]=Tableau5[[#This Row],[Remis ABE]],"OK","NOK")</f>
        <v>OK</v>
      </c>
      <c r="J59">
        <f>SUMIFS(Tableau4[NB Remis],Tableau4[Réf matériel],Tableau5[[#This Row],[Réf matériel]],Tableau4[Matricule],"SBI")</f>
        <v>0</v>
      </c>
      <c r="K59" s="105" t="str">
        <f>IF(Tableau5[[#This Row],[Besoin SBI]]=Tableau5[[#This Row],[Remis SBI]],"OK","NOK")</f>
        <v>OK</v>
      </c>
      <c r="L59">
        <v>1</v>
      </c>
      <c r="M59">
        <f>SUMIFS(Tableau4[NB Remis],Tableau4[Réf matériel],Tableau5[[#This Row],[Réf matériel]],Tableau4[Matricule],"ABI")</f>
        <v>1</v>
      </c>
      <c r="N59" s="105" t="str">
        <f>IF(Tableau5[[#This Row],[Besoin ABI]]=Tableau5[[#This Row],[Remis ABI]],"OK","NOK")</f>
        <v>OK</v>
      </c>
      <c r="P59">
        <f>SUMIFS(Tableau4[NB Remis],Tableau4[Réf matériel],Tableau5[[#This Row],[Réf matériel]],Tableau4[Matricule],"DCE")</f>
        <v>0</v>
      </c>
      <c r="Q59" s="105" t="str">
        <f>IF(Tableau5[[#This Row],[Besoin DCE]]=Tableau5[[#This Row],[Remis DCE]],"OK","NOK")</f>
        <v>OK</v>
      </c>
      <c r="R59">
        <v>1</v>
      </c>
      <c r="S59">
        <f>SUMIFS(Tableau4[NB Remis],Tableau4[Réf matériel],Tableau5[[#This Row],[Réf matériel]],Tableau4[Matricule],"JDE")</f>
        <v>2</v>
      </c>
      <c r="T59" s="105" t="str">
        <f>IF(Tableau5[[#This Row],[Besoin JDE]]=Tableau5[[#This Row],[Remis JDE]],"OK","NOK")</f>
        <v>NOK</v>
      </c>
      <c r="U59">
        <v>1</v>
      </c>
      <c r="V59">
        <f>SUMIFS(Tableau4[NB Remis],Tableau4[Réf matériel],Tableau5[[#This Row],[Réf matériel]],Tableau4[Matricule],"ODI")</f>
        <v>1</v>
      </c>
      <c r="W59" s="105" t="str">
        <f>IF(Tableau5[[#This Row],[Besoin ODI]]=Tableau5[[#This Row],[Remis ODI]],"OK","NOK")</f>
        <v>OK</v>
      </c>
      <c r="Y59">
        <f>SUMIFS(Tableau4[NB Remis],Tableau4[Réf matériel],Tableau5[[#This Row],[Réf matériel]],Tableau4[Matricule],"MFO")</f>
        <v>0</v>
      </c>
      <c r="Z59" s="105" t="str">
        <f>IF(Tableau5[[#This Row],[Besoin MFO]]=Tableau5[[#This Row],[Remis MFO]],"OK","NOK")</f>
        <v>OK</v>
      </c>
      <c r="AB59">
        <f>SUMIFS(Tableau4[NB Remis],Tableau4[Réf matériel],Tableau5[[#This Row],[Réf matériel]],Tableau4[Matricule],"SDU")</f>
        <v>0</v>
      </c>
      <c r="AC59" s="105" t="str">
        <f>IF(Tableau5[[#This Row],[Besoin SDU]]=Tableau5[[#This Row],[Remis SDU]],"OK","NOK")</f>
        <v>OK</v>
      </c>
      <c r="AE59">
        <f>SUMIFS(Tableau4[NB Remis],Tableau4[Réf matériel],Tableau5[[#This Row],[Réf matériel]],Tableau4[Matricule],"GGA")</f>
        <v>0</v>
      </c>
      <c r="AF59" s="105" t="str">
        <f>IF(Tableau5[[#This Row],[Besoin GGA2]]=Tableau5[[#This Row],[Remis GGA3]],"OK","NOK")</f>
        <v>OK</v>
      </c>
      <c r="AG59">
        <v>1</v>
      </c>
      <c r="AH59">
        <f>SUMIFS(Tableau4[NB Remis],Tableau4[Réf matériel],Tableau5[[#This Row],[Réf matériel]],Tableau4[Matricule],"RGE")</f>
        <v>2</v>
      </c>
      <c r="AI59" s="105" t="str">
        <f>IF(Tableau5[[#This Row],[Besoin RGE]]=Tableau5[[#This Row],[Remis RGE]],"OK","NOK")</f>
        <v>NOK</v>
      </c>
      <c r="AJ59">
        <v>1</v>
      </c>
      <c r="AK59">
        <f>SUMIFS(Tableau4[NB Remis],Tableau4[Réf matériel],Tableau5[[#This Row],[Réf matériel]],Tableau4[Matricule],"CKE")</f>
        <v>1</v>
      </c>
      <c r="AL59" s="105" t="str">
        <f>IF(Tableau5[[#This Row],[Besoin CKE]]=Tableau5[[#This Row],[Remis CKE]],"OK","NOK")</f>
        <v>OK</v>
      </c>
      <c r="AN59">
        <f>SUMIFS(Tableau4[NB Remis],Tableau4[Réf matériel],Tableau5[[#This Row],[Réf matériel]],Tableau4[Matricule],"DMA")</f>
        <v>0</v>
      </c>
      <c r="AO59" s="105" t="str">
        <f>IF(Tableau5[[#This Row],[Besoin DMA]]=Tableau5[[#This Row],[Remis DMA]],"OK","NOK")</f>
        <v>OK</v>
      </c>
      <c r="AP59">
        <v>1</v>
      </c>
      <c r="AQ59">
        <f>SUMIFS(Tableau4[NB Remis],Tableau4[Réf matériel],Tableau5[[#This Row],[Réf matériel]],Tableau4[Matricule],"LMO")</f>
        <v>1</v>
      </c>
      <c r="AR59" s="105" t="str">
        <f>IF(Tableau5[[#This Row],[Besoin LMO]]=Tableau5[[#This Row],[Remis LMO]],"OK","NOK")</f>
        <v>OK</v>
      </c>
      <c r="AS59">
        <v>1</v>
      </c>
      <c r="AT59">
        <f>SUMIFS(Tableau4[NB Remis],Tableau4[Réf matériel],Tableau5[[#This Row],[Réf matériel]],Tableau4[Matricule],"TMO")</f>
        <v>1</v>
      </c>
      <c r="AU59" s="105" t="str">
        <f>IF(Tableau5[[#This Row],[Besoin TMO]]=Tableau5[[#This Row],[Remis TMO]],"OK","NOK")</f>
        <v>OK</v>
      </c>
      <c r="AV59">
        <v>1</v>
      </c>
      <c r="AW59">
        <f>SUMIFS(Tableau4[NB Remis],Tableau4[Réf matériel],Tableau5[[#This Row],[Réf matériel]],Tableau4[Matricule],"JPA")</f>
        <v>1</v>
      </c>
      <c r="AX59" s="105" t="str">
        <f>IF(Tableau5[[#This Row],[Besoin JPA]]=Tableau5[[#This Row],[Remis JPA]],"OK","NOK")</f>
        <v>OK</v>
      </c>
      <c r="AZ59">
        <f>SUMIFS(Tableau4[NB Remis],Tableau4[Réf matériel],Tableau5[[#This Row],[Réf matériel]],Tableau4[Matricule],"MPE")</f>
        <v>0</v>
      </c>
      <c r="BA59" s="105" t="str">
        <f>IF(Tableau5[[#This Row],[Besoin MPE]]=Tableau5[[#This Row],[Remis MPE]],"OK","NOK")</f>
        <v>OK</v>
      </c>
      <c r="BB59">
        <v>1</v>
      </c>
      <c r="BC59">
        <f>SUMIFS(Tableau4[NB Remis],Tableau4[Réf matériel],Tableau5[[#This Row],[Réf matériel]],Tableau4[Matricule],"SPR")</f>
        <v>1</v>
      </c>
      <c r="BD59" s="105" t="str">
        <f>IF(Tableau5[[#This Row],[Besoin SPR]]=Tableau5[[#This Row],[Remis SPR]],"OK","NOK")</f>
        <v>OK</v>
      </c>
      <c r="BE59">
        <v>1</v>
      </c>
      <c r="BF59">
        <f>SUMIFS(Tableau4[NB Remis],Tableau4[Réf matériel],Tableau5[[#This Row],[Réf matériel]],Tableau4[Matricule],"MRO")</f>
        <v>1</v>
      </c>
      <c r="BG59" s="105" t="str">
        <f>IF(Tableau5[[#This Row],[Besoin MRO]]=Tableau5[[#This Row],[Remis MRO]],"OK","NOK")</f>
        <v>OK</v>
      </c>
      <c r="BH59">
        <v>1</v>
      </c>
      <c r="BI59">
        <f>SUMIFS(Tableau4[NB Remis],Tableau4[Réf matériel],Tableau5[[#This Row],[Réf matériel]],Tableau4[Matricule],"LSA")</f>
        <v>1</v>
      </c>
      <c r="BJ59" s="105" t="str">
        <f>IF(Tableau5[[#This Row],[Besoin LSA]]=Tableau5[[#This Row],[Remis LSA]],"OK","NOK")</f>
        <v>OK</v>
      </c>
      <c r="BK59">
        <v>1</v>
      </c>
      <c r="BL59">
        <f>SUMIFS(Tableau4[NB Remis],Tableau4[Réf matériel],Tableau5[[#This Row],[Réf matériel]],Tableau4[Matricule],"SST")</f>
        <v>1</v>
      </c>
      <c r="BM59" s="105" t="str">
        <f>IF(Tableau5[[#This Row],[Besoin SST]]=Tableau5[[#This Row],[Remis SST]],"OK","NOK")</f>
        <v>OK</v>
      </c>
      <c r="BO59">
        <f>SUMIFS(Tableau4[NB Remis],Tableau4[Réf matériel],Tableau5[[#This Row],[Réf matériel]],Tableau4[Matricule],"CTH")</f>
        <v>0</v>
      </c>
      <c r="BP59" s="105" t="str">
        <f>IF(Tableau5[[#This Row],[Besoin CTH]]=Tableau5[[#This Row],[Remis CTH]],"OK","NOK")</f>
        <v>OK</v>
      </c>
      <c r="BQ59">
        <v>1</v>
      </c>
      <c r="BR59">
        <f>SUMIFS(Tableau4[NB Remis],Tableau4[Réf matériel],Tableau5[[#This Row],[Réf matériel]],Tableau4[Matricule],"AVU")</f>
        <v>1</v>
      </c>
      <c r="BS59" s="105" t="str">
        <f>IF(Tableau5[[#This Row],[Besoin AVU]]=Tableau5[[#This Row],[Remis AVU]],"OK","NOK")</f>
        <v>OK</v>
      </c>
      <c r="BU59">
        <f>SUMIFS(Tableau4[NB Remis],Tableau4[Réf matériel],Tableau5[[#This Row],[Réf matériel]],Tableau4[Matricule],"FZE")</f>
        <v>0</v>
      </c>
      <c r="BV59" s="105" t="str">
        <f>IF(Tableau5[[#This Row],[Besoin FZE]]=Tableau5[[#This Row],[Remis FZE]],"OK","NOK")</f>
        <v>OK</v>
      </c>
      <c r="BW59">
        <v>1</v>
      </c>
      <c r="BX59">
        <f>SUMIFS(Tableau4[NB Remis],Tableau4[Réf matériel],Tableau5[[#This Row],[Réf matériel]],Tableau4[Matricule],"CV2")</f>
        <v>1</v>
      </c>
      <c r="BY59" s="105" t="str">
        <f>IF(Tableau5[[#This Row],[Besoin CV2]]=Tableau5[[#This Row],[Remis CV2]],"OK","NOK")</f>
        <v>OK</v>
      </c>
      <c r="BZ59">
        <v>1</v>
      </c>
      <c r="CA59">
        <f>SUMIFS(Tableau4[NB Remis],Tableau4[Réf matériel],Tableau5[[#This Row],[Réf matériel]],Tableau4[Matricule],"CV3")</f>
        <v>1</v>
      </c>
      <c r="CB59" s="105" t="str">
        <f>IF(Tableau5[[#This Row],[Besoin CV3]]=Tableau5[[#This Row],[Remis CV3]],"OK","NOK")</f>
        <v>OK</v>
      </c>
      <c r="CC59">
        <v>1</v>
      </c>
      <c r="CD59">
        <f>SUMIFS(Tableau4[NB Remis],Tableau4[Réf matériel],Tableau5[[#This Row],[Réf matériel]],Tableau4[Matricule],"CV1")</f>
        <v>1</v>
      </c>
      <c r="CE59" s="105" t="str">
        <f>IF(Tableau5[[#This Row],[Besoin CV1]]=Tableau5[[#This Row],[Remis CV1]],"OK","NOK")</f>
        <v>OK</v>
      </c>
      <c r="CF59">
        <v>1</v>
      </c>
      <c r="CG59">
        <f>SUMIFS(Tableau4[NB Remis],Tableau4[Réf matériel],Tableau5[[#This Row],[Réf matériel]],Tableau4[Matricule],"CV4")</f>
        <v>1</v>
      </c>
      <c r="CH59" s="106" t="str">
        <f>IF(Tableau5[[#This Row],[Besoin CV4]]=Tableau5[[#This Row],[Remis CV4]],"OK","NOK")</f>
        <v>OK</v>
      </c>
    </row>
    <row r="60" spans="2:86" x14ac:dyDescent="0.25">
      <c r="B60" t="s">
        <v>73</v>
      </c>
      <c r="C60">
        <v>1</v>
      </c>
      <c r="D60">
        <f>SUMIFS(Tableau4[NB Remis],Tableau4[Réf matériel],Tableau5[[#This Row],[Réf matériel]],Tableau4[Matricule],"OAI")</f>
        <v>0</v>
      </c>
      <c r="E60" s="105" t="str">
        <f>IF(Tableau5[[#This Row],[Besoin OAI]]=Tableau5[[#This Row],[Remis OAI]],"OK","NOK")</f>
        <v>NOK</v>
      </c>
      <c r="F60">
        <v>1</v>
      </c>
      <c r="G60">
        <f>SUMIFS(Tableau4[NB Remis],Tableau4[Réf matériel],Tableau5[[#This Row],[Réf matériel]],Tableau4[Matricule],"ABE")</f>
        <v>1</v>
      </c>
      <c r="H60" s="105" t="str">
        <f>IF(Tableau5[[#This Row],[Besoin ABE]]=Tableau5[[#This Row],[Remis ABE]],"OK","NOK")</f>
        <v>OK</v>
      </c>
      <c r="I60">
        <v>1</v>
      </c>
      <c r="J60">
        <f>SUMIFS(Tableau4[NB Remis],Tableau4[Réf matériel],Tableau5[[#This Row],[Réf matériel]],Tableau4[Matricule],"SBI")</f>
        <v>0</v>
      </c>
      <c r="K60" s="105" t="str">
        <f>IF(Tableau5[[#This Row],[Besoin SBI]]=Tableau5[[#This Row],[Remis SBI]],"OK","NOK")</f>
        <v>NOK</v>
      </c>
      <c r="L60">
        <v>1</v>
      </c>
      <c r="M60">
        <f>SUMIFS(Tableau4[NB Remis],Tableau4[Réf matériel],Tableau5[[#This Row],[Réf matériel]],Tableau4[Matricule],"ABI")</f>
        <v>0</v>
      </c>
      <c r="N60" s="105" t="str">
        <f>IF(Tableau5[[#This Row],[Besoin ABI]]=Tableau5[[#This Row],[Remis ABI]],"OK","NOK")</f>
        <v>NOK</v>
      </c>
      <c r="P60">
        <f>SUMIFS(Tableau4[NB Remis],Tableau4[Réf matériel],Tableau5[[#This Row],[Réf matériel]],Tableau4[Matricule],"DCE")</f>
        <v>0</v>
      </c>
      <c r="Q60" s="105" t="str">
        <f>IF(Tableau5[[#This Row],[Besoin DCE]]=Tableau5[[#This Row],[Remis DCE]],"OK","NOK")</f>
        <v>OK</v>
      </c>
      <c r="R60">
        <v>1</v>
      </c>
      <c r="S60">
        <f>SUMIFS(Tableau4[NB Remis],Tableau4[Réf matériel],Tableau5[[#This Row],[Réf matériel]],Tableau4[Matricule],"JDE")</f>
        <v>1</v>
      </c>
      <c r="T60" s="105" t="str">
        <f>IF(Tableau5[[#This Row],[Besoin JDE]]=Tableau5[[#This Row],[Remis JDE]],"OK","NOK")</f>
        <v>OK</v>
      </c>
      <c r="U60">
        <v>1</v>
      </c>
      <c r="V60">
        <f>SUMIFS(Tableau4[NB Remis],Tableau4[Réf matériel],Tableau5[[#This Row],[Réf matériel]],Tableau4[Matricule],"ODI")</f>
        <v>0</v>
      </c>
      <c r="W60" s="105" t="str">
        <f>IF(Tableau5[[#This Row],[Besoin ODI]]=Tableau5[[#This Row],[Remis ODI]],"OK","NOK")</f>
        <v>NOK</v>
      </c>
      <c r="Y60">
        <f>SUMIFS(Tableau4[NB Remis],Tableau4[Réf matériel],Tableau5[[#This Row],[Réf matériel]],Tableau4[Matricule],"MFO")</f>
        <v>0</v>
      </c>
      <c r="Z60" s="105" t="str">
        <f>IF(Tableau5[[#This Row],[Besoin MFO]]=Tableau5[[#This Row],[Remis MFO]],"OK","NOK")</f>
        <v>OK</v>
      </c>
      <c r="AB60">
        <f>SUMIFS(Tableau4[NB Remis],Tableau4[Réf matériel],Tableau5[[#This Row],[Réf matériel]],Tableau4[Matricule],"SDU")</f>
        <v>0</v>
      </c>
      <c r="AC60" s="105" t="str">
        <f>IF(Tableau5[[#This Row],[Besoin SDU]]=Tableau5[[#This Row],[Remis SDU]],"OK","NOK")</f>
        <v>OK</v>
      </c>
      <c r="AD60">
        <v>1</v>
      </c>
      <c r="AE60">
        <f>SUMIFS(Tableau4[NB Remis],Tableau4[Réf matériel],Tableau5[[#This Row],[Réf matériel]],Tableau4[Matricule],"GGA")</f>
        <v>1</v>
      </c>
      <c r="AF60" s="105" t="str">
        <f>IF(Tableau5[[#This Row],[Besoin GGA2]]=Tableau5[[#This Row],[Remis GGA3]],"OK","NOK")</f>
        <v>OK</v>
      </c>
      <c r="AG60">
        <v>1</v>
      </c>
      <c r="AH60">
        <f>SUMIFS(Tableau4[NB Remis],Tableau4[Réf matériel],Tableau5[[#This Row],[Réf matériel]],Tableau4[Matricule],"RGE")</f>
        <v>2</v>
      </c>
      <c r="AI60" s="105" t="str">
        <f>IF(Tableau5[[#This Row],[Besoin RGE]]=Tableau5[[#This Row],[Remis RGE]],"OK","NOK")</f>
        <v>NOK</v>
      </c>
      <c r="AJ60">
        <v>1</v>
      </c>
      <c r="AK60">
        <f>SUMIFS(Tableau4[NB Remis],Tableau4[Réf matériel],Tableau5[[#This Row],[Réf matériel]],Tableau4[Matricule],"CKE")</f>
        <v>1</v>
      </c>
      <c r="AL60" s="105" t="str">
        <f>IF(Tableau5[[#This Row],[Besoin CKE]]=Tableau5[[#This Row],[Remis CKE]],"OK","NOK")</f>
        <v>OK</v>
      </c>
      <c r="AM60">
        <v>1</v>
      </c>
      <c r="AN60">
        <f>SUMIFS(Tableau4[NB Remis],Tableau4[Réf matériel],Tableau5[[#This Row],[Réf matériel]],Tableau4[Matricule],"DMA")</f>
        <v>0</v>
      </c>
      <c r="AO60" s="105" t="str">
        <f>IF(Tableau5[[#This Row],[Besoin DMA]]=Tableau5[[#This Row],[Remis DMA]],"OK","NOK")</f>
        <v>NOK</v>
      </c>
      <c r="AQ60">
        <f>SUMIFS(Tableau4[NB Remis],Tableau4[Réf matériel],Tableau5[[#This Row],[Réf matériel]],Tableau4[Matricule],"LMO")</f>
        <v>0</v>
      </c>
      <c r="AR60" s="105" t="str">
        <f>IF(Tableau5[[#This Row],[Besoin LMO]]=Tableau5[[#This Row],[Remis LMO]],"OK","NOK")</f>
        <v>OK</v>
      </c>
      <c r="AS60">
        <v>1</v>
      </c>
      <c r="AT60">
        <f>SUMIFS(Tableau4[NB Remis],Tableau4[Réf matériel],Tableau5[[#This Row],[Réf matériel]],Tableau4[Matricule],"TMO")</f>
        <v>0</v>
      </c>
      <c r="AU60" s="105" t="str">
        <f>IF(Tableau5[[#This Row],[Besoin TMO]]=Tableau5[[#This Row],[Remis TMO]],"OK","NOK")</f>
        <v>NOK</v>
      </c>
      <c r="AV60">
        <v>1</v>
      </c>
      <c r="AW60">
        <f>SUMIFS(Tableau4[NB Remis],Tableau4[Réf matériel],Tableau5[[#This Row],[Réf matériel]],Tableau4[Matricule],"JPA")</f>
        <v>0</v>
      </c>
      <c r="AX60" s="105" t="str">
        <f>IF(Tableau5[[#This Row],[Besoin JPA]]=Tableau5[[#This Row],[Remis JPA]],"OK","NOK")</f>
        <v>NOK</v>
      </c>
      <c r="AY60">
        <v>1</v>
      </c>
      <c r="AZ60">
        <f>SUMIFS(Tableau4[NB Remis],Tableau4[Réf matériel],Tableau5[[#This Row],[Réf matériel]],Tableau4[Matricule],"MPE")</f>
        <v>0</v>
      </c>
      <c r="BA60" s="105" t="str">
        <f>IF(Tableau5[[#This Row],[Besoin MPE]]=Tableau5[[#This Row],[Remis MPE]],"OK","NOK")</f>
        <v>NOK</v>
      </c>
      <c r="BB60">
        <v>1</v>
      </c>
      <c r="BC60">
        <f>SUMIFS(Tableau4[NB Remis],Tableau4[Réf matériel],Tableau5[[#This Row],[Réf matériel]],Tableau4[Matricule],"SPR")</f>
        <v>1</v>
      </c>
      <c r="BD60" s="105" t="str">
        <f>IF(Tableau5[[#This Row],[Besoin SPR]]=Tableau5[[#This Row],[Remis SPR]],"OK","NOK")</f>
        <v>OK</v>
      </c>
      <c r="BE60">
        <v>1</v>
      </c>
      <c r="BF60">
        <f>SUMIFS(Tableau4[NB Remis],Tableau4[Réf matériel],Tableau5[[#This Row],[Réf matériel]],Tableau4[Matricule],"MRO")</f>
        <v>1</v>
      </c>
      <c r="BG60" s="105" t="str">
        <f>IF(Tableau5[[#This Row],[Besoin MRO]]=Tableau5[[#This Row],[Remis MRO]],"OK","NOK")</f>
        <v>OK</v>
      </c>
      <c r="BH60">
        <v>1</v>
      </c>
      <c r="BI60">
        <f>SUMIFS(Tableau4[NB Remis],Tableau4[Réf matériel],Tableau5[[#This Row],[Réf matériel]],Tableau4[Matricule],"LSA")</f>
        <v>1</v>
      </c>
      <c r="BJ60" s="105" t="str">
        <f>IF(Tableau5[[#This Row],[Besoin LSA]]=Tableau5[[#This Row],[Remis LSA]],"OK","NOK")</f>
        <v>OK</v>
      </c>
      <c r="BK60">
        <v>1</v>
      </c>
      <c r="BL60">
        <f>SUMIFS(Tableau4[NB Remis],Tableau4[Réf matériel],Tableau5[[#This Row],[Réf matériel]],Tableau4[Matricule],"SST")</f>
        <v>1</v>
      </c>
      <c r="BM60" s="105" t="str">
        <f>IF(Tableau5[[#This Row],[Besoin SST]]=Tableau5[[#This Row],[Remis SST]],"OK","NOK")</f>
        <v>OK</v>
      </c>
      <c r="BO60">
        <f>SUMIFS(Tableau4[NB Remis],Tableau4[Réf matériel],Tableau5[[#This Row],[Réf matériel]],Tableau4[Matricule],"CTH")</f>
        <v>0</v>
      </c>
      <c r="BP60" s="105" t="str">
        <f>IF(Tableau5[[#This Row],[Besoin CTH]]=Tableau5[[#This Row],[Remis CTH]],"OK","NOK")</f>
        <v>OK</v>
      </c>
      <c r="BR60">
        <f>SUMIFS(Tableau4[NB Remis],Tableau4[Réf matériel],Tableau5[[#This Row],[Réf matériel]],Tableau4[Matricule],"AVU")</f>
        <v>0</v>
      </c>
      <c r="BS60" s="105" t="str">
        <f>IF(Tableau5[[#This Row],[Besoin AVU]]=Tableau5[[#This Row],[Remis AVU]],"OK","NOK")</f>
        <v>OK</v>
      </c>
      <c r="BT60">
        <v>1</v>
      </c>
      <c r="BU60">
        <f>SUMIFS(Tableau4[NB Remis],Tableau4[Réf matériel],Tableau5[[#This Row],[Réf matériel]],Tableau4[Matricule],"FZE")</f>
        <v>0</v>
      </c>
      <c r="BV60" s="105" t="str">
        <f>IF(Tableau5[[#This Row],[Besoin FZE]]=Tableau5[[#This Row],[Remis FZE]],"OK","NOK")</f>
        <v>NOK</v>
      </c>
      <c r="BW60">
        <v>1</v>
      </c>
      <c r="BX60">
        <f>SUMIFS(Tableau4[NB Remis],Tableau4[Réf matériel],Tableau5[[#This Row],[Réf matériel]],Tableau4[Matricule],"CV2")</f>
        <v>1</v>
      </c>
      <c r="BY60" s="105" t="str">
        <f>IF(Tableau5[[#This Row],[Besoin CV2]]=Tableau5[[#This Row],[Remis CV2]],"OK","NOK")</f>
        <v>OK</v>
      </c>
      <c r="BZ60">
        <v>1</v>
      </c>
      <c r="CA60">
        <f>SUMIFS(Tableau4[NB Remis],Tableau4[Réf matériel],Tableau5[[#This Row],[Réf matériel]],Tableau4[Matricule],"CV3")</f>
        <v>1</v>
      </c>
      <c r="CB60" s="105" t="str">
        <f>IF(Tableau5[[#This Row],[Besoin CV3]]=Tableau5[[#This Row],[Remis CV3]],"OK","NOK")</f>
        <v>OK</v>
      </c>
      <c r="CD60">
        <f>SUMIFS(Tableau4[NB Remis],Tableau4[Réf matériel],Tableau5[[#This Row],[Réf matériel]],Tableau4[Matricule],"CV1")</f>
        <v>0</v>
      </c>
      <c r="CE60" s="105" t="str">
        <f>IF(Tableau5[[#This Row],[Besoin CV1]]=Tableau5[[#This Row],[Remis CV1]],"OK","NOK")</f>
        <v>OK</v>
      </c>
      <c r="CG60">
        <f>SUMIFS(Tableau4[NB Remis],Tableau4[Réf matériel],Tableau5[[#This Row],[Réf matériel]],Tableau4[Matricule],"CV4")</f>
        <v>0</v>
      </c>
      <c r="CH60" s="106" t="str">
        <f>IF(Tableau5[[#This Row],[Besoin CV4]]=Tableau5[[#This Row],[Remis CV4]],"OK","NOK")</f>
        <v>OK</v>
      </c>
    </row>
    <row r="61" spans="2:86" x14ac:dyDescent="0.25">
      <c r="B61" t="s">
        <v>396</v>
      </c>
      <c r="C61">
        <v>1</v>
      </c>
      <c r="D61">
        <f>SUMIFS(Tableau4[NB Remis],Tableau4[Réf matériel],Tableau5[[#This Row],[Réf matériel]],Tableau4[Matricule],"OAI")</f>
        <v>1</v>
      </c>
      <c r="E61" s="105" t="str">
        <f>IF(Tableau5[[#This Row],[Besoin OAI]]=Tableau5[[#This Row],[Remis OAI]],"OK","NOK")</f>
        <v>OK</v>
      </c>
      <c r="F61">
        <v>1</v>
      </c>
      <c r="G61">
        <f>SUMIFS(Tableau4[NB Remis],Tableau4[Réf matériel],Tableau5[[#This Row],[Réf matériel]],Tableau4[Matricule],"ABE")</f>
        <v>1</v>
      </c>
      <c r="H61" s="105" t="str">
        <f>IF(Tableau5[[#This Row],[Besoin ABE]]=Tableau5[[#This Row],[Remis ABE]],"OK","NOK")</f>
        <v>OK</v>
      </c>
      <c r="J61">
        <f>SUMIFS(Tableau4[NB Remis],Tableau4[Réf matériel],Tableau5[[#This Row],[Réf matériel]],Tableau4[Matricule],"SBI")</f>
        <v>0</v>
      </c>
      <c r="K61" s="105" t="str">
        <f>IF(Tableau5[[#This Row],[Besoin SBI]]=Tableau5[[#This Row],[Remis SBI]],"OK","NOK")</f>
        <v>OK</v>
      </c>
      <c r="L61">
        <v>1</v>
      </c>
      <c r="M61">
        <f>SUMIFS(Tableau4[NB Remis],Tableau4[Réf matériel],Tableau5[[#This Row],[Réf matériel]],Tableau4[Matricule],"ABI")</f>
        <v>1</v>
      </c>
      <c r="N61" s="105" t="str">
        <f>IF(Tableau5[[#This Row],[Besoin ABI]]=Tableau5[[#This Row],[Remis ABI]],"OK","NOK")</f>
        <v>OK</v>
      </c>
      <c r="P61">
        <f>SUMIFS(Tableau4[NB Remis],Tableau4[Réf matériel],Tableau5[[#This Row],[Réf matériel]],Tableau4[Matricule],"DCE")</f>
        <v>0</v>
      </c>
      <c r="Q61" s="105" t="str">
        <f>IF(Tableau5[[#This Row],[Besoin DCE]]=Tableau5[[#This Row],[Remis DCE]],"OK","NOK")</f>
        <v>OK</v>
      </c>
      <c r="R61">
        <v>1</v>
      </c>
      <c r="S61">
        <f>SUMIFS(Tableau4[NB Remis],Tableau4[Réf matériel],Tableau5[[#This Row],[Réf matériel]],Tableau4[Matricule],"JDE")</f>
        <v>1</v>
      </c>
      <c r="T61" s="105" t="str">
        <f>IF(Tableau5[[#This Row],[Besoin JDE]]=Tableau5[[#This Row],[Remis JDE]],"OK","NOK")</f>
        <v>OK</v>
      </c>
      <c r="U61">
        <v>1</v>
      </c>
      <c r="V61">
        <f>SUMIFS(Tableau4[NB Remis],Tableau4[Réf matériel],Tableau5[[#This Row],[Réf matériel]],Tableau4[Matricule],"ODI")</f>
        <v>1</v>
      </c>
      <c r="W61" s="105" t="str">
        <f>IF(Tableau5[[#This Row],[Besoin ODI]]=Tableau5[[#This Row],[Remis ODI]],"OK","NOK")</f>
        <v>OK</v>
      </c>
      <c r="Y61">
        <f>SUMIFS(Tableau4[NB Remis],Tableau4[Réf matériel],Tableau5[[#This Row],[Réf matériel]],Tableau4[Matricule],"MFO")</f>
        <v>0</v>
      </c>
      <c r="Z61" s="105" t="str">
        <f>IF(Tableau5[[#This Row],[Besoin MFO]]=Tableau5[[#This Row],[Remis MFO]],"OK","NOK")</f>
        <v>OK</v>
      </c>
      <c r="AB61">
        <f>SUMIFS(Tableau4[NB Remis],Tableau4[Réf matériel],Tableau5[[#This Row],[Réf matériel]],Tableau4[Matricule],"SDU")</f>
        <v>0</v>
      </c>
      <c r="AC61" s="105" t="str">
        <f>IF(Tableau5[[#This Row],[Besoin SDU]]=Tableau5[[#This Row],[Remis SDU]],"OK","NOK")</f>
        <v>OK</v>
      </c>
      <c r="AE61">
        <f>SUMIFS(Tableau4[NB Remis],Tableau4[Réf matériel],Tableau5[[#This Row],[Réf matériel]],Tableau4[Matricule],"GGA")</f>
        <v>0</v>
      </c>
      <c r="AF61" s="105" t="str">
        <f>IF(Tableau5[[#This Row],[Besoin GGA2]]=Tableau5[[#This Row],[Remis GGA3]],"OK","NOK")</f>
        <v>OK</v>
      </c>
      <c r="AG61">
        <v>1</v>
      </c>
      <c r="AH61">
        <f>SUMIFS(Tableau4[NB Remis],Tableau4[Réf matériel],Tableau5[[#This Row],[Réf matériel]],Tableau4[Matricule],"RGE")</f>
        <v>2</v>
      </c>
      <c r="AI61" s="105" t="str">
        <f>IF(Tableau5[[#This Row],[Besoin RGE]]=Tableau5[[#This Row],[Remis RGE]],"OK","NOK")</f>
        <v>NOK</v>
      </c>
      <c r="AJ61">
        <v>1</v>
      </c>
      <c r="AK61">
        <f>SUMIFS(Tableau4[NB Remis],Tableau4[Réf matériel],Tableau5[[#This Row],[Réf matériel]],Tableau4[Matricule],"CKE")</f>
        <v>1</v>
      </c>
      <c r="AL61" s="105" t="str">
        <f>IF(Tableau5[[#This Row],[Besoin CKE]]=Tableau5[[#This Row],[Remis CKE]],"OK","NOK")</f>
        <v>OK</v>
      </c>
      <c r="AN61">
        <f>SUMIFS(Tableau4[NB Remis],Tableau4[Réf matériel],Tableau5[[#This Row],[Réf matériel]],Tableau4[Matricule],"DMA")</f>
        <v>0</v>
      </c>
      <c r="AO61" s="105" t="str">
        <f>IF(Tableau5[[#This Row],[Besoin DMA]]=Tableau5[[#This Row],[Remis DMA]],"OK","NOK")</f>
        <v>OK</v>
      </c>
      <c r="AQ61">
        <f>SUMIFS(Tableau4[NB Remis],Tableau4[Réf matériel],Tableau5[[#This Row],[Réf matériel]],Tableau4[Matricule],"LMO")</f>
        <v>0</v>
      </c>
      <c r="AR61" s="105" t="str">
        <f>IF(Tableau5[[#This Row],[Besoin LMO]]=Tableau5[[#This Row],[Remis LMO]],"OK","NOK")</f>
        <v>OK</v>
      </c>
      <c r="AS61">
        <v>1</v>
      </c>
      <c r="AT61">
        <f>SUMIFS(Tableau4[NB Remis],Tableau4[Réf matériel],Tableau5[[#This Row],[Réf matériel]],Tableau4[Matricule],"TMO")</f>
        <v>1</v>
      </c>
      <c r="AU61" s="105" t="str">
        <f>IF(Tableau5[[#This Row],[Besoin TMO]]=Tableau5[[#This Row],[Remis TMO]],"OK","NOK")</f>
        <v>OK</v>
      </c>
      <c r="AV61">
        <v>1</v>
      </c>
      <c r="AW61">
        <f>SUMIFS(Tableau4[NB Remis],Tableau4[Réf matériel],Tableau5[[#This Row],[Réf matériel]],Tableau4[Matricule],"JPA")</f>
        <v>1</v>
      </c>
      <c r="AX61" s="105" t="str">
        <f>IF(Tableau5[[#This Row],[Besoin JPA]]=Tableau5[[#This Row],[Remis JPA]],"OK","NOK")</f>
        <v>OK</v>
      </c>
      <c r="AY61">
        <v>1</v>
      </c>
      <c r="AZ61">
        <f>SUMIFS(Tableau4[NB Remis],Tableau4[Réf matériel],Tableau5[[#This Row],[Réf matériel]],Tableau4[Matricule],"MPE")</f>
        <v>1</v>
      </c>
      <c r="BA61" s="105" t="str">
        <f>IF(Tableau5[[#This Row],[Besoin MPE]]=Tableau5[[#This Row],[Remis MPE]],"OK","NOK")</f>
        <v>OK</v>
      </c>
      <c r="BB61">
        <v>2</v>
      </c>
      <c r="BC61">
        <f>SUMIFS(Tableau4[NB Remis],Tableau4[Réf matériel],Tableau5[[#This Row],[Réf matériel]],Tableau4[Matricule],"SPR")</f>
        <v>2</v>
      </c>
      <c r="BD61" s="105" t="str">
        <f>IF(Tableau5[[#This Row],[Besoin SPR]]=Tableau5[[#This Row],[Remis SPR]],"OK","NOK")</f>
        <v>OK</v>
      </c>
      <c r="BE61">
        <v>1</v>
      </c>
      <c r="BF61">
        <f>SUMIFS(Tableau4[NB Remis],Tableau4[Réf matériel],Tableau5[[#This Row],[Réf matériel]],Tableau4[Matricule],"MRO")</f>
        <v>1</v>
      </c>
      <c r="BG61" s="105" t="str">
        <f>IF(Tableau5[[#This Row],[Besoin MRO]]=Tableau5[[#This Row],[Remis MRO]],"OK","NOK")</f>
        <v>OK</v>
      </c>
      <c r="BH61">
        <v>1</v>
      </c>
      <c r="BI61">
        <f>SUMIFS(Tableau4[NB Remis],Tableau4[Réf matériel],Tableau5[[#This Row],[Réf matériel]],Tableau4[Matricule],"LSA")</f>
        <v>1</v>
      </c>
      <c r="BJ61" s="105" t="str">
        <f>IF(Tableau5[[#This Row],[Besoin LSA]]=Tableau5[[#This Row],[Remis LSA]],"OK","NOK")</f>
        <v>OK</v>
      </c>
      <c r="BK61">
        <v>1</v>
      </c>
      <c r="BL61">
        <f>SUMIFS(Tableau4[NB Remis],Tableau4[Réf matériel],Tableau5[[#This Row],[Réf matériel]],Tableau4[Matricule],"SST")</f>
        <v>1</v>
      </c>
      <c r="BM61" s="105" t="str">
        <f>IF(Tableau5[[#This Row],[Besoin SST]]=Tableau5[[#This Row],[Remis SST]],"OK","NOK")</f>
        <v>OK</v>
      </c>
      <c r="BO61">
        <f>SUMIFS(Tableau4[NB Remis],Tableau4[Réf matériel],Tableau5[[#This Row],[Réf matériel]],Tableau4[Matricule],"CTH")</f>
        <v>0</v>
      </c>
      <c r="BP61" s="105" t="str">
        <f>IF(Tableau5[[#This Row],[Besoin CTH]]=Tableau5[[#This Row],[Remis CTH]],"OK","NOK")</f>
        <v>OK</v>
      </c>
      <c r="BQ61">
        <v>1</v>
      </c>
      <c r="BR61">
        <f>SUMIFS(Tableau4[NB Remis],Tableau4[Réf matériel],Tableau5[[#This Row],[Réf matériel]],Tableau4[Matricule],"AVU")</f>
        <v>1</v>
      </c>
      <c r="BS61" s="105" t="str">
        <f>IF(Tableau5[[#This Row],[Besoin AVU]]=Tableau5[[#This Row],[Remis AVU]],"OK","NOK")</f>
        <v>OK</v>
      </c>
      <c r="BU61">
        <f>SUMIFS(Tableau4[NB Remis],Tableau4[Réf matériel],Tableau5[[#This Row],[Réf matériel]],Tableau4[Matricule],"FZE")</f>
        <v>0</v>
      </c>
      <c r="BV61" s="105" t="str">
        <f>IF(Tableau5[[#This Row],[Besoin FZE]]=Tableau5[[#This Row],[Remis FZE]],"OK","NOK")</f>
        <v>OK</v>
      </c>
      <c r="BW61">
        <v>1</v>
      </c>
      <c r="BX61">
        <f>SUMIFS(Tableau4[NB Remis],Tableau4[Réf matériel],Tableau5[[#This Row],[Réf matériel]],Tableau4[Matricule],"CV2")</f>
        <v>1</v>
      </c>
      <c r="BY61" s="105" t="str">
        <f>IF(Tableau5[[#This Row],[Besoin CV2]]=Tableau5[[#This Row],[Remis CV2]],"OK","NOK")</f>
        <v>OK</v>
      </c>
      <c r="BZ61">
        <v>1</v>
      </c>
      <c r="CA61">
        <f>SUMIFS(Tableau4[NB Remis],Tableau4[Réf matériel],Tableau5[[#This Row],[Réf matériel]],Tableau4[Matricule],"CV3")</f>
        <v>1</v>
      </c>
      <c r="CB61" s="105" t="str">
        <f>IF(Tableau5[[#This Row],[Besoin CV3]]=Tableau5[[#This Row],[Remis CV3]],"OK","NOK")</f>
        <v>OK</v>
      </c>
      <c r="CC61">
        <v>1</v>
      </c>
      <c r="CD61">
        <f>SUMIFS(Tableau4[NB Remis],Tableau4[Réf matériel],Tableau5[[#This Row],[Réf matériel]],Tableau4[Matricule],"CV1")</f>
        <v>1</v>
      </c>
      <c r="CE61" s="105" t="str">
        <f>IF(Tableau5[[#This Row],[Besoin CV1]]=Tableau5[[#This Row],[Remis CV1]],"OK","NOK")</f>
        <v>OK</v>
      </c>
      <c r="CF61">
        <v>1</v>
      </c>
      <c r="CG61">
        <f>SUMIFS(Tableau4[NB Remis],Tableau4[Réf matériel],Tableau5[[#This Row],[Réf matériel]],Tableau4[Matricule],"CV4")</f>
        <v>1</v>
      </c>
      <c r="CH61" s="106" t="str">
        <f>IF(Tableau5[[#This Row],[Besoin CV4]]=Tableau5[[#This Row],[Remis CV4]],"OK","NOK")</f>
        <v>OK</v>
      </c>
    </row>
    <row r="62" spans="2:86" x14ac:dyDescent="0.25">
      <c r="B62" t="s">
        <v>128</v>
      </c>
      <c r="D62">
        <f>SUMIFS(Tableau4[NB Remis],Tableau4[Réf matériel],Tableau5[[#This Row],[Réf matériel]],Tableau4[Matricule],"OAI")</f>
        <v>0</v>
      </c>
      <c r="E62" s="105" t="str">
        <f>IF(Tableau5[[#This Row],[Besoin OAI]]=Tableau5[[#This Row],[Remis OAI]],"OK","NOK")</f>
        <v>OK</v>
      </c>
      <c r="G62">
        <f>SUMIFS(Tableau4[NB Remis],Tableau4[Réf matériel],Tableau5[[#This Row],[Réf matériel]],Tableau4[Matricule],"ABE")</f>
        <v>0</v>
      </c>
      <c r="H62" s="105" t="str">
        <f>IF(Tableau5[[#This Row],[Besoin ABE]]=Tableau5[[#This Row],[Remis ABE]],"OK","NOK")</f>
        <v>OK</v>
      </c>
      <c r="J62">
        <f>SUMIFS(Tableau4[NB Remis],Tableau4[Réf matériel],Tableau5[[#This Row],[Réf matériel]],Tableau4[Matricule],"SBI")</f>
        <v>0</v>
      </c>
      <c r="K62" s="105" t="str">
        <f>IF(Tableau5[[#This Row],[Besoin SBI]]=Tableau5[[#This Row],[Remis SBI]],"OK","NOK")</f>
        <v>OK</v>
      </c>
      <c r="M62">
        <f>SUMIFS(Tableau4[NB Remis],Tableau4[Réf matériel],Tableau5[[#This Row],[Réf matériel]],Tableau4[Matricule],"ABI")</f>
        <v>0</v>
      </c>
      <c r="N62" s="105" t="str">
        <f>IF(Tableau5[[#This Row],[Besoin ABI]]=Tableau5[[#This Row],[Remis ABI]],"OK","NOK")</f>
        <v>OK</v>
      </c>
      <c r="P62">
        <f>SUMIFS(Tableau4[NB Remis],Tableau4[Réf matériel],Tableau5[[#This Row],[Réf matériel]],Tableau4[Matricule],"DCE")</f>
        <v>0</v>
      </c>
      <c r="Q62" s="105" t="str">
        <f>IF(Tableau5[[#This Row],[Besoin DCE]]=Tableau5[[#This Row],[Remis DCE]],"OK","NOK")</f>
        <v>OK</v>
      </c>
      <c r="S62">
        <f>SUMIFS(Tableau4[NB Remis],Tableau4[Réf matériel],Tableau5[[#This Row],[Réf matériel]],Tableau4[Matricule],"JDE")</f>
        <v>0</v>
      </c>
      <c r="T62" s="105" t="str">
        <f>IF(Tableau5[[#This Row],[Besoin JDE]]=Tableau5[[#This Row],[Remis JDE]],"OK","NOK")</f>
        <v>OK</v>
      </c>
      <c r="V62">
        <f>SUMIFS(Tableau4[NB Remis],Tableau4[Réf matériel],Tableau5[[#This Row],[Réf matériel]],Tableau4[Matricule],"ODI")</f>
        <v>0</v>
      </c>
      <c r="W62" s="105" t="str">
        <f>IF(Tableau5[[#This Row],[Besoin ODI]]=Tableau5[[#This Row],[Remis ODI]],"OK","NOK")</f>
        <v>OK</v>
      </c>
      <c r="Y62">
        <f>SUMIFS(Tableau4[NB Remis],Tableau4[Réf matériel],Tableau5[[#This Row],[Réf matériel]],Tableau4[Matricule],"MFO")</f>
        <v>0</v>
      </c>
      <c r="Z62" s="105" t="str">
        <f>IF(Tableau5[[#This Row],[Besoin MFO]]=Tableau5[[#This Row],[Remis MFO]],"OK","NOK")</f>
        <v>OK</v>
      </c>
      <c r="AB62">
        <f>SUMIFS(Tableau4[NB Remis],Tableau4[Réf matériel],Tableau5[[#This Row],[Réf matériel]],Tableau4[Matricule],"SDU")</f>
        <v>0</v>
      </c>
      <c r="AC62" s="105" t="str">
        <f>IF(Tableau5[[#This Row],[Besoin SDU]]=Tableau5[[#This Row],[Remis SDU]],"OK","NOK")</f>
        <v>OK</v>
      </c>
      <c r="AE62">
        <f>SUMIFS(Tableau4[NB Remis],Tableau4[Réf matériel],Tableau5[[#This Row],[Réf matériel]],Tableau4[Matricule],"GGA")</f>
        <v>0</v>
      </c>
      <c r="AF62" s="105" t="str">
        <f>IF(Tableau5[[#This Row],[Besoin GGA2]]=Tableau5[[#This Row],[Remis GGA3]],"OK","NOK")</f>
        <v>OK</v>
      </c>
      <c r="AH62">
        <f>SUMIFS(Tableau4[NB Remis],Tableau4[Réf matériel],Tableau5[[#This Row],[Réf matériel]],Tableau4[Matricule],"RGE")</f>
        <v>0</v>
      </c>
      <c r="AI62" s="105" t="str">
        <f>IF(Tableau5[[#This Row],[Besoin RGE]]=Tableau5[[#This Row],[Remis RGE]],"OK","NOK")</f>
        <v>OK</v>
      </c>
      <c r="AK62">
        <f>SUMIFS(Tableau4[NB Remis],Tableau4[Réf matériel],Tableau5[[#This Row],[Réf matériel]],Tableau4[Matricule],"CKE")</f>
        <v>0</v>
      </c>
      <c r="AL62" s="105" t="str">
        <f>IF(Tableau5[[#This Row],[Besoin CKE]]=Tableau5[[#This Row],[Remis CKE]],"OK","NOK")</f>
        <v>OK</v>
      </c>
      <c r="AN62">
        <f>SUMIFS(Tableau4[NB Remis],Tableau4[Réf matériel],Tableau5[[#This Row],[Réf matériel]],Tableau4[Matricule],"DMA")</f>
        <v>0</v>
      </c>
      <c r="AO62" s="105" t="str">
        <f>IF(Tableau5[[#This Row],[Besoin DMA]]=Tableau5[[#This Row],[Remis DMA]],"OK","NOK")</f>
        <v>OK</v>
      </c>
      <c r="AQ62">
        <f>SUMIFS(Tableau4[NB Remis],Tableau4[Réf matériel],Tableau5[[#This Row],[Réf matériel]],Tableau4[Matricule],"LMO")</f>
        <v>0</v>
      </c>
      <c r="AR62" s="105" t="str">
        <f>IF(Tableau5[[#This Row],[Besoin LMO]]=Tableau5[[#This Row],[Remis LMO]],"OK","NOK")</f>
        <v>OK</v>
      </c>
      <c r="AT62">
        <f>SUMIFS(Tableau4[NB Remis],Tableau4[Réf matériel],Tableau5[[#This Row],[Réf matériel]],Tableau4[Matricule],"TMO")</f>
        <v>0</v>
      </c>
      <c r="AU62" s="105" t="str">
        <f>IF(Tableau5[[#This Row],[Besoin TMO]]=Tableau5[[#This Row],[Remis TMO]],"OK","NOK")</f>
        <v>OK</v>
      </c>
      <c r="AW62">
        <f>SUMIFS(Tableau4[NB Remis],Tableau4[Réf matériel],Tableau5[[#This Row],[Réf matériel]],Tableau4[Matricule],"JPA")</f>
        <v>0</v>
      </c>
      <c r="AX62" s="105" t="str">
        <f>IF(Tableau5[[#This Row],[Besoin JPA]]=Tableau5[[#This Row],[Remis JPA]],"OK","NOK")</f>
        <v>OK</v>
      </c>
      <c r="AZ62">
        <f>SUMIFS(Tableau4[NB Remis],Tableau4[Réf matériel],Tableau5[[#This Row],[Réf matériel]],Tableau4[Matricule],"MPE")</f>
        <v>0</v>
      </c>
      <c r="BA62" s="105" t="str">
        <f>IF(Tableau5[[#This Row],[Besoin MPE]]=Tableau5[[#This Row],[Remis MPE]],"OK","NOK")</f>
        <v>OK</v>
      </c>
      <c r="BC62">
        <f>SUMIFS(Tableau4[NB Remis],Tableau4[Réf matériel],Tableau5[[#This Row],[Réf matériel]],Tableau4[Matricule],"SPR")</f>
        <v>0</v>
      </c>
      <c r="BD62" s="105" t="str">
        <f>IF(Tableau5[[#This Row],[Besoin SPR]]=Tableau5[[#This Row],[Remis SPR]],"OK","NOK")</f>
        <v>OK</v>
      </c>
      <c r="BE62">
        <v>1</v>
      </c>
      <c r="BF62">
        <f>SUMIFS(Tableau4[NB Remis],Tableau4[Réf matériel],Tableau5[[#This Row],[Réf matériel]],Tableau4[Matricule],"MRO")</f>
        <v>0</v>
      </c>
      <c r="BG62" s="105" t="str">
        <f>IF(Tableau5[[#This Row],[Besoin MRO]]=Tableau5[[#This Row],[Remis MRO]],"OK","NOK")</f>
        <v>NOK</v>
      </c>
      <c r="BI62">
        <f>SUMIFS(Tableau4[NB Remis],Tableau4[Réf matériel],Tableau5[[#This Row],[Réf matériel]],Tableau4[Matricule],"LSA")</f>
        <v>0</v>
      </c>
      <c r="BJ62" s="105" t="str">
        <f>IF(Tableau5[[#This Row],[Besoin LSA]]=Tableau5[[#This Row],[Remis LSA]],"OK","NOK")</f>
        <v>OK</v>
      </c>
      <c r="BK62">
        <v>1</v>
      </c>
      <c r="BL62">
        <f>SUMIFS(Tableau4[NB Remis],Tableau4[Réf matériel],Tableau5[[#This Row],[Réf matériel]],Tableau4[Matricule],"SST")</f>
        <v>1</v>
      </c>
      <c r="BM62" s="105" t="str">
        <f>IF(Tableau5[[#This Row],[Besoin SST]]=Tableau5[[#This Row],[Remis SST]],"OK","NOK")</f>
        <v>OK</v>
      </c>
      <c r="BO62">
        <f>SUMIFS(Tableau4[NB Remis],Tableau4[Réf matériel],Tableau5[[#This Row],[Réf matériel]],Tableau4[Matricule],"CTH")</f>
        <v>0</v>
      </c>
      <c r="BP62" s="105" t="str">
        <f>IF(Tableau5[[#This Row],[Besoin CTH]]=Tableau5[[#This Row],[Remis CTH]],"OK","NOK")</f>
        <v>OK</v>
      </c>
      <c r="BR62">
        <f>SUMIFS(Tableau4[NB Remis],Tableau4[Réf matériel],Tableau5[[#This Row],[Réf matériel]],Tableau4[Matricule],"AVU")</f>
        <v>0</v>
      </c>
      <c r="BS62" s="105" t="str">
        <f>IF(Tableau5[[#This Row],[Besoin AVU]]=Tableau5[[#This Row],[Remis AVU]],"OK","NOK")</f>
        <v>OK</v>
      </c>
      <c r="BU62">
        <f>SUMIFS(Tableau4[NB Remis],Tableau4[Réf matériel],Tableau5[[#This Row],[Réf matériel]],Tableau4[Matricule],"FZE")</f>
        <v>0</v>
      </c>
      <c r="BV62" s="105" t="str">
        <f>IF(Tableau5[[#This Row],[Besoin FZE]]=Tableau5[[#This Row],[Remis FZE]],"OK","NOK")</f>
        <v>OK</v>
      </c>
      <c r="BX62">
        <f>SUMIFS(Tableau4[NB Remis],Tableau4[Réf matériel],Tableau5[[#This Row],[Réf matériel]],Tableau4[Matricule],"CV2")</f>
        <v>0</v>
      </c>
      <c r="BY62" s="105" t="str">
        <f>IF(Tableau5[[#This Row],[Besoin CV2]]=Tableau5[[#This Row],[Remis CV2]],"OK","NOK")</f>
        <v>OK</v>
      </c>
      <c r="CA62">
        <f>SUMIFS(Tableau4[NB Remis],Tableau4[Réf matériel],Tableau5[[#This Row],[Réf matériel]],Tableau4[Matricule],"CV3")</f>
        <v>0</v>
      </c>
      <c r="CB62" s="105" t="str">
        <f>IF(Tableau5[[#This Row],[Besoin CV3]]=Tableau5[[#This Row],[Remis CV3]],"OK","NOK")</f>
        <v>OK</v>
      </c>
      <c r="CD62">
        <f>SUMIFS(Tableau4[NB Remis],Tableau4[Réf matériel],Tableau5[[#This Row],[Réf matériel]],Tableau4[Matricule],"CV1")</f>
        <v>0</v>
      </c>
      <c r="CE62" s="105" t="str">
        <f>IF(Tableau5[[#This Row],[Besoin CV1]]=Tableau5[[#This Row],[Remis CV1]],"OK","NOK")</f>
        <v>OK</v>
      </c>
      <c r="CG62">
        <f>SUMIFS(Tableau4[NB Remis],Tableau4[Réf matériel],Tableau5[[#This Row],[Réf matériel]],Tableau4[Matricule],"CV4")</f>
        <v>0</v>
      </c>
      <c r="CH62" s="106" t="str">
        <f>IF(Tableau5[[#This Row],[Besoin CV4]]=Tableau5[[#This Row],[Remis CV4]],"OK","NOK")</f>
        <v>OK</v>
      </c>
    </row>
    <row r="63" spans="2:86" x14ac:dyDescent="0.25">
      <c r="B63" t="s">
        <v>51</v>
      </c>
      <c r="C63">
        <v>1</v>
      </c>
      <c r="D63">
        <f>SUMIFS(Tableau4[NB Remis],Tableau4[Réf matériel],Tableau5[[#This Row],[Réf matériel]],Tableau4[Matricule],"OAI")</f>
        <v>1</v>
      </c>
      <c r="E63" s="105" t="str">
        <f>IF(Tableau5[[#This Row],[Besoin OAI]]=Tableau5[[#This Row],[Remis OAI]],"OK","NOK")</f>
        <v>OK</v>
      </c>
      <c r="F63">
        <v>1</v>
      </c>
      <c r="G63">
        <f>SUMIFS(Tableau4[NB Remis],Tableau4[Réf matériel],Tableau5[[#This Row],[Réf matériel]],Tableau4[Matricule],"ABE")</f>
        <v>1</v>
      </c>
      <c r="H63" s="105" t="str">
        <f>IF(Tableau5[[#This Row],[Besoin ABE]]=Tableau5[[#This Row],[Remis ABE]],"OK","NOK")</f>
        <v>OK</v>
      </c>
      <c r="J63">
        <f>SUMIFS(Tableau4[NB Remis],Tableau4[Réf matériel],Tableau5[[#This Row],[Réf matériel]],Tableau4[Matricule],"SBI")</f>
        <v>0</v>
      </c>
      <c r="K63" s="105" t="str">
        <f>IF(Tableau5[[#This Row],[Besoin SBI]]=Tableau5[[#This Row],[Remis SBI]],"OK","NOK")</f>
        <v>OK</v>
      </c>
      <c r="L63">
        <v>1</v>
      </c>
      <c r="M63">
        <f>SUMIFS(Tableau4[NB Remis],Tableau4[Réf matériel],Tableau5[[#This Row],[Réf matériel]],Tableau4[Matricule],"ABI")</f>
        <v>1</v>
      </c>
      <c r="N63" s="105" t="str">
        <f>IF(Tableau5[[#This Row],[Besoin ABI]]=Tableau5[[#This Row],[Remis ABI]],"OK","NOK")</f>
        <v>OK</v>
      </c>
      <c r="P63">
        <f>SUMIFS(Tableau4[NB Remis],Tableau4[Réf matériel],Tableau5[[#This Row],[Réf matériel]],Tableau4[Matricule],"DCE")</f>
        <v>0</v>
      </c>
      <c r="Q63" s="105" t="str">
        <f>IF(Tableau5[[#This Row],[Besoin DCE]]=Tableau5[[#This Row],[Remis DCE]],"OK","NOK")</f>
        <v>OK</v>
      </c>
      <c r="R63">
        <v>1</v>
      </c>
      <c r="S63">
        <f>SUMIFS(Tableau4[NB Remis],Tableau4[Réf matériel],Tableau5[[#This Row],[Réf matériel]],Tableau4[Matricule],"JDE")</f>
        <v>1</v>
      </c>
      <c r="T63" s="105" t="str">
        <f>IF(Tableau5[[#This Row],[Besoin JDE]]=Tableau5[[#This Row],[Remis JDE]],"OK","NOK")</f>
        <v>OK</v>
      </c>
      <c r="U63">
        <v>1</v>
      </c>
      <c r="V63">
        <f>SUMIFS(Tableau4[NB Remis],Tableau4[Réf matériel],Tableau5[[#This Row],[Réf matériel]],Tableau4[Matricule],"ODI")</f>
        <v>1</v>
      </c>
      <c r="W63" s="105" t="str">
        <f>IF(Tableau5[[#This Row],[Besoin ODI]]=Tableau5[[#This Row],[Remis ODI]],"OK","NOK")</f>
        <v>OK</v>
      </c>
      <c r="Y63">
        <f>SUMIFS(Tableau4[NB Remis],Tableau4[Réf matériel],Tableau5[[#This Row],[Réf matériel]],Tableau4[Matricule],"MFO")</f>
        <v>0</v>
      </c>
      <c r="Z63" s="105" t="str">
        <f>IF(Tableau5[[#This Row],[Besoin MFO]]=Tableau5[[#This Row],[Remis MFO]],"OK","NOK")</f>
        <v>OK</v>
      </c>
      <c r="AB63">
        <f>SUMIFS(Tableau4[NB Remis],Tableau4[Réf matériel],Tableau5[[#This Row],[Réf matériel]],Tableau4[Matricule],"SDU")</f>
        <v>0</v>
      </c>
      <c r="AC63" s="105" t="str">
        <f>IF(Tableau5[[#This Row],[Besoin SDU]]=Tableau5[[#This Row],[Remis SDU]],"OK","NOK")</f>
        <v>OK</v>
      </c>
      <c r="AE63">
        <f>SUMIFS(Tableau4[NB Remis],Tableau4[Réf matériel],Tableau5[[#This Row],[Réf matériel]],Tableau4[Matricule],"GGA")</f>
        <v>0</v>
      </c>
      <c r="AF63" s="105" t="str">
        <f>IF(Tableau5[[#This Row],[Besoin GGA2]]=Tableau5[[#This Row],[Remis GGA3]],"OK","NOK")</f>
        <v>OK</v>
      </c>
      <c r="AG63">
        <v>1</v>
      </c>
      <c r="AH63">
        <f>SUMIFS(Tableau4[NB Remis],Tableau4[Réf matériel],Tableau5[[#This Row],[Réf matériel]],Tableau4[Matricule],"RGE")</f>
        <v>2</v>
      </c>
      <c r="AI63" s="105" t="str">
        <f>IF(Tableau5[[#This Row],[Besoin RGE]]=Tableau5[[#This Row],[Remis RGE]],"OK","NOK")</f>
        <v>NOK</v>
      </c>
      <c r="AJ63">
        <v>1</v>
      </c>
      <c r="AK63">
        <f>SUMIFS(Tableau4[NB Remis],Tableau4[Réf matériel],Tableau5[[#This Row],[Réf matériel]],Tableau4[Matricule],"CKE")</f>
        <v>1</v>
      </c>
      <c r="AL63" s="105" t="str">
        <f>IF(Tableau5[[#This Row],[Besoin CKE]]=Tableau5[[#This Row],[Remis CKE]],"OK","NOK")</f>
        <v>OK</v>
      </c>
      <c r="AN63">
        <f>SUMIFS(Tableau4[NB Remis],Tableau4[Réf matériel],Tableau5[[#This Row],[Réf matériel]],Tableau4[Matricule],"DMA")</f>
        <v>0</v>
      </c>
      <c r="AO63" s="105" t="str">
        <f>IF(Tableau5[[#This Row],[Besoin DMA]]=Tableau5[[#This Row],[Remis DMA]],"OK","NOK")</f>
        <v>OK</v>
      </c>
      <c r="AQ63">
        <f>SUMIFS(Tableau4[NB Remis],Tableau4[Réf matériel],Tableau5[[#This Row],[Réf matériel]],Tableau4[Matricule],"LMO")</f>
        <v>0</v>
      </c>
      <c r="AR63" s="105" t="str">
        <f>IF(Tableau5[[#This Row],[Besoin LMO]]=Tableau5[[#This Row],[Remis LMO]],"OK","NOK")</f>
        <v>OK</v>
      </c>
      <c r="AS63">
        <v>1</v>
      </c>
      <c r="AT63">
        <f>SUMIFS(Tableau4[NB Remis],Tableau4[Réf matériel],Tableau5[[#This Row],[Réf matériel]],Tableau4[Matricule],"TMO")</f>
        <v>1</v>
      </c>
      <c r="AU63" s="105" t="str">
        <f>IF(Tableau5[[#This Row],[Besoin TMO]]=Tableau5[[#This Row],[Remis TMO]],"OK","NOK")</f>
        <v>OK</v>
      </c>
      <c r="AV63">
        <v>1</v>
      </c>
      <c r="AW63">
        <f>SUMIFS(Tableau4[NB Remis],Tableau4[Réf matériel],Tableau5[[#This Row],[Réf matériel]],Tableau4[Matricule],"JPA")</f>
        <v>1</v>
      </c>
      <c r="AX63" s="105" t="str">
        <f>IF(Tableau5[[#This Row],[Besoin JPA]]=Tableau5[[#This Row],[Remis JPA]],"OK","NOK")</f>
        <v>OK</v>
      </c>
      <c r="AZ63">
        <f>SUMIFS(Tableau4[NB Remis],Tableau4[Réf matériel],Tableau5[[#This Row],[Réf matériel]],Tableau4[Matricule],"MPE")</f>
        <v>0</v>
      </c>
      <c r="BA63" s="105" t="str">
        <f>IF(Tableau5[[#This Row],[Besoin MPE]]=Tableau5[[#This Row],[Remis MPE]],"OK","NOK")</f>
        <v>OK</v>
      </c>
      <c r="BB63">
        <v>1</v>
      </c>
      <c r="BC63">
        <f>SUMIFS(Tableau4[NB Remis],Tableau4[Réf matériel],Tableau5[[#This Row],[Réf matériel]],Tableau4[Matricule],"SPR")</f>
        <v>1</v>
      </c>
      <c r="BD63" s="105" t="str">
        <f>IF(Tableau5[[#This Row],[Besoin SPR]]=Tableau5[[#This Row],[Remis SPR]],"OK","NOK")</f>
        <v>OK</v>
      </c>
      <c r="BE63">
        <v>1</v>
      </c>
      <c r="BF63">
        <f>SUMIFS(Tableau4[NB Remis],Tableau4[Réf matériel],Tableau5[[#This Row],[Réf matériel]],Tableau4[Matricule],"MRO")</f>
        <v>1</v>
      </c>
      <c r="BG63" s="105" t="str">
        <f>IF(Tableau5[[#This Row],[Besoin MRO]]=Tableau5[[#This Row],[Remis MRO]],"OK","NOK")</f>
        <v>OK</v>
      </c>
      <c r="BH63">
        <v>1</v>
      </c>
      <c r="BI63">
        <f>SUMIFS(Tableau4[NB Remis],Tableau4[Réf matériel],Tableau5[[#This Row],[Réf matériel]],Tableau4[Matricule],"LSA")</f>
        <v>1</v>
      </c>
      <c r="BJ63" s="105" t="str">
        <f>IF(Tableau5[[#This Row],[Besoin LSA]]=Tableau5[[#This Row],[Remis LSA]],"OK","NOK")</f>
        <v>OK</v>
      </c>
      <c r="BK63">
        <v>1</v>
      </c>
      <c r="BL63">
        <f>SUMIFS(Tableau4[NB Remis],Tableau4[Réf matériel],Tableau5[[#This Row],[Réf matériel]],Tableau4[Matricule],"SST")</f>
        <v>1</v>
      </c>
      <c r="BM63" s="105" t="str">
        <f>IF(Tableau5[[#This Row],[Besoin SST]]=Tableau5[[#This Row],[Remis SST]],"OK","NOK")</f>
        <v>OK</v>
      </c>
      <c r="BO63">
        <f>SUMIFS(Tableau4[NB Remis],Tableau4[Réf matériel],Tableau5[[#This Row],[Réf matériel]],Tableau4[Matricule],"CTH")</f>
        <v>0</v>
      </c>
      <c r="BP63" s="105" t="str">
        <f>IF(Tableau5[[#This Row],[Besoin CTH]]=Tableau5[[#This Row],[Remis CTH]],"OK","NOK")</f>
        <v>OK</v>
      </c>
      <c r="BQ63">
        <v>1</v>
      </c>
      <c r="BR63">
        <f>SUMIFS(Tableau4[NB Remis],Tableau4[Réf matériel],Tableau5[[#This Row],[Réf matériel]],Tableau4[Matricule],"AVU")</f>
        <v>1</v>
      </c>
      <c r="BS63" s="105" t="str">
        <f>IF(Tableau5[[#This Row],[Besoin AVU]]=Tableau5[[#This Row],[Remis AVU]],"OK","NOK")</f>
        <v>OK</v>
      </c>
      <c r="BT63">
        <v>1</v>
      </c>
      <c r="BU63">
        <f>SUMIFS(Tableau4[NB Remis],Tableau4[Réf matériel],Tableau5[[#This Row],[Réf matériel]],Tableau4[Matricule],"FZE")</f>
        <v>1</v>
      </c>
      <c r="BV63" s="105" t="str">
        <f>IF(Tableau5[[#This Row],[Besoin FZE]]=Tableau5[[#This Row],[Remis FZE]],"OK","NOK")</f>
        <v>OK</v>
      </c>
      <c r="BW63">
        <v>1</v>
      </c>
      <c r="BX63">
        <f>SUMIFS(Tableau4[NB Remis],Tableau4[Réf matériel],Tableau5[[#This Row],[Réf matériel]],Tableau4[Matricule],"CV2")</f>
        <v>1</v>
      </c>
      <c r="BY63" s="105" t="str">
        <f>IF(Tableau5[[#This Row],[Besoin CV2]]=Tableau5[[#This Row],[Remis CV2]],"OK","NOK")</f>
        <v>OK</v>
      </c>
      <c r="BZ63">
        <v>1</v>
      </c>
      <c r="CA63">
        <f>SUMIFS(Tableau4[NB Remis],Tableau4[Réf matériel],Tableau5[[#This Row],[Réf matériel]],Tableau4[Matricule],"CV3")</f>
        <v>1</v>
      </c>
      <c r="CB63" s="105" t="str">
        <f>IF(Tableau5[[#This Row],[Besoin CV3]]=Tableau5[[#This Row],[Remis CV3]],"OK","NOK")</f>
        <v>OK</v>
      </c>
      <c r="CC63">
        <v>1</v>
      </c>
      <c r="CD63">
        <f>SUMIFS(Tableau4[NB Remis],Tableau4[Réf matériel],Tableau5[[#This Row],[Réf matériel]],Tableau4[Matricule],"CV1")</f>
        <v>1</v>
      </c>
      <c r="CE63" s="105" t="str">
        <f>IF(Tableau5[[#This Row],[Besoin CV1]]=Tableau5[[#This Row],[Remis CV1]],"OK","NOK")</f>
        <v>OK</v>
      </c>
      <c r="CF63">
        <v>1</v>
      </c>
      <c r="CG63">
        <f>SUMIFS(Tableau4[NB Remis],Tableau4[Réf matériel],Tableau5[[#This Row],[Réf matériel]],Tableau4[Matricule],"CV4")</f>
        <v>1</v>
      </c>
      <c r="CH63" s="106" t="str">
        <f>IF(Tableau5[[#This Row],[Besoin CV4]]=Tableau5[[#This Row],[Remis CV4]],"OK","NOK")</f>
        <v>OK</v>
      </c>
    </row>
    <row r="64" spans="2:86" x14ac:dyDescent="0.25">
      <c r="B64" t="s">
        <v>55</v>
      </c>
      <c r="C64">
        <v>1</v>
      </c>
      <c r="D64">
        <f>SUMIFS(Tableau4[NB Remis],Tableau4[Réf matériel],Tableau5[[#This Row],[Réf matériel]],Tableau4[Matricule],"OAI")</f>
        <v>1</v>
      </c>
      <c r="E64" s="105" t="str">
        <f>IF(Tableau5[[#This Row],[Besoin OAI]]=Tableau5[[#This Row],[Remis OAI]],"OK","NOK")</f>
        <v>OK</v>
      </c>
      <c r="F64">
        <v>1</v>
      </c>
      <c r="G64">
        <f>SUMIFS(Tableau4[NB Remis],Tableau4[Réf matériel],Tableau5[[#This Row],[Réf matériel]],Tableau4[Matricule],"ABE")</f>
        <v>1</v>
      </c>
      <c r="H64" s="105" t="str">
        <f>IF(Tableau5[[#This Row],[Besoin ABE]]=Tableau5[[#This Row],[Remis ABE]],"OK","NOK")</f>
        <v>OK</v>
      </c>
      <c r="J64">
        <f>SUMIFS(Tableau4[NB Remis],Tableau4[Réf matériel],Tableau5[[#This Row],[Réf matériel]],Tableau4[Matricule],"SBI")</f>
        <v>0</v>
      </c>
      <c r="K64" s="105" t="str">
        <f>IF(Tableau5[[#This Row],[Besoin SBI]]=Tableau5[[#This Row],[Remis SBI]],"OK","NOK")</f>
        <v>OK</v>
      </c>
      <c r="L64">
        <v>1</v>
      </c>
      <c r="M64">
        <f>SUMIFS(Tableau4[NB Remis],Tableau4[Réf matériel],Tableau5[[#This Row],[Réf matériel]],Tableau4[Matricule],"ABI")</f>
        <v>1</v>
      </c>
      <c r="N64" s="105" t="str">
        <f>IF(Tableau5[[#This Row],[Besoin ABI]]=Tableau5[[#This Row],[Remis ABI]],"OK","NOK")</f>
        <v>OK</v>
      </c>
      <c r="P64">
        <f>SUMIFS(Tableau4[NB Remis],Tableau4[Réf matériel],Tableau5[[#This Row],[Réf matériel]],Tableau4[Matricule],"DCE")</f>
        <v>0</v>
      </c>
      <c r="Q64" s="105" t="str">
        <f>IF(Tableau5[[#This Row],[Besoin DCE]]=Tableau5[[#This Row],[Remis DCE]],"OK","NOK")</f>
        <v>OK</v>
      </c>
      <c r="R64">
        <v>1</v>
      </c>
      <c r="S64">
        <f>SUMIFS(Tableau4[NB Remis],Tableau4[Réf matériel],Tableau5[[#This Row],[Réf matériel]],Tableau4[Matricule],"JDE")</f>
        <v>1</v>
      </c>
      <c r="T64" s="105" t="str">
        <f>IF(Tableau5[[#This Row],[Besoin JDE]]=Tableau5[[#This Row],[Remis JDE]],"OK","NOK")</f>
        <v>OK</v>
      </c>
      <c r="U64">
        <v>1</v>
      </c>
      <c r="V64">
        <f>SUMIFS(Tableau4[NB Remis],Tableau4[Réf matériel],Tableau5[[#This Row],[Réf matériel]],Tableau4[Matricule],"ODI")</f>
        <v>1</v>
      </c>
      <c r="W64" s="105" t="str">
        <f>IF(Tableau5[[#This Row],[Besoin ODI]]=Tableau5[[#This Row],[Remis ODI]],"OK","NOK")</f>
        <v>OK</v>
      </c>
      <c r="Y64">
        <f>SUMIFS(Tableau4[NB Remis],Tableau4[Réf matériel],Tableau5[[#This Row],[Réf matériel]],Tableau4[Matricule],"MFO")</f>
        <v>0</v>
      </c>
      <c r="Z64" s="105" t="str">
        <f>IF(Tableau5[[#This Row],[Besoin MFO]]=Tableau5[[#This Row],[Remis MFO]],"OK","NOK")</f>
        <v>OK</v>
      </c>
      <c r="AB64">
        <f>SUMIFS(Tableau4[NB Remis],Tableau4[Réf matériel],Tableau5[[#This Row],[Réf matériel]],Tableau4[Matricule],"SDU")</f>
        <v>0</v>
      </c>
      <c r="AC64" s="105" t="str">
        <f>IF(Tableau5[[#This Row],[Besoin SDU]]=Tableau5[[#This Row],[Remis SDU]],"OK","NOK")</f>
        <v>OK</v>
      </c>
      <c r="AD64">
        <v>1</v>
      </c>
      <c r="AE64">
        <f>SUMIFS(Tableau4[NB Remis],Tableau4[Réf matériel],Tableau5[[#This Row],[Réf matériel]],Tableau4[Matricule],"GGA")</f>
        <v>1</v>
      </c>
      <c r="AF64" s="105" t="str">
        <f>IF(Tableau5[[#This Row],[Besoin GGA2]]=Tableau5[[#This Row],[Remis GGA3]],"OK","NOK")</f>
        <v>OK</v>
      </c>
      <c r="AG64">
        <v>1</v>
      </c>
      <c r="AH64">
        <f>SUMIFS(Tableau4[NB Remis],Tableau4[Réf matériel],Tableau5[[#This Row],[Réf matériel]],Tableau4[Matricule],"RGE")</f>
        <v>2</v>
      </c>
      <c r="AI64" s="105" t="str">
        <f>IF(Tableau5[[#This Row],[Besoin RGE]]=Tableau5[[#This Row],[Remis RGE]],"OK","NOK")</f>
        <v>NOK</v>
      </c>
      <c r="AJ64">
        <v>1</v>
      </c>
      <c r="AK64">
        <f>SUMIFS(Tableau4[NB Remis],Tableau4[Réf matériel],Tableau5[[#This Row],[Réf matériel]],Tableau4[Matricule],"CKE")</f>
        <v>1</v>
      </c>
      <c r="AL64" s="105" t="str">
        <f>IF(Tableau5[[#This Row],[Besoin CKE]]=Tableau5[[#This Row],[Remis CKE]],"OK","NOK")</f>
        <v>OK</v>
      </c>
      <c r="AN64">
        <f>SUMIFS(Tableau4[NB Remis],Tableau4[Réf matériel],Tableau5[[#This Row],[Réf matériel]],Tableau4[Matricule],"DMA")</f>
        <v>0</v>
      </c>
      <c r="AO64" s="105" t="str">
        <f>IF(Tableau5[[#This Row],[Besoin DMA]]=Tableau5[[#This Row],[Remis DMA]],"OK","NOK")</f>
        <v>OK</v>
      </c>
      <c r="AQ64">
        <f>SUMIFS(Tableau4[NB Remis],Tableau4[Réf matériel],Tableau5[[#This Row],[Réf matériel]],Tableau4[Matricule],"LMO")</f>
        <v>0</v>
      </c>
      <c r="AR64" s="105" t="str">
        <f>IF(Tableau5[[#This Row],[Besoin LMO]]=Tableau5[[#This Row],[Remis LMO]],"OK","NOK")</f>
        <v>OK</v>
      </c>
      <c r="AS64">
        <v>1</v>
      </c>
      <c r="AT64">
        <f>SUMIFS(Tableau4[NB Remis],Tableau4[Réf matériel],Tableau5[[#This Row],[Réf matériel]],Tableau4[Matricule],"TMO")</f>
        <v>1</v>
      </c>
      <c r="AU64" s="105" t="str">
        <f>IF(Tableau5[[#This Row],[Besoin TMO]]=Tableau5[[#This Row],[Remis TMO]],"OK","NOK")</f>
        <v>OK</v>
      </c>
      <c r="AV64">
        <v>1</v>
      </c>
      <c r="AW64">
        <f>SUMIFS(Tableau4[NB Remis],Tableau4[Réf matériel],Tableau5[[#This Row],[Réf matériel]],Tableau4[Matricule],"JPA")</f>
        <v>1</v>
      </c>
      <c r="AX64" s="105" t="str">
        <f>IF(Tableau5[[#This Row],[Besoin JPA]]=Tableau5[[#This Row],[Remis JPA]],"OK","NOK")</f>
        <v>OK</v>
      </c>
      <c r="AY64">
        <v>1</v>
      </c>
      <c r="AZ64">
        <f>SUMIFS(Tableau4[NB Remis],Tableau4[Réf matériel],Tableau5[[#This Row],[Réf matériel]],Tableau4[Matricule],"MPE")</f>
        <v>1</v>
      </c>
      <c r="BA64" s="105" t="str">
        <f>IF(Tableau5[[#This Row],[Besoin MPE]]=Tableau5[[#This Row],[Remis MPE]],"OK","NOK")</f>
        <v>OK</v>
      </c>
      <c r="BB64">
        <v>1</v>
      </c>
      <c r="BC64">
        <f>SUMIFS(Tableau4[NB Remis],Tableau4[Réf matériel],Tableau5[[#This Row],[Réf matériel]],Tableau4[Matricule],"SPR")</f>
        <v>1</v>
      </c>
      <c r="BD64" s="105" t="str">
        <f>IF(Tableau5[[#This Row],[Besoin SPR]]=Tableau5[[#This Row],[Remis SPR]],"OK","NOK")</f>
        <v>OK</v>
      </c>
      <c r="BE64">
        <v>1</v>
      </c>
      <c r="BF64">
        <f>SUMIFS(Tableau4[NB Remis],Tableau4[Réf matériel],Tableau5[[#This Row],[Réf matériel]],Tableau4[Matricule],"MRO")</f>
        <v>1</v>
      </c>
      <c r="BG64" s="105" t="str">
        <f>IF(Tableau5[[#This Row],[Besoin MRO]]=Tableau5[[#This Row],[Remis MRO]],"OK","NOK")</f>
        <v>OK</v>
      </c>
      <c r="BH64">
        <v>1</v>
      </c>
      <c r="BI64">
        <f>SUMIFS(Tableau4[NB Remis],Tableau4[Réf matériel],Tableau5[[#This Row],[Réf matériel]],Tableau4[Matricule],"LSA")</f>
        <v>1</v>
      </c>
      <c r="BJ64" s="105" t="str">
        <f>IF(Tableau5[[#This Row],[Besoin LSA]]=Tableau5[[#This Row],[Remis LSA]],"OK","NOK")</f>
        <v>OK</v>
      </c>
      <c r="BK64">
        <v>1</v>
      </c>
      <c r="BL64">
        <f>SUMIFS(Tableau4[NB Remis],Tableau4[Réf matériel],Tableau5[[#This Row],[Réf matériel]],Tableau4[Matricule],"SST")</f>
        <v>1</v>
      </c>
      <c r="BM64" s="105" t="str">
        <f>IF(Tableau5[[#This Row],[Besoin SST]]=Tableau5[[#This Row],[Remis SST]],"OK","NOK")</f>
        <v>OK</v>
      </c>
      <c r="BO64">
        <f>SUMIFS(Tableau4[NB Remis],Tableau4[Réf matériel],Tableau5[[#This Row],[Réf matériel]],Tableau4[Matricule],"CTH")</f>
        <v>0</v>
      </c>
      <c r="BP64" s="105" t="str">
        <f>IF(Tableau5[[#This Row],[Besoin CTH]]=Tableau5[[#This Row],[Remis CTH]],"OK","NOK")</f>
        <v>OK</v>
      </c>
      <c r="BQ64">
        <v>1</v>
      </c>
      <c r="BR64">
        <f>SUMIFS(Tableau4[NB Remis],Tableau4[Réf matériel],Tableau5[[#This Row],[Réf matériel]],Tableau4[Matricule],"AVU")</f>
        <v>1</v>
      </c>
      <c r="BS64" s="105" t="str">
        <f>IF(Tableau5[[#This Row],[Besoin AVU]]=Tableau5[[#This Row],[Remis AVU]],"OK","NOK")</f>
        <v>OK</v>
      </c>
      <c r="BU64">
        <f>SUMIFS(Tableau4[NB Remis],Tableau4[Réf matériel],Tableau5[[#This Row],[Réf matériel]],Tableau4[Matricule],"FZE")</f>
        <v>0</v>
      </c>
      <c r="BV64" s="105" t="str">
        <f>IF(Tableau5[[#This Row],[Besoin FZE]]=Tableau5[[#This Row],[Remis FZE]],"OK","NOK")</f>
        <v>OK</v>
      </c>
      <c r="BW64">
        <v>1</v>
      </c>
      <c r="BX64">
        <f>SUMIFS(Tableau4[NB Remis],Tableau4[Réf matériel],Tableau5[[#This Row],[Réf matériel]],Tableau4[Matricule],"CV2")</f>
        <v>1</v>
      </c>
      <c r="BY64" s="105" t="str">
        <f>IF(Tableau5[[#This Row],[Besoin CV2]]=Tableau5[[#This Row],[Remis CV2]],"OK","NOK")</f>
        <v>OK</v>
      </c>
      <c r="BZ64">
        <v>1</v>
      </c>
      <c r="CA64">
        <f>SUMIFS(Tableau4[NB Remis],Tableau4[Réf matériel],Tableau5[[#This Row],[Réf matériel]],Tableau4[Matricule],"CV3")</f>
        <v>1</v>
      </c>
      <c r="CB64" s="105" t="str">
        <f>IF(Tableau5[[#This Row],[Besoin CV3]]=Tableau5[[#This Row],[Remis CV3]],"OK","NOK")</f>
        <v>OK</v>
      </c>
      <c r="CC64">
        <v>1</v>
      </c>
      <c r="CD64">
        <f>SUMIFS(Tableau4[NB Remis],Tableau4[Réf matériel],Tableau5[[#This Row],[Réf matériel]],Tableau4[Matricule],"CV1")</f>
        <v>1</v>
      </c>
      <c r="CE64" s="105" t="str">
        <f>IF(Tableau5[[#This Row],[Besoin CV1]]=Tableau5[[#This Row],[Remis CV1]],"OK","NOK")</f>
        <v>OK</v>
      </c>
      <c r="CF64">
        <v>1</v>
      </c>
      <c r="CG64">
        <f>SUMIFS(Tableau4[NB Remis],Tableau4[Réf matériel],Tableau5[[#This Row],[Réf matériel]],Tableau4[Matricule],"CV4")</f>
        <v>1</v>
      </c>
      <c r="CH64" s="106" t="str">
        <f>IF(Tableau5[[#This Row],[Besoin CV4]]=Tableau5[[#This Row],[Remis CV4]],"OK","NOK")</f>
        <v>OK</v>
      </c>
    </row>
    <row r="65" spans="2:86" x14ac:dyDescent="0.25">
      <c r="B65" t="s">
        <v>287</v>
      </c>
      <c r="C65">
        <v>1</v>
      </c>
      <c r="D65">
        <f>SUMIFS(Tableau4[NB Remis],Tableau4[Réf matériel],Tableau5[[#This Row],[Réf matériel]],Tableau4[Matricule],"OAI")</f>
        <v>1</v>
      </c>
      <c r="E65" s="105" t="str">
        <f>IF(Tableau5[[#This Row],[Besoin OAI]]=Tableau5[[#This Row],[Remis OAI]],"OK","NOK")</f>
        <v>OK</v>
      </c>
      <c r="F65">
        <v>1</v>
      </c>
      <c r="G65">
        <f>SUMIFS(Tableau4[NB Remis],Tableau4[Réf matériel],Tableau5[[#This Row],[Réf matériel]],Tableau4[Matricule],"ABE")</f>
        <v>1</v>
      </c>
      <c r="H65" s="105" t="str">
        <f>IF(Tableau5[[#This Row],[Besoin ABE]]=Tableau5[[#This Row],[Remis ABE]],"OK","NOK")</f>
        <v>OK</v>
      </c>
      <c r="J65">
        <f>SUMIFS(Tableau4[NB Remis],Tableau4[Réf matériel],Tableau5[[#This Row],[Réf matériel]],Tableau4[Matricule],"SBI")</f>
        <v>0</v>
      </c>
      <c r="K65" s="105" t="str">
        <f>IF(Tableau5[[#This Row],[Besoin SBI]]=Tableau5[[#This Row],[Remis SBI]],"OK","NOK")</f>
        <v>OK</v>
      </c>
      <c r="L65">
        <v>1</v>
      </c>
      <c r="M65">
        <f>SUMIFS(Tableau4[NB Remis],Tableau4[Réf matériel],Tableau5[[#This Row],[Réf matériel]],Tableau4[Matricule],"ABI")</f>
        <v>1</v>
      </c>
      <c r="N65" s="105" t="str">
        <f>IF(Tableau5[[#This Row],[Besoin ABI]]=Tableau5[[#This Row],[Remis ABI]],"OK","NOK")</f>
        <v>OK</v>
      </c>
      <c r="P65">
        <f>SUMIFS(Tableau4[NB Remis],Tableau4[Réf matériel],Tableau5[[#This Row],[Réf matériel]],Tableau4[Matricule],"DCE")</f>
        <v>0</v>
      </c>
      <c r="Q65" s="105" t="str">
        <f>IF(Tableau5[[#This Row],[Besoin DCE]]=Tableau5[[#This Row],[Remis DCE]],"OK","NOK")</f>
        <v>OK</v>
      </c>
      <c r="R65">
        <v>1</v>
      </c>
      <c r="S65">
        <f>SUMIFS(Tableau4[NB Remis],Tableau4[Réf matériel],Tableau5[[#This Row],[Réf matériel]],Tableau4[Matricule],"JDE")</f>
        <v>1</v>
      </c>
      <c r="T65" s="105" t="str">
        <f>IF(Tableau5[[#This Row],[Besoin JDE]]=Tableau5[[#This Row],[Remis JDE]],"OK","NOK")</f>
        <v>OK</v>
      </c>
      <c r="U65">
        <v>1</v>
      </c>
      <c r="V65">
        <f>SUMIFS(Tableau4[NB Remis],Tableau4[Réf matériel],Tableau5[[#This Row],[Réf matériel]],Tableau4[Matricule],"ODI")</f>
        <v>1</v>
      </c>
      <c r="W65" s="105" t="str">
        <f>IF(Tableau5[[#This Row],[Besoin ODI]]=Tableau5[[#This Row],[Remis ODI]],"OK","NOK")</f>
        <v>OK</v>
      </c>
      <c r="Y65">
        <f>SUMIFS(Tableau4[NB Remis],Tableau4[Réf matériel],Tableau5[[#This Row],[Réf matériel]],Tableau4[Matricule],"MFO")</f>
        <v>0</v>
      </c>
      <c r="Z65" s="105" t="str">
        <f>IF(Tableau5[[#This Row],[Besoin MFO]]=Tableau5[[#This Row],[Remis MFO]],"OK","NOK")</f>
        <v>OK</v>
      </c>
      <c r="AB65">
        <f>SUMIFS(Tableau4[NB Remis],Tableau4[Réf matériel],Tableau5[[#This Row],[Réf matériel]],Tableau4[Matricule],"SDU")</f>
        <v>0</v>
      </c>
      <c r="AC65" s="105" t="str">
        <f>IF(Tableau5[[#This Row],[Besoin SDU]]=Tableau5[[#This Row],[Remis SDU]],"OK","NOK")</f>
        <v>OK</v>
      </c>
      <c r="AE65">
        <f>SUMIFS(Tableau4[NB Remis],Tableau4[Réf matériel],Tableau5[[#This Row],[Réf matériel]],Tableau4[Matricule],"GGA")</f>
        <v>0</v>
      </c>
      <c r="AF65" s="105" t="str">
        <f>IF(Tableau5[[#This Row],[Besoin GGA2]]=Tableau5[[#This Row],[Remis GGA3]],"OK","NOK")</f>
        <v>OK</v>
      </c>
      <c r="AG65">
        <v>1</v>
      </c>
      <c r="AH65">
        <f>SUMIFS(Tableau4[NB Remis],Tableau4[Réf matériel],Tableau5[[#This Row],[Réf matériel]],Tableau4[Matricule],"RGE")</f>
        <v>2</v>
      </c>
      <c r="AI65" s="105" t="str">
        <f>IF(Tableau5[[#This Row],[Besoin RGE]]=Tableau5[[#This Row],[Remis RGE]],"OK","NOK")</f>
        <v>NOK</v>
      </c>
      <c r="AJ65">
        <v>1</v>
      </c>
      <c r="AK65">
        <f>SUMIFS(Tableau4[NB Remis],Tableau4[Réf matériel],Tableau5[[#This Row],[Réf matériel]],Tableau4[Matricule],"CKE")</f>
        <v>1</v>
      </c>
      <c r="AL65" s="105" t="str">
        <f>IF(Tableau5[[#This Row],[Besoin CKE]]=Tableau5[[#This Row],[Remis CKE]],"OK","NOK")</f>
        <v>OK</v>
      </c>
      <c r="AN65">
        <f>SUMIFS(Tableau4[NB Remis],Tableau4[Réf matériel],Tableau5[[#This Row],[Réf matériel]],Tableau4[Matricule],"DMA")</f>
        <v>0</v>
      </c>
      <c r="AO65" s="105" t="str">
        <f>IF(Tableau5[[#This Row],[Besoin DMA]]=Tableau5[[#This Row],[Remis DMA]],"OK","NOK")</f>
        <v>OK</v>
      </c>
      <c r="AQ65">
        <f>SUMIFS(Tableau4[NB Remis],Tableau4[Réf matériel],Tableau5[[#This Row],[Réf matériel]],Tableau4[Matricule],"LMO")</f>
        <v>0</v>
      </c>
      <c r="AR65" s="105" t="str">
        <f>IF(Tableau5[[#This Row],[Besoin LMO]]=Tableau5[[#This Row],[Remis LMO]],"OK","NOK")</f>
        <v>OK</v>
      </c>
      <c r="AT65">
        <f>SUMIFS(Tableau4[NB Remis],Tableau4[Réf matériel],Tableau5[[#This Row],[Réf matériel]],Tableau4[Matricule],"TMO")</f>
        <v>0</v>
      </c>
      <c r="AU65" s="105" t="str">
        <f>IF(Tableau5[[#This Row],[Besoin TMO]]=Tableau5[[#This Row],[Remis TMO]],"OK","NOK")</f>
        <v>OK</v>
      </c>
      <c r="AV65">
        <v>1</v>
      </c>
      <c r="AW65">
        <f>SUMIFS(Tableau4[NB Remis],Tableau4[Réf matériel],Tableau5[[#This Row],[Réf matériel]],Tableau4[Matricule],"JPA")</f>
        <v>1</v>
      </c>
      <c r="AX65" s="105" t="str">
        <f>IF(Tableau5[[#This Row],[Besoin JPA]]=Tableau5[[#This Row],[Remis JPA]],"OK","NOK")</f>
        <v>OK</v>
      </c>
      <c r="AZ65">
        <f>SUMIFS(Tableau4[NB Remis],Tableau4[Réf matériel],Tableau5[[#This Row],[Réf matériel]],Tableau4[Matricule],"MPE")</f>
        <v>0</v>
      </c>
      <c r="BA65" s="105" t="str">
        <f>IF(Tableau5[[#This Row],[Besoin MPE]]=Tableau5[[#This Row],[Remis MPE]],"OK","NOK")</f>
        <v>OK</v>
      </c>
      <c r="BB65">
        <v>1</v>
      </c>
      <c r="BC65">
        <f>SUMIFS(Tableau4[NB Remis],Tableau4[Réf matériel],Tableau5[[#This Row],[Réf matériel]],Tableau4[Matricule],"SPR")</f>
        <v>1</v>
      </c>
      <c r="BD65" s="105" t="str">
        <f>IF(Tableau5[[#This Row],[Besoin SPR]]=Tableau5[[#This Row],[Remis SPR]],"OK","NOK")</f>
        <v>OK</v>
      </c>
      <c r="BE65">
        <v>1</v>
      </c>
      <c r="BF65">
        <f>SUMIFS(Tableau4[NB Remis],Tableau4[Réf matériel],Tableau5[[#This Row],[Réf matériel]],Tableau4[Matricule],"MRO")</f>
        <v>2</v>
      </c>
      <c r="BG65" s="105" t="str">
        <f>IF(Tableau5[[#This Row],[Besoin MRO]]=Tableau5[[#This Row],[Remis MRO]],"OK","NOK")</f>
        <v>NOK</v>
      </c>
      <c r="BH65">
        <v>1</v>
      </c>
      <c r="BI65">
        <f>SUMIFS(Tableau4[NB Remis],Tableau4[Réf matériel],Tableau5[[#This Row],[Réf matériel]],Tableau4[Matricule],"LSA")</f>
        <v>1</v>
      </c>
      <c r="BJ65" s="105" t="str">
        <f>IF(Tableau5[[#This Row],[Besoin LSA]]=Tableau5[[#This Row],[Remis LSA]],"OK","NOK")</f>
        <v>OK</v>
      </c>
      <c r="BK65">
        <v>1</v>
      </c>
      <c r="BL65">
        <f>SUMIFS(Tableau4[NB Remis],Tableau4[Réf matériel],Tableau5[[#This Row],[Réf matériel]],Tableau4[Matricule],"SST")</f>
        <v>1</v>
      </c>
      <c r="BM65" s="105" t="str">
        <f>IF(Tableau5[[#This Row],[Besoin SST]]=Tableau5[[#This Row],[Remis SST]],"OK","NOK")</f>
        <v>OK</v>
      </c>
      <c r="BO65">
        <f>SUMIFS(Tableau4[NB Remis],Tableau4[Réf matériel],Tableau5[[#This Row],[Réf matériel]],Tableau4[Matricule],"CTH")</f>
        <v>0</v>
      </c>
      <c r="BP65" s="105" t="str">
        <f>IF(Tableau5[[#This Row],[Besoin CTH]]=Tableau5[[#This Row],[Remis CTH]],"OK","NOK")</f>
        <v>OK</v>
      </c>
      <c r="BQ65">
        <v>1</v>
      </c>
      <c r="BR65">
        <f>SUMIFS(Tableau4[NB Remis],Tableau4[Réf matériel],Tableau5[[#This Row],[Réf matériel]],Tableau4[Matricule],"AVU")</f>
        <v>1</v>
      </c>
      <c r="BS65" s="105" t="str">
        <f>IF(Tableau5[[#This Row],[Besoin AVU]]=Tableau5[[#This Row],[Remis AVU]],"OK","NOK")</f>
        <v>OK</v>
      </c>
      <c r="BU65">
        <f>SUMIFS(Tableau4[NB Remis],Tableau4[Réf matériel],Tableau5[[#This Row],[Réf matériel]],Tableau4[Matricule],"FZE")</f>
        <v>0</v>
      </c>
      <c r="BV65" s="105" t="str">
        <f>IF(Tableau5[[#This Row],[Besoin FZE]]=Tableau5[[#This Row],[Remis FZE]],"OK","NOK")</f>
        <v>OK</v>
      </c>
      <c r="BW65">
        <v>1</v>
      </c>
      <c r="BX65">
        <f>SUMIFS(Tableau4[NB Remis],Tableau4[Réf matériel],Tableau5[[#This Row],[Réf matériel]],Tableau4[Matricule],"CV2")</f>
        <v>1</v>
      </c>
      <c r="BY65" s="105" t="str">
        <f>IF(Tableau5[[#This Row],[Besoin CV2]]=Tableau5[[#This Row],[Remis CV2]],"OK","NOK")</f>
        <v>OK</v>
      </c>
      <c r="BZ65">
        <v>1</v>
      </c>
      <c r="CA65">
        <f>SUMIFS(Tableau4[NB Remis],Tableau4[Réf matériel],Tableau5[[#This Row],[Réf matériel]],Tableau4[Matricule],"CV3")</f>
        <v>1</v>
      </c>
      <c r="CB65" s="105" t="str">
        <f>IF(Tableau5[[#This Row],[Besoin CV3]]=Tableau5[[#This Row],[Remis CV3]],"OK","NOK")</f>
        <v>OK</v>
      </c>
      <c r="CC65">
        <v>1</v>
      </c>
      <c r="CD65">
        <f>SUMIFS(Tableau4[NB Remis],Tableau4[Réf matériel],Tableau5[[#This Row],[Réf matériel]],Tableau4[Matricule],"CV1")</f>
        <v>1</v>
      </c>
      <c r="CE65" s="105" t="str">
        <f>IF(Tableau5[[#This Row],[Besoin CV1]]=Tableau5[[#This Row],[Remis CV1]],"OK","NOK")</f>
        <v>OK</v>
      </c>
      <c r="CF65">
        <v>1</v>
      </c>
      <c r="CG65">
        <f>SUMIFS(Tableau4[NB Remis],Tableau4[Réf matériel],Tableau5[[#This Row],[Réf matériel]],Tableau4[Matricule],"CV4")</f>
        <v>1</v>
      </c>
      <c r="CH65" s="106" t="str">
        <f>IF(Tableau5[[#This Row],[Besoin CV4]]=Tableau5[[#This Row],[Remis CV4]],"OK","NOK")</f>
        <v>OK</v>
      </c>
    </row>
    <row r="66" spans="2:86" x14ac:dyDescent="0.25">
      <c r="B66" t="s">
        <v>445</v>
      </c>
      <c r="D66">
        <f>SUMIFS(Tableau4[NB Remis],Tableau4[Réf matériel],Tableau5[[#This Row],[Réf matériel]],Tableau4[Matricule],"OAI")</f>
        <v>0</v>
      </c>
      <c r="E66" s="105" t="str">
        <f>IF(Tableau5[[#This Row],[Besoin OAI]]=Tableau5[[#This Row],[Remis OAI]],"OK","NOK")</f>
        <v>OK</v>
      </c>
      <c r="G66">
        <f>SUMIFS(Tableau4[NB Remis],Tableau4[Réf matériel],Tableau5[[#This Row],[Réf matériel]],Tableau4[Matricule],"ABE")</f>
        <v>0</v>
      </c>
      <c r="H66" s="105" t="str">
        <f>IF(Tableau5[[#This Row],[Besoin ABE]]=Tableau5[[#This Row],[Remis ABE]],"OK","NOK")</f>
        <v>OK</v>
      </c>
      <c r="J66">
        <f>SUMIFS(Tableau4[NB Remis],Tableau4[Réf matériel],Tableau5[[#This Row],[Réf matériel]],Tableau4[Matricule],"SBI")</f>
        <v>0</v>
      </c>
      <c r="K66" s="105" t="str">
        <f>IF(Tableau5[[#This Row],[Besoin SBI]]=Tableau5[[#This Row],[Remis SBI]],"OK","NOK")</f>
        <v>OK</v>
      </c>
      <c r="M66">
        <f>SUMIFS(Tableau4[NB Remis],Tableau4[Réf matériel],Tableau5[[#This Row],[Réf matériel]],Tableau4[Matricule],"ABI")</f>
        <v>0</v>
      </c>
      <c r="N66" s="105" t="str">
        <f>IF(Tableau5[[#This Row],[Besoin ABI]]=Tableau5[[#This Row],[Remis ABI]],"OK","NOK")</f>
        <v>OK</v>
      </c>
      <c r="P66">
        <f>SUMIFS(Tableau4[NB Remis],Tableau4[Réf matériel],Tableau5[[#This Row],[Réf matériel]],Tableau4[Matricule],"DCE")</f>
        <v>0</v>
      </c>
      <c r="Q66" s="105" t="str">
        <f>IF(Tableau5[[#This Row],[Besoin DCE]]=Tableau5[[#This Row],[Remis DCE]],"OK","NOK")</f>
        <v>OK</v>
      </c>
      <c r="R66">
        <v>1</v>
      </c>
      <c r="S66">
        <f>SUMIFS(Tableau4[NB Remis],Tableau4[Réf matériel],Tableau5[[#This Row],[Réf matériel]],Tableau4[Matricule],"JDE")</f>
        <v>1</v>
      </c>
      <c r="T66" s="105" t="str">
        <f>IF(Tableau5[[#This Row],[Besoin JDE]]=Tableau5[[#This Row],[Remis JDE]],"OK","NOK")</f>
        <v>OK</v>
      </c>
      <c r="V66">
        <f>SUMIFS(Tableau4[NB Remis],Tableau4[Réf matériel],Tableau5[[#This Row],[Réf matériel]],Tableau4[Matricule],"ODI")</f>
        <v>0</v>
      </c>
      <c r="W66" s="105" t="str">
        <f>IF(Tableau5[[#This Row],[Besoin ODI]]=Tableau5[[#This Row],[Remis ODI]],"OK","NOK")</f>
        <v>OK</v>
      </c>
      <c r="Y66">
        <f>SUMIFS(Tableau4[NB Remis],Tableau4[Réf matériel],Tableau5[[#This Row],[Réf matériel]],Tableau4[Matricule],"MFO")</f>
        <v>0</v>
      </c>
      <c r="Z66" s="105" t="str">
        <f>IF(Tableau5[[#This Row],[Besoin MFO]]=Tableau5[[#This Row],[Remis MFO]],"OK","NOK")</f>
        <v>OK</v>
      </c>
      <c r="AB66">
        <f>SUMIFS(Tableau4[NB Remis],Tableau4[Réf matériel],Tableau5[[#This Row],[Réf matériel]],Tableau4[Matricule],"SDU")</f>
        <v>0</v>
      </c>
      <c r="AC66" s="105" t="str">
        <f>IF(Tableau5[[#This Row],[Besoin SDU]]=Tableau5[[#This Row],[Remis SDU]],"OK","NOK")</f>
        <v>OK</v>
      </c>
      <c r="AE66">
        <f>SUMIFS(Tableau4[NB Remis],Tableau4[Réf matériel],Tableau5[[#This Row],[Réf matériel]],Tableau4[Matricule],"GGA")</f>
        <v>0</v>
      </c>
      <c r="AF66" s="105" t="str">
        <f>IF(Tableau5[[#This Row],[Besoin GGA2]]=Tableau5[[#This Row],[Remis GGA3]],"OK","NOK")</f>
        <v>OK</v>
      </c>
      <c r="AH66">
        <f>SUMIFS(Tableau4[NB Remis],Tableau4[Réf matériel],Tableau5[[#This Row],[Réf matériel]],Tableau4[Matricule],"RGE")</f>
        <v>0</v>
      </c>
      <c r="AI66" s="105" t="str">
        <f>IF(Tableau5[[#This Row],[Besoin RGE]]=Tableau5[[#This Row],[Remis RGE]],"OK","NOK")</f>
        <v>OK</v>
      </c>
      <c r="AK66">
        <f>SUMIFS(Tableau4[NB Remis],Tableau4[Réf matériel],Tableau5[[#This Row],[Réf matériel]],Tableau4[Matricule],"CKE")</f>
        <v>0</v>
      </c>
      <c r="AL66" s="105" t="str">
        <f>IF(Tableau5[[#This Row],[Besoin CKE]]=Tableau5[[#This Row],[Remis CKE]],"OK","NOK")</f>
        <v>OK</v>
      </c>
      <c r="AN66">
        <f>SUMIFS(Tableau4[NB Remis],Tableau4[Réf matériel],Tableau5[[#This Row],[Réf matériel]],Tableau4[Matricule],"DMA")</f>
        <v>0</v>
      </c>
      <c r="AO66" s="105" t="str">
        <f>IF(Tableau5[[#This Row],[Besoin DMA]]=Tableau5[[#This Row],[Remis DMA]],"OK","NOK")</f>
        <v>OK</v>
      </c>
      <c r="AQ66">
        <f>SUMIFS(Tableau4[NB Remis],Tableau4[Réf matériel],Tableau5[[#This Row],[Réf matériel]],Tableau4[Matricule],"LMO")</f>
        <v>0</v>
      </c>
      <c r="AR66" s="105" t="str">
        <f>IF(Tableau5[[#This Row],[Besoin LMO]]=Tableau5[[#This Row],[Remis LMO]],"OK","NOK")</f>
        <v>OK</v>
      </c>
      <c r="AT66">
        <f>SUMIFS(Tableau4[NB Remis],Tableau4[Réf matériel],Tableau5[[#This Row],[Réf matériel]],Tableau4[Matricule],"TMO")</f>
        <v>0</v>
      </c>
      <c r="AU66" s="105" t="str">
        <f>IF(Tableau5[[#This Row],[Besoin TMO]]=Tableau5[[#This Row],[Remis TMO]],"OK","NOK")</f>
        <v>OK</v>
      </c>
      <c r="AW66">
        <f>SUMIFS(Tableau4[NB Remis],Tableau4[Réf matériel],Tableau5[[#This Row],[Réf matériel]],Tableau4[Matricule],"JPA")</f>
        <v>0</v>
      </c>
      <c r="AX66" s="105" t="str">
        <f>IF(Tableau5[[#This Row],[Besoin JPA]]=Tableau5[[#This Row],[Remis JPA]],"OK","NOK")</f>
        <v>OK</v>
      </c>
      <c r="AZ66">
        <f>SUMIFS(Tableau4[NB Remis],Tableau4[Réf matériel],Tableau5[[#This Row],[Réf matériel]],Tableau4[Matricule],"MPE")</f>
        <v>0</v>
      </c>
      <c r="BA66" s="105" t="str">
        <f>IF(Tableau5[[#This Row],[Besoin MPE]]=Tableau5[[#This Row],[Remis MPE]],"OK","NOK")</f>
        <v>OK</v>
      </c>
      <c r="BC66">
        <f>SUMIFS(Tableau4[NB Remis],Tableau4[Réf matériel],Tableau5[[#This Row],[Réf matériel]],Tableau4[Matricule],"SPR")</f>
        <v>0</v>
      </c>
      <c r="BD66" s="105" t="str">
        <f>IF(Tableau5[[#This Row],[Besoin SPR]]=Tableau5[[#This Row],[Remis SPR]],"OK","NOK")</f>
        <v>OK</v>
      </c>
      <c r="BF66">
        <f>SUMIFS(Tableau4[NB Remis],Tableau4[Réf matériel],Tableau5[[#This Row],[Réf matériel]],Tableau4[Matricule],"MRO")</f>
        <v>0</v>
      </c>
      <c r="BG66" s="105" t="str">
        <f>IF(Tableau5[[#This Row],[Besoin MRO]]=Tableau5[[#This Row],[Remis MRO]],"OK","NOK")</f>
        <v>OK</v>
      </c>
      <c r="BI66">
        <f>SUMIFS(Tableau4[NB Remis],Tableau4[Réf matériel],Tableau5[[#This Row],[Réf matériel]],Tableau4[Matricule],"LSA")</f>
        <v>0</v>
      </c>
      <c r="BJ66" s="105" t="str">
        <f>IF(Tableau5[[#This Row],[Besoin LSA]]=Tableau5[[#This Row],[Remis LSA]],"OK","NOK")</f>
        <v>OK</v>
      </c>
      <c r="BL66">
        <f>SUMIFS(Tableau4[NB Remis],Tableau4[Réf matériel],Tableau5[[#This Row],[Réf matériel]],Tableau4[Matricule],"SST")</f>
        <v>0</v>
      </c>
      <c r="BM66" s="105" t="str">
        <f>IF(Tableau5[[#This Row],[Besoin SST]]=Tableau5[[#This Row],[Remis SST]],"OK","NOK")</f>
        <v>OK</v>
      </c>
      <c r="BO66">
        <f>SUMIFS(Tableau4[NB Remis],Tableau4[Réf matériel],Tableau5[[#This Row],[Réf matériel]],Tableau4[Matricule],"CTH")</f>
        <v>0</v>
      </c>
      <c r="BP66" s="105" t="str">
        <f>IF(Tableau5[[#This Row],[Besoin CTH]]=Tableau5[[#This Row],[Remis CTH]],"OK","NOK")</f>
        <v>OK</v>
      </c>
      <c r="BR66">
        <f>SUMIFS(Tableau4[NB Remis],Tableau4[Réf matériel],Tableau5[[#This Row],[Réf matériel]],Tableau4[Matricule],"AVU")</f>
        <v>0</v>
      </c>
      <c r="BS66" s="105" t="str">
        <f>IF(Tableau5[[#This Row],[Besoin AVU]]=Tableau5[[#This Row],[Remis AVU]],"OK","NOK")</f>
        <v>OK</v>
      </c>
      <c r="BU66">
        <f>SUMIFS(Tableau4[NB Remis],Tableau4[Réf matériel],Tableau5[[#This Row],[Réf matériel]],Tableau4[Matricule],"FZE")</f>
        <v>0</v>
      </c>
      <c r="BV66" s="105" t="str">
        <f>IF(Tableau5[[#This Row],[Besoin FZE]]=Tableau5[[#This Row],[Remis FZE]],"OK","NOK")</f>
        <v>OK</v>
      </c>
      <c r="BX66">
        <f>SUMIFS(Tableau4[NB Remis],Tableau4[Réf matériel],Tableau5[[#This Row],[Réf matériel]],Tableau4[Matricule],"CV2")</f>
        <v>0</v>
      </c>
      <c r="BY66" s="105" t="str">
        <f>IF(Tableau5[[#This Row],[Besoin CV2]]=Tableau5[[#This Row],[Remis CV2]],"OK","NOK")</f>
        <v>OK</v>
      </c>
      <c r="CA66">
        <f>SUMIFS(Tableau4[NB Remis],Tableau4[Réf matériel],Tableau5[[#This Row],[Réf matériel]],Tableau4[Matricule],"CV3")</f>
        <v>0</v>
      </c>
      <c r="CB66" s="105" t="str">
        <f>IF(Tableau5[[#This Row],[Besoin CV3]]=Tableau5[[#This Row],[Remis CV3]],"OK","NOK")</f>
        <v>OK</v>
      </c>
      <c r="CD66">
        <f>SUMIFS(Tableau4[NB Remis],Tableau4[Réf matériel],Tableau5[[#This Row],[Réf matériel]],Tableau4[Matricule],"CV1")</f>
        <v>0</v>
      </c>
      <c r="CE66" s="105" t="str">
        <f>IF(Tableau5[[#This Row],[Besoin CV1]]=Tableau5[[#This Row],[Remis CV1]],"OK","NOK")</f>
        <v>OK</v>
      </c>
      <c r="CF66">
        <v>1</v>
      </c>
      <c r="CG66">
        <f>SUMIFS(Tableau4[NB Remis],Tableau4[Réf matériel],Tableau5[[#This Row],[Réf matériel]],Tableau4[Matricule],"CV4")</f>
        <v>1</v>
      </c>
      <c r="CH66" s="106" t="str">
        <f>IF(Tableau5[[#This Row],[Besoin CV4]]=Tableau5[[#This Row],[Remis CV4]],"OK","NOK")</f>
        <v>OK</v>
      </c>
    </row>
    <row r="67" spans="2:86" x14ac:dyDescent="0.25">
      <c r="B67" t="s">
        <v>505</v>
      </c>
      <c r="C67">
        <v>0</v>
      </c>
      <c r="D67" s="90">
        <f>SUMIFS(Tableau4[NB Remis],Tableau4[Réf matériel],Tableau5[[#This Row],[Réf matériel]],Tableau4[Matricule],"OAI")</f>
        <v>0</v>
      </c>
      <c r="E67" s="106" t="str">
        <f>IF(Tableau5[[#This Row],[Besoin OAI]]=Tableau5[[#This Row],[Remis OAI]],"OK","NOK")</f>
        <v>OK</v>
      </c>
      <c r="F67">
        <v>0</v>
      </c>
      <c r="G67" s="90">
        <f>SUMIFS(Tableau4[NB Remis],Tableau4[Réf matériel],Tableau5[[#This Row],[Réf matériel]],Tableau4[Matricule],"ABE")</f>
        <v>0</v>
      </c>
      <c r="H67" s="106" t="str">
        <f>IF(Tableau5[[#This Row],[Besoin ABE]]=Tableau5[[#This Row],[Remis ABE]],"OK","NOK")</f>
        <v>OK</v>
      </c>
      <c r="I67">
        <v>0</v>
      </c>
      <c r="J67" s="90">
        <f>SUMIFS(Tableau4[NB Remis],Tableau4[Réf matériel],Tableau5[[#This Row],[Réf matériel]],Tableau4[Matricule],"SBI")</f>
        <v>0</v>
      </c>
      <c r="K67" s="106" t="str">
        <f>IF(Tableau5[[#This Row],[Besoin SBI]]=Tableau5[[#This Row],[Remis SBI]],"OK","NOK")</f>
        <v>OK</v>
      </c>
      <c r="L67">
        <v>0</v>
      </c>
      <c r="M67" s="90">
        <f>SUMIFS(Tableau4[NB Remis],Tableau4[Réf matériel],Tableau5[[#This Row],[Réf matériel]],Tableau4[Matricule],"ABI")</f>
        <v>0</v>
      </c>
      <c r="N67" s="106" t="str">
        <f>IF(Tableau5[[#This Row],[Besoin ABI]]=Tableau5[[#This Row],[Remis ABI]],"OK","NOK")</f>
        <v>OK</v>
      </c>
      <c r="O67">
        <v>0</v>
      </c>
      <c r="P67" s="90">
        <f>SUMIFS(Tableau4[NB Remis],Tableau4[Réf matériel],Tableau5[[#This Row],[Réf matériel]],Tableau4[Matricule],"DCE")</f>
        <v>0</v>
      </c>
      <c r="Q67" s="106" t="str">
        <f>IF(Tableau5[[#This Row],[Besoin DCE]]=Tableau5[[#This Row],[Remis DCE]],"OK","NOK")</f>
        <v>OK</v>
      </c>
      <c r="R67">
        <v>0</v>
      </c>
      <c r="S67" s="90">
        <f>SUMIFS(Tableau4[NB Remis],Tableau4[Réf matériel],Tableau5[[#This Row],[Réf matériel]],Tableau4[Matricule],"JDE")</f>
        <v>0</v>
      </c>
      <c r="T67" s="106" t="str">
        <f>IF(Tableau5[[#This Row],[Besoin JDE]]=Tableau5[[#This Row],[Remis JDE]],"OK","NOK")</f>
        <v>OK</v>
      </c>
      <c r="U67">
        <v>0</v>
      </c>
      <c r="V67" s="90">
        <f>SUMIFS(Tableau4[NB Remis],Tableau4[Réf matériel],Tableau5[[#This Row],[Réf matériel]],Tableau4[Matricule],"ODI")</f>
        <v>0</v>
      </c>
      <c r="W67" s="106" t="str">
        <f>IF(Tableau5[[#This Row],[Besoin ODI]]=Tableau5[[#This Row],[Remis ODI]],"OK","NOK")</f>
        <v>OK</v>
      </c>
      <c r="X67">
        <v>0</v>
      </c>
      <c r="Y67" s="90">
        <f>SUMIFS(Tableau4[NB Remis],Tableau4[Réf matériel],Tableau5[[#This Row],[Réf matériel]],Tableau4[Matricule],"MFO")</f>
        <v>0</v>
      </c>
      <c r="Z67" s="106" t="str">
        <f>IF(Tableau5[[#This Row],[Besoin MFO]]=Tableau5[[#This Row],[Remis MFO]],"OK","NOK")</f>
        <v>OK</v>
      </c>
      <c r="AB67" s="90">
        <f>SUMIFS(Tableau4[NB Remis],Tableau4[Réf matériel],Tableau5[[#This Row],[Réf matériel]],Tableau4[Matricule],"SDU")</f>
        <v>0</v>
      </c>
      <c r="AC67" s="106" t="str">
        <f>IF(Tableau5[[#This Row],[Besoin SDU]]=Tableau5[[#This Row],[Remis SDU]],"OK","NOK")</f>
        <v>OK</v>
      </c>
      <c r="AD67">
        <v>0</v>
      </c>
      <c r="AE67" s="90">
        <f>SUMIFS(Tableau4[NB Remis],Tableau4[Réf matériel],Tableau5[[#This Row],[Réf matériel]],Tableau4[Matricule],"GGA")</f>
        <v>0</v>
      </c>
      <c r="AF67" s="106" t="str">
        <f>IF(Tableau5[[#This Row],[Besoin GGA2]]=Tableau5[[#This Row],[Remis GGA3]],"OK","NOK")</f>
        <v>OK</v>
      </c>
      <c r="AG67">
        <v>0</v>
      </c>
      <c r="AH67" s="90">
        <f>SUMIFS(Tableau4[NB Remis],Tableau4[Réf matériel],Tableau5[[#This Row],[Réf matériel]],Tableau4[Matricule],"RGE")</f>
        <v>2</v>
      </c>
      <c r="AI67" s="106" t="str">
        <f>IF(Tableau5[[#This Row],[Besoin RGE]]=Tableau5[[#This Row],[Remis RGE]],"OK","NOK")</f>
        <v>NOK</v>
      </c>
      <c r="AJ67">
        <v>0</v>
      </c>
      <c r="AK67" s="90">
        <f>SUMIFS(Tableau4[NB Remis],Tableau4[Réf matériel],Tableau5[[#This Row],[Réf matériel]],Tableau4[Matricule],"CKE")</f>
        <v>0</v>
      </c>
      <c r="AL67" s="106" t="str">
        <f>IF(Tableau5[[#This Row],[Besoin CKE]]=Tableau5[[#This Row],[Remis CKE]],"OK","NOK")</f>
        <v>OK</v>
      </c>
      <c r="AM67">
        <v>0</v>
      </c>
      <c r="AN67" s="90">
        <f>SUMIFS(Tableau4[NB Remis],Tableau4[Réf matériel],Tableau5[[#This Row],[Réf matériel]],Tableau4[Matricule],"DMA")</f>
        <v>0</v>
      </c>
      <c r="AO67" s="106" t="str">
        <f>IF(Tableau5[[#This Row],[Besoin DMA]]=Tableau5[[#This Row],[Remis DMA]],"OK","NOK")</f>
        <v>OK</v>
      </c>
      <c r="AP67">
        <v>0</v>
      </c>
      <c r="AQ67" s="90">
        <f>SUMIFS(Tableau4[NB Remis],Tableau4[Réf matériel],Tableau5[[#This Row],[Réf matériel]],Tableau4[Matricule],"LMO")</f>
        <v>0</v>
      </c>
      <c r="AR67" s="106" t="str">
        <f>IF(Tableau5[[#This Row],[Besoin LMO]]=Tableau5[[#This Row],[Remis LMO]],"OK","NOK")</f>
        <v>OK</v>
      </c>
      <c r="AS67">
        <v>0</v>
      </c>
      <c r="AT67" s="90">
        <f>SUMIFS(Tableau4[NB Remis],Tableau4[Réf matériel],Tableau5[[#This Row],[Réf matériel]],Tableau4[Matricule],"TMO")</f>
        <v>0</v>
      </c>
      <c r="AU67" s="106" t="str">
        <f>IF(Tableau5[[#This Row],[Besoin TMO]]=Tableau5[[#This Row],[Remis TMO]],"OK","NOK")</f>
        <v>OK</v>
      </c>
      <c r="AV67">
        <v>0</v>
      </c>
      <c r="AW67" s="90">
        <f>SUMIFS(Tableau4[NB Remis],Tableau4[Réf matériel],Tableau5[[#This Row],[Réf matériel]],Tableau4[Matricule],"JPA")</f>
        <v>0</v>
      </c>
      <c r="AX67" s="106" t="str">
        <f>IF(Tableau5[[#This Row],[Besoin JPA]]=Tableau5[[#This Row],[Remis JPA]],"OK","NOK")</f>
        <v>OK</v>
      </c>
      <c r="AY67">
        <v>0</v>
      </c>
      <c r="AZ67" s="90">
        <f>SUMIFS(Tableau4[NB Remis],Tableau4[Réf matériel],Tableau5[[#This Row],[Réf matériel]],Tableau4[Matricule],"MPE")</f>
        <v>0</v>
      </c>
      <c r="BA67" s="106" t="str">
        <f>IF(Tableau5[[#This Row],[Besoin MPE]]=Tableau5[[#This Row],[Remis MPE]],"OK","NOK")</f>
        <v>OK</v>
      </c>
      <c r="BB67">
        <v>0</v>
      </c>
      <c r="BC67" s="90">
        <f>SUMIFS(Tableau4[NB Remis],Tableau4[Réf matériel],Tableau5[[#This Row],[Réf matériel]],Tableau4[Matricule],"SPR")</f>
        <v>0</v>
      </c>
      <c r="BD67" s="106" t="str">
        <f>IF(Tableau5[[#This Row],[Besoin SPR]]=Tableau5[[#This Row],[Remis SPR]],"OK","NOK")</f>
        <v>OK</v>
      </c>
      <c r="BE67">
        <v>1</v>
      </c>
      <c r="BF67" s="90">
        <f>SUMIFS(Tableau4[NB Remis],Tableau4[Réf matériel],Tableau5[[#This Row],[Réf matériel]],Tableau4[Matricule],"MRO")</f>
        <v>0</v>
      </c>
      <c r="BG67" s="106" t="str">
        <f>IF(Tableau5[[#This Row],[Besoin MRO]]=Tableau5[[#This Row],[Remis MRO]],"OK","NOK")</f>
        <v>NOK</v>
      </c>
      <c r="BH67">
        <v>0</v>
      </c>
      <c r="BI67" s="90">
        <f>SUMIFS(Tableau4[NB Remis],Tableau4[Réf matériel],Tableau5[[#This Row],[Réf matériel]],Tableau4[Matricule],"LSA")</f>
        <v>0</v>
      </c>
      <c r="BJ67" s="106" t="str">
        <f>IF(Tableau5[[#This Row],[Besoin LSA]]=Tableau5[[#This Row],[Remis LSA]],"OK","NOK")</f>
        <v>OK</v>
      </c>
      <c r="BK67">
        <v>0</v>
      </c>
      <c r="BL67" s="90">
        <f>SUMIFS(Tableau4[NB Remis],Tableau4[Réf matériel],Tableau5[[#This Row],[Réf matériel]],Tableau4[Matricule],"SST")</f>
        <v>0</v>
      </c>
      <c r="BM67" s="106" t="str">
        <f>IF(Tableau5[[#This Row],[Besoin SST]]=Tableau5[[#This Row],[Remis SST]],"OK","NOK")</f>
        <v>OK</v>
      </c>
      <c r="BN67">
        <v>0</v>
      </c>
      <c r="BO67" s="90">
        <f>SUMIFS(Tableau4[NB Remis],Tableau4[Réf matériel],Tableau5[[#This Row],[Réf matériel]],Tableau4[Matricule],"CTH")</f>
        <v>0</v>
      </c>
      <c r="BP67" s="106" t="str">
        <f>IF(Tableau5[[#This Row],[Besoin CTH]]=Tableau5[[#This Row],[Remis CTH]],"OK","NOK")</f>
        <v>OK</v>
      </c>
      <c r="BR67" s="90">
        <f>SUMIFS(Tableau4[NB Remis],Tableau4[Réf matériel],Tableau5[[#This Row],[Réf matériel]],Tableau4[Matricule],"AVU")</f>
        <v>0</v>
      </c>
      <c r="BS67" s="105" t="str">
        <f>IF(Tableau5[[#This Row],[Besoin AVU]]=Tableau5[[#This Row],[Remis AVU]],"OK","NOK")</f>
        <v>OK</v>
      </c>
      <c r="BT67">
        <v>0</v>
      </c>
      <c r="BU67" s="90">
        <f>SUMIFS(Tableau4[NB Remis],Tableau4[Réf matériel],Tableau5[[#This Row],[Réf matériel]],Tableau4[Matricule],"FZE")</f>
        <v>0</v>
      </c>
      <c r="BV67" s="106" t="str">
        <f>IF(Tableau5[[#This Row],[Besoin FZE]]=Tableau5[[#This Row],[Remis FZE]],"OK","NOK")</f>
        <v>OK</v>
      </c>
      <c r="BW67">
        <v>0</v>
      </c>
      <c r="BX67">
        <f>SUMIFS(Tableau4[NB Remis],Tableau4[Réf matériel],Tableau5[[#This Row],[Réf matériel]],Tableau4[Matricule],"CV2")</f>
        <v>0</v>
      </c>
      <c r="BY67" s="105" t="str">
        <f>IF(Tableau5[[#This Row],[Besoin CV2]]=Tableau5[[#This Row],[Remis CV2]],"OK","NOK")</f>
        <v>OK</v>
      </c>
      <c r="BZ67">
        <v>2</v>
      </c>
      <c r="CA67">
        <f>SUMIFS(Tableau4[NB Remis],Tableau4[Réf matériel],Tableau5[[#This Row],[Réf matériel]],Tableau4[Matricule],"CV3")</f>
        <v>2</v>
      </c>
      <c r="CB67" s="105" t="str">
        <f>IF(Tableau5[[#This Row],[Besoin CV3]]=Tableau5[[#This Row],[Remis CV3]],"OK","NOK")</f>
        <v>OK</v>
      </c>
      <c r="CC67">
        <v>0</v>
      </c>
      <c r="CD67">
        <f>SUMIFS(Tableau4[NB Remis],Tableau4[Réf matériel],Tableau5[[#This Row],[Réf matériel]],Tableau4[Matricule],"CV1")</f>
        <v>0</v>
      </c>
      <c r="CE67" s="105" t="str">
        <f>IF(Tableau5[[#This Row],[Besoin CV1]]=Tableau5[[#This Row],[Remis CV1]],"OK","NOK")</f>
        <v>OK</v>
      </c>
      <c r="CG67">
        <f>SUMIFS(Tableau4[NB Remis],Tableau4[Réf matériel],Tableau5[[#This Row],[Réf matériel]],Tableau4[Matricule],"CV4")</f>
        <v>0</v>
      </c>
      <c r="CH67" s="106" t="str">
        <f>IF(Tableau5[[#This Row],[Besoin CV4]]=Tableau5[[#This Row],[Remis CV4]],"OK","NOK")</f>
        <v>OK</v>
      </c>
    </row>
    <row r="68" spans="2:86" x14ac:dyDescent="0.25">
      <c r="B68" t="s">
        <v>278</v>
      </c>
      <c r="C68">
        <v>1</v>
      </c>
      <c r="D68">
        <f>SUMIFS(Tableau4[NB Remis],Tableau4[Réf matériel],Tableau5[[#This Row],[Réf matériel]],Tableau4[Matricule],"OAI")</f>
        <v>1</v>
      </c>
      <c r="E68" s="105" t="str">
        <f>IF(Tableau5[[#This Row],[Besoin OAI]]=Tableau5[[#This Row],[Remis OAI]],"OK","NOK")</f>
        <v>OK</v>
      </c>
      <c r="F68">
        <v>1</v>
      </c>
      <c r="G68">
        <f>SUMIFS(Tableau4[NB Remis],Tableau4[Réf matériel],Tableau5[[#This Row],[Réf matériel]],Tableau4[Matricule],"ABE")</f>
        <v>1</v>
      </c>
      <c r="H68" s="105" t="str">
        <f>IF(Tableau5[[#This Row],[Besoin ABE]]=Tableau5[[#This Row],[Remis ABE]],"OK","NOK")</f>
        <v>OK</v>
      </c>
      <c r="J68">
        <f>SUMIFS(Tableau4[NB Remis],Tableau4[Réf matériel],Tableau5[[#This Row],[Réf matériel]],Tableau4[Matricule],"SBI")</f>
        <v>0</v>
      </c>
      <c r="K68" s="105" t="str">
        <f>IF(Tableau5[[#This Row],[Besoin SBI]]=Tableau5[[#This Row],[Remis SBI]],"OK","NOK")</f>
        <v>OK</v>
      </c>
      <c r="L68">
        <v>1</v>
      </c>
      <c r="M68">
        <f>SUMIFS(Tableau4[NB Remis],Tableau4[Réf matériel],Tableau5[[#This Row],[Réf matériel]],Tableau4[Matricule],"ABI")</f>
        <v>1</v>
      </c>
      <c r="N68" s="105" t="str">
        <f>IF(Tableau5[[#This Row],[Besoin ABI]]=Tableau5[[#This Row],[Remis ABI]],"OK","NOK")</f>
        <v>OK</v>
      </c>
      <c r="P68">
        <f>SUMIFS(Tableau4[NB Remis],Tableau4[Réf matériel],Tableau5[[#This Row],[Réf matériel]],Tableau4[Matricule],"DCE")</f>
        <v>0</v>
      </c>
      <c r="Q68" s="105" t="str">
        <f>IF(Tableau5[[#This Row],[Besoin DCE]]=Tableau5[[#This Row],[Remis DCE]],"OK","NOK")</f>
        <v>OK</v>
      </c>
      <c r="R68">
        <v>1</v>
      </c>
      <c r="S68">
        <f>SUMIFS(Tableau4[NB Remis],Tableau4[Réf matériel],Tableau5[[#This Row],[Réf matériel]],Tableau4[Matricule],"JDE")</f>
        <v>1</v>
      </c>
      <c r="T68" s="105" t="str">
        <f>IF(Tableau5[[#This Row],[Besoin JDE]]=Tableau5[[#This Row],[Remis JDE]],"OK","NOK")</f>
        <v>OK</v>
      </c>
      <c r="U68">
        <v>1</v>
      </c>
      <c r="V68">
        <f>SUMIFS(Tableau4[NB Remis],Tableau4[Réf matériel],Tableau5[[#This Row],[Réf matériel]],Tableau4[Matricule],"ODI")</f>
        <v>1</v>
      </c>
      <c r="W68" s="105" t="str">
        <f>IF(Tableau5[[#This Row],[Besoin ODI]]=Tableau5[[#This Row],[Remis ODI]],"OK","NOK")</f>
        <v>OK</v>
      </c>
      <c r="Y68">
        <f>SUMIFS(Tableau4[NB Remis],Tableau4[Réf matériel],Tableau5[[#This Row],[Réf matériel]],Tableau4[Matricule],"MFO")</f>
        <v>0</v>
      </c>
      <c r="Z68" s="105" t="str">
        <f>IF(Tableau5[[#This Row],[Besoin MFO]]=Tableau5[[#This Row],[Remis MFO]],"OK","NOK")</f>
        <v>OK</v>
      </c>
      <c r="AB68">
        <f>SUMIFS(Tableau4[NB Remis],Tableau4[Réf matériel],Tableau5[[#This Row],[Réf matériel]],Tableau4[Matricule],"SDU")</f>
        <v>0</v>
      </c>
      <c r="AC68" s="105" t="str">
        <f>IF(Tableau5[[#This Row],[Besoin SDU]]=Tableau5[[#This Row],[Remis SDU]],"OK","NOK")</f>
        <v>OK</v>
      </c>
      <c r="AE68">
        <f>SUMIFS(Tableau4[NB Remis],Tableau4[Réf matériel],Tableau5[[#This Row],[Réf matériel]],Tableau4[Matricule],"GGA")</f>
        <v>0</v>
      </c>
      <c r="AF68" s="105" t="str">
        <f>IF(Tableau5[[#This Row],[Besoin GGA2]]=Tableau5[[#This Row],[Remis GGA3]],"OK","NOK")</f>
        <v>OK</v>
      </c>
      <c r="AG68">
        <v>1</v>
      </c>
      <c r="AH68">
        <f>SUMIFS(Tableau4[NB Remis],Tableau4[Réf matériel],Tableau5[[#This Row],[Réf matériel]],Tableau4[Matricule],"RGE")</f>
        <v>2</v>
      </c>
      <c r="AI68" s="105" t="str">
        <f>IF(Tableau5[[#This Row],[Besoin RGE]]=Tableau5[[#This Row],[Remis RGE]],"OK","NOK")</f>
        <v>NOK</v>
      </c>
      <c r="AJ68">
        <v>1</v>
      </c>
      <c r="AK68">
        <f>SUMIFS(Tableau4[NB Remis],Tableau4[Réf matériel],Tableau5[[#This Row],[Réf matériel]],Tableau4[Matricule],"CKE")</f>
        <v>2</v>
      </c>
      <c r="AL68" s="105" t="str">
        <f>IF(Tableau5[[#This Row],[Besoin CKE]]=Tableau5[[#This Row],[Remis CKE]],"OK","NOK")</f>
        <v>NOK</v>
      </c>
      <c r="AN68">
        <f>SUMIFS(Tableau4[NB Remis],Tableau4[Réf matériel],Tableau5[[#This Row],[Réf matériel]],Tableau4[Matricule],"DMA")</f>
        <v>0</v>
      </c>
      <c r="AO68" s="105" t="str">
        <f>IF(Tableau5[[#This Row],[Besoin DMA]]=Tableau5[[#This Row],[Remis DMA]],"OK","NOK")</f>
        <v>OK</v>
      </c>
      <c r="AQ68">
        <f>SUMIFS(Tableau4[NB Remis],Tableau4[Réf matériel],Tableau5[[#This Row],[Réf matériel]],Tableau4[Matricule],"LMO")</f>
        <v>0</v>
      </c>
      <c r="AR68" s="105" t="str">
        <f>IF(Tableau5[[#This Row],[Besoin LMO]]=Tableau5[[#This Row],[Remis LMO]],"OK","NOK")</f>
        <v>OK</v>
      </c>
      <c r="AT68">
        <f>SUMIFS(Tableau4[NB Remis],Tableau4[Réf matériel],Tableau5[[#This Row],[Réf matériel]],Tableau4[Matricule],"TMO")</f>
        <v>0</v>
      </c>
      <c r="AU68" s="105" t="str">
        <f>IF(Tableau5[[#This Row],[Besoin TMO]]=Tableau5[[#This Row],[Remis TMO]],"OK","NOK")</f>
        <v>OK</v>
      </c>
      <c r="AV68">
        <v>1</v>
      </c>
      <c r="AW68">
        <f>SUMIFS(Tableau4[NB Remis],Tableau4[Réf matériel],Tableau5[[#This Row],[Réf matériel]],Tableau4[Matricule],"JPA")</f>
        <v>1</v>
      </c>
      <c r="AX68" s="105" t="str">
        <f>IF(Tableau5[[#This Row],[Besoin JPA]]=Tableau5[[#This Row],[Remis JPA]],"OK","NOK")</f>
        <v>OK</v>
      </c>
      <c r="AZ68">
        <f>SUMIFS(Tableau4[NB Remis],Tableau4[Réf matériel],Tableau5[[#This Row],[Réf matériel]],Tableau4[Matricule],"MPE")</f>
        <v>0</v>
      </c>
      <c r="BA68" s="105" t="str">
        <f>IF(Tableau5[[#This Row],[Besoin MPE]]=Tableau5[[#This Row],[Remis MPE]],"OK","NOK")</f>
        <v>OK</v>
      </c>
      <c r="BB68">
        <v>1</v>
      </c>
      <c r="BC68">
        <f>SUMIFS(Tableau4[NB Remis],Tableau4[Réf matériel],Tableau5[[#This Row],[Réf matériel]],Tableau4[Matricule],"SPR")</f>
        <v>1</v>
      </c>
      <c r="BD68" s="105" t="str">
        <f>IF(Tableau5[[#This Row],[Besoin SPR]]=Tableau5[[#This Row],[Remis SPR]],"OK","NOK")</f>
        <v>OK</v>
      </c>
      <c r="BE68">
        <v>1</v>
      </c>
      <c r="BF68">
        <f>SUMIFS(Tableau4[NB Remis],Tableau4[Réf matériel],Tableau5[[#This Row],[Réf matériel]],Tableau4[Matricule],"MRO")</f>
        <v>1</v>
      </c>
      <c r="BG68" s="105" t="str">
        <f>IF(Tableau5[[#This Row],[Besoin MRO]]=Tableau5[[#This Row],[Remis MRO]],"OK","NOK")</f>
        <v>OK</v>
      </c>
      <c r="BH68">
        <v>1</v>
      </c>
      <c r="BI68">
        <f>SUMIFS(Tableau4[NB Remis],Tableau4[Réf matériel],Tableau5[[#This Row],[Réf matériel]],Tableau4[Matricule],"LSA")</f>
        <v>1</v>
      </c>
      <c r="BJ68" s="105" t="str">
        <f>IF(Tableau5[[#This Row],[Besoin LSA]]=Tableau5[[#This Row],[Remis LSA]],"OK","NOK")</f>
        <v>OK</v>
      </c>
      <c r="BK68">
        <v>1</v>
      </c>
      <c r="BL68">
        <f>SUMIFS(Tableau4[NB Remis],Tableau4[Réf matériel],Tableau5[[#This Row],[Réf matériel]],Tableau4[Matricule],"SST")</f>
        <v>1</v>
      </c>
      <c r="BM68" s="105" t="str">
        <f>IF(Tableau5[[#This Row],[Besoin SST]]=Tableau5[[#This Row],[Remis SST]],"OK","NOK")</f>
        <v>OK</v>
      </c>
      <c r="BO68">
        <f>SUMIFS(Tableau4[NB Remis],Tableau4[Réf matériel],Tableau5[[#This Row],[Réf matériel]],Tableau4[Matricule],"CTH")</f>
        <v>0</v>
      </c>
      <c r="BP68" s="105" t="str">
        <f>IF(Tableau5[[#This Row],[Besoin CTH]]=Tableau5[[#This Row],[Remis CTH]],"OK","NOK")</f>
        <v>OK</v>
      </c>
      <c r="BQ68">
        <v>1</v>
      </c>
      <c r="BR68">
        <f>SUMIFS(Tableau4[NB Remis],Tableau4[Réf matériel],Tableau5[[#This Row],[Réf matériel]],Tableau4[Matricule],"AVU")</f>
        <v>1</v>
      </c>
      <c r="BS68" s="105" t="str">
        <f>IF(Tableau5[[#This Row],[Besoin AVU]]=Tableau5[[#This Row],[Remis AVU]],"OK","NOK")</f>
        <v>OK</v>
      </c>
      <c r="BU68">
        <f>SUMIFS(Tableau4[NB Remis],Tableau4[Réf matériel],Tableau5[[#This Row],[Réf matériel]],Tableau4[Matricule],"FZE")</f>
        <v>0</v>
      </c>
      <c r="BV68" s="105" t="str">
        <f>IF(Tableau5[[#This Row],[Besoin FZE]]=Tableau5[[#This Row],[Remis FZE]],"OK","NOK")</f>
        <v>OK</v>
      </c>
      <c r="BW68">
        <v>1</v>
      </c>
      <c r="BX68">
        <f>SUMIFS(Tableau4[NB Remis],Tableau4[Réf matériel],Tableau5[[#This Row],[Réf matériel]],Tableau4[Matricule],"CV2")</f>
        <v>1</v>
      </c>
      <c r="BY68" s="105" t="str">
        <f>IF(Tableau5[[#This Row],[Besoin CV2]]=Tableau5[[#This Row],[Remis CV2]],"OK","NOK")</f>
        <v>OK</v>
      </c>
      <c r="BZ68">
        <v>1</v>
      </c>
      <c r="CA68">
        <f>SUMIFS(Tableau4[NB Remis],Tableau4[Réf matériel],Tableau5[[#This Row],[Réf matériel]],Tableau4[Matricule],"CV3")</f>
        <v>1</v>
      </c>
      <c r="CB68" s="105" t="str">
        <f>IF(Tableau5[[#This Row],[Besoin CV3]]=Tableau5[[#This Row],[Remis CV3]],"OK","NOK")</f>
        <v>OK</v>
      </c>
      <c r="CC68">
        <v>1</v>
      </c>
      <c r="CD68">
        <f>SUMIFS(Tableau4[NB Remis],Tableau4[Réf matériel],Tableau5[[#This Row],[Réf matériel]],Tableau4[Matricule],"CV1")</f>
        <v>1</v>
      </c>
      <c r="CE68" s="105" t="str">
        <f>IF(Tableau5[[#This Row],[Besoin CV1]]=Tableau5[[#This Row],[Remis CV1]],"OK","NOK")</f>
        <v>OK</v>
      </c>
      <c r="CF68">
        <v>1</v>
      </c>
      <c r="CG68">
        <f>SUMIFS(Tableau4[NB Remis],Tableau4[Réf matériel],Tableau5[[#This Row],[Réf matériel]],Tableau4[Matricule],"CV4")</f>
        <v>1</v>
      </c>
      <c r="CH68" s="106" t="str">
        <f>IF(Tableau5[[#This Row],[Besoin CV4]]=Tableau5[[#This Row],[Remis CV4]],"OK","NOK")</f>
        <v>OK</v>
      </c>
    </row>
    <row r="69" spans="2:86" x14ac:dyDescent="0.25">
      <c r="B69" t="s">
        <v>145</v>
      </c>
      <c r="D69">
        <f>SUMIFS(Tableau4[NB Remis],Tableau4[Réf matériel],Tableau5[[#This Row],[Réf matériel]],Tableau4[Matricule],"OAI")</f>
        <v>0</v>
      </c>
      <c r="E69" s="105" t="str">
        <f>IF(Tableau5[[#This Row],[Besoin OAI]]=Tableau5[[#This Row],[Remis OAI]],"OK","NOK")</f>
        <v>OK</v>
      </c>
      <c r="G69">
        <f>SUMIFS(Tableau4[NB Remis],Tableau4[Réf matériel],Tableau5[[#This Row],[Réf matériel]],Tableau4[Matricule],"ABE")</f>
        <v>0</v>
      </c>
      <c r="H69" s="105" t="str">
        <f>IF(Tableau5[[#This Row],[Besoin ABE]]=Tableau5[[#This Row],[Remis ABE]],"OK","NOK")</f>
        <v>OK</v>
      </c>
      <c r="J69">
        <f>SUMIFS(Tableau4[NB Remis],Tableau4[Réf matériel],Tableau5[[#This Row],[Réf matériel]],Tableau4[Matricule],"SBI")</f>
        <v>0</v>
      </c>
      <c r="K69" s="105" t="str">
        <f>IF(Tableau5[[#This Row],[Besoin SBI]]=Tableau5[[#This Row],[Remis SBI]],"OK","NOK")</f>
        <v>OK</v>
      </c>
      <c r="M69">
        <f>SUMIFS(Tableau4[NB Remis],Tableau4[Réf matériel],Tableau5[[#This Row],[Réf matériel]],Tableau4[Matricule],"ABI")</f>
        <v>0</v>
      </c>
      <c r="N69" s="105" t="str">
        <f>IF(Tableau5[[#This Row],[Besoin ABI]]=Tableau5[[#This Row],[Remis ABI]],"OK","NOK")</f>
        <v>OK</v>
      </c>
      <c r="P69">
        <f>SUMIFS(Tableau4[NB Remis],Tableau4[Réf matériel],Tableau5[[#This Row],[Réf matériel]],Tableau4[Matricule],"DCE")</f>
        <v>0</v>
      </c>
      <c r="Q69" s="105" t="str">
        <f>IF(Tableau5[[#This Row],[Besoin DCE]]=Tableau5[[#This Row],[Remis DCE]],"OK","NOK")</f>
        <v>OK</v>
      </c>
      <c r="R69">
        <v>1</v>
      </c>
      <c r="S69">
        <f>SUMIFS(Tableau4[NB Remis],Tableau4[Réf matériel],Tableau5[[#This Row],[Réf matériel]],Tableau4[Matricule],"JDE")</f>
        <v>1</v>
      </c>
      <c r="T69" s="105" t="str">
        <f>IF(Tableau5[[#This Row],[Besoin JDE]]=Tableau5[[#This Row],[Remis JDE]],"OK","NOK")</f>
        <v>OK</v>
      </c>
      <c r="V69">
        <f>SUMIFS(Tableau4[NB Remis],Tableau4[Réf matériel],Tableau5[[#This Row],[Réf matériel]],Tableau4[Matricule],"ODI")</f>
        <v>0</v>
      </c>
      <c r="W69" s="105" t="str">
        <f>IF(Tableau5[[#This Row],[Besoin ODI]]=Tableau5[[#This Row],[Remis ODI]],"OK","NOK")</f>
        <v>OK</v>
      </c>
      <c r="Y69">
        <f>SUMIFS(Tableau4[NB Remis],Tableau4[Réf matériel],Tableau5[[#This Row],[Réf matériel]],Tableau4[Matricule],"MFO")</f>
        <v>0</v>
      </c>
      <c r="Z69" s="105" t="str">
        <f>IF(Tableau5[[#This Row],[Besoin MFO]]=Tableau5[[#This Row],[Remis MFO]],"OK","NOK")</f>
        <v>OK</v>
      </c>
      <c r="AB69">
        <f>SUMIFS(Tableau4[NB Remis],Tableau4[Réf matériel],Tableau5[[#This Row],[Réf matériel]],Tableau4[Matricule],"SDU")</f>
        <v>0</v>
      </c>
      <c r="AC69" s="105" t="str">
        <f>IF(Tableau5[[#This Row],[Besoin SDU]]=Tableau5[[#This Row],[Remis SDU]],"OK","NOK")</f>
        <v>OK</v>
      </c>
      <c r="AE69">
        <f>SUMIFS(Tableau4[NB Remis],Tableau4[Réf matériel],Tableau5[[#This Row],[Réf matériel]],Tableau4[Matricule],"GGA")</f>
        <v>0</v>
      </c>
      <c r="AF69" s="105" t="str">
        <f>IF(Tableau5[[#This Row],[Besoin GGA2]]=Tableau5[[#This Row],[Remis GGA3]],"OK","NOK")</f>
        <v>OK</v>
      </c>
      <c r="AH69">
        <f>SUMIFS(Tableau4[NB Remis],Tableau4[Réf matériel],Tableau5[[#This Row],[Réf matériel]],Tableau4[Matricule],"RGE")</f>
        <v>0</v>
      </c>
      <c r="AI69" s="105" t="str">
        <f>IF(Tableau5[[#This Row],[Besoin RGE]]=Tableau5[[#This Row],[Remis RGE]],"OK","NOK")</f>
        <v>OK</v>
      </c>
      <c r="AK69">
        <f>SUMIFS(Tableau4[NB Remis],Tableau4[Réf matériel],Tableau5[[#This Row],[Réf matériel]],Tableau4[Matricule],"CKE")</f>
        <v>0</v>
      </c>
      <c r="AL69" s="105" t="str">
        <f>IF(Tableau5[[#This Row],[Besoin CKE]]=Tableau5[[#This Row],[Remis CKE]],"OK","NOK")</f>
        <v>OK</v>
      </c>
      <c r="AN69">
        <f>SUMIFS(Tableau4[NB Remis],Tableau4[Réf matériel],Tableau5[[#This Row],[Réf matériel]],Tableau4[Matricule],"DMA")</f>
        <v>0</v>
      </c>
      <c r="AO69" s="105" t="str">
        <f>IF(Tableau5[[#This Row],[Besoin DMA]]=Tableau5[[#This Row],[Remis DMA]],"OK","NOK")</f>
        <v>OK</v>
      </c>
      <c r="AQ69">
        <f>SUMIFS(Tableau4[NB Remis],Tableau4[Réf matériel],Tableau5[[#This Row],[Réf matériel]],Tableau4[Matricule],"LMO")</f>
        <v>0</v>
      </c>
      <c r="AR69" s="105" t="str">
        <f>IF(Tableau5[[#This Row],[Besoin LMO]]=Tableau5[[#This Row],[Remis LMO]],"OK","NOK")</f>
        <v>OK</v>
      </c>
      <c r="AS69">
        <v>1</v>
      </c>
      <c r="AT69">
        <f>SUMIFS(Tableau4[NB Remis],Tableau4[Réf matériel],Tableau5[[#This Row],[Réf matériel]],Tableau4[Matricule],"TMO")</f>
        <v>1</v>
      </c>
      <c r="AU69" s="105" t="str">
        <f>IF(Tableau5[[#This Row],[Besoin TMO]]=Tableau5[[#This Row],[Remis TMO]],"OK","NOK")</f>
        <v>OK</v>
      </c>
      <c r="AW69">
        <f>SUMIFS(Tableau4[NB Remis],Tableau4[Réf matériel],Tableau5[[#This Row],[Réf matériel]],Tableau4[Matricule],"JPA")</f>
        <v>0</v>
      </c>
      <c r="AX69" s="105" t="str">
        <f>IF(Tableau5[[#This Row],[Besoin JPA]]=Tableau5[[#This Row],[Remis JPA]],"OK","NOK")</f>
        <v>OK</v>
      </c>
      <c r="AZ69">
        <f>SUMIFS(Tableau4[NB Remis],Tableau4[Réf matériel],Tableau5[[#This Row],[Réf matériel]],Tableau4[Matricule],"MPE")</f>
        <v>0</v>
      </c>
      <c r="BA69" s="105" t="str">
        <f>IF(Tableau5[[#This Row],[Besoin MPE]]=Tableau5[[#This Row],[Remis MPE]],"OK","NOK")</f>
        <v>OK</v>
      </c>
      <c r="BC69">
        <f>SUMIFS(Tableau4[NB Remis],Tableau4[Réf matériel],Tableau5[[#This Row],[Réf matériel]],Tableau4[Matricule],"SPR")</f>
        <v>0</v>
      </c>
      <c r="BD69" s="105" t="str">
        <f>IF(Tableau5[[#This Row],[Besoin SPR]]=Tableau5[[#This Row],[Remis SPR]],"OK","NOK")</f>
        <v>OK</v>
      </c>
      <c r="BF69">
        <f>SUMIFS(Tableau4[NB Remis],Tableau4[Réf matériel],Tableau5[[#This Row],[Réf matériel]],Tableau4[Matricule],"MRO")</f>
        <v>0</v>
      </c>
      <c r="BG69" s="105" t="str">
        <f>IF(Tableau5[[#This Row],[Besoin MRO]]=Tableau5[[#This Row],[Remis MRO]],"OK","NOK")</f>
        <v>OK</v>
      </c>
      <c r="BI69">
        <f>SUMIFS(Tableau4[NB Remis],Tableau4[Réf matériel],Tableau5[[#This Row],[Réf matériel]],Tableau4[Matricule],"LSA")</f>
        <v>0</v>
      </c>
      <c r="BJ69" s="105" t="str">
        <f>IF(Tableau5[[#This Row],[Besoin LSA]]=Tableau5[[#This Row],[Remis LSA]],"OK","NOK")</f>
        <v>OK</v>
      </c>
      <c r="BL69">
        <f>SUMIFS(Tableau4[NB Remis],Tableau4[Réf matériel],Tableau5[[#This Row],[Réf matériel]],Tableau4[Matricule],"SST")</f>
        <v>0</v>
      </c>
      <c r="BM69" s="105" t="str">
        <f>IF(Tableau5[[#This Row],[Besoin SST]]=Tableau5[[#This Row],[Remis SST]],"OK","NOK")</f>
        <v>OK</v>
      </c>
      <c r="BO69">
        <f>SUMIFS(Tableau4[NB Remis],Tableau4[Réf matériel],Tableau5[[#This Row],[Réf matériel]],Tableau4[Matricule],"CTH")</f>
        <v>0</v>
      </c>
      <c r="BP69" s="105" t="str">
        <f>IF(Tableau5[[#This Row],[Besoin CTH]]=Tableau5[[#This Row],[Remis CTH]],"OK","NOK")</f>
        <v>OK</v>
      </c>
      <c r="BR69">
        <f>SUMIFS(Tableau4[NB Remis],Tableau4[Réf matériel],Tableau5[[#This Row],[Réf matériel]],Tableau4[Matricule],"AVU")</f>
        <v>0</v>
      </c>
      <c r="BS69" s="105" t="str">
        <f>IF(Tableau5[[#This Row],[Besoin AVU]]=Tableau5[[#This Row],[Remis AVU]],"OK","NOK")</f>
        <v>OK</v>
      </c>
      <c r="BU69">
        <f>SUMIFS(Tableau4[NB Remis],Tableau4[Réf matériel],Tableau5[[#This Row],[Réf matériel]],Tableau4[Matricule],"FZE")</f>
        <v>0</v>
      </c>
      <c r="BV69" s="105" t="str">
        <f>IF(Tableau5[[#This Row],[Besoin FZE]]=Tableau5[[#This Row],[Remis FZE]],"OK","NOK")</f>
        <v>OK</v>
      </c>
      <c r="BX69">
        <f>SUMIFS(Tableau4[NB Remis],Tableau4[Réf matériel],Tableau5[[#This Row],[Réf matériel]],Tableau4[Matricule],"CV2")</f>
        <v>0</v>
      </c>
      <c r="BY69" s="105" t="str">
        <f>IF(Tableau5[[#This Row],[Besoin CV2]]=Tableau5[[#This Row],[Remis CV2]],"OK","NOK")</f>
        <v>OK</v>
      </c>
      <c r="CA69">
        <f>SUMIFS(Tableau4[NB Remis],Tableau4[Réf matériel],Tableau5[[#This Row],[Réf matériel]],Tableau4[Matricule],"CV3")</f>
        <v>0</v>
      </c>
      <c r="CB69" s="105" t="str">
        <f>IF(Tableau5[[#This Row],[Besoin CV3]]=Tableau5[[#This Row],[Remis CV3]],"OK","NOK")</f>
        <v>OK</v>
      </c>
      <c r="CD69">
        <f>SUMIFS(Tableau4[NB Remis],Tableau4[Réf matériel],Tableau5[[#This Row],[Réf matériel]],Tableau4[Matricule],"CV1")</f>
        <v>0</v>
      </c>
      <c r="CE69" s="105" t="str">
        <f>IF(Tableau5[[#This Row],[Besoin CV1]]=Tableau5[[#This Row],[Remis CV1]],"OK","NOK")</f>
        <v>OK</v>
      </c>
      <c r="CG69">
        <f>SUMIFS(Tableau4[NB Remis],Tableau4[Réf matériel],Tableau5[[#This Row],[Réf matériel]],Tableau4[Matricule],"CV4")</f>
        <v>0</v>
      </c>
      <c r="CH69" s="106" t="str">
        <f>IF(Tableau5[[#This Row],[Besoin CV4]]=Tableau5[[#This Row],[Remis CV4]],"OK","NOK")</f>
        <v>OK</v>
      </c>
    </row>
    <row r="70" spans="2:86" x14ac:dyDescent="0.25">
      <c r="B70" t="s">
        <v>102</v>
      </c>
      <c r="C70">
        <v>1</v>
      </c>
      <c r="D70">
        <f>SUMIFS(Tableau4[NB Remis],Tableau4[Réf matériel],Tableau5[[#This Row],[Réf matériel]],Tableau4[Matricule],"OAI")</f>
        <v>1</v>
      </c>
      <c r="E70" s="105" t="str">
        <f>IF(Tableau5[[#This Row],[Besoin OAI]]=Tableau5[[#This Row],[Remis OAI]],"OK","NOK")</f>
        <v>OK</v>
      </c>
      <c r="F70">
        <v>1</v>
      </c>
      <c r="G70">
        <f>SUMIFS(Tableau4[NB Remis],Tableau4[Réf matériel],Tableau5[[#This Row],[Réf matériel]],Tableau4[Matricule],"ABE")</f>
        <v>1</v>
      </c>
      <c r="H70" s="105" t="str">
        <f>IF(Tableau5[[#This Row],[Besoin ABE]]=Tableau5[[#This Row],[Remis ABE]],"OK","NOK")</f>
        <v>OK</v>
      </c>
      <c r="J70">
        <f>SUMIFS(Tableau4[NB Remis],Tableau4[Réf matériel],Tableau5[[#This Row],[Réf matériel]],Tableau4[Matricule],"SBI")</f>
        <v>0</v>
      </c>
      <c r="K70" s="105" t="str">
        <f>IF(Tableau5[[#This Row],[Besoin SBI]]=Tableau5[[#This Row],[Remis SBI]],"OK","NOK")</f>
        <v>OK</v>
      </c>
      <c r="L70">
        <v>1</v>
      </c>
      <c r="M70">
        <f>SUMIFS(Tableau4[NB Remis],Tableau4[Réf matériel],Tableau5[[#This Row],[Réf matériel]],Tableau4[Matricule],"ABI")</f>
        <v>1</v>
      </c>
      <c r="N70" s="105" t="str">
        <f>IF(Tableau5[[#This Row],[Besoin ABI]]=Tableau5[[#This Row],[Remis ABI]],"OK","NOK")</f>
        <v>OK</v>
      </c>
      <c r="P70">
        <f>SUMIFS(Tableau4[NB Remis],Tableau4[Réf matériel],Tableau5[[#This Row],[Réf matériel]],Tableau4[Matricule],"DCE")</f>
        <v>0</v>
      </c>
      <c r="Q70" s="105" t="str">
        <f>IF(Tableau5[[#This Row],[Besoin DCE]]=Tableau5[[#This Row],[Remis DCE]],"OK","NOK")</f>
        <v>OK</v>
      </c>
      <c r="R70">
        <v>1</v>
      </c>
      <c r="S70">
        <f>SUMIFS(Tableau4[NB Remis],Tableau4[Réf matériel],Tableau5[[#This Row],[Réf matériel]],Tableau4[Matricule],"JDE")</f>
        <v>1</v>
      </c>
      <c r="T70" s="105" t="str">
        <f>IF(Tableau5[[#This Row],[Besoin JDE]]=Tableau5[[#This Row],[Remis JDE]],"OK","NOK")</f>
        <v>OK</v>
      </c>
      <c r="U70">
        <v>1</v>
      </c>
      <c r="V70">
        <f>SUMIFS(Tableau4[NB Remis],Tableau4[Réf matériel],Tableau5[[#This Row],[Réf matériel]],Tableau4[Matricule],"ODI")</f>
        <v>1</v>
      </c>
      <c r="W70" s="105" t="str">
        <f>IF(Tableau5[[#This Row],[Besoin ODI]]=Tableau5[[#This Row],[Remis ODI]],"OK","NOK")</f>
        <v>OK</v>
      </c>
      <c r="Y70">
        <f>SUMIFS(Tableau4[NB Remis],Tableau4[Réf matériel],Tableau5[[#This Row],[Réf matériel]],Tableau4[Matricule],"MFO")</f>
        <v>0</v>
      </c>
      <c r="Z70" s="105" t="str">
        <f>IF(Tableau5[[#This Row],[Besoin MFO]]=Tableau5[[#This Row],[Remis MFO]],"OK","NOK")</f>
        <v>OK</v>
      </c>
      <c r="AB70">
        <f>SUMIFS(Tableau4[NB Remis],Tableau4[Réf matériel],Tableau5[[#This Row],[Réf matériel]],Tableau4[Matricule],"SDU")</f>
        <v>0</v>
      </c>
      <c r="AC70" s="105" t="str">
        <f>IF(Tableau5[[#This Row],[Besoin SDU]]=Tableau5[[#This Row],[Remis SDU]],"OK","NOK")</f>
        <v>OK</v>
      </c>
      <c r="AD70">
        <v>1</v>
      </c>
      <c r="AE70">
        <f>SUMIFS(Tableau4[NB Remis],Tableau4[Réf matériel],Tableau5[[#This Row],[Réf matériel]],Tableau4[Matricule],"GGA")</f>
        <v>1</v>
      </c>
      <c r="AF70" s="105" t="str">
        <f>IF(Tableau5[[#This Row],[Besoin GGA2]]=Tableau5[[#This Row],[Remis GGA3]],"OK","NOK")</f>
        <v>OK</v>
      </c>
      <c r="AG70">
        <v>1</v>
      </c>
      <c r="AH70">
        <f>SUMIFS(Tableau4[NB Remis],Tableau4[Réf matériel],Tableau5[[#This Row],[Réf matériel]],Tableau4[Matricule],"RGE")</f>
        <v>2</v>
      </c>
      <c r="AI70" s="105" t="str">
        <f>IF(Tableau5[[#This Row],[Besoin RGE]]=Tableau5[[#This Row],[Remis RGE]],"OK","NOK")</f>
        <v>NOK</v>
      </c>
      <c r="AJ70">
        <v>1</v>
      </c>
      <c r="AK70">
        <f>SUMIFS(Tableau4[NB Remis],Tableau4[Réf matériel],Tableau5[[#This Row],[Réf matériel]],Tableau4[Matricule],"CKE")</f>
        <v>1</v>
      </c>
      <c r="AL70" s="105" t="str">
        <f>IF(Tableau5[[#This Row],[Besoin CKE]]=Tableau5[[#This Row],[Remis CKE]],"OK","NOK")</f>
        <v>OK</v>
      </c>
      <c r="AN70">
        <f>SUMIFS(Tableau4[NB Remis],Tableau4[Réf matériel],Tableau5[[#This Row],[Réf matériel]],Tableau4[Matricule],"DMA")</f>
        <v>0</v>
      </c>
      <c r="AO70" s="105" t="str">
        <f>IF(Tableau5[[#This Row],[Besoin DMA]]=Tableau5[[#This Row],[Remis DMA]],"OK","NOK")</f>
        <v>OK</v>
      </c>
      <c r="AP70">
        <v>1</v>
      </c>
      <c r="AQ70">
        <f>SUMIFS(Tableau4[NB Remis],Tableau4[Réf matériel],Tableau5[[#This Row],[Réf matériel]],Tableau4[Matricule],"LMO")</f>
        <v>1</v>
      </c>
      <c r="AR70" s="105" t="str">
        <f>IF(Tableau5[[#This Row],[Besoin LMO]]=Tableau5[[#This Row],[Remis LMO]],"OK","NOK")</f>
        <v>OK</v>
      </c>
      <c r="AT70">
        <f>SUMIFS(Tableau4[NB Remis],Tableau4[Réf matériel],Tableau5[[#This Row],[Réf matériel]],Tableau4[Matricule],"TMO")</f>
        <v>0</v>
      </c>
      <c r="AU70" s="105" t="str">
        <f>IF(Tableau5[[#This Row],[Besoin TMO]]=Tableau5[[#This Row],[Remis TMO]],"OK","NOK")</f>
        <v>OK</v>
      </c>
      <c r="AV70">
        <v>1</v>
      </c>
      <c r="AW70">
        <f>SUMIFS(Tableau4[NB Remis],Tableau4[Réf matériel],Tableau5[[#This Row],[Réf matériel]],Tableau4[Matricule],"JPA")</f>
        <v>1</v>
      </c>
      <c r="AX70" s="105" t="str">
        <f>IF(Tableau5[[#This Row],[Besoin JPA]]=Tableau5[[#This Row],[Remis JPA]],"OK","NOK")</f>
        <v>OK</v>
      </c>
      <c r="AZ70">
        <f>SUMIFS(Tableau4[NB Remis],Tableau4[Réf matériel],Tableau5[[#This Row],[Réf matériel]],Tableau4[Matricule],"MPE")</f>
        <v>0</v>
      </c>
      <c r="BA70" s="105" t="str">
        <f>IF(Tableau5[[#This Row],[Besoin MPE]]=Tableau5[[#This Row],[Remis MPE]],"OK","NOK")</f>
        <v>OK</v>
      </c>
      <c r="BB70">
        <v>2</v>
      </c>
      <c r="BC70">
        <f>SUMIFS(Tableau4[NB Remis],Tableau4[Réf matériel],Tableau5[[#This Row],[Réf matériel]],Tableau4[Matricule],"SPR")</f>
        <v>2</v>
      </c>
      <c r="BD70" s="105" t="str">
        <f>IF(Tableau5[[#This Row],[Besoin SPR]]=Tableau5[[#This Row],[Remis SPR]],"OK","NOK")</f>
        <v>OK</v>
      </c>
      <c r="BE70">
        <v>1</v>
      </c>
      <c r="BF70">
        <f>SUMIFS(Tableau4[NB Remis],Tableau4[Réf matériel],Tableau5[[#This Row],[Réf matériel]],Tableau4[Matricule],"MRO")</f>
        <v>1</v>
      </c>
      <c r="BG70" s="105" t="str">
        <f>IF(Tableau5[[#This Row],[Besoin MRO]]=Tableau5[[#This Row],[Remis MRO]],"OK","NOK")</f>
        <v>OK</v>
      </c>
      <c r="BH70">
        <v>1</v>
      </c>
      <c r="BI70">
        <f>SUMIFS(Tableau4[NB Remis],Tableau4[Réf matériel],Tableau5[[#This Row],[Réf matériel]],Tableau4[Matricule],"LSA")</f>
        <v>1</v>
      </c>
      <c r="BJ70" s="105" t="str">
        <f>IF(Tableau5[[#This Row],[Besoin LSA]]=Tableau5[[#This Row],[Remis LSA]],"OK","NOK")</f>
        <v>OK</v>
      </c>
      <c r="BK70">
        <v>1</v>
      </c>
      <c r="BL70">
        <f>SUMIFS(Tableau4[NB Remis],Tableau4[Réf matériel],Tableau5[[#This Row],[Réf matériel]],Tableau4[Matricule],"SST")</f>
        <v>1</v>
      </c>
      <c r="BM70" s="105" t="str">
        <f>IF(Tableau5[[#This Row],[Besoin SST]]=Tableau5[[#This Row],[Remis SST]],"OK","NOK")</f>
        <v>OK</v>
      </c>
      <c r="BO70">
        <f>SUMIFS(Tableau4[NB Remis],Tableau4[Réf matériel],Tableau5[[#This Row],[Réf matériel]],Tableau4[Matricule],"CTH")</f>
        <v>0</v>
      </c>
      <c r="BP70" s="105" t="str">
        <f>IF(Tableau5[[#This Row],[Besoin CTH]]=Tableau5[[#This Row],[Remis CTH]],"OK","NOK")</f>
        <v>OK</v>
      </c>
      <c r="BQ70">
        <v>1</v>
      </c>
      <c r="BR70">
        <f>SUMIFS(Tableau4[NB Remis],Tableau4[Réf matériel],Tableau5[[#This Row],[Réf matériel]],Tableau4[Matricule],"AVU")</f>
        <v>1</v>
      </c>
      <c r="BS70" s="105" t="str">
        <f>IF(Tableau5[[#This Row],[Besoin AVU]]=Tableau5[[#This Row],[Remis AVU]],"OK","NOK")</f>
        <v>OK</v>
      </c>
      <c r="BU70">
        <f>SUMIFS(Tableau4[NB Remis],Tableau4[Réf matériel],Tableau5[[#This Row],[Réf matériel]],Tableau4[Matricule],"FZE")</f>
        <v>0</v>
      </c>
      <c r="BV70" s="105" t="str">
        <f>IF(Tableau5[[#This Row],[Besoin FZE]]=Tableau5[[#This Row],[Remis FZE]],"OK","NOK")</f>
        <v>OK</v>
      </c>
      <c r="BW70">
        <v>1</v>
      </c>
      <c r="BX70">
        <f>SUMIFS(Tableau4[NB Remis],Tableau4[Réf matériel],Tableau5[[#This Row],[Réf matériel]],Tableau4[Matricule],"CV2")</f>
        <v>1</v>
      </c>
      <c r="BY70" s="105" t="str">
        <f>IF(Tableau5[[#This Row],[Besoin CV2]]=Tableau5[[#This Row],[Remis CV2]],"OK","NOK")</f>
        <v>OK</v>
      </c>
      <c r="BZ70">
        <v>1</v>
      </c>
      <c r="CA70">
        <f>SUMIFS(Tableau4[NB Remis],Tableau4[Réf matériel],Tableau5[[#This Row],[Réf matériel]],Tableau4[Matricule],"CV3")</f>
        <v>1</v>
      </c>
      <c r="CB70" s="105" t="str">
        <f>IF(Tableau5[[#This Row],[Besoin CV3]]=Tableau5[[#This Row],[Remis CV3]],"OK","NOK")</f>
        <v>OK</v>
      </c>
      <c r="CC70">
        <v>1</v>
      </c>
      <c r="CD70">
        <f>SUMIFS(Tableau4[NB Remis],Tableau4[Réf matériel],Tableau5[[#This Row],[Réf matériel]],Tableau4[Matricule],"CV1")</f>
        <v>1</v>
      </c>
      <c r="CE70" s="105" t="str">
        <f>IF(Tableau5[[#This Row],[Besoin CV1]]=Tableau5[[#This Row],[Remis CV1]],"OK","NOK")</f>
        <v>OK</v>
      </c>
      <c r="CF70">
        <v>1</v>
      </c>
      <c r="CG70">
        <f>SUMIFS(Tableau4[NB Remis],Tableau4[Réf matériel],Tableau5[[#This Row],[Réf matériel]],Tableau4[Matricule],"CV4")</f>
        <v>1</v>
      </c>
      <c r="CH70" s="106" t="str">
        <f>IF(Tableau5[[#This Row],[Besoin CV4]]=Tableau5[[#This Row],[Remis CV4]],"OK","NOK")</f>
        <v>OK</v>
      </c>
    </row>
    <row r="71" spans="2:86" x14ac:dyDescent="0.25">
      <c r="B71" t="s">
        <v>560</v>
      </c>
      <c r="C71">
        <v>0</v>
      </c>
      <c r="D71" s="90">
        <f>SUMIFS(Tableau4[NB Remis],Tableau4[Réf matériel],Tableau5[[#This Row],[Réf matériel]],Tableau4[Matricule],"OAI")</f>
        <v>0</v>
      </c>
      <c r="E71" s="106" t="str">
        <f>IF(Tableau5[[#This Row],[Besoin OAI]]=Tableau5[[#This Row],[Remis OAI]],"OK","NOK")</f>
        <v>OK</v>
      </c>
      <c r="G71" s="90">
        <f>SUMIFS(Tableau4[NB Remis],Tableau4[Réf matériel],Tableau5[[#This Row],[Réf matériel]],Tableau4[Matricule],"ABE")</f>
        <v>0</v>
      </c>
      <c r="H71" s="106" t="str">
        <f>IF(Tableau5[[#This Row],[Besoin ABE]]=Tableau5[[#This Row],[Remis ABE]],"OK","NOK")</f>
        <v>OK</v>
      </c>
      <c r="J71" s="90">
        <f>SUMIFS(Tableau4[NB Remis],Tableau4[Réf matériel],Tableau5[[#This Row],[Réf matériel]],Tableau4[Matricule],"SBI")</f>
        <v>0</v>
      </c>
      <c r="K71" s="106" t="str">
        <f>IF(Tableau5[[#This Row],[Besoin SBI]]=Tableau5[[#This Row],[Remis SBI]],"OK","NOK")</f>
        <v>OK</v>
      </c>
      <c r="M71" s="90">
        <f>SUMIFS(Tableau4[NB Remis],Tableau4[Réf matériel],Tableau5[[#This Row],[Réf matériel]],Tableau4[Matricule],"ABI")</f>
        <v>0</v>
      </c>
      <c r="N71" s="106" t="str">
        <f>IF(Tableau5[[#This Row],[Besoin ABI]]=Tableau5[[#This Row],[Remis ABI]],"OK","NOK")</f>
        <v>OK</v>
      </c>
      <c r="P71" s="90">
        <f>SUMIFS(Tableau4[NB Remis],Tableau4[Réf matériel],Tableau5[[#This Row],[Réf matériel]],Tableau4[Matricule],"DCE")</f>
        <v>0</v>
      </c>
      <c r="Q71" s="106" t="str">
        <f>IF(Tableau5[[#This Row],[Besoin DCE]]=Tableau5[[#This Row],[Remis DCE]],"OK","NOK")</f>
        <v>OK</v>
      </c>
      <c r="S71" s="90">
        <f>SUMIFS(Tableau4[NB Remis],Tableau4[Réf matériel],Tableau5[[#This Row],[Réf matériel]],Tableau4[Matricule],"JDE")</f>
        <v>0</v>
      </c>
      <c r="T71" s="106" t="str">
        <f>IF(Tableau5[[#This Row],[Besoin JDE]]=Tableau5[[#This Row],[Remis JDE]],"OK","NOK")</f>
        <v>OK</v>
      </c>
      <c r="V71" s="90">
        <f>SUMIFS(Tableau4[NB Remis],Tableau4[Réf matériel],Tableau5[[#This Row],[Réf matériel]],Tableau4[Matricule],"ODI")</f>
        <v>0</v>
      </c>
      <c r="W71" s="106" t="str">
        <f>IF(Tableau5[[#This Row],[Besoin ODI]]=Tableau5[[#This Row],[Remis ODI]],"OK","NOK")</f>
        <v>OK</v>
      </c>
      <c r="Y71" s="90">
        <f>SUMIFS(Tableau4[NB Remis],Tableau4[Réf matériel],Tableau5[[#This Row],[Réf matériel]],Tableau4[Matricule],"MFO")</f>
        <v>0</v>
      </c>
      <c r="Z71" s="106" t="str">
        <f>IF(Tableau5[[#This Row],[Besoin MFO]]=Tableau5[[#This Row],[Remis MFO]],"OK","NOK")</f>
        <v>OK</v>
      </c>
      <c r="AA71">
        <v>0</v>
      </c>
      <c r="AB71">
        <f>SUMIFS(Tableau4[NB Remis],Tableau4[Réf matériel],Tableau5[[#This Row],[Réf matériel]],Tableau4[Matricule],"SDU")</f>
        <v>0</v>
      </c>
      <c r="AC71" s="106" t="str">
        <f>IF(Tableau5[[#This Row],[Besoin SDU]]=Tableau5[[#This Row],[Remis SDU]],"OK","NOK")</f>
        <v>OK</v>
      </c>
      <c r="AE71" s="90">
        <f>SUMIFS(Tableau4[NB Remis],Tableau4[Réf matériel],Tableau5[[#This Row],[Réf matériel]],Tableau4[Matricule],"GGA")</f>
        <v>0</v>
      </c>
      <c r="AF71" s="106" t="str">
        <f>IF(Tableau5[[#This Row],[Besoin GGA2]]=Tableau5[[#This Row],[Remis GGA3]],"OK","NOK")</f>
        <v>OK</v>
      </c>
      <c r="AH71" s="90">
        <f>SUMIFS(Tableau4[NB Remis],Tableau4[Réf matériel],Tableau5[[#This Row],[Réf matériel]],Tableau4[Matricule],"RGE")</f>
        <v>0</v>
      </c>
      <c r="AI71" s="106" t="str">
        <f>IF(Tableau5[[#This Row],[Besoin RGE]]=Tableau5[[#This Row],[Remis RGE]],"OK","NOK")</f>
        <v>OK</v>
      </c>
      <c r="AK71" s="90">
        <f>SUMIFS(Tableau4[NB Remis],Tableau4[Réf matériel],Tableau5[[#This Row],[Réf matériel]],Tableau4[Matricule],"CKE")</f>
        <v>0</v>
      </c>
      <c r="AL71" s="106" t="str">
        <f>IF(Tableau5[[#This Row],[Besoin CKE]]=Tableau5[[#This Row],[Remis CKE]],"OK","NOK")</f>
        <v>OK</v>
      </c>
      <c r="AN71" s="90">
        <f>SUMIFS(Tableau4[NB Remis],Tableau4[Réf matériel],Tableau5[[#This Row],[Réf matériel]],Tableau4[Matricule],"DMA")</f>
        <v>0</v>
      </c>
      <c r="AO71" s="106" t="str">
        <f>IF(Tableau5[[#This Row],[Besoin DMA]]=Tableau5[[#This Row],[Remis DMA]],"OK","NOK")</f>
        <v>OK</v>
      </c>
      <c r="AP71">
        <v>1</v>
      </c>
      <c r="AQ71" s="90">
        <f>SUMIFS(Tableau4[NB Remis],Tableau4[Réf matériel],Tableau5[[#This Row],[Réf matériel]],Tableau4[Matricule],"LMO")</f>
        <v>1</v>
      </c>
      <c r="AR71" s="106" t="str">
        <f>IF(Tableau5[[#This Row],[Besoin LMO]]=Tableau5[[#This Row],[Remis LMO]],"OK","NOK")</f>
        <v>OK</v>
      </c>
      <c r="AT71" s="90">
        <f>SUMIFS(Tableau4[NB Remis],Tableau4[Réf matériel],Tableau5[[#This Row],[Réf matériel]],Tableau4[Matricule],"TMO")</f>
        <v>0</v>
      </c>
      <c r="AU71" s="106" t="str">
        <f>IF(Tableau5[[#This Row],[Besoin TMO]]=Tableau5[[#This Row],[Remis TMO]],"OK","NOK")</f>
        <v>OK</v>
      </c>
      <c r="AW71" s="90">
        <f>SUMIFS(Tableau4[NB Remis],Tableau4[Réf matériel],Tableau5[[#This Row],[Réf matériel]],Tableau4[Matricule],"JPA")</f>
        <v>0</v>
      </c>
      <c r="AX71" s="106" t="str">
        <f>IF(Tableau5[[#This Row],[Besoin JPA]]=Tableau5[[#This Row],[Remis JPA]],"OK","NOK")</f>
        <v>OK</v>
      </c>
      <c r="AZ71" s="90">
        <f>SUMIFS(Tableau4[NB Remis],Tableau4[Réf matériel],Tableau5[[#This Row],[Réf matériel]],Tableau4[Matricule],"MPE")</f>
        <v>0</v>
      </c>
      <c r="BA71" s="106" t="str">
        <f>IF(Tableau5[[#This Row],[Besoin MPE]]=Tableau5[[#This Row],[Remis MPE]],"OK","NOK")</f>
        <v>OK</v>
      </c>
      <c r="BC71" s="90">
        <f>SUMIFS(Tableau4[NB Remis],Tableau4[Réf matériel],Tableau5[[#This Row],[Réf matériel]],Tableau4[Matricule],"SPR")</f>
        <v>0</v>
      </c>
      <c r="BD71" s="106" t="str">
        <f>IF(Tableau5[[#This Row],[Besoin SPR]]=Tableau5[[#This Row],[Remis SPR]],"OK","NOK")</f>
        <v>OK</v>
      </c>
      <c r="BF71" s="90">
        <f>SUMIFS(Tableau4[NB Remis],Tableau4[Réf matériel],Tableau5[[#This Row],[Réf matériel]],Tableau4[Matricule],"MRO")</f>
        <v>0</v>
      </c>
      <c r="BG71" s="106" t="str">
        <f>IF(Tableau5[[#This Row],[Besoin MRO]]=Tableau5[[#This Row],[Remis MRO]],"OK","NOK")</f>
        <v>OK</v>
      </c>
      <c r="BI71" s="90">
        <f>SUMIFS(Tableau4[NB Remis],Tableau4[Réf matériel],Tableau5[[#This Row],[Réf matériel]],Tableau4[Matricule],"LSA")</f>
        <v>0</v>
      </c>
      <c r="BJ71" s="106" t="str">
        <f>IF(Tableau5[[#This Row],[Besoin LSA]]=Tableau5[[#This Row],[Remis LSA]],"OK","NOK")</f>
        <v>OK</v>
      </c>
      <c r="BL71" s="90">
        <f>SUMIFS(Tableau4[NB Remis],Tableau4[Réf matériel],Tableau5[[#This Row],[Réf matériel]],Tableau4[Matricule],"SST")</f>
        <v>0</v>
      </c>
      <c r="BM71" s="106" t="str">
        <f>IF(Tableau5[[#This Row],[Besoin SST]]=Tableau5[[#This Row],[Remis SST]],"OK","NOK")</f>
        <v>OK</v>
      </c>
      <c r="BO71" s="90">
        <f>SUMIFS(Tableau4[NB Remis],Tableau4[Réf matériel],Tableau5[[#This Row],[Réf matériel]],Tableau4[Matricule],"CTH")</f>
        <v>0</v>
      </c>
      <c r="BP71" s="106" t="str">
        <f>IF(Tableau5[[#This Row],[Besoin CTH]]=Tableau5[[#This Row],[Remis CTH]],"OK","NOK")</f>
        <v>OK</v>
      </c>
      <c r="BQ71" s="105"/>
      <c r="BR71" s="106">
        <f>SUMIFS(Tableau4[NB Remis],Tableau4[Réf matériel],Tableau5[[#This Row],[Réf matériel]],Tableau4[Matricule],"AVU")</f>
        <v>0</v>
      </c>
      <c r="BS71" s="106" t="str">
        <f>IF(Tableau5[[#This Row],[Besoin AVU]]=Tableau5[[#This Row],[Remis AVU]],"OK","NOK")</f>
        <v>OK</v>
      </c>
      <c r="BU71" s="90">
        <f>SUMIFS(Tableau4[NB Remis],Tableau4[Réf matériel],Tableau5[[#This Row],[Réf matériel]],Tableau4[Matricule],"FZE")</f>
        <v>0</v>
      </c>
      <c r="BV71" s="106" t="str">
        <f>IF(Tableau5[[#This Row],[Besoin FZE]]=Tableau5[[#This Row],[Remis FZE]],"OK","NOK")</f>
        <v>OK</v>
      </c>
      <c r="BW71" s="105"/>
      <c r="BX71" s="106">
        <f>SUMIFS(Tableau4[NB Remis],Tableau4[Réf matériel],Tableau5[[#This Row],[Réf matériel]],Tableau4[Matricule],"CV2")</f>
        <v>0</v>
      </c>
      <c r="BY71" s="106" t="str">
        <f>IF(Tableau5[[#This Row],[Besoin CV2]]=Tableau5[[#This Row],[Remis CV2]],"OK","NOK")</f>
        <v>OK</v>
      </c>
      <c r="BZ71" s="105"/>
      <c r="CA71" s="106">
        <f>SUMIFS(Tableau4[NB Remis],Tableau4[Réf matériel],Tableau5[[#This Row],[Réf matériel]],Tableau4[Matricule],"CV3")</f>
        <v>0</v>
      </c>
      <c r="CB71" s="106" t="str">
        <f>IF(Tableau5[[#This Row],[Besoin CV3]]=Tableau5[[#This Row],[Remis CV3]],"OK","NOK")</f>
        <v>OK</v>
      </c>
      <c r="CD71" s="90">
        <f>SUMIFS(Tableau4[NB Remis],Tableau4[Réf matériel],Tableau5[[#This Row],[Réf matériel]],Tableau4[Matricule],"CV1")</f>
        <v>0</v>
      </c>
      <c r="CE71" s="106" t="str">
        <f>IF(Tableau5[[#This Row],[Besoin CV1]]=Tableau5[[#This Row],[Remis CV1]],"OK","NOK")</f>
        <v>OK</v>
      </c>
      <c r="CF71" s="106"/>
      <c r="CG71" s="106">
        <f>SUMIFS(Tableau4[NB Remis],Tableau4[Réf matériel],Tableau5[[#This Row],[Réf matériel]],Tableau4[Matricule],"CV4")</f>
        <v>0</v>
      </c>
      <c r="CH71" s="106" t="str">
        <f>IF(Tableau5[[#This Row],[Besoin CV4]]=Tableau5[[#This Row],[Remis CV4]],"OK","NOK")</f>
        <v>OK</v>
      </c>
    </row>
    <row r="72" spans="2:86" x14ac:dyDescent="0.25">
      <c r="B72" t="s">
        <v>72</v>
      </c>
      <c r="C72">
        <v>1</v>
      </c>
      <c r="D72">
        <f>SUMIFS(Tableau4[NB Remis],Tableau4[Réf matériel],Tableau5[[#This Row],[Réf matériel]],Tableau4[Matricule],"OAI")</f>
        <v>1</v>
      </c>
      <c r="E72" s="105" t="str">
        <f>IF(Tableau5[[#This Row],[Besoin OAI]]=Tableau5[[#This Row],[Remis OAI]],"OK","NOK")</f>
        <v>OK</v>
      </c>
      <c r="F72">
        <v>1</v>
      </c>
      <c r="G72">
        <f>SUMIFS(Tableau4[NB Remis],Tableau4[Réf matériel],Tableau5[[#This Row],[Réf matériel]],Tableau4[Matricule],"ABE")</f>
        <v>1</v>
      </c>
      <c r="H72" s="105" t="str">
        <f>IF(Tableau5[[#This Row],[Besoin ABE]]=Tableau5[[#This Row],[Remis ABE]],"OK","NOK")</f>
        <v>OK</v>
      </c>
      <c r="J72">
        <f>SUMIFS(Tableau4[NB Remis],Tableau4[Réf matériel],Tableau5[[#This Row],[Réf matériel]],Tableau4[Matricule],"SBI")</f>
        <v>0</v>
      </c>
      <c r="K72" s="105" t="str">
        <f>IF(Tableau5[[#This Row],[Besoin SBI]]=Tableau5[[#This Row],[Remis SBI]],"OK","NOK")</f>
        <v>OK</v>
      </c>
      <c r="L72">
        <v>1</v>
      </c>
      <c r="M72">
        <f>SUMIFS(Tableau4[NB Remis],Tableau4[Réf matériel],Tableau5[[#This Row],[Réf matériel]],Tableau4[Matricule],"ABI")</f>
        <v>0</v>
      </c>
      <c r="N72" s="105" t="str">
        <f>IF(Tableau5[[#This Row],[Besoin ABI]]=Tableau5[[#This Row],[Remis ABI]],"OK","NOK")</f>
        <v>NOK</v>
      </c>
      <c r="P72">
        <f>SUMIFS(Tableau4[NB Remis],Tableau4[Réf matériel],Tableau5[[#This Row],[Réf matériel]],Tableau4[Matricule],"DCE")</f>
        <v>0</v>
      </c>
      <c r="Q72" s="105" t="str">
        <f>IF(Tableau5[[#This Row],[Besoin DCE]]=Tableau5[[#This Row],[Remis DCE]],"OK","NOK")</f>
        <v>OK</v>
      </c>
      <c r="R72">
        <v>1</v>
      </c>
      <c r="S72">
        <f>SUMIFS(Tableau4[NB Remis],Tableau4[Réf matériel],Tableau5[[#This Row],[Réf matériel]],Tableau4[Matricule],"JDE")</f>
        <v>1</v>
      </c>
      <c r="T72" s="105" t="str">
        <f>IF(Tableau5[[#This Row],[Besoin JDE]]=Tableau5[[#This Row],[Remis JDE]],"OK","NOK")</f>
        <v>OK</v>
      </c>
      <c r="V72">
        <f>SUMIFS(Tableau4[NB Remis],Tableau4[Réf matériel],Tableau5[[#This Row],[Réf matériel]],Tableau4[Matricule],"ODI")</f>
        <v>0</v>
      </c>
      <c r="W72" s="105" t="str">
        <f>IF(Tableau5[[#This Row],[Besoin ODI]]=Tableau5[[#This Row],[Remis ODI]],"OK","NOK")</f>
        <v>OK</v>
      </c>
      <c r="Y72">
        <f>SUMIFS(Tableau4[NB Remis],Tableau4[Réf matériel],Tableau5[[#This Row],[Réf matériel]],Tableau4[Matricule],"MFO")</f>
        <v>0</v>
      </c>
      <c r="Z72" s="105" t="str">
        <f>IF(Tableau5[[#This Row],[Besoin MFO]]=Tableau5[[#This Row],[Remis MFO]],"OK","NOK")</f>
        <v>OK</v>
      </c>
      <c r="AB72">
        <f>SUMIFS(Tableau4[NB Remis],Tableau4[Réf matériel],Tableau5[[#This Row],[Réf matériel]],Tableau4[Matricule],"SDU")</f>
        <v>0</v>
      </c>
      <c r="AC72" s="105" t="str">
        <f>IF(Tableau5[[#This Row],[Besoin SDU]]=Tableau5[[#This Row],[Remis SDU]],"OK","NOK")</f>
        <v>OK</v>
      </c>
      <c r="AE72">
        <f>SUMIFS(Tableau4[NB Remis],Tableau4[Réf matériel],Tableau5[[#This Row],[Réf matériel]],Tableau4[Matricule],"GGA")</f>
        <v>0</v>
      </c>
      <c r="AF72" s="105" t="str">
        <f>IF(Tableau5[[#This Row],[Besoin GGA2]]=Tableau5[[#This Row],[Remis GGA3]],"OK","NOK")</f>
        <v>OK</v>
      </c>
      <c r="AG72">
        <v>1</v>
      </c>
      <c r="AH72">
        <f>SUMIFS(Tableau4[NB Remis],Tableau4[Réf matériel],Tableau5[[#This Row],[Réf matériel]],Tableau4[Matricule],"RGE")</f>
        <v>2</v>
      </c>
      <c r="AI72" s="105" t="str">
        <f>IF(Tableau5[[#This Row],[Besoin RGE]]=Tableau5[[#This Row],[Remis RGE]],"OK","NOK")</f>
        <v>NOK</v>
      </c>
      <c r="AJ72">
        <v>1</v>
      </c>
      <c r="AK72">
        <f>SUMIFS(Tableau4[NB Remis],Tableau4[Réf matériel],Tableau5[[#This Row],[Réf matériel]],Tableau4[Matricule],"CKE")</f>
        <v>1</v>
      </c>
      <c r="AL72" s="105" t="str">
        <f>IF(Tableau5[[#This Row],[Besoin CKE]]=Tableau5[[#This Row],[Remis CKE]],"OK","NOK")</f>
        <v>OK</v>
      </c>
      <c r="AN72">
        <f>SUMIFS(Tableau4[NB Remis],Tableau4[Réf matériel],Tableau5[[#This Row],[Réf matériel]],Tableau4[Matricule],"DMA")</f>
        <v>0</v>
      </c>
      <c r="AO72" s="105" t="str">
        <f>IF(Tableau5[[#This Row],[Besoin DMA]]=Tableau5[[#This Row],[Remis DMA]],"OK","NOK")</f>
        <v>OK</v>
      </c>
      <c r="AQ72">
        <f>SUMIFS(Tableau4[NB Remis],Tableau4[Réf matériel],Tableau5[[#This Row],[Réf matériel]],Tableau4[Matricule],"LMO")</f>
        <v>0</v>
      </c>
      <c r="AR72" s="105" t="str">
        <f>IF(Tableau5[[#This Row],[Besoin LMO]]=Tableau5[[#This Row],[Remis LMO]],"OK","NOK")</f>
        <v>OK</v>
      </c>
      <c r="AT72">
        <f>SUMIFS(Tableau4[NB Remis],Tableau4[Réf matériel],Tableau5[[#This Row],[Réf matériel]],Tableau4[Matricule],"TMO")</f>
        <v>0</v>
      </c>
      <c r="AU72" s="105" t="str">
        <f>IF(Tableau5[[#This Row],[Besoin TMO]]=Tableau5[[#This Row],[Remis TMO]],"OK","NOK")</f>
        <v>OK</v>
      </c>
      <c r="AW72">
        <f>SUMIFS(Tableau4[NB Remis],Tableau4[Réf matériel],Tableau5[[#This Row],[Réf matériel]],Tableau4[Matricule],"JPA")</f>
        <v>0</v>
      </c>
      <c r="AX72" s="105" t="str">
        <f>IF(Tableau5[[#This Row],[Besoin JPA]]=Tableau5[[#This Row],[Remis JPA]],"OK","NOK")</f>
        <v>OK</v>
      </c>
      <c r="AZ72">
        <f>SUMIFS(Tableau4[NB Remis],Tableau4[Réf matériel],Tableau5[[#This Row],[Réf matériel]],Tableau4[Matricule],"MPE")</f>
        <v>0</v>
      </c>
      <c r="BA72" s="105" t="str">
        <f>IF(Tableau5[[#This Row],[Besoin MPE]]=Tableau5[[#This Row],[Remis MPE]],"OK","NOK")</f>
        <v>OK</v>
      </c>
      <c r="BB72">
        <v>1</v>
      </c>
      <c r="BC72">
        <f>SUMIFS(Tableau4[NB Remis],Tableau4[Réf matériel],Tableau5[[#This Row],[Réf matériel]],Tableau4[Matricule],"SPR")</f>
        <v>1</v>
      </c>
      <c r="BD72" s="105" t="str">
        <f>IF(Tableau5[[#This Row],[Besoin SPR]]=Tableau5[[#This Row],[Remis SPR]],"OK","NOK")</f>
        <v>OK</v>
      </c>
      <c r="BE72">
        <v>1</v>
      </c>
      <c r="BF72">
        <f>SUMIFS(Tableau4[NB Remis],Tableau4[Réf matériel],Tableau5[[#This Row],[Réf matériel]],Tableau4[Matricule],"MRO")</f>
        <v>1</v>
      </c>
      <c r="BG72" s="105" t="str">
        <f>IF(Tableau5[[#This Row],[Besoin MRO]]=Tableau5[[#This Row],[Remis MRO]],"OK","NOK")</f>
        <v>OK</v>
      </c>
      <c r="BH72">
        <v>1</v>
      </c>
      <c r="BI72">
        <f>SUMIFS(Tableau4[NB Remis],Tableau4[Réf matériel],Tableau5[[#This Row],[Réf matériel]],Tableau4[Matricule],"LSA")</f>
        <v>1</v>
      </c>
      <c r="BJ72" s="105" t="str">
        <f>IF(Tableau5[[#This Row],[Besoin LSA]]=Tableau5[[#This Row],[Remis LSA]],"OK","NOK")</f>
        <v>OK</v>
      </c>
      <c r="BK72">
        <v>1</v>
      </c>
      <c r="BL72">
        <f>SUMIFS(Tableau4[NB Remis],Tableau4[Réf matériel],Tableau5[[#This Row],[Réf matériel]],Tableau4[Matricule],"SST")</f>
        <v>1</v>
      </c>
      <c r="BM72" s="105" t="str">
        <f>IF(Tableau5[[#This Row],[Besoin SST]]=Tableau5[[#This Row],[Remis SST]],"OK","NOK")</f>
        <v>OK</v>
      </c>
      <c r="BO72">
        <f>SUMIFS(Tableau4[NB Remis],Tableau4[Réf matériel],Tableau5[[#This Row],[Réf matériel]],Tableau4[Matricule],"CTH")</f>
        <v>0</v>
      </c>
      <c r="BP72" s="105" t="str">
        <f>IF(Tableau5[[#This Row],[Besoin CTH]]=Tableau5[[#This Row],[Remis CTH]],"OK","NOK")</f>
        <v>OK</v>
      </c>
      <c r="BQ72">
        <v>1</v>
      </c>
      <c r="BR72">
        <f>SUMIFS(Tableau4[NB Remis],Tableau4[Réf matériel],Tableau5[[#This Row],[Réf matériel]],Tableau4[Matricule],"AVU")</f>
        <v>1</v>
      </c>
      <c r="BS72" s="105" t="str">
        <f>IF(Tableau5[[#This Row],[Besoin AVU]]=Tableau5[[#This Row],[Remis AVU]],"OK","NOK")</f>
        <v>OK</v>
      </c>
      <c r="BU72">
        <f>SUMIFS(Tableau4[NB Remis],Tableau4[Réf matériel],Tableau5[[#This Row],[Réf matériel]],Tableau4[Matricule],"FZE")</f>
        <v>0</v>
      </c>
      <c r="BV72" s="105" t="str">
        <f>IF(Tableau5[[#This Row],[Besoin FZE]]=Tableau5[[#This Row],[Remis FZE]],"OK","NOK")</f>
        <v>OK</v>
      </c>
      <c r="BW72">
        <v>1</v>
      </c>
      <c r="BX72">
        <f>SUMIFS(Tableau4[NB Remis],Tableau4[Réf matériel],Tableau5[[#This Row],[Réf matériel]],Tableau4[Matricule],"CV2")</f>
        <v>1</v>
      </c>
      <c r="BY72" s="105" t="str">
        <f>IF(Tableau5[[#This Row],[Besoin CV2]]=Tableau5[[#This Row],[Remis CV2]],"OK","NOK")</f>
        <v>OK</v>
      </c>
      <c r="BZ72">
        <v>1</v>
      </c>
      <c r="CA72">
        <f>SUMIFS(Tableau4[NB Remis],Tableau4[Réf matériel],Tableau5[[#This Row],[Réf matériel]],Tableau4[Matricule],"CV3")</f>
        <v>1</v>
      </c>
      <c r="CB72" s="105" t="str">
        <f>IF(Tableau5[[#This Row],[Besoin CV3]]=Tableau5[[#This Row],[Remis CV3]],"OK","NOK")</f>
        <v>OK</v>
      </c>
      <c r="CC72">
        <v>1</v>
      </c>
      <c r="CD72">
        <f>SUMIFS(Tableau4[NB Remis],Tableau4[Réf matériel],Tableau5[[#This Row],[Réf matériel]],Tableau4[Matricule],"CV1")</f>
        <v>1</v>
      </c>
      <c r="CE72" s="105" t="str">
        <f>IF(Tableau5[[#This Row],[Besoin CV1]]=Tableau5[[#This Row],[Remis CV1]],"OK","NOK")</f>
        <v>OK</v>
      </c>
      <c r="CF72">
        <v>1</v>
      </c>
      <c r="CG72">
        <f>SUMIFS(Tableau4[NB Remis],Tableau4[Réf matériel],Tableau5[[#This Row],[Réf matériel]],Tableau4[Matricule],"CV4")</f>
        <v>1</v>
      </c>
      <c r="CH72" s="106" t="str">
        <f>IF(Tableau5[[#This Row],[Besoin CV4]]=Tableau5[[#This Row],[Remis CV4]],"OK","NOK")</f>
        <v>OK</v>
      </c>
    </row>
    <row r="73" spans="2:86" x14ac:dyDescent="0.25">
      <c r="B73" t="s">
        <v>280</v>
      </c>
      <c r="C73">
        <v>1</v>
      </c>
      <c r="D73">
        <f>SUMIFS(Tableau4[NB Remis],Tableau4[Réf matériel],Tableau5[[#This Row],[Réf matériel]],Tableau4[Matricule],"OAI")</f>
        <v>1</v>
      </c>
      <c r="E73" s="105" t="str">
        <f>IF(Tableau5[[#This Row],[Besoin OAI]]=Tableau5[[#This Row],[Remis OAI]],"OK","NOK")</f>
        <v>OK</v>
      </c>
      <c r="F73">
        <v>1</v>
      </c>
      <c r="G73">
        <f>SUMIFS(Tableau4[NB Remis],Tableau4[Réf matériel],Tableau5[[#This Row],[Réf matériel]],Tableau4[Matricule],"ABE")</f>
        <v>1</v>
      </c>
      <c r="H73" s="105" t="str">
        <f>IF(Tableau5[[#This Row],[Besoin ABE]]=Tableau5[[#This Row],[Remis ABE]],"OK","NOK")</f>
        <v>OK</v>
      </c>
      <c r="J73">
        <f>SUMIFS(Tableau4[NB Remis],Tableau4[Réf matériel],Tableau5[[#This Row],[Réf matériel]],Tableau4[Matricule],"SBI")</f>
        <v>0</v>
      </c>
      <c r="K73" s="105" t="str">
        <f>IF(Tableau5[[#This Row],[Besoin SBI]]=Tableau5[[#This Row],[Remis SBI]],"OK","NOK")</f>
        <v>OK</v>
      </c>
      <c r="L73">
        <v>1</v>
      </c>
      <c r="M73">
        <f>SUMIFS(Tableau4[NB Remis],Tableau4[Réf matériel],Tableau5[[#This Row],[Réf matériel]],Tableau4[Matricule],"ABI")</f>
        <v>1</v>
      </c>
      <c r="N73" s="105" t="str">
        <f>IF(Tableau5[[#This Row],[Besoin ABI]]=Tableau5[[#This Row],[Remis ABI]],"OK","NOK")</f>
        <v>OK</v>
      </c>
      <c r="P73">
        <f>SUMIFS(Tableau4[NB Remis],Tableau4[Réf matériel],Tableau5[[#This Row],[Réf matériel]],Tableau4[Matricule],"DCE")</f>
        <v>0</v>
      </c>
      <c r="Q73" s="105" t="str">
        <f>IF(Tableau5[[#This Row],[Besoin DCE]]=Tableau5[[#This Row],[Remis DCE]],"OK","NOK")</f>
        <v>OK</v>
      </c>
      <c r="R73">
        <v>1</v>
      </c>
      <c r="S73">
        <f>SUMIFS(Tableau4[NB Remis],Tableau4[Réf matériel],Tableau5[[#This Row],[Réf matériel]],Tableau4[Matricule],"JDE")</f>
        <v>1</v>
      </c>
      <c r="T73" s="105" t="str">
        <f>IF(Tableau5[[#This Row],[Besoin JDE]]=Tableau5[[#This Row],[Remis JDE]],"OK","NOK")</f>
        <v>OK</v>
      </c>
      <c r="U73">
        <v>1</v>
      </c>
      <c r="V73">
        <f>SUMIFS(Tableau4[NB Remis],Tableau4[Réf matériel],Tableau5[[#This Row],[Réf matériel]],Tableau4[Matricule],"ODI")</f>
        <v>1</v>
      </c>
      <c r="W73" s="105" t="str">
        <f>IF(Tableau5[[#This Row],[Besoin ODI]]=Tableau5[[#This Row],[Remis ODI]],"OK","NOK")</f>
        <v>OK</v>
      </c>
      <c r="Y73">
        <f>SUMIFS(Tableau4[NB Remis],Tableau4[Réf matériel],Tableau5[[#This Row],[Réf matériel]],Tableau4[Matricule],"MFO")</f>
        <v>0</v>
      </c>
      <c r="Z73" s="105" t="str">
        <f>IF(Tableau5[[#This Row],[Besoin MFO]]=Tableau5[[#This Row],[Remis MFO]],"OK","NOK")</f>
        <v>OK</v>
      </c>
      <c r="AB73">
        <f>SUMIFS(Tableau4[NB Remis],Tableau4[Réf matériel],Tableau5[[#This Row],[Réf matériel]],Tableau4[Matricule],"SDU")</f>
        <v>0</v>
      </c>
      <c r="AC73" s="105" t="str">
        <f>IF(Tableau5[[#This Row],[Besoin SDU]]=Tableau5[[#This Row],[Remis SDU]],"OK","NOK")</f>
        <v>OK</v>
      </c>
      <c r="AE73">
        <f>SUMIFS(Tableau4[NB Remis],Tableau4[Réf matériel],Tableau5[[#This Row],[Réf matériel]],Tableau4[Matricule],"GGA")</f>
        <v>0</v>
      </c>
      <c r="AF73" s="105" t="str">
        <f>IF(Tableau5[[#This Row],[Besoin GGA2]]=Tableau5[[#This Row],[Remis GGA3]],"OK","NOK")</f>
        <v>OK</v>
      </c>
      <c r="AG73">
        <v>1</v>
      </c>
      <c r="AH73">
        <f>SUMIFS(Tableau4[NB Remis],Tableau4[Réf matériel],Tableau5[[#This Row],[Réf matériel]],Tableau4[Matricule],"RGE")</f>
        <v>2</v>
      </c>
      <c r="AI73" s="105" t="str">
        <f>IF(Tableau5[[#This Row],[Besoin RGE]]=Tableau5[[#This Row],[Remis RGE]],"OK","NOK")</f>
        <v>NOK</v>
      </c>
      <c r="AJ73">
        <v>1</v>
      </c>
      <c r="AK73">
        <f>SUMIFS(Tableau4[NB Remis],Tableau4[Réf matériel],Tableau5[[#This Row],[Réf matériel]],Tableau4[Matricule],"CKE")</f>
        <v>1</v>
      </c>
      <c r="AL73" s="105" t="str">
        <f>IF(Tableau5[[#This Row],[Besoin CKE]]=Tableau5[[#This Row],[Remis CKE]],"OK","NOK")</f>
        <v>OK</v>
      </c>
      <c r="AN73">
        <f>SUMIFS(Tableau4[NB Remis],Tableau4[Réf matériel],Tableau5[[#This Row],[Réf matériel]],Tableau4[Matricule],"DMA")</f>
        <v>0</v>
      </c>
      <c r="AO73" s="105" t="str">
        <f>IF(Tableau5[[#This Row],[Besoin DMA]]=Tableau5[[#This Row],[Remis DMA]],"OK","NOK")</f>
        <v>OK</v>
      </c>
      <c r="AQ73">
        <f>SUMIFS(Tableau4[NB Remis],Tableau4[Réf matériel],Tableau5[[#This Row],[Réf matériel]],Tableau4[Matricule],"LMO")</f>
        <v>0</v>
      </c>
      <c r="AR73" s="105" t="str">
        <f>IF(Tableau5[[#This Row],[Besoin LMO]]=Tableau5[[#This Row],[Remis LMO]],"OK","NOK")</f>
        <v>OK</v>
      </c>
      <c r="AS73">
        <v>1</v>
      </c>
      <c r="AT73">
        <f>SUMIFS(Tableau4[NB Remis],Tableau4[Réf matériel],Tableau5[[#This Row],[Réf matériel]],Tableau4[Matricule],"TMO")</f>
        <v>1</v>
      </c>
      <c r="AU73" s="105" t="str">
        <f>IF(Tableau5[[#This Row],[Besoin TMO]]=Tableau5[[#This Row],[Remis TMO]],"OK","NOK")</f>
        <v>OK</v>
      </c>
      <c r="AV73">
        <v>1</v>
      </c>
      <c r="AW73">
        <f>SUMIFS(Tableau4[NB Remis],Tableau4[Réf matériel],Tableau5[[#This Row],[Réf matériel]],Tableau4[Matricule],"JPA")</f>
        <v>1</v>
      </c>
      <c r="AX73" s="105" t="str">
        <f>IF(Tableau5[[#This Row],[Besoin JPA]]=Tableau5[[#This Row],[Remis JPA]],"OK","NOK")</f>
        <v>OK</v>
      </c>
      <c r="AZ73">
        <f>SUMIFS(Tableau4[NB Remis],Tableau4[Réf matériel],Tableau5[[#This Row],[Réf matériel]],Tableau4[Matricule],"MPE")</f>
        <v>0</v>
      </c>
      <c r="BA73" s="105" t="str">
        <f>IF(Tableau5[[#This Row],[Besoin MPE]]=Tableau5[[#This Row],[Remis MPE]],"OK","NOK")</f>
        <v>OK</v>
      </c>
      <c r="BB73">
        <v>1</v>
      </c>
      <c r="BC73">
        <f>SUMIFS(Tableau4[NB Remis],Tableau4[Réf matériel],Tableau5[[#This Row],[Réf matériel]],Tableau4[Matricule],"SPR")</f>
        <v>1</v>
      </c>
      <c r="BD73" s="105" t="str">
        <f>IF(Tableau5[[#This Row],[Besoin SPR]]=Tableau5[[#This Row],[Remis SPR]],"OK","NOK")</f>
        <v>OK</v>
      </c>
      <c r="BE73">
        <v>1</v>
      </c>
      <c r="BF73">
        <f>SUMIFS(Tableau4[NB Remis],Tableau4[Réf matériel],Tableau5[[#This Row],[Réf matériel]],Tableau4[Matricule],"MRO")</f>
        <v>3</v>
      </c>
      <c r="BG73" s="105" t="str">
        <f>IF(Tableau5[[#This Row],[Besoin MRO]]=Tableau5[[#This Row],[Remis MRO]],"OK","NOK")</f>
        <v>NOK</v>
      </c>
      <c r="BH73">
        <v>1</v>
      </c>
      <c r="BI73">
        <f>SUMIFS(Tableau4[NB Remis],Tableau4[Réf matériel],Tableau5[[#This Row],[Réf matériel]],Tableau4[Matricule],"LSA")</f>
        <v>1</v>
      </c>
      <c r="BJ73" s="105" t="str">
        <f>IF(Tableau5[[#This Row],[Besoin LSA]]=Tableau5[[#This Row],[Remis LSA]],"OK","NOK")</f>
        <v>OK</v>
      </c>
      <c r="BK73">
        <v>1</v>
      </c>
      <c r="BL73">
        <f>SUMIFS(Tableau4[NB Remis],Tableau4[Réf matériel],Tableau5[[#This Row],[Réf matériel]],Tableau4[Matricule],"SST")</f>
        <v>1</v>
      </c>
      <c r="BM73" s="105" t="str">
        <f>IF(Tableau5[[#This Row],[Besoin SST]]=Tableau5[[#This Row],[Remis SST]],"OK","NOK")</f>
        <v>OK</v>
      </c>
      <c r="BO73">
        <f>SUMIFS(Tableau4[NB Remis],Tableau4[Réf matériel],Tableau5[[#This Row],[Réf matériel]],Tableau4[Matricule],"CTH")</f>
        <v>0</v>
      </c>
      <c r="BP73" s="105" t="str">
        <f>IF(Tableau5[[#This Row],[Besoin CTH]]=Tableau5[[#This Row],[Remis CTH]],"OK","NOK")</f>
        <v>OK</v>
      </c>
      <c r="BQ73">
        <v>1</v>
      </c>
      <c r="BR73">
        <f>SUMIFS(Tableau4[NB Remis],Tableau4[Réf matériel],Tableau5[[#This Row],[Réf matériel]],Tableau4[Matricule],"AVU")</f>
        <v>1</v>
      </c>
      <c r="BS73" s="105" t="str">
        <f>IF(Tableau5[[#This Row],[Besoin AVU]]=Tableau5[[#This Row],[Remis AVU]],"OK","NOK")</f>
        <v>OK</v>
      </c>
      <c r="BU73">
        <f>SUMIFS(Tableau4[NB Remis],Tableau4[Réf matériel],Tableau5[[#This Row],[Réf matériel]],Tableau4[Matricule],"FZE")</f>
        <v>0</v>
      </c>
      <c r="BV73" s="105" t="str">
        <f>IF(Tableau5[[#This Row],[Besoin FZE]]=Tableau5[[#This Row],[Remis FZE]],"OK","NOK")</f>
        <v>OK</v>
      </c>
      <c r="BW73">
        <v>1</v>
      </c>
      <c r="BX73">
        <f>SUMIFS(Tableau4[NB Remis],Tableau4[Réf matériel],Tableau5[[#This Row],[Réf matériel]],Tableau4[Matricule],"CV2")</f>
        <v>1</v>
      </c>
      <c r="BY73" s="105" t="str">
        <f>IF(Tableau5[[#This Row],[Besoin CV2]]=Tableau5[[#This Row],[Remis CV2]],"OK","NOK")</f>
        <v>OK</v>
      </c>
      <c r="BZ73">
        <v>1</v>
      </c>
      <c r="CA73">
        <f>SUMIFS(Tableau4[NB Remis],Tableau4[Réf matériel],Tableau5[[#This Row],[Réf matériel]],Tableau4[Matricule],"CV3")</f>
        <v>1</v>
      </c>
      <c r="CB73" s="105" t="str">
        <f>IF(Tableau5[[#This Row],[Besoin CV3]]=Tableau5[[#This Row],[Remis CV3]],"OK","NOK")</f>
        <v>OK</v>
      </c>
      <c r="CC73">
        <v>1</v>
      </c>
      <c r="CD73">
        <f>SUMIFS(Tableau4[NB Remis],Tableau4[Réf matériel],Tableau5[[#This Row],[Réf matériel]],Tableau4[Matricule],"CV1")</f>
        <v>1</v>
      </c>
      <c r="CE73" s="105" t="str">
        <f>IF(Tableau5[[#This Row],[Besoin CV1]]=Tableau5[[#This Row],[Remis CV1]],"OK","NOK")</f>
        <v>OK</v>
      </c>
      <c r="CF73">
        <v>1</v>
      </c>
      <c r="CG73">
        <f>SUMIFS(Tableau4[NB Remis],Tableau4[Réf matériel],Tableau5[[#This Row],[Réf matériel]],Tableau4[Matricule],"CV4")</f>
        <v>1</v>
      </c>
      <c r="CH73" s="106" t="str">
        <f>IF(Tableau5[[#This Row],[Besoin CV4]]=Tableau5[[#This Row],[Remis CV4]],"OK","NOK")</f>
        <v>OK</v>
      </c>
    </row>
    <row r="74" spans="2:86" x14ac:dyDescent="0.25">
      <c r="B74" t="s">
        <v>397</v>
      </c>
      <c r="C74">
        <v>1</v>
      </c>
      <c r="D74">
        <f>SUMIFS(Tableau4[NB Remis],Tableau4[Réf matériel],Tableau5[[#This Row],[Réf matériel]],Tableau4[Matricule],"OAI")</f>
        <v>2</v>
      </c>
      <c r="E74" s="105" t="str">
        <f>IF(Tableau5[[#This Row],[Besoin OAI]]=Tableau5[[#This Row],[Remis OAI]],"OK","NOK")</f>
        <v>NOK</v>
      </c>
      <c r="F74">
        <v>1</v>
      </c>
      <c r="G74">
        <f>SUMIFS(Tableau4[NB Remis],Tableau4[Réf matériel],Tableau5[[#This Row],[Réf matériel]],Tableau4[Matricule],"ABE")</f>
        <v>1</v>
      </c>
      <c r="H74" s="105" t="str">
        <f>IF(Tableau5[[#This Row],[Besoin ABE]]=Tableau5[[#This Row],[Remis ABE]],"OK","NOK")</f>
        <v>OK</v>
      </c>
      <c r="J74">
        <f>SUMIFS(Tableau4[NB Remis],Tableau4[Réf matériel],Tableau5[[#This Row],[Réf matériel]],Tableau4[Matricule],"SBI")</f>
        <v>0</v>
      </c>
      <c r="K74" s="105" t="str">
        <f>IF(Tableau5[[#This Row],[Besoin SBI]]=Tableau5[[#This Row],[Remis SBI]],"OK","NOK")</f>
        <v>OK</v>
      </c>
      <c r="L74">
        <v>1</v>
      </c>
      <c r="M74">
        <f>SUMIFS(Tableau4[NB Remis],Tableau4[Réf matériel],Tableau5[[#This Row],[Réf matériel]],Tableau4[Matricule],"ABI")</f>
        <v>1</v>
      </c>
      <c r="N74" s="105" t="str">
        <f>IF(Tableau5[[#This Row],[Besoin ABI]]=Tableau5[[#This Row],[Remis ABI]],"OK","NOK")</f>
        <v>OK</v>
      </c>
      <c r="P74">
        <f>SUMIFS(Tableau4[NB Remis],Tableau4[Réf matériel],Tableau5[[#This Row],[Réf matériel]],Tableau4[Matricule],"DCE")</f>
        <v>0</v>
      </c>
      <c r="Q74" s="105" t="str">
        <f>IF(Tableau5[[#This Row],[Besoin DCE]]=Tableau5[[#This Row],[Remis DCE]],"OK","NOK")</f>
        <v>OK</v>
      </c>
      <c r="R74">
        <v>1</v>
      </c>
      <c r="S74">
        <f>SUMIFS(Tableau4[NB Remis],Tableau4[Réf matériel],Tableau5[[#This Row],[Réf matériel]],Tableau4[Matricule],"JDE")</f>
        <v>1</v>
      </c>
      <c r="T74" s="105" t="str">
        <f>IF(Tableau5[[#This Row],[Besoin JDE]]=Tableau5[[#This Row],[Remis JDE]],"OK","NOK")</f>
        <v>OK</v>
      </c>
      <c r="U74">
        <v>1</v>
      </c>
      <c r="V74">
        <f>SUMIFS(Tableau4[NB Remis],Tableau4[Réf matériel],Tableau5[[#This Row],[Réf matériel]],Tableau4[Matricule],"ODI")</f>
        <v>1</v>
      </c>
      <c r="W74" s="105" t="str">
        <f>IF(Tableau5[[#This Row],[Besoin ODI]]=Tableau5[[#This Row],[Remis ODI]],"OK","NOK")</f>
        <v>OK</v>
      </c>
      <c r="Y74">
        <f>SUMIFS(Tableau4[NB Remis],Tableau4[Réf matériel],Tableau5[[#This Row],[Réf matériel]],Tableau4[Matricule],"MFO")</f>
        <v>0</v>
      </c>
      <c r="Z74" s="105" t="str">
        <f>IF(Tableau5[[#This Row],[Besoin MFO]]=Tableau5[[#This Row],[Remis MFO]],"OK","NOK")</f>
        <v>OK</v>
      </c>
      <c r="AB74">
        <f>SUMIFS(Tableau4[NB Remis],Tableau4[Réf matériel],Tableau5[[#This Row],[Réf matériel]],Tableau4[Matricule],"SDU")</f>
        <v>0</v>
      </c>
      <c r="AC74" s="105" t="str">
        <f>IF(Tableau5[[#This Row],[Besoin SDU]]=Tableau5[[#This Row],[Remis SDU]],"OK","NOK")</f>
        <v>OK</v>
      </c>
      <c r="AE74">
        <f>SUMIFS(Tableau4[NB Remis],Tableau4[Réf matériel],Tableau5[[#This Row],[Réf matériel]],Tableau4[Matricule],"GGA")</f>
        <v>0</v>
      </c>
      <c r="AF74" s="105" t="str">
        <f>IF(Tableau5[[#This Row],[Besoin GGA2]]=Tableau5[[#This Row],[Remis GGA3]],"OK","NOK")</f>
        <v>OK</v>
      </c>
      <c r="AG74">
        <v>1</v>
      </c>
      <c r="AH74">
        <f>SUMIFS(Tableau4[NB Remis],Tableau4[Réf matériel],Tableau5[[#This Row],[Réf matériel]],Tableau4[Matricule],"RGE")</f>
        <v>2</v>
      </c>
      <c r="AI74" s="105" t="str">
        <f>IF(Tableau5[[#This Row],[Besoin RGE]]=Tableau5[[#This Row],[Remis RGE]],"OK","NOK")</f>
        <v>NOK</v>
      </c>
      <c r="AJ74">
        <v>1</v>
      </c>
      <c r="AK74">
        <f>SUMIFS(Tableau4[NB Remis],Tableau4[Réf matériel],Tableau5[[#This Row],[Réf matériel]],Tableau4[Matricule],"CKE")</f>
        <v>1</v>
      </c>
      <c r="AL74" s="105" t="str">
        <f>IF(Tableau5[[#This Row],[Besoin CKE]]=Tableau5[[#This Row],[Remis CKE]],"OK","NOK")</f>
        <v>OK</v>
      </c>
      <c r="AN74">
        <f>SUMIFS(Tableau4[NB Remis],Tableau4[Réf matériel],Tableau5[[#This Row],[Réf matériel]],Tableau4[Matricule],"DMA")</f>
        <v>0</v>
      </c>
      <c r="AO74" s="105" t="str">
        <f>IF(Tableau5[[#This Row],[Besoin DMA]]=Tableau5[[#This Row],[Remis DMA]],"OK","NOK")</f>
        <v>OK</v>
      </c>
      <c r="AQ74">
        <f>SUMIFS(Tableau4[NB Remis],Tableau4[Réf matériel],Tableau5[[#This Row],[Réf matériel]],Tableau4[Matricule],"LMO")</f>
        <v>0</v>
      </c>
      <c r="AR74" s="105" t="str">
        <f>IF(Tableau5[[#This Row],[Besoin LMO]]=Tableau5[[#This Row],[Remis LMO]],"OK","NOK")</f>
        <v>OK</v>
      </c>
      <c r="AS74">
        <v>1</v>
      </c>
      <c r="AT74">
        <f>SUMIFS(Tableau4[NB Remis],Tableau4[Réf matériel],Tableau5[[#This Row],[Réf matériel]],Tableau4[Matricule],"TMO")</f>
        <v>1</v>
      </c>
      <c r="AU74" s="105" t="str">
        <f>IF(Tableau5[[#This Row],[Besoin TMO]]=Tableau5[[#This Row],[Remis TMO]],"OK","NOK")</f>
        <v>OK</v>
      </c>
      <c r="AV74">
        <v>1</v>
      </c>
      <c r="AW74">
        <f>SUMIFS(Tableau4[NB Remis],Tableau4[Réf matériel],Tableau5[[#This Row],[Réf matériel]],Tableau4[Matricule],"JPA")</f>
        <v>1</v>
      </c>
      <c r="AX74" s="105" t="str">
        <f>IF(Tableau5[[#This Row],[Besoin JPA]]=Tableau5[[#This Row],[Remis JPA]],"OK","NOK")</f>
        <v>OK</v>
      </c>
      <c r="AZ74">
        <f>SUMIFS(Tableau4[NB Remis],Tableau4[Réf matériel],Tableau5[[#This Row],[Réf matériel]],Tableau4[Matricule],"MPE")</f>
        <v>0</v>
      </c>
      <c r="BA74" s="105" t="str">
        <f>IF(Tableau5[[#This Row],[Besoin MPE]]=Tableau5[[#This Row],[Remis MPE]],"OK","NOK")</f>
        <v>OK</v>
      </c>
      <c r="BB74">
        <v>1</v>
      </c>
      <c r="BC74">
        <f>SUMIFS(Tableau4[NB Remis],Tableau4[Réf matériel],Tableau5[[#This Row],[Réf matériel]],Tableau4[Matricule],"SPR")</f>
        <v>1</v>
      </c>
      <c r="BD74" s="105" t="str">
        <f>IF(Tableau5[[#This Row],[Besoin SPR]]=Tableau5[[#This Row],[Remis SPR]],"OK","NOK")</f>
        <v>OK</v>
      </c>
      <c r="BE74">
        <v>1</v>
      </c>
      <c r="BF74">
        <f>SUMIFS(Tableau4[NB Remis],Tableau4[Réf matériel],Tableau5[[#This Row],[Réf matériel]],Tableau4[Matricule],"MRO")</f>
        <v>1</v>
      </c>
      <c r="BG74" s="105" t="str">
        <f>IF(Tableau5[[#This Row],[Besoin MRO]]=Tableau5[[#This Row],[Remis MRO]],"OK","NOK")</f>
        <v>OK</v>
      </c>
      <c r="BH74">
        <v>1</v>
      </c>
      <c r="BI74">
        <f>SUMIFS(Tableau4[NB Remis],Tableau4[Réf matériel],Tableau5[[#This Row],[Réf matériel]],Tableau4[Matricule],"LSA")</f>
        <v>1</v>
      </c>
      <c r="BJ74" s="105" t="str">
        <f>IF(Tableau5[[#This Row],[Besoin LSA]]=Tableau5[[#This Row],[Remis LSA]],"OK","NOK")</f>
        <v>OK</v>
      </c>
      <c r="BK74">
        <v>1</v>
      </c>
      <c r="BL74">
        <f>SUMIFS(Tableau4[NB Remis],Tableau4[Réf matériel],Tableau5[[#This Row],[Réf matériel]],Tableau4[Matricule],"SST")</f>
        <v>1</v>
      </c>
      <c r="BM74" s="105" t="str">
        <f>IF(Tableau5[[#This Row],[Besoin SST]]=Tableau5[[#This Row],[Remis SST]],"OK","NOK")</f>
        <v>OK</v>
      </c>
      <c r="BO74">
        <f>SUMIFS(Tableau4[NB Remis],Tableau4[Réf matériel],Tableau5[[#This Row],[Réf matériel]],Tableau4[Matricule],"CTH")</f>
        <v>0</v>
      </c>
      <c r="BP74" s="105" t="str">
        <f>IF(Tableau5[[#This Row],[Besoin CTH]]=Tableau5[[#This Row],[Remis CTH]],"OK","NOK")</f>
        <v>OK</v>
      </c>
      <c r="BQ74">
        <v>1</v>
      </c>
      <c r="BR74">
        <f>SUMIFS(Tableau4[NB Remis],Tableau4[Réf matériel],Tableau5[[#This Row],[Réf matériel]],Tableau4[Matricule],"AVU")</f>
        <v>1</v>
      </c>
      <c r="BS74" s="105" t="str">
        <f>IF(Tableau5[[#This Row],[Besoin AVU]]=Tableau5[[#This Row],[Remis AVU]],"OK","NOK")</f>
        <v>OK</v>
      </c>
      <c r="BU74">
        <f>SUMIFS(Tableau4[NB Remis],Tableau4[Réf matériel],Tableau5[[#This Row],[Réf matériel]],Tableau4[Matricule],"FZE")</f>
        <v>0</v>
      </c>
      <c r="BV74" s="105" t="str">
        <f>IF(Tableau5[[#This Row],[Besoin FZE]]=Tableau5[[#This Row],[Remis FZE]],"OK","NOK")</f>
        <v>OK</v>
      </c>
      <c r="BW74">
        <v>1</v>
      </c>
      <c r="BX74">
        <f>SUMIFS(Tableau4[NB Remis],Tableau4[Réf matériel],Tableau5[[#This Row],[Réf matériel]],Tableau4[Matricule],"CV2")</f>
        <v>1</v>
      </c>
      <c r="BY74" s="105" t="str">
        <f>IF(Tableau5[[#This Row],[Besoin CV2]]=Tableau5[[#This Row],[Remis CV2]],"OK","NOK")</f>
        <v>OK</v>
      </c>
      <c r="BZ74">
        <v>1</v>
      </c>
      <c r="CA74">
        <f>SUMIFS(Tableau4[NB Remis],Tableau4[Réf matériel],Tableau5[[#This Row],[Réf matériel]],Tableau4[Matricule],"CV3")</f>
        <v>1</v>
      </c>
      <c r="CB74" s="105" t="str">
        <f>IF(Tableau5[[#This Row],[Besoin CV3]]=Tableau5[[#This Row],[Remis CV3]],"OK","NOK")</f>
        <v>OK</v>
      </c>
      <c r="CC74">
        <v>1</v>
      </c>
      <c r="CD74">
        <f>SUMIFS(Tableau4[NB Remis],Tableau4[Réf matériel],Tableau5[[#This Row],[Réf matériel]],Tableau4[Matricule],"CV1")</f>
        <v>1</v>
      </c>
      <c r="CE74" s="105" t="str">
        <f>IF(Tableau5[[#This Row],[Besoin CV1]]=Tableau5[[#This Row],[Remis CV1]],"OK","NOK")</f>
        <v>OK</v>
      </c>
      <c r="CF74">
        <v>1</v>
      </c>
      <c r="CG74">
        <f>SUMIFS(Tableau4[NB Remis],Tableau4[Réf matériel],Tableau5[[#This Row],[Réf matériel]],Tableau4[Matricule],"CV4")</f>
        <v>1</v>
      </c>
      <c r="CH74" s="106" t="str">
        <f>IF(Tableau5[[#This Row],[Besoin CV4]]=Tableau5[[#This Row],[Remis CV4]],"OK","NOK")</f>
        <v>OK</v>
      </c>
    </row>
    <row r="75" spans="2:86" x14ac:dyDescent="0.25">
      <c r="B75" t="s">
        <v>146</v>
      </c>
      <c r="D75">
        <f>SUMIFS(Tableau4[NB Remis],Tableau4[Réf matériel],Tableau5[[#This Row],[Réf matériel]],Tableau4[Matricule],"OAI")</f>
        <v>0</v>
      </c>
      <c r="E75" s="105" t="str">
        <f>IF(Tableau5[[#This Row],[Besoin OAI]]=Tableau5[[#This Row],[Remis OAI]],"OK","NOK")</f>
        <v>OK</v>
      </c>
      <c r="G75">
        <f>SUMIFS(Tableau4[NB Remis],Tableau4[Réf matériel],Tableau5[[#This Row],[Réf matériel]],Tableau4[Matricule],"ABE")</f>
        <v>0</v>
      </c>
      <c r="H75" s="105" t="str">
        <f>IF(Tableau5[[#This Row],[Besoin ABE]]=Tableau5[[#This Row],[Remis ABE]],"OK","NOK")</f>
        <v>OK</v>
      </c>
      <c r="J75">
        <f>SUMIFS(Tableau4[NB Remis],Tableau4[Réf matériel],Tableau5[[#This Row],[Réf matériel]],Tableau4[Matricule],"SBI")</f>
        <v>0</v>
      </c>
      <c r="K75" s="105" t="str">
        <f>IF(Tableau5[[#This Row],[Besoin SBI]]=Tableau5[[#This Row],[Remis SBI]],"OK","NOK")</f>
        <v>OK</v>
      </c>
      <c r="M75">
        <f>SUMIFS(Tableau4[NB Remis],Tableau4[Réf matériel],Tableau5[[#This Row],[Réf matériel]],Tableau4[Matricule],"ABI")</f>
        <v>0</v>
      </c>
      <c r="N75" s="105" t="str">
        <f>IF(Tableau5[[#This Row],[Besoin ABI]]=Tableau5[[#This Row],[Remis ABI]],"OK","NOK")</f>
        <v>OK</v>
      </c>
      <c r="P75">
        <f>SUMIFS(Tableau4[NB Remis],Tableau4[Réf matériel],Tableau5[[#This Row],[Réf matériel]],Tableau4[Matricule],"DCE")</f>
        <v>0</v>
      </c>
      <c r="Q75" s="105" t="str">
        <f>IF(Tableau5[[#This Row],[Besoin DCE]]=Tableau5[[#This Row],[Remis DCE]],"OK","NOK")</f>
        <v>OK</v>
      </c>
      <c r="S75">
        <f>SUMIFS(Tableau4[NB Remis],Tableau4[Réf matériel],Tableau5[[#This Row],[Réf matériel]],Tableau4[Matricule],"JDE")</f>
        <v>0</v>
      </c>
      <c r="T75" s="105" t="str">
        <f>IF(Tableau5[[#This Row],[Besoin JDE]]=Tableau5[[#This Row],[Remis JDE]],"OK","NOK")</f>
        <v>OK</v>
      </c>
      <c r="V75">
        <f>SUMIFS(Tableau4[NB Remis],Tableau4[Réf matériel],Tableau5[[#This Row],[Réf matériel]],Tableau4[Matricule],"ODI")</f>
        <v>0</v>
      </c>
      <c r="W75" s="105" t="str">
        <f>IF(Tableau5[[#This Row],[Besoin ODI]]=Tableau5[[#This Row],[Remis ODI]],"OK","NOK")</f>
        <v>OK</v>
      </c>
      <c r="Y75">
        <f>SUMIFS(Tableau4[NB Remis],Tableau4[Réf matériel],Tableau5[[#This Row],[Réf matériel]],Tableau4[Matricule],"MFO")</f>
        <v>0</v>
      </c>
      <c r="Z75" s="105" t="str">
        <f>IF(Tableau5[[#This Row],[Besoin MFO]]=Tableau5[[#This Row],[Remis MFO]],"OK","NOK")</f>
        <v>OK</v>
      </c>
      <c r="AB75">
        <f>SUMIFS(Tableau4[NB Remis],Tableau4[Réf matériel],Tableau5[[#This Row],[Réf matériel]],Tableau4[Matricule],"SDU")</f>
        <v>0</v>
      </c>
      <c r="AC75" s="105" t="str">
        <f>IF(Tableau5[[#This Row],[Besoin SDU]]=Tableau5[[#This Row],[Remis SDU]],"OK","NOK")</f>
        <v>OK</v>
      </c>
      <c r="AE75">
        <f>SUMIFS(Tableau4[NB Remis],Tableau4[Réf matériel],Tableau5[[#This Row],[Réf matériel]],Tableau4[Matricule],"GGA")</f>
        <v>0</v>
      </c>
      <c r="AF75" s="105" t="str">
        <f>IF(Tableau5[[#This Row],[Besoin GGA2]]=Tableau5[[#This Row],[Remis GGA3]],"OK","NOK")</f>
        <v>OK</v>
      </c>
      <c r="AH75">
        <f>SUMIFS(Tableau4[NB Remis],Tableau4[Réf matériel],Tableau5[[#This Row],[Réf matériel]],Tableau4[Matricule],"RGE")</f>
        <v>0</v>
      </c>
      <c r="AI75" s="105" t="str">
        <f>IF(Tableau5[[#This Row],[Besoin RGE]]=Tableau5[[#This Row],[Remis RGE]],"OK","NOK")</f>
        <v>OK</v>
      </c>
      <c r="AK75">
        <f>SUMIFS(Tableau4[NB Remis],Tableau4[Réf matériel],Tableau5[[#This Row],[Réf matériel]],Tableau4[Matricule],"CKE")</f>
        <v>0</v>
      </c>
      <c r="AL75" s="105" t="str">
        <f>IF(Tableau5[[#This Row],[Besoin CKE]]=Tableau5[[#This Row],[Remis CKE]],"OK","NOK")</f>
        <v>OK</v>
      </c>
      <c r="AN75">
        <f>SUMIFS(Tableau4[NB Remis],Tableau4[Réf matériel],Tableau5[[#This Row],[Réf matériel]],Tableau4[Matricule],"DMA")</f>
        <v>0</v>
      </c>
      <c r="AO75" s="105" t="str">
        <f>IF(Tableau5[[#This Row],[Besoin DMA]]=Tableau5[[#This Row],[Remis DMA]],"OK","NOK")</f>
        <v>OK</v>
      </c>
      <c r="AQ75">
        <f>SUMIFS(Tableau4[NB Remis],Tableau4[Réf matériel],Tableau5[[#This Row],[Réf matériel]],Tableau4[Matricule],"LMO")</f>
        <v>0</v>
      </c>
      <c r="AR75" s="105" t="str">
        <f>IF(Tableau5[[#This Row],[Besoin LMO]]=Tableau5[[#This Row],[Remis LMO]],"OK","NOK")</f>
        <v>OK</v>
      </c>
      <c r="AS75">
        <v>1</v>
      </c>
      <c r="AT75">
        <f>SUMIFS(Tableau4[NB Remis],Tableau4[Réf matériel],Tableau5[[#This Row],[Réf matériel]],Tableau4[Matricule],"TMO")</f>
        <v>1</v>
      </c>
      <c r="AU75" s="105" t="str">
        <f>IF(Tableau5[[#This Row],[Besoin TMO]]=Tableau5[[#This Row],[Remis TMO]],"OK","NOK")</f>
        <v>OK</v>
      </c>
      <c r="AW75">
        <f>SUMIFS(Tableau4[NB Remis],Tableau4[Réf matériel],Tableau5[[#This Row],[Réf matériel]],Tableau4[Matricule],"JPA")</f>
        <v>0</v>
      </c>
      <c r="AX75" s="105" t="str">
        <f>IF(Tableau5[[#This Row],[Besoin JPA]]=Tableau5[[#This Row],[Remis JPA]],"OK","NOK")</f>
        <v>OK</v>
      </c>
      <c r="AZ75">
        <f>SUMIFS(Tableau4[NB Remis],Tableau4[Réf matériel],Tableau5[[#This Row],[Réf matériel]],Tableau4[Matricule],"MPE")</f>
        <v>0</v>
      </c>
      <c r="BA75" s="105" t="str">
        <f>IF(Tableau5[[#This Row],[Besoin MPE]]=Tableau5[[#This Row],[Remis MPE]],"OK","NOK")</f>
        <v>OK</v>
      </c>
      <c r="BC75">
        <f>SUMIFS(Tableau4[NB Remis],Tableau4[Réf matériel],Tableau5[[#This Row],[Réf matériel]],Tableau4[Matricule],"SPR")</f>
        <v>0</v>
      </c>
      <c r="BD75" s="105" t="str">
        <f>IF(Tableau5[[#This Row],[Besoin SPR]]=Tableau5[[#This Row],[Remis SPR]],"OK","NOK")</f>
        <v>OK</v>
      </c>
      <c r="BF75">
        <f>SUMIFS(Tableau4[NB Remis],Tableau4[Réf matériel],Tableau5[[#This Row],[Réf matériel]],Tableau4[Matricule],"MRO")</f>
        <v>0</v>
      </c>
      <c r="BG75" s="105" t="str">
        <f>IF(Tableau5[[#This Row],[Besoin MRO]]=Tableau5[[#This Row],[Remis MRO]],"OK","NOK")</f>
        <v>OK</v>
      </c>
      <c r="BI75">
        <f>SUMIFS(Tableau4[NB Remis],Tableau4[Réf matériel],Tableau5[[#This Row],[Réf matériel]],Tableau4[Matricule],"LSA")</f>
        <v>0</v>
      </c>
      <c r="BJ75" s="105" t="str">
        <f>IF(Tableau5[[#This Row],[Besoin LSA]]=Tableau5[[#This Row],[Remis LSA]],"OK","NOK")</f>
        <v>OK</v>
      </c>
      <c r="BL75">
        <f>SUMIFS(Tableau4[NB Remis],Tableau4[Réf matériel],Tableau5[[#This Row],[Réf matériel]],Tableau4[Matricule],"SST")</f>
        <v>0</v>
      </c>
      <c r="BM75" s="105" t="str">
        <f>IF(Tableau5[[#This Row],[Besoin SST]]=Tableau5[[#This Row],[Remis SST]],"OK","NOK")</f>
        <v>OK</v>
      </c>
      <c r="BO75">
        <f>SUMIFS(Tableau4[NB Remis],Tableau4[Réf matériel],Tableau5[[#This Row],[Réf matériel]],Tableau4[Matricule],"CTH")</f>
        <v>0</v>
      </c>
      <c r="BP75" s="105" t="str">
        <f>IF(Tableau5[[#This Row],[Besoin CTH]]=Tableau5[[#This Row],[Remis CTH]],"OK","NOK")</f>
        <v>OK</v>
      </c>
      <c r="BR75">
        <f>SUMIFS(Tableau4[NB Remis],Tableau4[Réf matériel],Tableau5[[#This Row],[Réf matériel]],Tableau4[Matricule],"AVU")</f>
        <v>0</v>
      </c>
      <c r="BS75" s="105" t="str">
        <f>IF(Tableau5[[#This Row],[Besoin AVU]]=Tableau5[[#This Row],[Remis AVU]],"OK","NOK")</f>
        <v>OK</v>
      </c>
      <c r="BU75">
        <f>SUMIFS(Tableau4[NB Remis],Tableau4[Réf matériel],Tableau5[[#This Row],[Réf matériel]],Tableau4[Matricule],"FZE")</f>
        <v>0</v>
      </c>
      <c r="BV75" s="105" t="str">
        <f>IF(Tableau5[[#This Row],[Besoin FZE]]=Tableau5[[#This Row],[Remis FZE]],"OK","NOK")</f>
        <v>OK</v>
      </c>
      <c r="BX75">
        <f>SUMIFS(Tableau4[NB Remis],Tableau4[Réf matériel],Tableau5[[#This Row],[Réf matériel]],Tableau4[Matricule],"CV2")</f>
        <v>0</v>
      </c>
      <c r="BY75" s="105" t="str">
        <f>IF(Tableau5[[#This Row],[Besoin CV2]]=Tableau5[[#This Row],[Remis CV2]],"OK","NOK")</f>
        <v>OK</v>
      </c>
      <c r="CA75">
        <f>SUMIFS(Tableau4[NB Remis],Tableau4[Réf matériel],Tableau5[[#This Row],[Réf matériel]],Tableau4[Matricule],"CV3")</f>
        <v>0</v>
      </c>
      <c r="CB75" s="105" t="str">
        <f>IF(Tableau5[[#This Row],[Besoin CV3]]=Tableau5[[#This Row],[Remis CV3]],"OK","NOK")</f>
        <v>OK</v>
      </c>
      <c r="CD75">
        <f>SUMIFS(Tableau4[NB Remis],Tableau4[Réf matériel],Tableau5[[#This Row],[Réf matériel]],Tableau4[Matricule],"CV1")</f>
        <v>0</v>
      </c>
      <c r="CE75" s="105" t="str">
        <f>IF(Tableau5[[#This Row],[Besoin CV1]]=Tableau5[[#This Row],[Remis CV1]],"OK","NOK")</f>
        <v>OK</v>
      </c>
      <c r="CG75">
        <f>SUMIFS(Tableau4[NB Remis],Tableau4[Réf matériel],Tableau5[[#This Row],[Réf matériel]],Tableau4[Matricule],"CV4")</f>
        <v>0</v>
      </c>
      <c r="CH75" s="106" t="str">
        <f>IF(Tableau5[[#This Row],[Besoin CV4]]=Tableau5[[#This Row],[Remis CV4]],"OK","NOK")</f>
        <v>OK</v>
      </c>
    </row>
    <row r="76" spans="2:86" x14ac:dyDescent="0.25">
      <c r="B76" t="s">
        <v>428</v>
      </c>
      <c r="D76">
        <f>SUMIFS(Tableau4[NB Remis],Tableau4[Réf matériel],Tableau5[[#This Row],[Réf matériel]],Tableau4[Matricule],"OAI")</f>
        <v>0</v>
      </c>
      <c r="E76" s="105" t="str">
        <f>IF(Tableau5[[#This Row],[Besoin OAI]]=Tableau5[[#This Row],[Remis OAI]],"OK","NOK")</f>
        <v>OK</v>
      </c>
      <c r="G76">
        <f>SUMIFS(Tableau4[NB Remis],Tableau4[Réf matériel],Tableau5[[#This Row],[Réf matériel]],Tableau4[Matricule],"ABE")</f>
        <v>0</v>
      </c>
      <c r="H76" s="105" t="str">
        <f>IF(Tableau5[[#This Row],[Besoin ABE]]=Tableau5[[#This Row],[Remis ABE]],"OK","NOK")</f>
        <v>OK</v>
      </c>
      <c r="J76">
        <f>SUMIFS(Tableau4[NB Remis],Tableau4[Réf matériel],Tableau5[[#This Row],[Réf matériel]],Tableau4[Matricule],"SBI")</f>
        <v>0</v>
      </c>
      <c r="K76" s="105" t="str">
        <f>IF(Tableau5[[#This Row],[Besoin SBI]]=Tableau5[[#This Row],[Remis SBI]],"OK","NOK")</f>
        <v>OK</v>
      </c>
      <c r="M76">
        <f>SUMIFS(Tableau4[NB Remis],Tableau4[Réf matériel],Tableau5[[#This Row],[Réf matériel]],Tableau4[Matricule],"ABI")</f>
        <v>0</v>
      </c>
      <c r="N76" s="105" t="str">
        <f>IF(Tableau5[[#This Row],[Besoin ABI]]=Tableau5[[#This Row],[Remis ABI]],"OK","NOK")</f>
        <v>OK</v>
      </c>
      <c r="P76">
        <f>SUMIFS(Tableau4[NB Remis],Tableau4[Réf matériel],Tableau5[[#This Row],[Réf matériel]],Tableau4[Matricule],"DCE")</f>
        <v>0</v>
      </c>
      <c r="Q76" s="105" t="str">
        <f>IF(Tableau5[[#This Row],[Besoin DCE]]=Tableau5[[#This Row],[Remis DCE]],"OK","NOK")</f>
        <v>OK</v>
      </c>
      <c r="R76">
        <v>1</v>
      </c>
      <c r="S76">
        <f>SUMIFS(Tableau4[NB Remis],Tableau4[Réf matériel],Tableau5[[#This Row],[Réf matériel]],Tableau4[Matricule],"JDE")</f>
        <v>1</v>
      </c>
      <c r="T76" s="105" t="str">
        <f>IF(Tableau5[[#This Row],[Besoin JDE]]=Tableau5[[#This Row],[Remis JDE]],"OK","NOK")</f>
        <v>OK</v>
      </c>
      <c r="U76">
        <v>1</v>
      </c>
      <c r="V76">
        <f>SUMIFS(Tableau4[NB Remis],Tableau4[Réf matériel],Tableau5[[#This Row],[Réf matériel]],Tableau4[Matricule],"ODI")</f>
        <v>1</v>
      </c>
      <c r="W76" s="105" t="str">
        <f>IF(Tableau5[[#This Row],[Besoin ODI]]=Tableau5[[#This Row],[Remis ODI]],"OK","NOK")</f>
        <v>OK</v>
      </c>
      <c r="Y76">
        <f>SUMIFS(Tableau4[NB Remis],Tableau4[Réf matériel],Tableau5[[#This Row],[Réf matériel]],Tableau4[Matricule],"MFO")</f>
        <v>0</v>
      </c>
      <c r="Z76" s="105" t="str">
        <f>IF(Tableau5[[#This Row],[Besoin MFO]]=Tableau5[[#This Row],[Remis MFO]],"OK","NOK")</f>
        <v>OK</v>
      </c>
      <c r="AB76">
        <f>SUMIFS(Tableau4[NB Remis],Tableau4[Réf matériel],Tableau5[[#This Row],[Réf matériel]],Tableau4[Matricule],"SDU")</f>
        <v>0</v>
      </c>
      <c r="AC76" s="105" t="str">
        <f>IF(Tableau5[[#This Row],[Besoin SDU]]=Tableau5[[#This Row],[Remis SDU]],"OK","NOK")</f>
        <v>OK</v>
      </c>
      <c r="AD76">
        <v>1</v>
      </c>
      <c r="AE76">
        <f>SUMIFS(Tableau4[NB Remis],Tableau4[Réf matériel],Tableau5[[#This Row],[Réf matériel]],Tableau4[Matricule],"GGA")</f>
        <v>1</v>
      </c>
      <c r="AF76" s="105" t="str">
        <f>IF(Tableau5[[#This Row],[Besoin GGA2]]=Tableau5[[#This Row],[Remis GGA3]],"OK","NOK")</f>
        <v>OK</v>
      </c>
      <c r="AH76">
        <f>SUMIFS(Tableau4[NB Remis],Tableau4[Réf matériel],Tableau5[[#This Row],[Réf matériel]],Tableau4[Matricule],"RGE")</f>
        <v>1</v>
      </c>
      <c r="AI76" s="105" t="str">
        <f>IF(Tableau5[[#This Row],[Besoin RGE]]=Tableau5[[#This Row],[Remis RGE]],"OK","NOK")</f>
        <v>NOK</v>
      </c>
      <c r="AK76">
        <f>SUMIFS(Tableau4[NB Remis],Tableau4[Réf matériel],Tableau5[[#This Row],[Réf matériel]],Tableau4[Matricule],"CKE")</f>
        <v>0</v>
      </c>
      <c r="AL76" s="105" t="str">
        <f>IF(Tableau5[[#This Row],[Besoin CKE]]=Tableau5[[#This Row],[Remis CKE]],"OK","NOK")</f>
        <v>OK</v>
      </c>
      <c r="AN76">
        <f>SUMIFS(Tableau4[NB Remis],Tableau4[Réf matériel],Tableau5[[#This Row],[Réf matériel]],Tableau4[Matricule],"DMA")</f>
        <v>0</v>
      </c>
      <c r="AO76" s="105" t="str">
        <f>IF(Tableau5[[#This Row],[Besoin DMA]]=Tableau5[[#This Row],[Remis DMA]],"OK","NOK")</f>
        <v>OK</v>
      </c>
      <c r="AQ76">
        <f>SUMIFS(Tableau4[NB Remis],Tableau4[Réf matériel],Tableau5[[#This Row],[Réf matériel]],Tableau4[Matricule],"LMO")</f>
        <v>0</v>
      </c>
      <c r="AR76" s="105" t="str">
        <f>IF(Tableau5[[#This Row],[Besoin LMO]]=Tableau5[[#This Row],[Remis LMO]],"OK","NOK")</f>
        <v>OK</v>
      </c>
      <c r="AT76">
        <f>SUMIFS(Tableau4[NB Remis],Tableau4[Réf matériel],Tableau5[[#This Row],[Réf matériel]],Tableau4[Matricule],"TMO")</f>
        <v>0</v>
      </c>
      <c r="AU76" s="105" t="str">
        <f>IF(Tableau5[[#This Row],[Besoin TMO]]=Tableau5[[#This Row],[Remis TMO]],"OK","NOK")</f>
        <v>OK</v>
      </c>
      <c r="AW76">
        <f>SUMIFS(Tableau4[NB Remis],Tableau4[Réf matériel],Tableau5[[#This Row],[Réf matériel]],Tableau4[Matricule],"JPA")</f>
        <v>0</v>
      </c>
      <c r="AX76" s="105" t="str">
        <f>IF(Tableau5[[#This Row],[Besoin JPA]]=Tableau5[[#This Row],[Remis JPA]],"OK","NOK")</f>
        <v>OK</v>
      </c>
      <c r="AZ76">
        <f>SUMIFS(Tableau4[NB Remis],Tableau4[Réf matériel],Tableau5[[#This Row],[Réf matériel]],Tableau4[Matricule],"MPE")</f>
        <v>0</v>
      </c>
      <c r="BA76" s="105" t="str">
        <f>IF(Tableau5[[#This Row],[Besoin MPE]]=Tableau5[[#This Row],[Remis MPE]],"OK","NOK")</f>
        <v>OK</v>
      </c>
      <c r="BC76">
        <f>SUMIFS(Tableau4[NB Remis],Tableau4[Réf matériel],Tableau5[[#This Row],[Réf matériel]],Tableau4[Matricule],"SPR")</f>
        <v>0</v>
      </c>
      <c r="BD76" s="105" t="str">
        <f>IF(Tableau5[[#This Row],[Besoin SPR]]=Tableau5[[#This Row],[Remis SPR]],"OK","NOK")</f>
        <v>OK</v>
      </c>
      <c r="BE76">
        <v>1</v>
      </c>
      <c r="BF76">
        <f>SUMIFS(Tableau4[NB Remis],Tableau4[Réf matériel],Tableau5[[#This Row],[Réf matériel]],Tableau4[Matricule],"MRO")</f>
        <v>0</v>
      </c>
      <c r="BG76" s="105" t="str">
        <f>IF(Tableau5[[#This Row],[Besoin MRO]]=Tableau5[[#This Row],[Remis MRO]],"OK","NOK")</f>
        <v>NOK</v>
      </c>
      <c r="BH76">
        <v>1</v>
      </c>
      <c r="BI76">
        <f>SUMIFS(Tableau4[NB Remis],Tableau4[Réf matériel],Tableau5[[#This Row],[Réf matériel]],Tableau4[Matricule],"LSA")</f>
        <v>0</v>
      </c>
      <c r="BJ76" s="105" t="str">
        <f>IF(Tableau5[[#This Row],[Besoin LSA]]=Tableau5[[#This Row],[Remis LSA]],"OK","NOK")</f>
        <v>NOK</v>
      </c>
      <c r="BL76">
        <f>SUMIFS(Tableau4[NB Remis],Tableau4[Réf matériel],Tableau5[[#This Row],[Réf matériel]],Tableau4[Matricule],"SST")</f>
        <v>0</v>
      </c>
      <c r="BM76" s="105" t="str">
        <f>IF(Tableau5[[#This Row],[Besoin SST]]=Tableau5[[#This Row],[Remis SST]],"OK","NOK")</f>
        <v>OK</v>
      </c>
      <c r="BO76">
        <f>SUMIFS(Tableau4[NB Remis],Tableau4[Réf matériel],Tableau5[[#This Row],[Réf matériel]],Tableau4[Matricule],"CTH")</f>
        <v>0</v>
      </c>
      <c r="BP76" s="105" t="str">
        <f>IF(Tableau5[[#This Row],[Besoin CTH]]=Tableau5[[#This Row],[Remis CTH]],"OK","NOK")</f>
        <v>OK</v>
      </c>
      <c r="BR76">
        <f>SUMIFS(Tableau4[NB Remis],Tableau4[Réf matériel],Tableau5[[#This Row],[Réf matériel]],Tableau4[Matricule],"AVU")</f>
        <v>0</v>
      </c>
      <c r="BS76" s="105" t="str">
        <f>IF(Tableau5[[#This Row],[Besoin AVU]]=Tableau5[[#This Row],[Remis AVU]],"OK","NOK")</f>
        <v>OK</v>
      </c>
      <c r="BU76">
        <f>SUMIFS(Tableau4[NB Remis],Tableau4[Réf matériel],Tableau5[[#This Row],[Réf matériel]],Tableau4[Matricule],"FZE")</f>
        <v>0</v>
      </c>
      <c r="BV76" s="105" t="str">
        <f>IF(Tableau5[[#This Row],[Besoin FZE]]=Tableau5[[#This Row],[Remis FZE]],"OK","NOK")</f>
        <v>OK</v>
      </c>
      <c r="BX76">
        <f>SUMIFS(Tableau4[NB Remis],Tableau4[Réf matériel],Tableau5[[#This Row],[Réf matériel]],Tableau4[Matricule],"CV2")</f>
        <v>0</v>
      </c>
      <c r="BY76" s="105" t="str">
        <f>IF(Tableau5[[#This Row],[Besoin CV2]]=Tableau5[[#This Row],[Remis CV2]],"OK","NOK")</f>
        <v>OK</v>
      </c>
      <c r="BZ76">
        <v>1</v>
      </c>
      <c r="CA76">
        <f>SUMIFS(Tableau4[NB Remis],Tableau4[Réf matériel],Tableau5[[#This Row],[Réf matériel]],Tableau4[Matricule],"CV3")</f>
        <v>1</v>
      </c>
      <c r="CB76" s="105" t="str">
        <f>IF(Tableau5[[#This Row],[Besoin CV3]]=Tableau5[[#This Row],[Remis CV3]],"OK","NOK")</f>
        <v>OK</v>
      </c>
      <c r="CD76">
        <f>SUMIFS(Tableau4[NB Remis],Tableau4[Réf matériel],Tableau5[[#This Row],[Réf matériel]],Tableau4[Matricule],"CV1")</f>
        <v>0</v>
      </c>
      <c r="CE76" s="105" t="str">
        <f>IF(Tableau5[[#This Row],[Besoin CV1]]=Tableau5[[#This Row],[Remis CV1]],"OK","NOK")</f>
        <v>OK</v>
      </c>
      <c r="CF76">
        <v>1</v>
      </c>
      <c r="CG76">
        <f>SUMIFS(Tableau4[NB Remis],Tableau4[Réf matériel],Tableau5[[#This Row],[Réf matériel]],Tableau4[Matricule],"CV4")</f>
        <v>1</v>
      </c>
      <c r="CH76" s="106" t="str">
        <f>IF(Tableau5[[#This Row],[Besoin CV4]]=Tableau5[[#This Row],[Remis CV4]],"OK","NOK")</f>
        <v>OK</v>
      </c>
    </row>
    <row r="77" spans="2:86" x14ac:dyDescent="0.25">
      <c r="B77" t="s">
        <v>170</v>
      </c>
      <c r="D77">
        <f>SUMIFS(Tableau4[NB Remis],Tableau4[Réf matériel],Tableau5[[#This Row],[Réf matériel]],Tableau4[Matricule],"OAI")</f>
        <v>0</v>
      </c>
      <c r="E77" s="105" t="str">
        <f>IF(Tableau5[[#This Row],[Besoin OAI]]=Tableau5[[#This Row],[Remis OAI]],"OK","NOK")</f>
        <v>OK</v>
      </c>
      <c r="F77">
        <v>2</v>
      </c>
      <c r="G77">
        <f>SUMIFS(Tableau4[NB Remis],Tableau4[Réf matériel],Tableau5[[#This Row],[Réf matériel]],Tableau4[Matricule],"ABE")</f>
        <v>2</v>
      </c>
      <c r="H77" s="105" t="str">
        <f>IF(Tableau5[[#This Row],[Besoin ABE]]=Tableau5[[#This Row],[Remis ABE]],"OK","NOK")</f>
        <v>OK</v>
      </c>
      <c r="J77">
        <f>SUMIFS(Tableau4[NB Remis],Tableau4[Réf matériel],Tableau5[[#This Row],[Réf matériel]],Tableau4[Matricule],"SBI")</f>
        <v>0</v>
      </c>
      <c r="K77" s="105" t="str">
        <f>IF(Tableau5[[#This Row],[Besoin SBI]]=Tableau5[[#This Row],[Remis SBI]],"OK","NOK")</f>
        <v>OK</v>
      </c>
      <c r="M77">
        <f>SUMIFS(Tableau4[NB Remis],Tableau4[Réf matériel],Tableau5[[#This Row],[Réf matériel]],Tableau4[Matricule],"ABI")</f>
        <v>0</v>
      </c>
      <c r="N77" s="105" t="str">
        <f>IF(Tableau5[[#This Row],[Besoin ABI]]=Tableau5[[#This Row],[Remis ABI]],"OK","NOK")</f>
        <v>OK</v>
      </c>
      <c r="P77">
        <f>SUMIFS(Tableau4[NB Remis],Tableau4[Réf matériel],Tableau5[[#This Row],[Réf matériel]],Tableau4[Matricule],"DCE")</f>
        <v>0</v>
      </c>
      <c r="Q77" s="105" t="str">
        <f>IF(Tableau5[[#This Row],[Besoin DCE]]=Tableau5[[#This Row],[Remis DCE]],"OK","NOK")</f>
        <v>OK</v>
      </c>
      <c r="R77">
        <v>1</v>
      </c>
      <c r="S77">
        <f>SUMIFS(Tableau4[NB Remis],Tableau4[Réf matériel],Tableau5[[#This Row],[Réf matériel]],Tableau4[Matricule],"JDE")</f>
        <v>1</v>
      </c>
      <c r="T77" s="105" t="str">
        <f>IF(Tableau5[[#This Row],[Besoin JDE]]=Tableau5[[#This Row],[Remis JDE]],"OK","NOK")</f>
        <v>OK</v>
      </c>
      <c r="V77">
        <f>SUMIFS(Tableau4[NB Remis],Tableau4[Réf matériel],Tableau5[[#This Row],[Réf matériel]],Tableau4[Matricule],"ODI")</f>
        <v>0</v>
      </c>
      <c r="W77" s="105" t="str">
        <f>IF(Tableau5[[#This Row],[Besoin ODI]]=Tableau5[[#This Row],[Remis ODI]],"OK","NOK")</f>
        <v>OK</v>
      </c>
      <c r="Y77">
        <f>SUMIFS(Tableau4[NB Remis],Tableau4[Réf matériel],Tableau5[[#This Row],[Réf matériel]],Tableau4[Matricule],"MFO")</f>
        <v>0</v>
      </c>
      <c r="Z77" s="105" t="str">
        <f>IF(Tableau5[[#This Row],[Besoin MFO]]=Tableau5[[#This Row],[Remis MFO]],"OK","NOK")</f>
        <v>OK</v>
      </c>
      <c r="AB77">
        <f>SUMIFS(Tableau4[NB Remis],Tableau4[Réf matériel],Tableau5[[#This Row],[Réf matériel]],Tableau4[Matricule],"SDU")</f>
        <v>0</v>
      </c>
      <c r="AC77" s="105" t="str">
        <f>IF(Tableau5[[#This Row],[Besoin SDU]]=Tableau5[[#This Row],[Remis SDU]],"OK","NOK")</f>
        <v>OK</v>
      </c>
      <c r="AE77">
        <f>SUMIFS(Tableau4[NB Remis],Tableau4[Réf matériel],Tableau5[[#This Row],[Réf matériel]],Tableau4[Matricule],"GGA")</f>
        <v>0</v>
      </c>
      <c r="AF77" s="105" t="str">
        <f>IF(Tableau5[[#This Row],[Besoin GGA2]]=Tableau5[[#This Row],[Remis GGA3]],"OK","NOK")</f>
        <v>OK</v>
      </c>
      <c r="AH77">
        <f>SUMIFS(Tableau4[NB Remis],Tableau4[Réf matériel],Tableau5[[#This Row],[Réf matériel]],Tableau4[Matricule],"RGE")</f>
        <v>0</v>
      </c>
      <c r="AI77" s="105" t="str">
        <f>IF(Tableau5[[#This Row],[Besoin RGE]]=Tableau5[[#This Row],[Remis RGE]],"OK","NOK")</f>
        <v>OK</v>
      </c>
      <c r="AK77">
        <f>SUMIFS(Tableau4[NB Remis],Tableau4[Réf matériel],Tableau5[[#This Row],[Réf matériel]],Tableau4[Matricule],"CKE")</f>
        <v>0</v>
      </c>
      <c r="AL77" s="105" t="str">
        <f>IF(Tableau5[[#This Row],[Besoin CKE]]=Tableau5[[#This Row],[Remis CKE]],"OK","NOK")</f>
        <v>OK</v>
      </c>
      <c r="AN77">
        <f>SUMIFS(Tableau4[NB Remis],Tableau4[Réf matériel],Tableau5[[#This Row],[Réf matériel]],Tableau4[Matricule],"DMA")</f>
        <v>0</v>
      </c>
      <c r="AO77" s="105" t="str">
        <f>IF(Tableau5[[#This Row],[Besoin DMA]]=Tableau5[[#This Row],[Remis DMA]],"OK","NOK")</f>
        <v>OK</v>
      </c>
      <c r="AQ77">
        <f>SUMIFS(Tableau4[NB Remis],Tableau4[Réf matériel],Tableau5[[#This Row],[Réf matériel]],Tableau4[Matricule],"LMO")</f>
        <v>0</v>
      </c>
      <c r="AR77" s="105" t="str">
        <f>IF(Tableau5[[#This Row],[Besoin LMO]]=Tableau5[[#This Row],[Remis LMO]],"OK","NOK")</f>
        <v>OK</v>
      </c>
      <c r="AT77">
        <f>SUMIFS(Tableau4[NB Remis],Tableau4[Réf matériel],Tableau5[[#This Row],[Réf matériel]],Tableau4[Matricule],"TMO")</f>
        <v>0</v>
      </c>
      <c r="AU77" s="105" t="str">
        <f>IF(Tableau5[[#This Row],[Besoin TMO]]=Tableau5[[#This Row],[Remis TMO]],"OK","NOK")</f>
        <v>OK</v>
      </c>
      <c r="AW77">
        <f>SUMIFS(Tableau4[NB Remis],Tableau4[Réf matériel],Tableau5[[#This Row],[Réf matériel]],Tableau4[Matricule],"JPA")</f>
        <v>0</v>
      </c>
      <c r="AX77" s="105" t="str">
        <f>IF(Tableau5[[#This Row],[Besoin JPA]]=Tableau5[[#This Row],[Remis JPA]],"OK","NOK")</f>
        <v>OK</v>
      </c>
      <c r="AZ77">
        <f>SUMIFS(Tableau4[NB Remis],Tableau4[Réf matériel],Tableau5[[#This Row],[Réf matériel]],Tableau4[Matricule],"MPE")</f>
        <v>0</v>
      </c>
      <c r="BA77" s="105" t="str">
        <f>IF(Tableau5[[#This Row],[Besoin MPE]]=Tableau5[[#This Row],[Remis MPE]],"OK","NOK")</f>
        <v>OK</v>
      </c>
      <c r="BC77">
        <f>SUMIFS(Tableau4[NB Remis],Tableau4[Réf matériel],Tableau5[[#This Row],[Réf matériel]],Tableau4[Matricule],"SPR")</f>
        <v>0</v>
      </c>
      <c r="BD77" s="105" t="str">
        <f>IF(Tableau5[[#This Row],[Besoin SPR]]=Tableau5[[#This Row],[Remis SPR]],"OK","NOK")</f>
        <v>OK</v>
      </c>
      <c r="BF77">
        <f>SUMIFS(Tableau4[NB Remis],Tableau4[Réf matériel],Tableau5[[#This Row],[Réf matériel]],Tableau4[Matricule],"MRO")</f>
        <v>0</v>
      </c>
      <c r="BG77" s="105" t="str">
        <f>IF(Tableau5[[#This Row],[Besoin MRO]]=Tableau5[[#This Row],[Remis MRO]],"OK","NOK")</f>
        <v>OK</v>
      </c>
      <c r="BI77">
        <f>SUMIFS(Tableau4[NB Remis],Tableau4[Réf matériel],Tableau5[[#This Row],[Réf matériel]],Tableau4[Matricule],"LSA")</f>
        <v>0</v>
      </c>
      <c r="BJ77" s="105" t="str">
        <f>IF(Tableau5[[#This Row],[Besoin LSA]]=Tableau5[[#This Row],[Remis LSA]],"OK","NOK")</f>
        <v>OK</v>
      </c>
      <c r="BL77">
        <f>SUMIFS(Tableau4[NB Remis],Tableau4[Réf matériel],Tableau5[[#This Row],[Réf matériel]],Tableau4[Matricule],"SST")</f>
        <v>0</v>
      </c>
      <c r="BM77" s="105" t="str">
        <f>IF(Tableau5[[#This Row],[Besoin SST]]=Tableau5[[#This Row],[Remis SST]],"OK","NOK")</f>
        <v>OK</v>
      </c>
      <c r="BO77">
        <f>SUMIFS(Tableau4[NB Remis],Tableau4[Réf matériel],Tableau5[[#This Row],[Réf matériel]],Tableau4[Matricule],"CTH")</f>
        <v>0</v>
      </c>
      <c r="BP77" s="105" t="str">
        <f>IF(Tableau5[[#This Row],[Besoin CTH]]=Tableau5[[#This Row],[Remis CTH]],"OK","NOK")</f>
        <v>OK</v>
      </c>
      <c r="BR77">
        <f>SUMIFS(Tableau4[NB Remis],Tableau4[Réf matériel],Tableau5[[#This Row],[Réf matériel]],Tableau4[Matricule],"AVU")</f>
        <v>0</v>
      </c>
      <c r="BS77" s="105" t="str">
        <f>IF(Tableau5[[#This Row],[Besoin AVU]]=Tableau5[[#This Row],[Remis AVU]],"OK","NOK")</f>
        <v>OK</v>
      </c>
      <c r="BU77">
        <f>SUMIFS(Tableau4[NB Remis],Tableau4[Réf matériel],Tableau5[[#This Row],[Réf matériel]],Tableau4[Matricule],"FZE")</f>
        <v>0</v>
      </c>
      <c r="BV77" s="105" t="str">
        <f>IF(Tableau5[[#This Row],[Besoin FZE]]=Tableau5[[#This Row],[Remis FZE]],"OK","NOK")</f>
        <v>OK</v>
      </c>
      <c r="BX77">
        <f>SUMIFS(Tableau4[NB Remis],Tableau4[Réf matériel],Tableau5[[#This Row],[Réf matériel]],Tableau4[Matricule],"CV2")</f>
        <v>0</v>
      </c>
      <c r="BY77" s="105" t="str">
        <f>IF(Tableau5[[#This Row],[Besoin CV2]]=Tableau5[[#This Row],[Remis CV2]],"OK","NOK")</f>
        <v>OK</v>
      </c>
      <c r="CA77">
        <f>SUMIFS(Tableau4[NB Remis],Tableau4[Réf matériel],Tableau5[[#This Row],[Réf matériel]],Tableau4[Matricule],"CV3")</f>
        <v>0</v>
      </c>
      <c r="CB77" s="105" t="str">
        <f>IF(Tableau5[[#This Row],[Besoin CV3]]=Tableau5[[#This Row],[Remis CV3]],"OK","NOK")</f>
        <v>OK</v>
      </c>
      <c r="CD77">
        <f>SUMIFS(Tableau4[NB Remis],Tableau4[Réf matériel],Tableau5[[#This Row],[Réf matériel]],Tableau4[Matricule],"CV1")</f>
        <v>0</v>
      </c>
      <c r="CE77" s="105" t="str">
        <f>IF(Tableau5[[#This Row],[Besoin CV1]]=Tableau5[[#This Row],[Remis CV1]],"OK","NOK")</f>
        <v>OK</v>
      </c>
      <c r="CG77">
        <f>SUMIFS(Tableau4[NB Remis],Tableau4[Réf matériel],Tableau5[[#This Row],[Réf matériel]],Tableau4[Matricule],"CV4")</f>
        <v>0</v>
      </c>
      <c r="CH77" s="106" t="str">
        <f>IF(Tableau5[[#This Row],[Besoin CV4]]=Tableau5[[#This Row],[Remis CV4]],"OK","NOK")</f>
        <v>OK</v>
      </c>
    </row>
    <row r="78" spans="2:86" x14ac:dyDescent="0.25">
      <c r="B78" t="s">
        <v>506</v>
      </c>
      <c r="D78" s="90">
        <f>SUMIFS(Tableau4[NB Remis],Tableau4[Réf matériel],Tableau5[[#This Row],[Réf matériel]],Tableau4[Matricule],"OAI")</f>
        <v>0</v>
      </c>
      <c r="E78" s="106" t="str">
        <f>IF(Tableau5[[#This Row],[Besoin OAI]]=Tableau5[[#This Row],[Remis OAI]],"OK","NOK")</f>
        <v>OK</v>
      </c>
      <c r="G78" s="90">
        <f>SUMIFS(Tableau4[NB Remis],Tableau4[Réf matériel],Tableau5[[#This Row],[Réf matériel]],Tableau4[Matricule],"ABE")</f>
        <v>0</v>
      </c>
      <c r="H78" s="106" t="str">
        <f>IF(Tableau5[[#This Row],[Besoin ABE]]=Tableau5[[#This Row],[Remis ABE]],"OK","NOK")</f>
        <v>OK</v>
      </c>
      <c r="J78" s="90">
        <f>SUMIFS(Tableau4[NB Remis],Tableau4[Réf matériel],Tableau5[[#This Row],[Réf matériel]],Tableau4[Matricule],"SBI")</f>
        <v>0</v>
      </c>
      <c r="K78" s="106" t="str">
        <f>IF(Tableau5[[#This Row],[Besoin SBI]]=Tableau5[[#This Row],[Remis SBI]],"OK","NOK")</f>
        <v>OK</v>
      </c>
      <c r="M78" s="90">
        <f>SUMIFS(Tableau4[NB Remis],Tableau4[Réf matériel],Tableau5[[#This Row],[Réf matériel]],Tableau4[Matricule],"ABI")</f>
        <v>0</v>
      </c>
      <c r="N78" s="106" t="str">
        <f>IF(Tableau5[[#This Row],[Besoin ABI]]=Tableau5[[#This Row],[Remis ABI]],"OK","NOK")</f>
        <v>OK</v>
      </c>
      <c r="P78" s="90">
        <f>SUMIFS(Tableau4[NB Remis],Tableau4[Réf matériel],Tableau5[[#This Row],[Réf matériel]],Tableau4[Matricule],"DCE")</f>
        <v>0</v>
      </c>
      <c r="Q78" s="106" t="str">
        <f>IF(Tableau5[[#This Row],[Besoin DCE]]=Tableau5[[#This Row],[Remis DCE]],"OK","NOK")</f>
        <v>OK</v>
      </c>
      <c r="S78" s="90">
        <f>SUMIFS(Tableau4[NB Remis],Tableau4[Réf matériel],Tableau5[[#This Row],[Réf matériel]],Tableau4[Matricule],"JDE")</f>
        <v>0</v>
      </c>
      <c r="T78" s="106" t="str">
        <f>IF(Tableau5[[#This Row],[Besoin JDE]]=Tableau5[[#This Row],[Remis JDE]],"OK","NOK")</f>
        <v>OK</v>
      </c>
      <c r="V78" s="90">
        <f>SUMIFS(Tableau4[NB Remis],Tableau4[Réf matériel],Tableau5[[#This Row],[Réf matériel]],Tableau4[Matricule],"ODI")</f>
        <v>0</v>
      </c>
      <c r="W78" s="106" t="str">
        <f>IF(Tableau5[[#This Row],[Besoin ODI]]=Tableau5[[#This Row],[Remis ODI]],"OK","NOK")</f>
        <v>OK</v>
      </c>
      <c r="Y78" s="90">
        <f>SUMIFS(Tableau4[NB Remis],Tableau4[Réf matériel],Tableau5[[#This Row],[Réf matériel]],Tableau4[Matricule],"MFO")</f>
        <v>0</v>
      </c>
      <c r="Z78" s="106" t="str">
        <f>IF(Tableau5[[#This Row],[Besoin MFO]]=Tableau5[[#This Row],[Remis MFO]],"OK","NOK")</f>
        <v>OK</v>
      </c>
      <c r="AB78" s="90">
        <f>SUMIFS(Tableau4[NB Remis],Tableau4[Réf matériel],Tableau5[[#This Row],[Réf matériel]],Tableau4[Matricule],"SDU")</f>
        <v>0</v>
      </c>
      <c r="AC78" s="106" t="str">
        <f>IF(Tableau5[[#This Row],[Besoin SDU]]=Tableau5[[#This Row],[Remis SDU]],"OK","NOK")</f>
        <v>OK</v>
      </c>
      <c r="AE78" s="90">
        <f>SUMIFS(Tableau4[NB Remis],Tableau4[Réf matériel],Tableau5[[#This Row],[Réf matériel]],Tableau4[Matricule],"GGA")</f>
        <v>0</v>
      </c>
      <c r="AF78" s="106" t="str">
        <f>IF(Tableau5[[#This Row],[Besoin GGA2]]=Tableau5[[#This Row],[Remis GGA3]],"OK","NOK")</f>
        <v>OK</v>
      </c>
      <c r="AH78" s="90">
        <f>SUMIFS(Tableau4[NB Remis],Tableau4[Réf matériel],Tableau5[[#This Row],[Réf matériel]],Tableau4[Matricule],"RGE")</f>
        <v>4</v>
      </c>
      <c r="AI78" s="106" t="str">
        <f>IF(Tableau5[[#This Row],[Besoin RGE]]=Tableau5[[#This Row],[Remis RGE]],"OK","NOK")</f>
        <v>NOK</v>
      </c>
      <c r="AK78" s="90">
        <f>SUMIFS(Tableau4[NB Remis],Tableau4[Réf matériel],Tableau5[[#This Row],[Réf matériel]],Tableau4[Matricule],"CKE")</f>
        <v>0</v>
      </c>
      <c r="AL78" s="106" t="str">
        <f>IF(Tableau5[[#This Row],[Besoin CKE]]=Tableau5[[#This Row],[Remis CKE]],"OK","NOK")</f>
        <v>OK</v>
      </c>
      <c r="AN78" s="90">
        <f>SUMIFS(Tableau4[NB Remis],Tableau4[Réf matériel],Tableau5[[#This Row],[Réf matériel]],Tableau4[Matricule],"DMA")</f>
        <v>0</v>
      </c>
      <c r="AO78" s="106" t="str">
        <f>IF(Tableau5[[#This Row],[Besoin DMA]]=Tableau5[[#This Row],[Remis DMA]],"OK","NOK")</f>
        <v>OK</v>
      </c>
      <c r="AQ78" s="90">
        <f>SUMIFS(Tableau4[NB Remis],Tableau4[Réf matériel],Tableau5[[#This Row],[Réf matériel]],Tableau4[Matricule],"LMO")</f>
        <v>0</v>
      </c>
      <c r="AR78" s="106" t="str">
        <f>IF(Tableau5[[#This Row],[Besoin LMO]]=Tableau5[[#This Row],[Remis LMO]],"OK","NOK")</f>
        <v>OK</v>
      </c>
      <c r="AT78" s="90">
        <f>SUMIFS(Tableau4[NB Remis],Tableau4[Réf matériel],Tableau5[[#This Row],[Réf matériel]],Tableau4[Matricule],"TMO")</f>
        <v>0</v>
      </c>
      <c r="AU78" s="106" t="str">
        <f>IF(Tableau5[[#This Row],[Besoin TMO]]=Tableau5[[#This Row],[Remis TMO]],"OK","NOK")</f>
        <v>OK</v>
      </c>
      <c r="AW78" s="90">
        <f>SUMIFS(Tableau4[NB Remis],Tableau4[Réf matériel],Tableau5[[#This Row],[Réf matériel]],Tableau4[Matricule],"JPA")</f>
        <v>0</v>
      </c>
      <c r="AX78" s="106" t="str">
        <f>IF(Tableau5[[#This Row],[Besoin JPA]]=Tableau5[[#This Row],[Remis JPA]],"OK","NOK")</f>
        <v>OK</v>
      </c>
      <c r="AZ78" s="90">
        <f>SUMIFS(Tableau4[NB Remis],Tableau4[Réf matériel],Tableau5[[#This Row],[Réf matériel]],Tableau4[Matricule],"MPE")</f>
        <v>0</v>
      </c>
      <c r="BA78" s="106" t="str">
        <f>IF(Tableau5[[#This Row],[Besoin MPE]]=Tableau5[[#This Row],[Remis MPE]],"OK","NOK")</f>
        <v>OK</v>
      </c>
      <c r="BC78" s="90">
        <f>SUMIFS(Tableau4[NB Remis],Tableau4[Réf matériel],Tableau5[[#This Row],[Réf matériel]],Tableau4[Matricule],"SPR")</f>
        <v>0</v>
      </c>
      <c r="BD78" s="106" t="str">
        <f>IF(Tableau5[[#This Row],[Besoin SPR]]=Tableau5[[#This Row],[Remis SPR]],"OK","NOK")</f>
        <v>OK</v>
      </c>
      <c r="BF78" s="90">
        <f>SUMIFS(Tableau4[NB Remis],Tableau4[Réf matériel],Tableau5[[#This Row],[Réf matériel]],Tableau4[Matricule],"MRO")</f>
        <v>0</v>
      </c>
      <c r="BG78" s="106" t="str">
        <f>IF(Tableau5[[#This Row],[Besoin MRO]]=Tableau5[[#This Row],[Remis MRO]],"OK","NOK")</f>
        <v>OK</v>
      </c>
      <c r="BI78" s="90">
        <f>SUMIFS(Tableau4[NB Remis],Tableau4[Réf matériel],Tableau5[[#This Row],[Réf matériel]],Tableau4[Matricule],"LSA")</f>
        <v>0</v>
      </c>
      <c r="BJ78" s="106" t="str">
        <f>IF(Tableau5[[#This Row],[Besoin LSA]]=Tableau5[[#This Row],[Remis LSA]],"OK","NOK")</f>
        <v>OK</v>
      </c>
      <c r="BL78" s="90">
        <f>SUMIFS(Tableau4[NB Remis],Tableau4[Réf matériel],Tableau5[[#This Row],[Réf matériel]],Tableau4[Matricule],"SST")</f>
        <v>0</v>
      </c>
      <c r="BM78" s="106" t="str">
        <f>IF(Tableau5[[#This Row],[Besoin SST]]=Tableau5[[#This Row],[Remis SST]],"OK","NOK")</f>
        <v>OK</v>
      </c>
      <c r="BO78" s="90">
        <f>SUMIFS(Tableau4[NB Remis],Tableau4[Réf matériel],Tableau5[[#This Row],[Réf matériel]],Tableau4[Matricule],"CTH")</f>
        <v>0</v>
      </c>
      <c r="BP78" s="106" t="str">
        <f>IF(Tableau5[[#This Row],[Besoin CTH]]=Tableau5[[#This Row],[Remis CTH]],"OK","NOK")</f>
        <v>OK</v>
      </c>
      <c r="BR78" s="90">
        <f>SUMIFS(Tableau4[NB Remis],Tableau4[Réf matériel],Tableau5[[#This Row],[Réf matériel]],Tableau4[Matricule],"AVU")</f>
        <v>0</v>
      </c>
      <c r="BS78" s="105" t="str">
        <f>IF(Tableau5[[#This Row],[Besoin AVU]]=Tableau5[[#This Row],[Remis AVU]],"OK","NOK")</f>
        <v>OK</v>
      </c>
      <c r="BU78" s="90">
        <f>SUMIFS(Tableau4[NB Remis],Tableau4[Réf matériel],Tableau5[[#This Row],[Réf matériel]],Tableau4[Matricule],"FZE")</f>
        <v>0</v>
      </c>
      <c r="BV78" s="106" t="str">
        <f>IF(Tableau5[[#This Row],[Besoin FZE]]=Tableau5[[#This Row],[Remis FZE]],"OK","NOK")</f>
        <v>OK</v>
      </c>
      <c r="BX78">
        <f>SUMIFS(Tableau4[NB Remis],Tableau4[Réf matériel],Tableau5[[#This Row],[Réf matériel]],Tableau4[Matricule],"CV2")</f>
        <v>0</v>
      </c>
      <c r="BY78" s="105" t="str">
        <f>IF(Tableau5[[#This Row],[Besoin CV2]]=Tableau5[[#This Row],[Remis CV2]],"OK","NOK")</f>
        <v>OK</v>
      </c>
      <c r="BZ78">
        <v>4</v>
      </c>
      <c r="CA78">
        <f>SUMIFS(Tableau4[NB Remis],Tableau4[Réf matériel],Tableau5[[#This Row],[Réf matériel]],Tableau4[Matricule],"CV3")</f>
        <v>4</v>
      </c>
      <c r="CB78" s="105" t="str">
        <f>IF(Tableau5[[#This Row],[Besoin CV3]]=Tableau5[[#This Row],[Remis CV3]],"OK","NOK")</f>
        <v>OK</v>
      </c>
      <c r="CC78">
        <v>0</v>
      </c>
      <c r="CD78">
        <f>SUMIFS(Tableau4[NB Remis],Tableau4[Réf matériel],Tableau5[[#This Row],[Réf matériel]],Tableau4[Matricule],"CV1")</f>
        <v>0</v>
      </c>
      <c r="CE78" s="105" t="str">
        <f>IF(Tableau5[[#This Row],[Besoin CV1]]=Tableau5[[#This Row],[Remis CV1]],"OK","NOK")</f>
        <v>OK</v>
      </c>
      <c r="CG78">
        <f>SUMIFS(Tableau4[NB Remis],Tableau4[Réf matériel],Tableau5[[#This Row],[Réf matériel]],Tableau4[Matricule],"CV4")</f>
        <v>0</v>
      </c>
      <c r="CH78" s="106" t="str">
        <f>IF(Tableau5[[#This Row],[Besoin CV4]]=Tableau5[[#This Row],[Remis CV4]],"OK","NOK")</f>
        <v>OK</v>
      </c>
    </row>
    <row r="79" spans="2:86" x14ac:dyDescent="0.25">
      <c r="B79" t="s">
        <v>281</v>
      </c>
      <c r="C79">
        <v>1</v>
      </c>
      <c r="D79">
        <f>SUMIFS(Tableau4[NB Remis],Tableau4[Réf matériel],Tableau5[[#This Row],[Réf matériel]],Tableau4[Matricule],"OAI")</f>
        <v>1</v>
      </c>
      <c r="E79" s="105" t="str">
        <f>IF(Tableau5[[#This Row],[Besoin OAI]]=Tableau5[[#This Row],[Remis OAI]],"OK","NOK")</f>
        <v>OK</v>
      </c>
      <c r="F79">
        <v>1</v>
      </c>
      <c r="G79">
        <f>SUMIFS(Tableau4[NB Remis],Tableau4[Réf matériel],Tableau5[[#This Row],[Réf matériel]],Tableau4[Matricule],"ABE")</f>
        <v>1</v>
      </c>
      <c r="H79" s="105" t="str">
        <f>IF(Tableau5[[#This Row],[Besoin ABE]]=Tableau5[[#This Row],[Remis ABE]],"OK","NOK")</f>
        <v>OK</v>
      </c>
      <c r="J79">
        <f>SUMIFS(Tableau4[NB Remis],Tableau4[Réf matériel],Tableau5[[#This Row],[Réf matériel]],Tableau4[Matricule],"SBI")</f>
        <v>0</v>
      </c>
      <c r="K79" s="105" t="str">
        <f>IF(Tableau5[[#This Row],[Besoin SBI]]=Tableau5[[#This Row],[Remis SBI]],"OK","NOK")</f>
        <v>OK</v>
      </c>
      <c r="L79">
        <v>1</v>
      </c>
      <c r="M79">
        <f>SUMIFS(Tableau4[NB Remis],Tableau4[Réf matériel],Tableau5[[#This Row],[Réf matériel]],Tableau4[Matricule],"ABI")</f>
        <v>1</v>
      </c>
      <c r="N79" s="105" t="str">
        <f>IF(Tableau5[[#This Row],[Besoin ABI]]=Tableau5[[#This Row],[Remis ABI]],"OK","NOK")</f>
        <v>OK</v>
      </c>
      <c r="P79">
        <f>SUMIFS(Tableau4[NB Remis],Tableau4[Réf matériel],Tableau5[[#This Row],[Réf matériel]],Tableau4[Matricule],"DCE")</f>
        <v>0</v>
      </c>
      <c r="Q79" s="105" t="str">
        <f>IF(Tableau5[[#This Row],[Besoin DCE]]=Tableau5[[#This Row],[Remis DCE]],"OK","NOK")</f>
        <v>OK</v>
      </c>
      <c r="R79">
        <v>1</v>
      </c>
      <c r="S79">
        <f>SUMIFS(Tableau4[NB Remis],Tableau4[Réf matériel],Tableau5[[#This Row],[Réf matériel]],Tableau4[Matricule],"JDE")</f>
        <v>1</v>
      </c>
      <c r="T79" s="105" t="str">
        <f>IF(Tableau5[[#This Row],[Besoin JDE]]=Tableau5[[#This Row],[Remis JDE]],"OK","NOK")</f>
        <v>OK</v>
      </c>
      <c r="U79">
        <v>1</v>
      </c>
      <c r="V79">
        <f>SUMIFS(Tableau4[NB Remis],Tableau4[Réf matériel],Tableau5[[#This Row],[Réf matériel]],Tableau4[Matricule],"ODI")</f>
        <v>1</v>
      </c>
      <c r="W79" s="105" t="str">
        <f>IF(Tableau5[[#This Row],[Besoin ODI]]=Tableau5[[#This Row],[Remis ODI]],"OK","NOK")</f>
        <v>OK</v>
      </c>
      <c r="Y79">
        <f>SUMIFS(Tableau4[NB Remis],Tableau4[Réf matériel],Tableau5[[#This Row],[Réf matériel]],Tableau4[Matricule],"MFO")</f>
        <v>0</v>
      </c>
      <c r="Z79" s="105" t="str">
        <f>IF(Tableau5[[#This Row],[Besoin MFO]]=Tableau5[[#This Row],[Remis MFO]],"OK","NOK")</f>
        <v>OK</v>
      </c>
      <c r="AB79">
        <f>SUMIFS(Tableau4[NB Remis],Tableau4[Réf matériel],Tableau5[[#This Row],[Réf matériel]],Tableau4[Matricule],"SDU")</f>
        <v>0</v>
      </c>
      <c r="AC79" s="105" t="str">
        <f>IF(Tableau5[[#This Row],[Besoin SDU]]=Tableau5[[#This Row],[Remis SDU]],"OK","NOK")</f>
        <v>OK</v>
      </c>
      <c r="AE79">
        <f>SUMIFS(Tableau4[NB Remis],Tableau4[Réf matériel],Tableau5[[#This Row],[Réf matériel]],Tableau4[Matricule],"GGA")</f>
        <v>0</v>
      </c>
      <c r="AF79" s="105" t="str">
        <f>IF(Tableau5[[#This Row],[Besoin GGA2]]=Tableau5[[#This Row],[Remis GGA3]],"OK","NOK")</f>
        <v>OK</v>
      </c>
      <c r="AG79">
        <v>1</v>
      </c>
      <c r="AH79">
        <f>SUMIFS(Tableau4[NB Remis],Tableau4[Réf matériel],Tableau5[[#This Row],[Réf matériel]],Tableau4[Matricule],"RGE")</f>
        <v>2</v>
      </c>
      <c r="AI79" s="105" t="str">
        <f>IF(Tableau5[[#This Row],[Besoin RGE]]=Tableau5[[#This Row],[Remis RGE]],"OK","NOK")</f>
        <v>NOK</v>
      </c>
      <c r="AJ79">
        <v>1</v>
      </c>
      <c r="AK79">
        <f>SUMIFS(Tableau4[NB Remis],Tableau4[Réf matériel],Tableau5[[#This Row],[Réf matériel]],Tableau4[Matricule],"CKE")</f>
        <v>1</v>
      </c>
      <c r="AL79" s="105" t="str">
        <f>IF(Tableau5[[#This Row],[Besoin CKE]]=Tableau5[[#This Row],[Remis CKE]],"OK","NOK")</f>
        <v>OK</v>
      </c>
      <c r="AN79">
        <f>SUMIFS(Tableau4[NB Remis],Tableau4[Réf matériel],Tableau5[[#This Row],[Réf matériel]],Tableau4[Matricule],"DMA")</f>
        <v>0</v>
      </c>
      <c r="AO79" s="105" t="str">
        <f>IF(Tableau5[[#This Row],[Besoin DMA]]=Tableau5[[#This Row],[Remis DMA]],"OK","NOK")</f>
        <v>OK</v>
      </c>
      <c r="AQ79">
        <f>SUMIFS(Tableau4[NB Remis],Tableau4[Réf matériel],Tableau5[[#This Row],[Réf matériel]],Tableau4[Matricule],"LMO")</f>
        <v>0</v>
      </c>
      <c r="AR79" s="105" t="str">
        <f>IF(Tableau5[[#This Row],[Besoin LMO]]=Tableau5[[#This Row],[Remis LMO]],"OK","NOK")</f>
        <v>OK</v>
      </c>
      <c r="AS79">
        <v>1</v>
      </c>
      <c r="AT79">
        <f>SUMIFS(Tableau4[NB Remis],Tableau4[Réf matériel],Tableau5[[#This Row],[Réf matériel]],Tableau4[Matricule],"TMO")</f>
        <v>1</v>
      </c>
      <c r="AU79" s="105" t="str">
        <f>IF(Tableau5[[#This Row],[Besoin TMO]]=Tableau5[[#This Row],[Remis TMO]],"OK","NOK")</f>
        <v>OK</v>
      </c>
      <c r="AV79">
        <v>1</v>
      </c>
      <c r="AW79">
        <f>SUMIFS(Tableau4[NB Remis],Tableau4[Réf matériel],Tableau5[[#This Row],[Réf matériel]],Tableau4[Matricule],"JPA")</f>
        <v>1</v>
      </c>
      <c r="AX79" s="105" t="str">
        <f>IF(Tableau5[[#This Row],[Besoin JPA]]=Tableau5[[#This Row],[Remis JPA]],"OK","NOK")</f>
        <v>OK</v>
      </c>
      <c r="AY79">
        <v>1</v>
      </c>
      <c r="AZ79">
        <f>SUMIFS(Tableau4[NB Remis],Tableau4[Réf matériel],Tableau5[[#This Row],[Réf matériel]],Tableau4[Matricule],"MPE")</f>
        <v>1</v>
      </c>
      <c r="BA79" s="105" t="str">
        <f>IF(Tableau5[[#This Row],[Besoin MPE]]=Tableau5[[#This Row],[Remis MPE]],"OK","NOK")</f>
        <v>OK</v>
      </c>
      <c r="BB79">
        <v>1</v>
      </c>
      <c r="BC79">
        <f>SUMIFS(Tableau4[NB Remis],Tableau4[Réf matériel],Tableau5[[#This Row],[Réf matériel]],Tableau4[Matricule],"SPR")</f>
        <v>1</v>
      </c>
      <c r="BD79" s="105" t="str">
        <f>IF(Tableau5[[#This Row],[Besoin SPR]]=Tableau5[[#This Row],[Remis SPR]],"OK","NOK")</f>
        <v>OK</v>
      </c>
      <c r="BE79">
        <v>1</v>
      </c>
      <c r="BF79">
        <f>SUMIFS(Tableau4[NB Remis],Tableau4[Réf matériel],Tableau5[[#This Row],[Réf matériel]],Tableau4[Matricule],"MRO")</f>
        <v>1</v>
      </c>
      <c r="BG79" s="105" t="str">
        <f>IF(Tableau5[[#This Row],[Besoin MRO]]=Tableau5[[#This Row],[Remis MRO]],"OK","NOK")</f>
        <v>OK</v>
      </c>
      <c r="BH79">
        <v>1</v>
      </c>
      <c r="BI79">
        <f>SUMIFS(Tableau4[NB Remis],Tableau4[Réf matériel],Tableau5[[#This Row],[Réf matériel]],Tableau4[Matricule],"LSA")</f>
        <v>1</v>
      </c>
      <c r="BJ79" s="105" t="str">
        <f>IF(Tableau5[[#This Row],[Besoin LSA]]=Tableau5[[#This Row],[Remis LSA]],"OK","NOK")</f>
        <v>OK</v>
      </c>
      <c r="BK79">
        <v>1</v>
      </c>
      <c r="BL79">
        <f>SUMIFS(Tableau4[NB Remis],Tableau4[Réf matériel],Tableau5[[#This Row],[Réf matériel]],Tableau4[Matricule],"SST")</f>
        <v>1</v>
      </c>
      <c r="BM79" s="105" t="str">
        <f>IF(Tableau5[[#This Row],[Besoin SST]]=Tableau5[[#This Row],[Remis SST]],"OK","NOK")</f>
        <v>OK</v>
      </c>
      <c r="BO79">
        <f>SUMIFS(Tableau4[NB Remis],Tableau4[Réf matériel],Tableau5[[#This Row],[Réf matériel]],Tableau4[Matricule],"CTH")</f>
        <v>0</v>
      </c>
      <c r="BP79" s="105" t="str">
        <f>IF(Tableau5[[#This Row],[Besoin CTH]]=Tableau5[[#This Row],[Remis CTH]],"OK","NOK")</f>
        <v>OK</v>
      </c>
      <c r="BQ79">
        <v>1</v>
      </c>
      <c r="BR79">
        <f>SUMIFS(Tableau4[NB Remis],Tableau4[Réf matériel],Tableau5[[#This Row],[Réf matériel]],Tableau4[Matricule],"AVU")</f>
        <v>1</v>
      </c>
      <c r="BS79" s="105" t="str">
        <f>IF(Tableau5[[#This Row],[Besoin AVU]]=Tableau5[[#This Row],[Remis AVU]],"OK","NOK")</f>
        <v>OK</v>
      </c>
      <c r="BU79">
        <f>SUMIFS(Tableau4[NB Remis],Tableau4[Réf matériel],Tableau5[[#This Row],[Réf matériel]],Tableau4[Matricule],"FZE")</f>
        <v>0</v>
      </c>
      <c r="BV79" s="105" t="str">
        <f>IF(Tableau5[[#This Row],[Besoin FZE]]=Tableau5[[#This Row],[Remis FZE]],"OK","NOK")</f>
        <v>OK</v>
      </c>
      <c r="BW79">
        <v>1</v>
      </c>
      <c r="BX79">
        <f>SUMIFS(Tableau4[NB Remis],Tableau4[Réf matériel],Tableau5[[#This Row],[Réf matériel]],Tableau4[Matricule],"CV2")</f>
        <v>1</v>
      </c>
      <c r="BY79" s="105" t="str">
        <f>IF(Tableau5[[#This Row],[Besoin CV2]]=Tableau5[[#This Row],[Remis CV2]],"OK","NOK")</f>
        <v>OK</v>
      </c>
      <c r="BZ79">
        <v>1</v>
      </c>
      <c r="CA79">
        <f>SUMIFS(Tableau4[NB Remis],Tableau4[Réf matériel],Tableau5[[#This Row],[Réf matériel]],Tableau4[Matricule],"CV3")</f>
        <v>1</v>
      </c>
      <c r="CB79" s="105" t="str">
        <f>IF(Tableau5[[#This Row],[Besoin CV3]]=Tableau5[[#This Row],[Remis CV3]],"OK","NOK")</f>
        <v>OK</v>
      </c>
      <c r="CC79">
        <v>1</v>
      </c>
      <c r="CD79">
        <f>SUMIFS(Tableau4[NB Remis],Tableau4[Réf matériel],Tableau5[[#This Row],[Réf matériel]],Tableau4[Matricule],"CV1")</f>
        <v>1</v>
      </c>
      <c r="CE79" s="105" t="str">
        <f>IF(Tableau5[[#This Row],[Besoin CV1]]=Tableau5[[#This Row],[Remis CV1]],"OK","NOK")</f>
        <v>OK</v>
      </c>
      <c r="CF79">
        <v>1</v>
      </c>
      <c r="CG79">
        <f>SUMIFS(Tableau4[NB Remis],Tableau4[Réf matériel],Tableau5[[#This Row],[Réf matériel]],Tableau4[Matricule],"CV4")</f>
        <v>1</v>
      </c>
      <c r="CH79" s="106" t="str">
        <f>IF(Tableau5[[#This Row],[Besoin CV4]]=Tableau5[[#This Row],[Remis CV4]],"OK","NOK")</f>
        <v>OK</v>
      </c>
    </row>
    <row r="80" spans="2:86" x14ac:dyDescent="0.25">
      <c r="B80" t="s">
        <v>149</v>
      </c>
      <c r="D80">
        <f>SUMIFS(Tableau4[NB Remis],Tableau4[Réf matériel],Tableau5[[#This Row],[Réf matériel]],Tableau4[Matricule],"OAI")</f>
        <v>0</v>
      </c>
      <c r="E80" s="105" t="str">
        <f>IF(Tableau5[[#This Row],[Besoin OAI]]=Tableau5[[#This Row],[Remis OAI]],"OK","NOK")</f>
        <v>OK</v>
      </c>
      <c r="G80">
        <f>SUMIFS(Tableau4[NB Remis],Tableau4[Réf matériel],Tableau5[[#This Row],[Réf matériel]],Tableau4[Matricule],"ABE")</f>
        <v>0</v>
      </c>
      <c r="H80" s="105" t="str">
        <f>IF(Tableau5[[#This Row],[Besoin ABE]]=Tableau5[[#This Row],[Remis ABE]],"OK","NOK")</f>
        <v>OK</v>
      </c>
      <c r="J80">
        <f>SUMIFS(Tableau4[NB Remis],Tableau4[Réf matériel],Tableau5[[#This Row],[Réf matériel]],Tableau4[Matricule],"SBI")</f>
        <v>0</v>
      </c>
      <c r="K80" s="105" t="str">
        <f>IF(Tableau5[[#This Row],[Besoin SBI]]=Tableau5[[#This Row],[Remis SBI]],"OK","NOK")</f>
        <v>OK</v>
      </c>
      <c r="M80">
        <f>SUMIFS(Tableau4[NB Remis],Tableau4[Réf matériel],Tableau5[[#This Row],[Réf matériel]],Tableau4[Matricule],"ABI")</f>
        <v>0</v>
      </c>
      <c r="N80" s="105" t="str">
        <f>IF(Tableau5[[#This Row],[Besoin ABI]]=Tableau5[[#This Row],[Remis ABI]],"OK","NOK")</f>
        <v>OK</v>
      </c>
      <c r="P80">
        <f>SUMIFS(Tableau4[NB Remis],Tableau4[Réf matériel],Tableau5[[#This Row],[Réf matériel]],Tableau4[Matricule],"DCE")</f>
        <v>0</v>
      </c>
      <c r="Q80" s="105" t="str">
        <f>IF(Tableau5[[#This Row],[Besoin DCE]]=Tableau5[[#This Row],[Remis DCE]],"OK","NOK")</f>
        <v>OK</v>
      </c>
      <c r="S80">
        <f>SUMIFS(Tableau4[NB Remis],Tableau4[Réf matériel],Tableau5[[#This Row],[Réf matériel]],Tableau4[Matricule],"JDE")</f>
        <v>0</v>
      </c>
      <c r="T80" s="105" t="str">
        <f>IF(Tableau5[[#This Row],[Besoin JDE]]=Tableau5[[#This Row],[Remis JDE]],"OK","NOK")</f>
        <v>OK</v>
      </c>
      <c r="V80">
        <f>SUMIFS(Tableau4[NB Remis],Tableau4[Réf matériel],Tableau5[[#This Row],[Réf matériel]],Tableau4[Matricule],"ODI")</f>
        <v>0</v>
      </c>
      <c r="W80" s="105" t="str">
        <f>IF(Tableau5[[#This Row],[Besoin ODI]]=Tableau5[[#This Row],[Remis ODI]],"OK","NOK")</f>
        <v>OK</v>
      </c>
      <c r="Y80">
        <f>SUMIFS(Tableau4[NB Remis],Tableau4[Réf matériel],Tableau5[[#This Row],[Réf matériel]],Tableau4[Matricule],"MFO")</f>
        <v>0</v>
      </c>
      <c r="Z80" s="105" t="str">
        <f>IF(Tableau5[[#This Row],[Besoin MFO]]=Tableau5[[#This Row],[Remis MFO]],"OK","NOK")</f>
        <v>OK</v>
      </c>
      <c r="AB80">
        <f>SUMIFS(Tableau4[NB Remis],Tableau4[Réf matériel],Tableau5[[#This Row],[Réf matériel]],Tableau4[Matricule],"SDU")</f>
        <v>0</v>
      </c>
      <c r="AC80" s="105" t="str">
        <f>IF(Tableau5[[#This Row],[Besoin SDU]]=Tableau5[[#This Row],[Remis SDU]],"OK","NOK")</f>
        <v>OK</v>
      </c>
      <c r="AE80">
        <f>SUMIFS(Tableau4[NB Remis],Tableau4[Réf matériel],Tableau5[[#This Row],[Réf matériel]],Tableau4[Matricule],"GGA")</f>
        <v>0</v>
      </c>
      <c r="AF80" s="105" t="str">
        <f>IF(Tableau5[[#This Row],[Besoin GGA2]]=Tableau5[[#This Row],[Remis GGA3]],"OK","NOK")</f>
        <v>OK</v>
      </c>
      <c r="AH80">
        <f>SUMIFS(Tableau4[NB Remis],Tableau4[Réf matériel],Tableau5[[#This Row],[Réf matériel]],Tableau4[Matricule],"RGE")</f>
        <v>0</v>
      </c>
      <c r="AI80" s="105" t="str">
        <f>IF(Tableau5[[#This Row],[Besoin RGE]]=Tableau5[[#This Row],[Remis RGE]],"OK","NOK")</f>
        <v>OK</v>
      </c>
      <c r="AK80">
        <f>SUMIFS(Tableau4[NB Remis],Tableau4[Réf matériel],Tableau5[[#This Row],[Réf matériel]],Tableau4[Matricule],"CKE")</f>
        <v>0</v>
      </c>
      <c r="AL80" s="105" t="str">
        <f>IF(Tableau5[[#This Row],[Besoin CKE]]=Tableau5[[#This Row],[Remis CKE]],"OK","NOK")</f>
        <v>OK</v>
      </c>
      <c r="AN80">
        <f>SUMIFS(Tableau4[NB Remis],Tableau4[Réf matériel],Tableau5[[#This Row],[Réf matériel]],Tableau4[Matricule],"DMA")</f>
        <v>0</v>
      </c>
      <c r="AO80" s="105" t="str">
        <f>IF(Tableau5[[#This Row],[Besoin DMA]]=Tableau5[[#This Row],[Remis DMA]],"OK","NOK")</f>
        <v>OK</v>
      </c>
      <c r="AQ80">
        <f>SUMIFS(Tableau4[NB Remis],Tableau4[Réf matériel],Tableau5[[#This Row],[Réf matériel]],Tableau4[Matricule],"LMO")</f>
        <v>0</v>
      </c>
      <c r="AR80" s="105" t="str">
        <f>IF(Tableau5[[#This Row],[Besoin LMO]]=Tableau5[[#This Row],[Remis LMO]],"OK","NOK")</f>
        <v>OK</v>
      </c>
      <c r="AS80">
        <v>1</v>
      </c>
      <c r="AT80">
        <f>SUMIFS(Tableau4[NB Remis],Tableau4[Réf matériel],Tableau5[[#This Row],[Réf matériel]],Tableau4[Matricule],"TMO")</f>
        <v>1</v>
      </c>
      <c r="AU80" s="105" t="str">
        <f>IF(Tableau5[[#This Row],[Besoin TMO]]=Tableau5[[#This Row],[Remis TMO]],"OK","NOK")</f>
        <v>OK</v>
      </c>
      <c r="AW80">
        <f>SUMIFS(Tableau4[NB Remis],Tableau4[Réf matériel],Tableau5[[#This Row],[Réf matériel]],Tableau4[Matricule],"JPA")</f>
        <v>0</v>
      </c>
      <c r="AX80" s="105" t="str">
        <f>IF(Tableau5[[#This Row],[Besoin JPA]]=Tableau5[[#This Row],[Remis JPA]],"OK","NOK")</f>
        <v>OK</v>
      </c>
      <c r="AZ80">
        <f>SUMIFS(Tableau4[NB Remis],Tableau4[Réf matériel],Tableau5[[#This Row],[Réf matériel]],Tableau4[Matricule],"MPE")</f>
        <v>0</v>
      </c>
      <c r="BA80" s="105" t="str">
        <f>IF(Tableau5[[#This Row],[Besoin MPE]]=Tableau5[[#This Row],[Remis MPE]],"OK","NOK")</f>
        <v>OK</v>
      </c>
      <c r="BC80">
        <f>SUMIFS(Tableau4[NB Remis],Tableau4[Réf matériel],Tableau5[[#This Row],[Réf matériel]],Tableau4[Matricule],"SPR")</f>
        <v>0</v>
      </c>
      <c r="BD80" s="105" t="str">
        <f>IF(Tableau5[[#This Row],[Besoin SPR]]=Tableau5[[#This Row],[Remis SPR]],"OK","NOK")</f>
        <v>OK</v>
      </c>
      <c r="BF80">
        <f>SUMIFS(Tableau4[NB Remis],Tableau4[Réf matériel],Tableau5[[#This Row],[Réf matériel]],Tableau4[Matricule],"MRO")</f>
        <v>0</v>
      </c>
      <c r="BG80" s="105" t="str">
        <f>IF(Tableau5[[#This Row],[Besoin MRO]]=Tableau5[[#This Row],[Remis MRO]],"OK","NOK")</f>
        <v>OK</v>
      </c>
      <c r="BI80">
        <f>SUMIFS(Tableau4[NB Remis],Tableau4[Réf matériel],Tableau5[[#This Row],[Réf matériel]],Tableau4[Matricule],"LSA")</f>
        <v>0</v>
      </c>
      <c r="BJ80" s="105" t="str">
        <f>IF(Tableau5[[#This Row],[Besoin LSA]]=Tableau5[[#This Row],[Remis LSA]],"OK","NOK")</f>
        <v>OK</v>
      </c>
      <c r="BL80">
        <f>SUMIFS(Tableau4[NB Remis],Tableau4[Réf matériel],Tableau5[[#This Row],[Réf matériel]],Tableau4[Matricule],"SST")</f>
        <v>0</v>
      </c>
      <c r="BM80" s="105" t="str">
        <f>IF(Tableau5[[#This Row],[Besoin SST]]=Tableau5[[#This Row],[Remis SST]],"OK","NOK")</f>
        <v>OK</v>
      </c>
      <c r="BO80">
        <f>SUMIFS(Tableau4[NB Remis],Tableau4[Réf matériel],Tableau5[[#This Row],[Réf matériel]],Tableau4[Matricule],"CTH")</f>
        <v>0</v>
      </c>
      <c r="BP80" s="105" t="str">
        <f>IF(Tableau5[[#This Row],[Besoin CTH]]=Tableau5[[#This Row],[Remis CTH]],"OK","NOK")</f>
        <v>OK</v>
      </c>
      <c r="BR80">
        <f>SUMIFS(Tableau4[NB Remis],Tableau4[Réf matériel],Tableau5[[#This Row],[Réf matériel]],Tableau4[Matricule],"AVU")</f>
        <v>0</v>
      </c>
      <c r="BS80" s="105" t="str">
        <f>IF(Tableau5[[#This Row],[Besoin AVU]]=Tableau5[[#This Row],[Remis AVU]],"OK","NOK")</f>
        <v>OK</v>
      </c>
      <c r="BU80">
        <f>SUMIFS(Tableau4[NB Remis],Tableau4[Réf matériel],Tableau5[[#This Row],[Réf matériel]],Tableau4[Matricule],"FZE")</f>
        <v>0</v>
      </c>
      <c r="BV80" s="105" t="str">
        <f>IF(Tableau5[[#This Row],[Besoin FZE]]=Tableau5[[#This Row],[Remis FZE]],"OK","NOK")</f>
        <v>OK</v>
      </c>
      <c r="BX80">
        <f>SUMIFS(Tableau4[NB Remis],Tableau4[Réf matériel],Tableau5[[#This Row],[Réf matériel]],Tableau4[Matricule],"CV2")</f>
        <v>0</v>
      </c>
      <c r="BY80" s="105" t="str">
        <f>IF(Tableau5[[#This Row],[Besoin CV2]]=Tableau5[[#This Row],[Remis CV2]],"OK","NOK")</f>
        <v>OK</v>
      </c>
      <c r="CA80">
        <f>SUMIFS(Tableau4[NB Remis],Tableau4[Réf matériel],Tableau5[[#This Row],[Réf matériel]],Tableau4[Matricule],"CV3")</f>
        <v>0</v>
      </c>
      <c r="CB80" s="105" t="str">
        <f>IF(Tableau5[[#This Row],[Besoin CV3]]=Tableau5[[#This Row],[Remis CV3]],"OK","NOK")</f>
        <v>OK</v>
      </c>
      <c r="CD80">
        <f>SUMIFS(Tableau4[NB Remis],Tableau4[Réf matériel],Tableau5[[#This Row],[Réf matériel]],Tableau4[Matricule],"CV1")</f>
        <v>0</v>
      </c>
      <c r="CE80" s="105" t="str">
        <f>IF(Tableau5[[#This Row],[Besoin CV1]]=Tableau5[[#This Row],[Remis CV1]],"OK","NOK")</f>
        <v>OK</v>
      </c>
      <c r="CG80">
        <f>SUMIFS(Tableau4[NB Remis],Tableau4[Réf matériel],Tableau5[[#This Row],[Réf matériel]],Tableau4[Matricule],"CV4")</f>
        <v>0</v>
      </c>
      <c r="CH80" s="106" t="str">
        <f>IF(Tableau5[[#This Row],[Besoin CV4]]=Tableau5[[#This Row],[Remis CV4]],"OK","NOK")</f>
        <v>OK</v>
      </c>
    </row>
    <row r="81" spans="2:86" x14ac:dyDescent="0.25">
      <c r="B81" t="s">
        <v>121</v>
      </c>
      <c r="D81">
        <f>SUMIFS(Tableau4[NB Remis],Tableau4[Réf matériel],Tableau5[[#This Row],[Réf matériel]],Tableau4[Matricule],"OAI")</f>
        <v>0</v>
      </c>
      <c r="E81" s="105" t="str">
        <f>IF(Tableau5[[#This Row],[Besoin OAI]]=Tableau5[[#This Row],[Remis OAI]],"OK","NOK")</f>
        <v>OK</v>
      </c>
      <c r="G81">
        <f>SUMIFS(Tableau4[NB Remis],Tableau4[Réf matériel],Tableau5[[#This Row],[Réf matériel]],Tableau4[Matricule],"ABE")</f>
        <v>0</v>
      </c>
      <c r="H81" s="105" t="str">
        <f>IF(Tableau5[[#This Row],[Besoin ABE]]=Tableau5[[#This Row],[Remis ABE]],"OK","NOK")</f>
        <v>OK</v>
      </c>
      <c r="J81">
        <f>SUMIFS(Tableau4[NB Remis],Tableau4[Réf matériel],Tableau5[[#This Row],[Réf matériel]],Tableau4[Matricule],"SBI")</f>
        <v>0</v>
      </c>
      <c r="K81" s="105" t="str">
        <f>IF(Tableau5[[#This Row],[Besoin SBI]]=Tableau5[[#This Row],[Remis SBI]],"OK","NOK")</f>
        <v>OK</v>
      </c>
      <c r="M81">
        <f>SUMIFS(Tableau4[NB Remis],Tableau4[Réf matériel],Tableau5[[#This Row],[Réf matériel]],Tableau4[Matricule],"ABI")</f>
        <v>0</v>
      </c>
      <c r="N81" s="105" t="str">
        <f>IF(Tableau5[[#This Row],[Besoin ABI]]=Tableau5[[#This Row],[Remis ABI]],"OK","NOK")</f>
        <v>OK</v>
      </c>
      <c r="P81">
        <f>SUMIFS(Tableau4[NB Remis],Tableau4[Réf matériel],Tableau5[[#This Row],[Réf matériel]],Tableau4[Matricule],"DCE")</f>
        <v>0</v>
      </c>
      <c r="Q81" s="105" t="str">
        <f>IF(Tableau5[[#This Row],[Besoin DCE]]=Tableau5[[#This Row],[Remis DCE]],"OK","NOK")</f>
        <v>OK</v>
      </c>
      <c r="S81">
        <f>SUMIFS(Tableau4[NB Remis],Tableau4[Réf matériel],Tableau5[[#This Row],[Réf matériel]],Tableau4[Matricule],"JDE")</f>
        <v>0</v>
      </c>
      <c r="T81" s="105" t="str">
        <f>IF(Tableau5[[#This Row],[Besoin JDE]]=Tableau5[[#This Row],[Remis JDE]],"OK","NOK")</f>
        <v>OK</v>
      </c>
      <c r="V81">
        <f>SUMIFS(Tableau4[NB Remis],Tableau4[Réf matériel],Tableau5[[#This Row],[Réf matériel]],Tableau4[Matricule],"ODI")</f>
        <v>0</v>
      </c>
      <c r="W81" s="105" t="str">
        <f>IF(Tableau5[[#This Row],[Besoin ODI]]=Tableau5[[#This Row],[Remis ODI]],"OK","NOK")</f>
        <v>OK</v>
      </c>
      <c r="Y81">
        <f>SUMIFS(Tableau4[NB Remis],Tableau4[Réf matériel],Tableau5[[#This Row],[Réf matériel]],Tableau4[Matricule],"MFO")</f>
        <v>0</v>
      </c>
      <c r="Z81" s="105" t="str">
        <f>IF(Tableau5[[#This Row],[Besoin MFO]]=Tableau5[[#This Row],[Remis MFO]],"OK","NOK")</f>
        <v>OK</v>
      </c>
      <c r="AB81">
        <f>SUMIFS(Tableau4[NB Remis],Tableau4[Réf matériel],Tableau5[[#This Row],[Réf matériel]],Tableau4[Matricule],"SDU")</f>
        <v>0</v>
      </c>
      <c r="AC81" s="105" t="str">
        <f>IF(Tableau5[[#This Row],[Besoin SDU]]=Tableau5[[#This Row],[Remis SDU]],"OK","NOK")</f>
        <v>OK</v>
      </c>
      <c r="AE81">
        <f>SUMIFS(Tableau4[NB Remis],Tableau4[Réf matériel],Tableau5[[#This Row],[Réf matériel]],Tableau4[Matricule],"GGA")</f>
        <v>0</v>
      </c>
      <c r="AF81" s="105" t="str">
        <f>IF(Tableau5[[#This Row],[Besoin GGA2]]=Tableau5[[#This Row],[Remis GGA3]],"OK","NOK")</f>
        <v>OK</v>
      </c>
      <c r="AH81">
        <f>SUMIFS(Tableau4[NB Remis],Tableau4[Réf matériel],Tableau5[[#This Row],[Réf matériel]],Tableau4[Matricule],"RGE")</f>
        <v>0</v>
      </c>
      <c r="AI81" s="105" t="str">
        <f>IF(Tableau5[[#This Row],[Besoin RGE]]=Tableau5[[#This Row],[Remis RGE]],"OK","NOK")</f>
        <v>OK</v>
      </c>
      <c r="AJ81">
        <v>1</v>
      </c>
      <c r="AK81">
        <f>SUMIFS(Tableau4[NB Remis],Tableau4[Réf matériel],Tableau5[[#This Row],[Réf matériel]],Tableau4[Matricule],"CKE")</f>
        <v>1</v>
      </c>
      <c r="AL81" s="105" t="str">
        <f>IF(Tableau5[[#This Row],[Besoin CKE]]=Tableau5[[#This Row],[Remis CKE]],"OK","NOK")</f>
        <v>OK</v>
      </c>
      <c r="AN81">
        <f>SUMIFS(Tableau4[NB Remis],Tableau4[Réf matériel],Tableau5[[#This Row],[Réf matériel]],Tableau4[Matricule],"DMA")</f>
        <v>0</v>
      </c>
      <c r="AO81" s="105" t="str">
        <f>IF(Tableau5[[#This Row],[Besoin DMA]]=Tableau5[[#This Row],[Remis DMA]],"OK","NOK")</f>
        <v>OK</v>
      </c>
      <c r="AQ81">
        <f>SUMIFS(Tableau4[NB Remis],Tableau4[Réf matériel],Tableau5[[#This Row],[Réf matériel]],Tableau4[Matricule],"LMO")</f>
        <v>0</v>
      </c>
      <c r="AR81" s="105" t="str">
        <f>IF(Tableau5[[#This Row],[Besoin LMO]]=Tableau5[[#This Row],[Remis LMO]],"OK","NOK")</f>
        <v>OK</v>
      </c>
      <c r="AT81">
        <f>SUMIFS(Tableau4[NB Remis],Tableau4[Réf matériel],Tableau5[[#This Row],[Réf matériel]],Tableau4[Matricule],"TMO")</f>
        <v>0</v>
      </c>
      <c r="AU81" s="105" t="str">
        <f>IF(Tableau5[[#This Row],[Besoin TMO]]=Tableau5[[#This Row],[Remis TMO]],"OK","NOK")</f>
        <v>OK</v>
      </c>
      <c r="AW81">
        <f>SUMIFS(Tableau4[NB Remis],Tableau4[Réf matériel],Tableau5[[#This Row],[Réf matériel]],Tableau4[Matricule],"JPA")</f>
        <v>0</v>
      </c>
      <c r="AX81" s="105" t="str">
        <f>IF(Tableau5[[#This Row],[Besoin JPA]]=Tableau5[[#This Row],[Remis JPA]],"OK","NOK")</f>
        <v>OK</v>
      </c>
      <c r="AZ81">
        <f>SUMIFS(Tableau4[NB Remis],Tableau4[Réf matériel],Tableau5[[#This Row],[Réf matériel]],Tableau4[Matricule],"MPE")</f>
        <v>0</v>
      </c>
      <c r="BA81" s="105" t="str">
        <f>IF(Tableau5[[#This Row],[Besoin MPE]]=Tableau5[[#This Row],[Remis MPE]],"OK","NOK")</f>
        <v>OK</v>
      </c>
      <c r="BC81">
        <f>SUMIFS(Tableau4[NB Remis],Tableau4[Réf matériel],Tableau5[[#This Row],[Réf matériel]],Tableau4[Matricule],"SPR")</f>
        <v>0</v>
      </c>
      <c r="BD81" s="105" t="str">
        <f>IF(Tableau5[[#This Row],[Besoin SPR]]=Tableau5[[#This Row],[Remis SPR]],"OK","NOK")</f>
        <v>OK</v>
      </c>
      <c r="BF81">
        <f>SUMIFS(Tableau4[NB Remis],Tableau4[Réf matériel],Tableau5[[#This Row],[Réf matériel]],Tableau4[Matricule],"MRO")</f>
        <v>0</v>
      </c>
      <c r="BG81" s="105" t="str">
        <f>IF(Tableau5[[#This Row],[Besoin MRO]]=Tableau5[[#This Row],[Remis MRO]],"OK","NOK")</f>
        <v>OK</v>
      </c>
      <c r="BI81">
        <f>SUMIFS(Tableau4[NB Remis],Tableau4[Réf matériel],Tableau5[[#This Row],[Réf matériel]],Tableau4[Matricule],"LSA")</f>
        <v>0</v>
      </c>
      <c r="BJ81" s="105" t="str">
        <f>IF(Tableau5[[#This Row],[Besoin LSA]]=Tableau5[[#This Row],[Remis LSA]],"OK","NOK")</f>
        <v>OK</v>
      </c>
      <c r="BL81">
        <f>SUMIFS(Tableau4[NB Remis],Tableau4[Réf matériel],Tableau5[[#This Row],[Réf matériel]],Tableau4[Matricule],"SST")</f>
        <v>0</v>
      </c>
      <c r="BM81" s="105" t="str">
        <f>IF(Tableau5[[#This Row],[Besoin SST]]=Tableau5[[#This Row],[Remis SST]],"OK","NOK")</f>
        <v>OK</v>
      </c>
      <c r="BO81">
        <f>SUMIFS(Tableau4[NB Remis],Tableau4[Réf matériel],Tableau5[[#This Row],[Réf matériel]],Tableau4[Matricule],"CTH")</f>
        <v>0</v>
      </c>
      <c r="BP81" s="105" t="str">
        <f>IF(Tableau5[[#This Row],[Besoin CTH]]=Tableau5[[#This Row],[Remis CTH]],"OK","NOK")</f>
        <v>OK</v>
      </c>
      <c r="BR81">
        <f>SUMIFS(Tableau4[NB Remis],Tableau4[Réf matériel],Tableau5[[#This Row],[Réf matériel]],Tableau4[Matricule],"AVU")</f>
        <v>0</v>
      </c>
      <c r="BS81" s="105" t="str">
        <f>IF(Tableau5[[#This Row],[Besoin AVU]]=Tableau5[[#This Row],[Remis AVU]],"OK","NOK")</f>
        <v>OK</v>
      </c>
      <c r="BU81">
        <f>SUMIFS(Tableau4[NB Remis],Tableau4[Réf matériel],Tableau5[[#This Row],[Réf matériel]],Tableau4[Matricule],"FZE")</f>
        <v>0</v>
      </c>
      <c r="BV81" s="105" t="str">
        <f>IF(Tableau5[[#This Row],[Besoin FZE]]=Tableau5[[#This Row],[Remis FZE]],"OK","NOK")</f>
        <v>OK</v>
      </c>
      <c r="BX81">
        <f>SUMIFS(Tableau4[NB Remis],Tableau4[Réf matériel],Tableau5[[#This Row],[Réf matériel]],Tableau4[Matricule],"CV2")</f>
        <v>0</v>
      </c>
      <c r="BY81" s="105" t="str">
        <f>IF(Tableau5[[#This Row],[Besoin CV2]]=Tableau5[[#This Row],[Remis CV2]],"OK","NOK")</f>
        <v>OK</v>
      </c>
      <c r="CA81">
        <f>SUMIFS(Tableau4[NB Remis],Tableau4[Réf matériel],Tableau5[[#This Row],[Réf matériel]],Tableau4[Matricule],"CV3")</f>
        <v>0</v>
      </c>
      <c r="CB81" s="105" t="str">
        <f>IF(Tableau5[[#This Row],[Besoin CV3]]=Tableau5[[#This Row],[Remis CV3]],"OK","NOK")</f>
        <v>OK</v>
      </c>
      <c r="CD81">
        <f>SUMIFS(Tableau4[NB Remis],Tableau4[Réf matériel],Tableau5[[#This Row],[Réf matériel]],Tableau4[Matricule],"CV1")</f>
        <v>0</v>
      </c>
      <c r="CE81" s="105" t="str">
        <f>IF(Tableau5[[#This Row],[Besoin CV1]]=Tableau5[[#This Row],[Remis CV1]],"OK","NOK")</f>
        <v>OK</v>
      </c>
      <c r="CG81">
        <f>SUMIFS(Tableau4[NB Remis],Tableau4[Réf matériel],Tableau5[[#This Row],[Réf matériel]],Tableau4[Matricule],"CV4")</f>
        <v>0</v>
      </c>
      <c r="CH81" s="106" t="str">
        <f>IF(Tableau5[[#This Row],[Besoin CV4]]=Tableau5[[#This Row],[Remis CV4]],"OK","NOK")</f>
        <v>OK</v>
      </c>
    </row>
    <row r="82" spans="2:86" x14ac:dyDescent="0.25">
      <c r="B82" t="s">
        <v>70</v>
      </c>
      <c r="C82">
        <v>0</v>
      </c>
      <c r="D82">
        <f>SUMIFS(Tableau4[NB Remis],Tableau4[Réf matériel],Tableau5[[#This Row],[Réf matériel]],Tableau4[Matricule],"OAI")</f>
        <v>0</v>
      </c>
      <c r="E82" s="105" t="str">
        <f>IF(Tableau5[[#This Row],[Besoin OAI]]=Tableau5[[#This Row],[Remis OAI]],"OK","NOK")</f>
        <v>OK</v>
      </c>
      <c r="F82">
        <v>1</v>
      </c>
      <c r="G82">
        <f>SUMIFS(Tableau4[NB Remis],Tableau4[Réf matériel],Tableau5[[#This Row],[Réf matériel]],Tableau4[Matricule],"ABE")</f>
        <v>1</v>
      </c>
      <c r="H82" s="105" t="str">
        <f>IF(Tableau5[[#This Row],[Besoin ABE]]=Tableau5[[#This Row],[Remis ABE]],"OK","NOK")</f>
        <v>OK</v>
      </c>
      <c r="J82">
        <f>SUMIFS(Tableau4[NB Remis],Tableau4[Réf matériel],Tableau5[[#This Row],[Réf matériel]],Tableau4[Matricule],"SBI")</f>
        <v>0</v>
      </c>
      <c r="K82" s="105" t="str">
        <f>IF(Tableau5[[#This Row],[Besoin SBI]]=Tableau5[[#This Row],[Remis SBI]],"OK","NOK")</f>
        <v>OK</v>
      </c>
      <c r="L82">
        <v>1</v>
      </c>
      <c r="M82">
        <f>SUMIFS(Tableau4[NB Remis],Tableau4[Réf matériel],Tableau5[[#This Row],[Réf matériel]],Tableau4[Matricule],"ABI")</f>
        <v>1</v>
      </c>
      <c r="N82" s="105" t="str">
        <f>IF(Tableau5[[#This Row],[Besoin ABI]]=Tableau5[[#This Row],[Remis ABI]],"OK","NOK")</f>
        <v>OK</v>
      </c>
      <c r="P82">
        <f>SUMIFS(Tableau4[NB Remis],Tableau4[Réf matériel],Tableau5[[#This Row],[Réf matériel]],Tableau4[Matricule],"DCE")</f>
        <v>0</v>
      </c>
      <c r="Q82" s="105" t="str">
        <f>IF(Tableau5[[#This Row],[Besoin DCE]]=Tableau5[[#This Row],[Remis DCE]],"OK","NOK")</f>
        <v>OK</v>
      </c>
      <c r="R82">
        <v>1</v>
      </c>
      <c r="S82">
        <f>SUMIFS(Tableau4[NB Remis],Tableau4[Réf matériel],Tableau5[[#This Row],[Réf matériel]],Tableau4[Matricule],"JDE")</f>
        <v>1</v>
      </c>
      <c r="T82" s="105" t="str">
        <f>IF(Tableau5[[#This Row],[Besoin JDE]]=Tableau5[[#This Row],[Remis JDE]],"OK","NOK")</f>
        <v>OK</v>
      </c>
      <c r="U82">
        <v>0</v>
      </c>
      <c r="V82">
        <f>SUMIFS(Tableau4[NB Remis],Tableau4[Réf matériel],Tableau5[[#This Row],[Réf matériel]],Tableau4[Matricule],"ODI")</f>
        <v>0</v>
      </c>
      <c r="W82" s="105" t="str">
        <f>IF(Tableau5[[#This Row],[Besoin ODI]]=Tableau5[[#This Row],[Remis ODI]],"OK","NOK")</f>
        <v>OK</v>
      </c>
      <c r="X82">
        <v>0</v>
      </c>
      <c r="Y82">
        <f>SUMIFS(Tableau4[NB Remis],Tableau4[Réf matériel],Tableau5[[#This Row],[Réf matériel]],Tableau4[Matricule],"MFO")</f>
        <v>0</v>
      </c>
      <c r="Z82" s="105" t="str">
        <f>IF(Tableau5[[#This Row],[Besoin MFO]]=Tableau5[[#This Row],[Remis MFO]],"OK","NOK")</f>
        <v>OK</v>
      </c>
      <c r="AB82">
        <f>SUMIFS(Tableau4[NB Remis],Tableau4[Réf matériel],Tableau5[[#This Row],[Réf matériel]],Tableau4[Matricule],"SDU")</f>
        <v>0</v>
      </c>
      <c r="AC82" s="105" t="str">
        <f>IF(Tableau5[[#This Row],[Besoin SDU]]=Tableau5[[#This Row],[Remis SDU]],"OK","NOK")</f>
        <v>OK</v>
      </c>
      <c r="AD82">
        <v>0</v>
      </c>
      <c r="AE82">
        <f>SUMIFS(Tableau4[NB Remis],Tableau4[Réf matériel],Tableau5[[#This Row],[Réf matériel]],Tableau4[Matricule],"GGA")</f>
        <v>0</v>
      </c>
      <c r="AF82" s="105" t="str">
        <f>IF(Tableau5[[#This Row],[Besoin GGA2]]=Tableau5[[#This Row],[Remis GGA3]],"OK","NOK")</f>
        <v>OK</v>
      </c>
      <c r="AG82">
        <v>1</v>
      </c>
      <c r="AH82">
        <f>SUMIFS(Tableau4[NB Remis],Tableau4[Réf matériel],Tableau5[[#This Row],[Réf matériel]],Tableau4[Matricule],"RGE")</f>
        <v>1</v>
      </c>
      <c r="AI82" s="105" t="str">
        <f>IF(Tableau5[[#This Row],[Besoin RGE]]=Tableau5[[#This Row],[Remis RGE]],"OK","NOK")</f>
        <v>OK</v>
      </c>
      <c r="AJ82">
        <v>1</v>
      </c>
      <c r="AK82">
        <f>SUMIFS(Tableau4[NB Remis],Tableau4[Réf matériel],Tableau5[[#This Row],[Réf matériel]],Tableau4[Matricule],"CKE")</f>
        <v>1</v>
      </c>
      <c r="AL82" s="105" t="str">
        <f>IF(Tableau5[[#This Row],[Besoin CKE]]=Tableau5[[#This Row],[Remis CKE]],"OK","NOK")</f>
        <v>OK</v>
      </c>
      <c r="AM82">
        <v>1</v>
      </c>
      <c r="AN82">
        <f>SUMIFS(Tableau4[NB Remis],Tableau4[Réf matériel],Tableau5[[#This Row],[Réf matériel]],Tableau4[Matricule],"DMA")</f>
        <v>2</v>
      </c>
      <c r="AO82" s="105" t="str">
        <f>IF(Tableau5[[#This Row],[Besoin DMA]]=Tableau5[[#This Row],[Remis DMA]],"OK","NOK")</f>
        <v>NOK</v>
      </c>
      <c r="AP82">
        <v>1</v>
      </c>
      <c r="AQ82">
        <f>SUMIFS(Tableau4[NB Remis],Tableau4[Réf matériel],Tableau5[[#This Row],[Réf matériel]],Tableau4[Matricule],"LMO")</f>
        <v>1</v>
      </c>
      <c r="AR82" s="105" t="str">
        <f>IF(Tableau5[[#This Row],[Besoin LMO]]=Tableau5[[#This Row],[Remis LMO]],"OK","NOK")</f>
        <v>OK</v>
      </c>
      <c r="AS82">
        <v>0</v>
      </c>
      <c r="AT82">
        <f>SUMIFS(Tableau4[NB Remis],Tableau4[Réf matériel],Tableau5[[#This Row],[Réf matériel]],Tableau4[Matricule],"TMO")</f>
        <v>0</v>
      </c>
      <c r="AU82" s="105" t="str">
        <f>IF(Tableau5[[#This Row],[Besoin TMO]]=Tableau5[[#This Row],[Remis TMO]],"OK","NOK")</f>
        <v>OK</v>
      </c>
      <c r="AV82">
        <v>1</v>
      </c>
      <c r="AW82">
        <f>SUMIFS(Tableau4[NB Remis],Tableau4[Réf matériel],Tableau5[[#This Row],[Réf matériel]],Tableau4[Matricule],"JPA")</f>
        <v>1</v>
      </c>
      <c r="AX82" s="105" t="str">
        <f>IF(Tableau5[[#This Row],[Besoin JPA]]=Tableau5[[#This Row],[Remis JPA]],"OK","NOK")</f>
        <v>OK</v>
      </c>
      <c r="AY82">
        <v>1</v>
      </c>
      <c r="AZ82">
        <f>SUMIFS(Tableau4[NB Remis],Tableau4[Réf matériel],Tableau5[[#This Row],[Réf matériel]],Tableau4[Matricule],"MPE")</f>
        <v>1</v>
      </c>
      <c r="BA82" s="105" t="str">
        <f>IF(Tableau5[[#This Row],[Besoin MPE]]=Tableau5[[#This Row],[Remis MPE]],"OK","NOK")</f>
        <v>OK</v>
      </c>
      <c r="BB82">
        <v>1</v>
      </c>
      <c r="BC82">
        <f>SUMIFS(Tableau4[NB Remis],Tableau4[Réf matériel],Tableau5[[#This Row],[Réf matériel]],Tableau4[Matricule],"SPR")</f>
        <v>1</v>
      </c>
      <c r="BD82" s="105" t="str">
        <f>IF(Tableau5[[#This Row],[Besoin SPR]]=Tableau5[[#This Row],[Remis SPR]],"OK","NOK")</f>
        <v>OK</v>
      </c>
      <c r="BE82">
        <v>1</v>
      </c>
      <c r="BF82">
        <f>SUMIFS(Tableau4[NB Remis],Tableau4[Réf matériel],Tableau5[[#This Row],[Réf matériel]],Tableau4[Matricule],"MRO")</f>
        <v>1</v>
      </c>
      <c r="BG82" s="105" t="str">
        <f>IF(Tableau5[[#This Row],[Besoin MRO]]=Tableau5[[#This Row],[Remis MRO]],"OK","NOK")</f>
        <v>OK</v>
      </c>
      <c r="BH82">
        <v>1</v>
      </c>
      <c r="BI82">
        <f>SUMIFS(Tableau4[NB Remis],Tableau4[Réf matériel],Tableau5[[#This Row],[Réf matériel]],Tableau4[Matricule],"LSA")</f>
        <v>1</v>
      </c>
      <c r="BJ82" s="105" t="str">
        <f>IF(Tableau5[[#This Row],[Besoin LSA]]=Tableau5[[#This Row],[Remis LSA]],"OK","NOK")</f>
        <v>OK</v>
      </c>
      <c r="BK82">
        <v>1</v>
      </c>
      <c r="BL82">
        <f>SUMIFS(Tableau4[NB Remis],Tableau4[Réf matériel],Tableau5[[#This Row],[Réf matériel]],Tableau4[Matricule],"SST")</f>
        <v>1</v>
      </c>
      <c r="BM82" s="105" t="str">
        <f>IF(Tableau5[[#This Row],[Besoin SST]]=Tableau5[[#This Row],[Remis SST]],"OK","NOK")</f>
        <v>OK</v>
      </c>
      <c r="BO82">
        <f>SUMIFS(Tableau4[NB Remis],Tableau4[Réf matériel],Tableau5[[#This Row],[Réf matériel]],Tableau4[Matricule],"CTH")</f>
        <v>0</v>
      </c>
      <c r="BP82" s="105" t="str">
        <f>IF(Tableau5[[#This Row],[Besoin CTH]]=Tableau5[[#This Row],[Remis CTH]],"OK","NOK")</f>
        <v>OK</v>
      </c>
      <c r="BQ82">
        <v>1</v>
      </c>
      <c r="BR82">
        <f>SUMIFS(Tableau4[NB Remis],Tableau4[Réf matériel],Tableau5[[#This Row],[Réf matériel]],Tableau4[Matricule],"AVU")</f>
        <v>1</v>
      </c>
      <c r="BS82" s="105" t="str">
        <f>IF(Tableau5[[#This Row],[Besoin AVU]]=Tableau5[[#This Row],[Remis AVU]],"OK","NOK")</f>
        <v>OK</v>
      </c>
      <c r="BT82">
        <v>1</v>
      </c>
      <c r="BU82">
        <f>SUMIFS(Tableau4[NB Remis],Tableau4[Réf matériel],Tableau5[[#This Row],[Réf matériel]],Tableau4[Matricule],"FZE")</f>
        <v>1</v>
      </c>
      <c r="BV82" s="105" t="str">
        <f>IF(Tableau5[[#This Row],[Besoin FZE]]=Tableau5[[#This Row],[Remis FZE]],"OK","NOK")</f>
        <v>OK</v>
      </c>
      <c r="BW82">
        <v>1</v>
      </c>
      <c r="BX82">
        <f>SUMIFS(Tableau4[NB Remis],Tableau4[Réf matériel],Tableau5[[#This Row],[Réf matériel]],Tableau4[Matricule],"CV2")</f>
        <v>1</v>
      </c>
      <c r="BY82" s="105" t="str">
        <f>IF(Tableau5[[#This Row],[Besoin CV2]]=Tableau5[[#This Row],[Remis CV2]],"OK","NOK")</f>
        <v>OK</v>
      </c>
      <c r="BZ82">
        <v>1</v>
      </c>
      <c r="CA82">
        <f>SUMIFS(Tableau4[NB Remis],Tableau4[Réf matériel],Tableau5[[#This Row],[Réf matériel]],Tableau4[Matricule],"CV3")</f>
        <v>1</v>
      </c>
      <c r="CB82" s="105" t="str">
        <f>IF(Tableau5[[#This Row],[Besoin CV3]]=Tableau5[[#This Row],[Remis CV3]],"OK","NOK")</f>
        <v>OK</v>
      </c>
      <c r="CC82">
        <v>1</v>
      </c>
      <c r="CD82">
        <f>SUMIFS(Tableau4[NB Remis],Tableau4[Réf matériel],Tableau5[[#This Row],[Réf matériel]],Tableau4[Matricule],"CV1")</f>
        <v>1</v>
      </c>
      <c r="CE82" s="105" t="str">
        <f>IF(Tableau5[[#This Row],[Besoin CV1]]=Tableau5[[#This Row],[Remis CV1]],"OK","NOK")</f>
        <v>OK</v>
      </c>
      <c r="CF82">
        <v>1</v>
      </c>
      <c r="CG82">
        <f>SUMIFS(Tableau4[NB Remis],Tableau4[Réf matériel],Tableau5[[#This Row],[Réf matériel]],Tableau4[Matricule],"CV4")</f>
        <v>1</v>
      </c>
      <c r="CH82" s="106" t="str">
        <f>IF(Tableau5[[#This Row],[Besoin CV4]]=Tableau5[[#This Row],[Remis CV4]],"OK","NOK")</f>
        <v>OK</v>
      </c>
    </row>
  </sheetData>
  <phoneticPr fontId="14" type="noConversion"/>
  <conditionalFormatting sqref="E3:E85 H3:H85 K3:K82 N3:N82 Q3:Q82 T3:T82 W3:W82 Z3:Z82 AF3:AF82 AO3:AO82 AR3:AR82 AU3:AU82 AX3:AX82 BA3:BA82 BD3:BD82 BG3:BG82 BJ3:BJ82 BM3:BM82 BV3:BV82 AL3:AL85 AI3:AI82 BP3:BS82">
    <cfRule type="cellIs" dxfId="5" priority="36" operator="equal">
      <formula>"NOK"</formula>
    </cfRule>
  </conditionalFormatting>
  <conditionalFormatting sqref="BY3:BY82">
    <cfRule type="cellIs" dxfId="4" priority="6" operator="equal">
      <formula>"NOK"</formula>
    </cfRule>
  </conditionalFormatting>
  <conditionalFormatting sqref="CB3:CB82">
    <cfRule type="cellIs" dxfId="3" priority="5" operator="equal">
      <formula>"NOK"</formula>
    </cfRule>
  </conditionalFormatting>
  <conditionalFormatting sqref="CE3:CE82">
    <cfRule type="cellIs" dxfId="2" priority="4" operator="equal">
      <formula>"NOK"</formula>
    </cfRule>
  </conditionalFormatting>
  <conditionalFormatting sqref="CH3:CH82">
    <cfRule type="cellIs" dxfId="1" priority="2" operator="equal">
      <formula>"NOK"</formula>
    </cfRule>
  </conditionalFormatting>
  <conditionalFormatting sqref="AC3:AC82">
    <cfRule type="cellIs" dxfId="0" priority="1" operator="equal">
      <formula>"NOK"</formula>
    </cfRule>
  </conditionalFormatting>
  <printOptions horizontalCentered="1" verticalCentered="1"/>
  <pageMargins left="0" right="0" top="0" bottom="0" header="0" footer="0"/>
  <pageSetup paperSize="8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07085C2-CFDF-43B7-ABBF-008DB64AC74E}">
          <x14:formula1>
            <xm:f>Listes!$I$4:$I$86</xm:f>
          </x14:formula1>
          <xm:sqref>B3:B82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90CFB-CF93-4865-A6A5-E8EB7CD29801}">
  <dimension ref="A1:I673"/>
  <sheetViews>
    <sheetView showGridLines="0" workbookViewId="0">
      <selection activeCell="F5" sqref="F5"/>
    </sheetView>
  </sheetViews>
  <sheetFormatPr baseColWidth="10" defaultRowHeight="15" x14ac:dyDescent="0.25"/>
  <cols>
    <col min="1" max="1" width="34.5703125" customWidth="1"/>
    <col min="2" max="2" width="12.5703125" bestFit="1" customWidth="1"/>
    <col min="3" max="3" width="54.28515625" bestFit="1" customWidth="1"/>
    <col min="4" max="4" width="16.140625" style="6" bestFit="1" customWidth="1"/>
    <col min="5" max="5" width="15.140625" style="6" bestFit="1" customWidth="1"/>
    <col min="6" max="6" width="19.5703125" style="6" bestFit="1" customWidth="1"/>
    <col min="7" max="7" width="17" style="6" bestFit="1" customWidth="1"/>
    <col min="8" max="8" width="7.5703125" style="92" bestFit="1" customWidth="1"/>
    <col min="9" max="9" width="8" style="92" bestFit="1" customWidth="1"/>
    <col min="10" max="15" width="15.5703125" bestFit="1" customWidth="1"/>
    <col min="16" max="16" width="20.5703125" bestFit="1" customWidth="1"/>
    <col min="17" max="18" width="13.5703125" bestFit="1" customWidth="1"/>
    <col min="19" max="22" width="16.140625" bestFit="1" customWidth="1"/>
    <col min="23" max="23" width="20.5703125" bestFit="1" customWidth="1"/>
    <col min="24" max="24" width="13.5703125" bestFit="1" customWidth="1"/>
    <col min="25" max="25" width="21" bestFit="1" customWidth="1"/>
    <col min="26" max="54" width="15.5703125" bestFit="1" customWidth="1"/>
    <col min="55" max="55" width="20.5703125" bestFit="1" customWidth="1"/>
    <col min="56" max="56" width="13.5703125" bestFit="1" customWidth="1"/>
    <col min="57" max="132" width="15.5703125" bestFit="1" customWidth="1"/>
    <col min="133" max="133" width="20.5703125" bestFit="1" customWidth="1"/>
    <col min="134" max="134" width="13.5703125" bestFit="1" customWidth="1"/>
  </cols>
  <sheetData>
    <row r="1" spans="1:9" ht="61.5" x14ac:dyDescent="0.25">
      <c r="A1" s="89" t="s">
        <v>388</v>
      </c>
    </row>
    <row r="2" spans="1:9" ht="165.75" customHeight="1" x14ac:dyDescent="0.25"/>
    <row r="3" spans="1:9" ht="45" x14ac:dyDescent="0.25">
      <c r="D3" s="95" t="s">
        <v>0</v>
      </c>
      <c r="E3" s="108" t="s">
        <v>379</v>
      </c>
      <c r="F3" s="108" t="s">
        <v>514</v>
      </c>
      <c r="G3" s="96" t="s">
        <v>385</v>
      </c>
      <c r="H3" s="2" t="s">
        <v>389</v>
      </c>
      <c r="I3" s="2" t="s">
        <v>390</v>
      </c>
    </row>
    <row r="4" spans="1:9" x14ac:dyDescent="0.25">
      <c r="D4" t="s">
        <v>504</v>
      </c>
      <c r="E4" t="s">
        <v>380</v>
      </c>
      <c r="F4" t="s">
        <v>540</v>
      </c>
      <c r="G4" t="s">
        <v>275</v>
      </c>
      <c r="H4" s="90">
        <v>1</v>
      </c>
      <c r="I4" s="91">
        <v>31</v>
      </c>
    </row>
    <row r="5" spans="1:9" x14ac:dyDescent="0.25">
      <c r="D5" t="s">
        <v>537</v>
      </c>
      <c r="E5" t="s">
        <v>380</v>
      </c>
      <c r="F5" t="s">
        <v>540</v>
      </c>
      <c r="G5" t="s">
        <v>275</v>
      </c>
      <c r="H5" s="90">
        <v>1</v>
      </c>
      <c r="I5" s="91">
        <v>31</v>
      </c>
    </row>
    <row r="6" spans="1:9" x14ac:dyDescent="0.25">
      <c r="D6" t="s">
        <v>21</v>
      </c>
      <c r="E6" t="s">
        <v>380</v>
      </c>
      <c r="F6" t="s">
        <v>535</v>
      </c>
      <c r="G6" t="s">
        <v>275</v>
      </c>
      <c r="H6" s="90">
        <v>1</v>
      </c>
      <c r="I6" s="91">
        <v>31</v>
      </c>
    </row>
    <row r="7" spans="1:9" x14ac:dyDescent="0.25">
      <c r="D7" t="s">
        <v>369</v>
      </c>
      <c r="E7" t="s">
        <v>380</v>
      </c>
      <c r="F7" t="s">
        <v>520</v>
      </c>
      <c r="G7" t="s">
        <v>275</v>
      </c>
      <c r="H7" s="90">
        <v>1</v>
      </c>
      <c r="I7" s="91">
        <v>31</v>
      </c>
    </row>
    <row r="8" spans="1:9" x14ac:dyDescent="0.25">
      <c r="D8" s="6" t="s">
        <v>387</v>
      </c>
      <c r="H8" s="93">
        <v>4</v>
      </c>
      <c r="I8" s="94">
        <v>124</v>
      </c>
    </row>
    <row r="9" spans="1:9" x14ac:dyDescent="0.25">
      <c r="D9"/>
      <c r="E9"/>
      <c r="F9"/>
      <c r="G9"/>
      <c r="H9"/>
      <c r="I9"/>
    </row>
    <row r="10" spans="1:9" x14ac:dyDescent="0.25">
      <c r="D10"/>
      <c r="E10"/>
      <c r="F10"/>
      <c r="G10"/>
      <c r="H10"/>
      <c r="I10"/>
    </row>
    <row r="11" spans="1:9" x14ac:dyDescent="0.25">
      <c r="D11"/>
      <c r="E11"/>
      <c r="F11"/>
      <c r="G11"/>
      <c r="H11"/>
      <c r="I11"/>
    </row>
    <row r="12" spans="1:9" x14ac:dyDescent="0.25">
      <c r="D12"/>
      <c r="E12"/>
      <c r="F12"/>
      <c r="G12"/>
      <c r="H12"/>
      <c r="I12"/>
    </row>
    <row r="13" spans="1:9" x14ac:dyDescent="0.25">
      <c r="D13"/>
      <c r="E13"/>
      <c r="F13"/>
      <c r="G13"/>
      <c r="H13"/>
      <c r="I13"/>
    </row>
    <row r="14" spans="1:9" x14ac:dyDescent="0.25">
      <c r="D14"/>
      <c r="E14"/>
      <c r="F14"/>
      <c r="G14"/>
      <c r="H14"/>
      <c r="I14"/>
    </row>
    <row r="15" spans="1:9" x14ac:dyDescent="0.25">
      <c r="D15"/>
      <c r="E15"/>
      <c r="F15"/>
      <c r="G15"/>
      <c r="H15"/>
      <c r="I15"/>
    </row>
    <row r="16" spans="1:9" x14ac:dyDescent="0.25">
      <c r="D16"/>
      <c r="E16"/>
      <c r="F16"/>
      <c r="G16"/>
      <c r="H16"/>
      <c r="I16"/>
    </row>
    <row r="17" spans="4:9" x14ac:dyDescent="0.25">
      <c r="D17"/>
      <c r="E17"/>
      <c r="F17"/>
      <c r="G17"/>
      <c r="H17"/>
      <c r="I17"/>
    </row>
    <row r="18" spans="4:9" x14ac:dyDescent="0.25">
      <c r="D18"/>
      <c r="E18"/>
      <c r="F18"/>
      <c r="G18"/>
      <c r="H18"/>
      <c r="I18"/>
    </row>
    <row r="19" spans="4:9" x14ac:dyDescent="0.25">
      <c r="D19"/>
      <c r="E19"/>
      <c r="F19"/>
      <c r="G19"/>
      <c r="H19"/>
      <c r="I19"/>
    </row>
    <row r="20" spans="4:9" x14ac:dyDescent="0.25">
      <c r="D20"/>
      <c r="E20"/>
      <c r="F20"/>
      <c r="G20"/>
      <c r="H20"/>
      <c r="I20"/>
    </row>
    <row r="21" spans="4:9" x14ac:dyDescent="0.25">
      <c r="D21"/>
      <c r="E21"/>
      <c r="F21"/>
      <c r="G21"/>
      <c r="H21"/>
      <c r="I21"/>
    </row>
    <row r="22" spans="4:9" x14ac:dyDescent="0.25">
      <c r="D22"/>
      <c r="E22"/>
      <c r="F22"/>
      <c r="G22"/>
      <c r="H22"/>
      <c r="I22"/>
    </row>
    <row r="23" spans="4:9" x14ac:dyDescent="0.25">
      <c r="D23"/>
      <c r="E23"/>
      <c r="F23"/>
      <c r="G23"/>
      <c r="H23"/>
      <c r="I23"/>
    </row>
    <row r="24" spans="4:9" x14ac:dyDescent="0.25">
      <c r="D24"/>
      <c r="E24"/>
      <c r="F24"/>
      <c r="G24"/>
      <c r="H24"/>
      <c r="I24"/>
    </row>
    <row r="25" spans="4:9" x14ac:dyDescent="0.25">
      <c r="D25"/>
      <c r="E25"/>
      <c r="F25"/>
      <c r="G25"/>
      <c r="H25"/>
      <c r="I25"/>
    </row>
    <row r="26" spans="4:9" x14ac:dyDescent="0.25">
      <c r="D26"/>
      <c r="E26"/>
      <c r="F26"/>
      <c r="G26"/>
      <c r="H26"/>
      <c r="I26"/>
    </row>
    <row r="27" spans="4:9" x14ac:dyDescent="0.25">
      <c r="D27"/>
      <c r="E27"/>
      <c r="F27"/>
      <c r="G27"/>
      <c r="H27"/>
      <c r="I27"/>
    </row>
    <row r="28" spans="4:9" x14ac:dyDescent="0.25">
      <c r="D28"/>
      <c r="E28"/>
      <c r="F28"/>
      <c r="G28"/>
      <c r="H28"/>
      <c r="I28"/>
    </row>
    <row r="29" spans="4:9" x14ac:dyDescent="0.25">
      <c r="D29"/>
      <c r="E29"/>
      <c r="F29"/>
      <c r="G29"/>
      <c r="H29"/>
      <c r="I29"/>
    </row>
    <row r="30" spans="4:9" x14ac:dyDescent="0.25">
      <c r="D30"/>
      <c r="E30"/>
      <c r="F30"/>
      <c r="G30"/>
      <c r="H30"/>
      <c r="I30"/>
    </row>
    <row r="31" spans="4:9" x14ac:dyDescent="0.25">
      <c r="D31"/>
      <c r="E31"/>
      <c r="F31"/>
      <c r="G31"/>
      <c r="H31"/>
      <c r="I31"/>
    </row>
    <row r="32" spans="4:9" x14ac:dyDescent="0.25">
      <c r="D32"/>
      <c r="E32"/>
      <c r="F32"/>
      <c r="G32"/>
      <c r="H32"/>
      <c r="I32"/>
    </row>
    <row r="33" spans="4:9" x14ac:dyDescent="0.25">
      <c r="D33"/>
      <c r="E33"/>
      <c r="F33"/>
      <c r="G33"/>
      <c r="H33"/>
      <c r="I33"/>
    </row>
    <row r="34" spans="4:9" x14ac:dyDescent="0.25">
      <c r="D34"/>
      <c r="E34"/>
      <c r="F34"/>
      <c r="G34"/>
      <c r="H34"/>
      <c r="I34"/>
    </row>
    <row r="35" spans="4:9" x14ac:dyDescent="0.25">
      <c r="D35"/>
      <c r="E35"/>
      <c r="F35"/>
      <c r="G35"/>
      <c r="H35"/>
      <c r="I35"/>
    </row>
    <row r="36" spans="4:9" x14ac:dyDescent="0.25">
      <c r="D36"/>
      <c r="E36"/>
      <c r="F36"/>
      <c r="G36"/>
      <c r="H36"/>
      <c r="I36"/>
    </row>
    <row r="37" spans="4:9" x14ac:dyDescent="0.25">
      <c r="D37"/>
      <c r="E37"/>
      <c r="F37"/>
      <c r="G37"/>
      <c r="H37"/>
      <c r="I37"/>
    </row>
    <row r="38" spans="4:9" x14ac:dyDescent="0.25">
      <c r="D38"/>
      <c r="E38"/>
      <c r="F38"/>
      <c r="G38"/>
      <c r="H38"/>
      <c r="I38"/>
    </row>
    <row r="39" spans="4:9" x14ac:dyDescent="0.25">
      <c r="D39"/>
      <c r="E39"/>
      <c r="F39"/>
      <c r="G39"/>
      <c r="H39"/>
      <c r="I39"/>
    </row>
    <row r="40" spans="4:9" x14ac:dyDescent="0.25">
      <c r="D40"/>
      <c r="E40"/>
      <c r="F40"/>
      <c r="G40"/>
      <c r="H40"/>
      <c r="I40"/>
    </row>
    <row r="41" spans="4:9" x14ac:dyDescent="0.25">
      <c r="D41"/>
      <c r="E41"/>
      <c r="F41"/>
      <c r="G41"/>
      <c r="H41"/>
      <c r="I41"/>
    </row>
    <row r="42" spans="4:9" x14ac:dyDescent="0.25">
      <c r="D42"/>
      <c r="E42"/>
      <c r="F42"/>
      <c r="G42"/>
      <c r="H42"/>
      <c r="I42"/>
    </row>
    <row r="43" spans="4:9" x14ac:dyDescent="0.25">
      <c r="D43"/>
      <c r="E43"/>
      <c r="F43"/>
      <c r="G43"/>
      <c r="H43"/>
      <c r="I43"/>
    </row>
    <row r="44" spans="4:9" x14ac:dyDescent="0.25">
      <c r="D44"/>
      <c r="E44"/>
      <c r="F44"/>
      <c r="G44"/>
      <c r="H44"/>
      <c r="I44"/>
    </row>
    <row r="45" spans="4:9" x14ac:dyDescent="0.25">
      <c r="D45"/>
      <c r="E45"/>
      <c r="F45"/>
      <c r="G45"/>
      <c r="H45"/>
      <c r="I45"/>
    </row>
    <row r="46" spans="4:9" x14ac:dyDescent="0.25">
      <c r="D46"/>
      <c r="E46"/>
      <c r="F46"/>
      <c r="G46"/>
      <c r="H46"/>
      <c r="I46"/>
    </row>
    <row r="47" spans="4:9" x14ac:dyDescent="0.25">
      <c r="D47"/>
      <c r="E47"/>
      <c r="F47"/>
      <c r="G47"/>
      <c r="H47"/>
      <c r="I47"/>
    </row>
    <row r="48" spans="4:9" x14ac:dyDescent="0.25">
      <c r="D48"/>
      <c r="E48"/>
      <c r="F48"/>
      <c r="G48"/>
      <c r="H48"/>
      <c r="I48"/>
    </row>
    <row r="49" spans="4:9" x14ac:dyDescent="0.25">
      <c r="D49"/>
      <c r="E49"/>
      <c r="F49"/>
      <c r="G49"/>
      <c r="H49"/>
      <c r="I49"/>
    </row>
    <row r="50" spans="4:9" x14ac:dyDescent="0.25">
      <c r="D50"/>
      <c r="E50"/>
      <c r="F50"/>
      <c r="G50"/>
      <c r="H50"/>
      <c r="I50"/>
    </row>
    <row r="51" spans="4:9" x14ac:dyDescent="0.25">
      <c r="D51"/>
      <c r="E51"/>
      <c r="F51"/>
      <c r="G51"/>
      <c r="H51"/>
      <c r="I51"/>
    </row>
    <row r="52" spans="4:9" x14ac:dyDescent="0.25">
      <c r="D52"/>
      <c r="E52"/>
      <c r="F52"/>
      <c r="G52"/>
      <c r="H52"/>
      <c r="I52"/>
    </row>
    <row r="53" spans="4:9" x14ac:dyDescent="0.25">
      <c r="D53"/>
      <c r="E53"/>
      <c r="F53"/>
      <c r="G53"/>
      <c r="H53"/>
      <c r="I53"/>
    </row>
    <row r="54" spans="4:9" x14ac:dyDescent="0.25">
      <c r="D54"/>
      <c r="E54"/>
      <c r="F54"/>
      <c r="G54"/>
      <c r="H54"/>
      <c r="I54"/>
    </row>
    <row r="55" spans="4:9" x14ac:dyDescent="0.25">
      <c r="D55"/>
      <c r="E55"/>
      <c r="F55"/>
      <c r="G55"/>
      <c r="H55"/>
      <c r="I55"/>
    </row>
    <row r="56" spans="4:9" x14ac:dyDescent="0.25">
      <c r="D56"/>
      <c r="E56"/>
      <c r="F56"/>
      <c r="G56"/>
      <c r="H56"/>
      <c r="I56"/>
    </row>
    <row r="57" spans="4:9" x14ac:dyDescent="0.25">
      <c r="D57"/>
      <c r="E57"/>
      <c r="F57"/>
      <c r="G57"/>
      <c r="H57"/>
      <c r="I57"/>
    </row>
    <row r="58" spans="4:9" x14ac:dyDescent="0.25">
      <c r="D58"/>
      <c r="E58"/>
      <c r="F58"/>
      <c r="G58"/>
      <c r="H58"/>
      <c r="I58"/>
    </row>
    <row r="59" spans="4:9" x14ac:dyDescent="0.25">
      <c r="D59"/>
      <c r="E59"/>
      <c r="F59"/>
      <c r="G59"/>
      <c r="H59"/>
      <c r="I59"/>
    </row>
    <row r="60" spans="4:9" x14ac:dyDescent="0.25">
      <c r="D60"/>
      <c r="E60"/>
      <c r="F60"/>
      <c r="G60"/>
      <c r="H60"/>
      <c r="I60"/>
    </row>
    <row r="61" spans="4:9" x14ac:dyDescent="0.25">
      <c r="D61"/>
      <c r="E61"/>
      <c r="F61"/>
      <c r="G61"/>
      <c r="H61"/>
      <c r="I61"/>
    </row>
    <row r="62" spans="4:9" x14ac:dyDescent="0.25">
      <c r="D62"/>
      <c r="E62"/>
      <c r="F62"/>
      <c r="G62"/>
      <c r="H62"/>
      <c r="I62"/>
    </row>
    <row r="63" spans="4:9" x14ac:dyDescent="0.25">
      <c r="D63"/>
      <c r="E63"/>
      <c r="F63"/>
      <c r="G63"/>
      <c r="H63"/>
      <c r="I63"/>
    </row>
    <row r="64" spans="4:9" x14ac:dyDescent="0.25">
      <c r="D64"/>
      <c r="E64"/>
      <c r="F64"/>
      <c r="G64"/>
      <c r="H64"/>
      <c r="I64"/>
    </row>
    <row r="65" spans="4:9" x14ac:dyDescent="0.25">
      <c r="D65"/>
      <c r="E65"/>
      <c r="F65"/>
      <c r="G65"/>
      <c r="H65"/>
      <c r="I65"/>
    </row>
    <row r="66" spans="4:9" x14ac:dyDescent="0.25">
      <c r="D66"/>
      <c r="E66"/>
      <c r="F66"/>
      <c r="G66"/>
      <c r="H66"/>
      <c r="I66"/>
    </row>
    <row r="67" spans="4:9" x14ac:dyDescent="0.25">
      <c r="D67"/>
      <c r="E67"/>
      <c r="F67"/>
      <c r="G67"/>
      <c r="H67"/>
      <c r="I67"/>
    </row>
    <row r="68" spans="4:9" x14ac:dyDescent="0.25">
      <c r="D68"/>
      <c r="E68"/>
      <c r="F68"/>
      <c r="G68"/>
      <c r="H68"/>
      <c r="I68"/>
    </row>
    <row r="69" spans="4:9" x14ac:dyDescent="0.25">
      <c r="D69"/>
      <c r="E69"/>
      <c r="F69"/>
      <c r="G69"/>
      <c r="H69"/>
      <c r="I69"/>
    </row>
    <row r="70" spans="4:9" x14ac:dyDescent="0.25">
      <c r="D70"/>
      <c r="E70"/>
      <c r="F70"/>
      <c r="G70"/>
      <c r="H70"/>
      <c r="I70"/>
    </row>
    <row r="71" spans="4:9" x14ac:dyDescent="0.25">
      <c r="D71"/>
      <c r="E71"/>
      <c r="F71"/>
      <c r="G71"/>
      <c r="H71"/>
      <c r="I71"/>
    </row>
    <row r="72" spans="4:9" x14ac:dyDescent="0.25">
      <c r="D72"/>
      <c r="E72"/>
      <c r="F72"/>
      <c r="G72"/>
      <c r="H72"/>
      <c r="I72"/>
    </row>
    <row r="73" spans="4:9" x14ac:dyDescent="0.25">
      <c r="D73"/>
      <c r="E73"/>
      <c r="F73"/>
      <c r="G73"/>
      <c r="H73"/>
      <c r="I73"/>
    </row>
    <row r="74" spans="4:9" x14ac:dyDescent="0.25">
      <c r="D74"/>
      <c r="E74"/>
      <c r="F74"/>
      <c r="G74"/>
      <c r="H74"/>
      <c r="I74"/>
    </row>
    <row r="75" spans="4:9" x14ac:dyDescent="0.25">
      <c r="D75"/>
      <c r="E75"/>
      <c r="F75"/>
      <c r="G75"/>
      <c r="H75"/>
      <c r="I75"/>
    </row>
    <row r="76" spans="4:9" x14ac:dyDescent="0.25">
      <c r="D76"/>
      <c r="E76"/>
      <c r="F76"/>
      <c r="G76"/>
      <c r="H76"/>
      <c r="I76"/>
    </row>
    <row r="77" spans="4:9" x14ac:dyDescent="0.25">
      <c r="D77"/>
      <c r="E77"/>
      <c r="F77"/>
      <c r="G77"/>
      <c r="H77"/>
      <c r="I77"/>
    </row>
    <row r="78" spans="4:9" x14ac:dyDescent="0.25">
      <c r="D78"/>
      <c r="E78"/>
      <c r="F78"/>
      <c r="G78"/>
      <c r="H78"/>
      <c r="I78"/>
    </row>
    <row r="79" spans="4:9" x14ac:dyDescent="0.25">
      <c r="D79"/>
      <c r="E79"/>
      <c r="F79"/>
      <c r="G79"/>
      <c r="H79"/>
      <c r="I79"/>
    </row>
    <row r="80" spans="4:9" x14ac:dyDescent="0.25">
      <c r="D80"/>
      <c r="E80"/>
      <c r="F80"/>
      <c r="G80"/>
      <c r="H80"/>
      <c r="I80"/>
    </row>
    <row r="81" spans="4:9" x14ac:dyDescent="0.25">
      <c r="D81"/>
      <c r="E81"/>
      <c r="F81"/>
      <c r="G81"/>
      <c r="H81"/>
      <c r="I81"/>
    </row>
    <row r="82" spans="4:9" x14ac:dyDescent="0.25">
      <c r="D82"/>
      <c r="E82"/>
      <c r="F82"/>
      <c r="G82"/>
      <c r="H82"/>
      <c r="I82"/>
    </row>
    <row r="83" spans="4:9" x14ac:dyDescent="0.25">
      <c r="D83"/>
      <c r="E83"/>
      <c r="F83"/>
      <c r="G83"/>
      <c r="H83"/>
      <c r="I83"/>
    </row>
    <row r="84" spans="4:9" x14ac:dyDescent="0.25">
      <c r="D84"/>
      <c r="E84"/>
      <c r="F84"/>
      <c r="G84"/>
      <c r="H84"/>
      <c r="I84"/>
    </row>
    <row r="85" spans="4:9" x14ac:dyDescent="0.25">
      <c r="D85"/>
      <c r="E85"/>
      <c r="F85"/>
      <c r="G85"/>
      <c r="H85"/>
      <c r="I85"/>
    </row>
    <row r="86" spans="4:9" x14ac:dyDescent="0.25">
      <c r="D86"/>
      <c r="E86"/>
      <c r="F86"/>
      <c r="G86"/>
      <c r="H86"/>
      <c r="I86"/>
    </row>
    <row r="87" spans="4:9" x14ac:dyDescent="0.25">
      <c r="D87"/>
      <c r="E87"/>
      <c r="F87"/>
      <c r="G87"/>
      <c r="H87"/>
      <c r="I87"/>
    </row>
    <row r="88" spans="4:9" x14ac:dyDescent="0.25">
      <c r="D88"/>
      <c r="E88"/>
      <c r="F88"/>
      <c r="G88"/>
      <c r="H88"/>
      <c r="I88"/>
    </row>
    <row r="89" spans="4:9" x14ac:dyDescent="0.25">
      <c r="D89"/>
      <c r="E89"/>
      <c r="F89"/>
      <c r="G89"/>
      <c r="H89"/>
      <c r="I89"/>
    </row>
    <row r="90" spans="4:9" x14ac:dyDescent="0.25">
      <c r="D90"/>
      <c r="E90"/>
      <c r="F90"/>
      <c r="G90"/>
      <c r="H90"/>
      <c r="I90"/>
    </row>
    <row r="91" spans="4:9" x14ac:dyDescent="0.25">
      <c r="D91"/>
      <c r="E91"/>
      <c r="F91"/>
      <c r="G91"/>
      <c r="H91"/>
      <c r="I91"/>
    </row>
    <row r="92" spans="4:9" x14ac:dyDescent="0.25">
      <c r="D92"/>
      <c r="E92"/>
      <c r="F92"/>
      <c r="G92"/>
      <c r="H92"/>
      <c r="I92"/>
    </row>
    <row r="93" spans="4:9" x14ac:dyDescent="0.25">
      <c r="D93"/>
      <c r="E93"/>
      <c r="F93"/>
      <c r="G93"/>
      <c r="H93"/>
      <c r="I93"/>
    </row>
    <row r="94" spans="4:9" x14ac:dyDescent="0.25">
      <c r="D94"/>
      <c r="E94"/>
      <c r="F94"/>
      <c r="G94"/>
      <c r="H94"/>
      <c r="I94"/>
    </row>
    <row r="95" spans="4:9" x14ac:dyDescent="0.25">
      <c r="D95"/>
      <c r="E95"/>
      <c r="F95"/>
      <c r="G95"/>
      <c r="H95"/>
      <c r="I95"/>
    </row>
    <row r="96" spans="4:9" x14ac:dyDescent="0.25">
      <c r="D96"/>
      <c r="E96"/>
      <c r="F96"/>
      <c r="G96"/>
      <c r="H96"/>
      <c r="I96"/>
    </row>
    <row r="97" spans="4:9" x14ac:dyDescent="0.25">
      <c r="D97"/>
      <c r="E97"/>
      <c r="F97"/>
      <c r="G97"/>
      <c r="H97"/>
      <c r="I97"/>
    </row>
    <row r="98" spans="4:9" x14ac:dyDescent="0.25">
      <c r="D98"/>
      <c r="E98"/>
      <c r="F98"/>
      <c r="G98"/>
      <c r="H98"/>
      <c r="I98"/>
    </row>
    <row r="99" spans="4:9" x14ac:dyDescent="0.25">
      <c r="D99"/>
      <c r="E99"/>
      <c r="F99"/>
      <c r="G99"/>
      <c r="H99"/>
      <c r="I99"/>
    </row>
    <row r="100" spans="4:9" x14ac:dyDescent="0.25">
      <c r="D100"/>
      <c r="E100"/>
      <c r="F100"/>
      <c r="G100"/>
      <c r="H100"/>
      <c r="I100"/>
    </row>
    <row r="101" spans="4:9" x14ac:dyDescent="0.25">
      <c r="D101"/>
      <c r="E101"/>
      <c r="F101"/>
      <c r="G101"/>
      <c r="H101"/>
      <c r="I101"/>
    </row>
    <row r="102" spans="4:9" x14ac:dyDescent="0.25">
      <c r="D102"/>
      <c r="E102"/>
      <c r="F102"/>
      <c r="G102"/>
      <c r="H102"/>
      <c r="I102"/>
    </row>
    <row r="103" spans="4:9" x14ac:dyDescent="0.25">
      <c r="D103"/>
      <c r="E103"/>
      <c r="F103"/>
      <c r="G103"/>
      <c r="H103"/>
      <c r="I103"/>
    </row>
    <row r="104" spans="4:9" x14ac:dyDescent="0.25">
      <c r="D104"/>
      <c r="E104"/>
      <c r="F104"/>
      <c r="G104"/>
      <c r="H104"/>
      <c r="I104"/>
    </row>
    <row r="105" spans="4:9" x14ac:dyDescent="0.25">
      <c r="D105"/>
      <c r="E105"/>
      <c r="F105"/>
      <c r="G105"/>
      <c r="H105"/>
      <c r="I105"/>
    </row>
    <row r="106" spans="4:9" x14ac:dyDescent="0.25">
      <c r="D106"/>
      <c r="E106"/>
      <c r="F106"/>
      <c r="G106"/>
      <c r="H106"/>
      <c r="I106"/>
    </row>
    <row r="107" spans="4:9" x14ac:dyDescent="0.25">
      <c r="D107"/>
      <c r="E107"/>
      <c r="F107"/>
      <c r="G107"/>
      <c r="H107"/>
      <c r="I107"/>
    </row>
    <row r="108" spans="4:9" x14ac:dyDescent="0.25">
      <c r="D108"/>
      <c r="E108"/>
      <c r="F108"/>
      <c r="G108"/>
      <c r="H108"/>
      <c r="I108"/>
    </row>
    <row r="109" spans="4:9" x14ac:dyDescent="0.25">
      <c r="D109"/>
      <c r="E109"/>
      <c r="F109"/>
      <c r="G109"/>
      <c r="H109"/>
      <c r="I109"/>
    </row>
    <row r="110" spans="4:9" x14ac:dyDescent="0.25">
      <c r="D110"/>
      <c r="E110"/>
      <c r="F110"/>
      <c r="G110"/>
      <c r="H110"/>
      <c r="I110"/>
    </row>
    <row r="111" spans="4:9" x14ac:dyDescent="0.25">
      <c r="D111"/>
      <c r="E111"/>
      <c r="F111"/>
      <c r="G111"/>
      <c r="H111"/>
      <c r="I111"/>
    </row>
    <row r="112" spans="4:9" x14ac:dyDescent="0.25">
      <c r="D112"/>
      <c r="E112"/>
      <c r="F112"/>
      <c r="G112"/>
      <c r="H112"/>
      <c r="I112"/>
    </row>
    <row r="113" spans="4:9" x14ac:dyDescent="0.25">
      <c r="D113"/>
      <c r="E113"/>
      <c r="F113"/>
      <c r="G113"/>
      <c r="H113"/>
      <c r="I113"/>
    </row>
    <row r="114" spans="4:9" x14ac:dyDescent="0.25">
      <c r="D114"/>
      <c r="E114"/>
      <c r="F114"/>
      <c r="G114"/>
      <c r="H114"/>
      <c r="I114"/>
    </row>
    <row r="115" spans="4:9" x14ac:dyDescent="0.25">
      <c r="D115"/>
      <c r="E115"/>
      <c r="F115"/>
      <c r="G115"/>
      <c r="H115"/>
      <c r="I115"/>
    </row>
    <row r="116" spans="4:9" x14ac:dyDescent="0.25">
      <c r="D116"/>
      <c r="E116"/>
      <c r="F116"/>
      <c r="G116"/>
      <c r="H116"/>
      <c r="I116"/>
    </row>
    <row r="117" spans="4:9" x14ac:dyDescent="0.25">
      <c r="D117"/>
      <c r="E117"/>
      <c r="F117"/>
      <c r="G117"/>
      <c r="H117"/>
      <c r="I117"/>
    </row>
    <row r="118" spans="4:9" x14ac:dyDescent="0.25">
      <c r="D118"/>
      <c r="E118"/>
      <c r="F118"/>
      <c r="G118"/>
      <c r="H118"/>
      <c r="I118"/>
    </row>
    <row r="119" spans="4:9" x14ac:dyDescent="0.25">
      <c r="D119"/>
      <c r="E119"/>
      <c r="F119"/>
      <c r="G119"/>
      <c r="H119"/>
      <c r="I119"/>
    </row>
    <row r="120" spans="4:9" x14ac:dyDescent="0.25">
      <c r="D120"/>
      <c r="E120"/>
      <c r="F120"/>
      <c r="G120"/>
      <c r="H120"/>
      <c r="I120"/>
    </row>
    <row r="121" spans="4:9" x14ac:dyDescent="0.25">
      <c r="D121"/>
      <c r="E121"/>
      <c r="F121"/>
      <c r="G121"/>
      <c r="H121"/>
      <c r="I121"/>
    </row>
    <row r="122" spans="4:9" x14ac:dyDescent="0.25">
      <c r="D122"/>
      <c r="E122"/>
      <c r="F122"/>
      <c r="G122"/>
      <c r="H122"/>
      <c r="I122"/>
    </row>
    <row r="123" spans="4:9" x14ac:dyDescent="0.25">
      <c r="D123"/>
      <c r="E123"/>
      <c r="F123"/>
      <c r="G123"/>
      <c r="H123"/>
      <c r="I123"/>
    </row>
    <row r="124" spans="4:9" x14ac:dyDescent="0.25">
      <c r="D124"/>
      <c r="E124"/>
      <c r="F124"/>
      <c r="G124"/>
      <c r="H124"/>
      <c r="I124"/>
    </row>
    <row r="125" spans="4:9" x14ac:dyDescent="0.25">
      <c r="D125"/>
      <c r="E125"/>
      <c r="F125"/>
      <c r="G125"/>
      <c r="H125"/>
      <c r="I125"/>
    </row>
    <row r="126" spans="4:9" x14ac:dyDescent="0.25">
      <c r="D126"/>
      <c r="E126"/>
      <c r="F126"/>
      <c r="G126"/>
      <c r="H126"/>
      <c r="I126"/>
    </row>
    <row r="127" spans="4:9" x14ac:dyDescent="0.25">
      <c r="D127"/>
      <c r="E127"/>
      <c r="F127"/>
      <c r="G127"/>
      <c r="H127"/>
      <c r="I127"/>
    </row>
    <row r="128" spans="4:9" x14ac:dyDescent="0.25">
      <c r="D128"/>
      <c r="E128"/>
      <c r="F128"/>
      <c r="G128"/>
      <c r="H128"/>
      <c r="I128"/>
    </row>
    <row r="129" spans="4:9" x14ac:dyDescent="0.25">
      <c r="D129"/>
      <c r="E129"/>
      <c r="F129"/>
      <c r="G129"/>
      <c r="H129"/>
      <c r="I129"/>
    </row>
    <row r="130" spans="4:9" x14ac:dyDescent="0.25">
      <c r="D130"/>
      <c r="E130"/>
      <c r="F130"/>
      <c r="G130"/>
      <c r="H130"/>
      <c r="I130"/>
    </row>
    <row r="131" spans="4:9" x14ac:dyDescent="0.25">
      <c r="D131"/>
      <c r="E131"/>
      <c r="F131"/>
      <c r="G131"/>
      <c r="H131"/>
      <c r="I131"/>
    </row>
    <row r="132" spans="4:9" x14ac:dyDescent="0.25">
      <c r="D132"/>
      <c r="E132"/>
      <c r="F132"/>
      <c r="G132"/>
      <c r="H132"/>
      <c r="I132"/>
    </row>
    <row r="133" spans="4:9" x14ac:dyDescent="0.25">
      <c r="D133"/>
      <c r="E133"/>
      <c r="F133"/>
      <c r="G133"/>
      <c r="H133"/>
      <c r="I133"/>
    </row>
    <row r="134" spans="4:9" x14ac:dyDescent="0.25">
      <c r="D134"/>
      <c r="E134"/>
      <c r="F134"/>
      <c r="G134"/>
      <c r="H134"/>
      <c r="I134"/>
    </row>
    <row r="135" spans="4:9" x14ac:dyDescent="0.25">
      <c r="D135"/>
      <c r="E135"/>
      <c r="F135"/>
      <c r="G135"/>
      <c r="H135"/>
      <c r="I135"/>
    </row>
    <row r="136" spans="4:9" x14ac:dyDescent="0.25">
      <c r="D136"/>
      <c r="E136"/>
      <c r="F136"/>
      <c r="G136"/>
      <c r="H136"/>
      <c r="I136"/>
    </row>
    <row r="137" spans="4:9" x14ac:dyDescent="0.25">
      <c r="D137"/>
      <c r="E137"/>
      <c r="F137"/>
      <c r="G137"/>
      <c r="H137"/>
      <c r="I137"/>
    </row>
    <row r="138" spans="4:9" x14ac:dyDescent="0.25">
      <c r="D138"/>
      <c r="E138"/>
      <c r="F138"/>
      <c r="G138"/>
      <c r="H138"/>
      <c r="I138"/>
    </row>
    <row r="139" spans="4:9" x14ac:dyDescent="0.25">
      <c r="D139"/>
      <c r="E139"/>
      <c r="F139"/>
      <c r="G139"/>
      <c r="H139"/>
      <c r="I139"/>
    </row>
    <row r="140" spans="4:9" x14ac:dyDescent="0.25">
      <c r="D140"/>
      <c r="E140"/>
      <c r="F140"/>
      <c r="G140"/>
      <c r="H140"/>
      <c r="I140"/>
    </row>
    <row r="141" spans="4:9" x14ac:dyDescent="0.25">
      <c r="D141"/>
      <c r="E141"/>
      <c r="F141"/>
      <c r="G141"/>
      <c r="H141"/>
      <c r="I141"/>
    </row>
    <row r="142" spans="4:9" x14ac:dyDescent="0.25">
      <c r="D142"/>
      <c r="E142"/>
      <c r="F142"/>
      <c r="G142"/>
      <c r="H142"/>
      <c r="I142"/>
    </row>
    <row r="143" spans="4:9" x14ac:dyDescent="0.25">
      <c r="D143"/>
      <c r="E143"/>
      <c r="F143"/>
      <c r="G143"/>
      <c r="H143"/>
      <c r="I143"/>
    </row>
    <row r="144" spans="4:9" x14ac:dyDescent="0.25">
      <c r="D144"/>
      <c r="E144"/>
      <c r="F144"/>
      <c r="G144"/>
      <c r="H144"/>
      <c r="I144"/>
    </row>
    <row r="145" spans="4:9" x14ac:dyDescent="0.25">
      <c r="D145"/>
      <c r="E145"/>
      <c r="F145"/>
      <c r="G145"/>
      <c r="H145"/>
      <c r="I145"/>
    </row>
    <row r="146" spans="4:9" x14ac:dyDescent="0.25">
      <c r="D146"/>
      <c r="E146"/>
      <c r="F146"/>
      <c r="G146"/>
      <c r="H146"/>
      <c r="I146"/>
    </row>
    <row r="147" spans="4:9" x14ac:dyDescent="0.25">
      <c r="D147"/>
      <c r="E147"/>
      <c r="F147"/>
      <c r="G147"/>
      <c r="H147"/>
      <c r="I147"/>
    </row>
    <row r="148" spans="4:9" x14ac:dyDescent="0.25">
      <c r="D148"/>
      <c r="E148"/>
      <c r="F148"/>
      <c r="G148"/>
      <c r="H148"/>
      <c r="I148"/>
    </row>
    <row r="149" spans="4:9" x14ac:dyDescent="0.25">
      <c r="D149"/>
      <c r="E149"/>
      <c r="F149"/>
      <c r="G149"/>
      <c r="H149"/>
      <c r="I149"/>
    </row>
    <row r="150" spans="4:9" x14ac:dyDescent="0.25">
      <c r="D150"/>
      <c r="E150"/>
      <c r="F150"/>
      <c r="G150"/>
      <c r="H150"/>
      <c r="I150"/>
    </row>
    <row r="151" spans="4:9" x14ac:dyDescent="0.25">
      <c r="D151"/>
      <c r="E151"/>
      <c r="F151"/>
      <c r="G151"/>
      <c r="H151"/>
      <c r="I151"/>
    </row>
    <row r="152" spans="4:9" x14ac:dyDescent="0.25">
      <c r="D152"/>
      <c r="E152"/>
      <c r="F152"/>
      <c r="G152"/>
      <c r="H152"/>
      <c r="I152"/>
    </row>
    <row r="153" spans="4:9" x14ac:dyDescent="0.25">
      <c r="D153"/>
      <c r="E153"/>
      <c r="F153"/>
      <c r="G153"/>
      <c r="H153"/>
      <c r="I153"/>
    </row>
    <row r="154" spans="4:9" x14ac:dyDescent="0.25">
      <c r="D154"/>
      <c r="E154"/>
      <c r="F154"/>
      <c r="G154"/>
      <c r="H154"/>
      <c r="I154"/>
    </row>
    <row r="155" spans="4:9" x14ac:dyDescent="0.25">
      <c r="D155"/>
      <c r="E155"/>
      <c r="F155"/>
      <c r="G155"/>
      <c r="H155"/>
      <c r="I155"/>
    </row>
    <row r="156" spans="4:9" x14ac:dyDescent="0.25">
      <c r="D156"/>
      <c r="E156"/>
      <c r="F156"/>
      <c r="G156"/>
      <c r="H156"/>
      <c r="I156"/>
    </row>
    <row r="157" spans="4:9" x14ac:dyDescent="0.25">
      <c r="D157"/>
      <c r="E157"/>
      <c r="F157"/>
      <c r="G157"/>
      <c r="H157"/>
      <c r="I157"/>
    </row>
    <row r="158" spans="4:9" x14ac:dyDescent="0.25">
      <c r="D158"/>
      <c r="E158"/>
      <c r="F158"/>
      <c r="G158"/>
      <c r="H158"/>
      <c r="I158"/>
    </row>
    <row r="159" spans="4:9" x14ac:dyDescent="0.25">
      <c r="D159"/>
      <c r="E159"/>
      <c r="F159"/>
      <c r="G159"/>
      <c r="H159"/>
      <c r="I159"/>
    </row>
    <row r="160" spans="4:9" x14ac:dyDescent="0.25">
      <c r="D160"/>
      <c r="E160"/>
      <c r="F160"/>
      <c r="G160"/>
      <c r="H160"/>
      <c r="I160"/>
    </row>
    <row r="161" spans="4:9" x14ac:dyDescent="0.25">
      <c r="D161"/>
      <c r="E161"/>
      <c r="F161"/>
      <c r="G161"/>
      <c r="H161"/>
      <c r="I161"/>
    </row>
    <row r="162" spans="4:9" x14ac:dyDescent="0.25">
      <c r="D162"/>
      <c r="E162"/>
      <c r="F162"/>
      <c r="G162"/>
      <c r="H162"/>
      <c r="I162"/>
    </row>
    <row r="163" spans="4:9" x14ac:dyDescent="0.25">
      <c r="D163"/>
      <c r="E163"/>
      <c r="F163"/>
      <c r="G163"/>
      <c r="H163"/>
      <c r="I163"/>
    </row>
    <row r="164" spans="4:9" x14ac:dyDescent="0.25">
      <c r="D164"/>
      <c r="E164"/>
      <c r="F164"/>
      <c r="G164"/>
      <c r="H164"/>
      <c r="I164"/>
    </row>
    <row r="165" spans="4:9" x14ac:dyDescent="0.25">
      <c r="D165"/>
      <c r="E165"/>
      <c r="F165"/>
      <c r="G165"/>
      <c r="H165"/>
      <c r="I165"/>
    </row>
    <row r="166" spans="4:9" x14ac:dyDescent="0.25">
      <c r="D166"/>
      <c r="E166"/>
      <c r="F166"/>
      <c r="G166"/>
      <c r="H166"/>
      <c r="I166"/>
    </row>
    <row r="167" spans="4:9" x14ac:dyDescent="0.25">
      <c r="D167"/>
      <c r="E167"/>
      <c r="F167"/>
      <c r="G167"/>
      <c r="H167"/>
      <c r="I167"/>
    </row>
    <row r="168" spans="4:9" x14ac:dyDescent="0.25">
      <c r="D168"/>
      <c r="E168"/>
      <c r="F168"/>
      <c r="G168"/>
      <c r="H168"/>
      <c r="I168"/>
    </row>
    <row r="169" spans="4:9" x14ac:dyDescent="0.25">
      <c r="D169"/>
      <c r="E169"/>
      <c r="F169"/>
      <c r="G169"/>
      <c r="H169"/>
      <c r="I169"/>
    </row>
    <row r="170" spans="4:9" x14ac:dyDescent="0.25">
      <c r="D170"/>
      <c r="E170"/>
      <c r="F170"/>
      <c r="G170"/>
      <c r="H170"/>
      <c r="I170"/>
    </row>
    <row r="171" spans="4:9" x14ac:dyDescent="0.25">
      <c r="D171"/>
      <c r="E171"/>
      <c r="F171"/>
      <c r="G171"/>
      <c r="H171"/>
      <c r="I171"/>
    </row>
    <row r="172" spans="4:9" x14ac:dyDescent="0.25">
      <c r="D172"/>
      <c r="E172"/>
      <c r="F172"/>
      <c r="G172"/>
      <c r="H172"/>
      <c r="I172"/>
    </row>
    <row r="173" spans="4:9" x14ac:dyDescent="0.25">
      <c r="D173"/>
      <c r="E173"/>
      <c r="F173"/>
      <c r="G173"/>
      <c r="H173"/>
      <c r="I173"/>
    </row>
    <row r="174" spans="4:9" x14ac:dyDescent="0.25">
      <c r="D174"/>
      <c r="E174"/>
      <c r="F174"/>
      <c r="G174"/>
      <c r="H174"/>
      <c r="I174"/>
    </row>
    <row r="175" spans="4:9" x14ac:dyDescent="0.25">
      <c r="D175"/>
      <c r="E175"/>
      <c r="F175"/>
      <c r="G175"/>
      <c r="H175"/>
      <c r="I175"/>
    </row>
    <row r="176" spans="4:9" x14ac:dyDescent="0.25">
      <c r="D176"/>
      <c r="E176"/>
      <c r="F176"/>
      <c r="G176"/>
      <c r="H176"/>
      <c r="I176"/>
    </row>
    <row r="177" spans="4:9" x14ac:dyDescent="0.25">
      <c r="D177"/>
      <c r="E177"/>
      <c r="F177"/>
      <c r="G177"/>
      <c r="H177"/>
      <c r="I177"/>
    </row>
    <row r="178" spans="4:9" x14ac:dyDescent="0.25">
      <c r="D178"/>
      <c r="E178"/>
      <c r="F178"/>
      <c r="G178"/>
      <c r="H178"/>
      <c r="I178"/>
    </row>
    <row r="179" spans="4:9" x14ac:dyDescent="0.25">
      <c r="D179"/>
      <c r="E179"/>
      <c r="F179"/>
      <c r="G179"/>
      <c r="H179"/>
      <c r="I179"/>
    </row>
    <row r="180" spans="4:9" x14ac:dyDescent="0.25">
      <c r="D180"/>
      <c r="E180"/>
      <c r="F180"/>
      <c r="G180"/>
      <c r="H180"/>
      <c r="I180"/>
    </row>
    <row r="181" spans="4:9" x14ac:dyDescent="0.25">
      <c r="D181"/>
      <c r="E181"/>
      <c r="F181"/>
      <c r="G181"/>
      <c r="H181"/>
      <c r="I181"/>
    </row>
    <row r="182" spans="4:9" x14ac:dyDescent="0.25">
      <c r="D182"/>
      <c r="E182"/>
      <c r="F182"/>
      <c r="G182"/>
      <c r="H182"/>
      <c r="I182"/>
    </row>
    <row r="183" spans="4:9" x14ac:dyDescent="0.25">
      <c r="D183"/>
      <c r="E183"/>
      <c r="F183"/>
      <c r="G183"/>
      <c r="H183"/>
      <c r="I183"/>
    </row>
    <row r="184" spans="4:9" x14ac:dyDescent="0.25">
      <c r="D184"/>
      <c r="E184"/>
      <c r="F184"/>
      <c r="G184"/>
      <c r="H184"/>
      <c r="I184"/>
    </row>
    <row r="185" spans="4:9" x14ac:dyDescent="0.25">
      <c r="D185"/>
      <c r="E185"/>
      <c r="F185"/>
      <c r="G185"/>
      <c r="H185"/>
      <c r="I185"/>
    </row>
    <row r="186" spans="4:9" x14ac:dyDescent="0.25">
      <c r="D186"/>
      <c r="E186"/>
      <c r="F186"/>
      <c r="G186"/>
      <c r="H186"/>
      <c r="I186"/>
    </row>
    <row r="187" spans="4:9" x14ac:dyDescent="0.25">
      <c r="D187"/>
      <c r="E187"/>
      <c r="F187"/>
      <c r="G187"/>
      <c r="H187"/>
      <c r="I187"/>
    </row>
    <row r="188" spans="4:9" x14ac:dyDescent="0.25">
      <c r="D188"/>
      <c r="E188"/>
      <c r="F188"/>
      <c r="G188"/>
      <c r="H188"/>
      <c r="I188"/>
    </row>
    <row r="189" spans="4:9" x14ac:dyDescent="0.25">
      <c r="D189"/>
      <c r="E189"/>
      <c r="F189"/>
      <c r="G189"/>
      <c r="H189"/>
      <c r="I189"/>
    </row>
    <row r="190" spans="4:9" x14ac:dyDescent="0.25">
      <c r="D190"/>
      <c r="E190"/>
      <c r="F190"/>
      <c r="G190"/>
      <c r="H190"/>
      <c r="I190"/>
    </row>
    <row r="191" spans="4:9" x14ac:dyDescent="0.25">
      <c r="D191"/>
      <c r="E191"/>
      <c r="F191"/>
      <c r="G191"/>
      <c r="H191"/>
      <c r="I191"/>
    </row>
    <row r="192" spans="4:9" x14ac:dyDescent="0.25">
      <c r="D192"/>
      <c r="E192"/>
      <c r="F192"/>
      <c r="G192"/>
      <c r="H192"/>
      <c r="I192"/>
    </row>
    <row r="193" spans="4:9" x14ac:dyDescent="0.25">
      <c r="D193"/>
      <c r="E193"/>
      <c r="F193"/>
      <c r="G193"/>
      <c r="H193"/>
      <c r="I193"/>
    </row>
    <row r="194" spans="4:9" x14ac:dyDescent="0.25">
      <c r="D194"/>
      <c r="E194"/>
      <c r="F194"/>
      <c r="G194"/>
      <c r="H194"/>
      <c r="I194"/>
    </row>
    <row r="195" spans="4:9" x14ac:dyDescent="0.25">
      <c r="D195"/>
      <c r="E195"/>
      <c r="F195"/>
      <c r="G195"/>
      <c r="H195"/>
      <c r="I195"/>
    </row>
    <row r="196" spans="4:9" x14ac:dyDescent="0.25">
      <c r="D196"/>
      <c r="E196"/>
      <c r="F196"/>
      <c r="G196"/>
      <c r="H196"/>
      <c r="I196"/>
    </row>
    <row r="197" spans="4:9" x14ac:dyDescent="0.25">
      <c r="D197"/>
      <c r="E197"/>
      <c r="F197"/>
      <c r="G197"/>
      <c r="H197"/>
      <c r="I197"/>
    </row>
    <row r="198" spans="4:9" x14ac:dyDescent="0.25">
      <c r="D198"/>
      <c r="E198"/>
      <c r="F198"/>
      <c r="G198"/>
      <c r="H198"/>
      <c r="I198"/>
    </row>
    <row r="199" spans="4:9" x14ac:dyDescent="0.25">
      <c r="D199"/>
      <c r="E199"/>
      <c r="F199"/>
      <c r="G199"/>
      <c r="H199"/>
      <c r="I199"/>
    </row>
    <row r="200" spans="4:9" x14ac:dyDescent="0.25">
      <c r="D200"/>
      <c r="E200"/>
      <c r="F200"/>
      <c r="G200"/>
      <c r="H200"/>
      <c r="I200"/>
    </row>
    <row r="201" spans="4:9" x14ac:dyDescent="0.25">
      <c r="D201"/>
      <c r="E201"/>
      <c r="F201"/>
      <c r="G201"/>
      <c r="H201"/>
      <c r="I201"/>
    </row>
    <row r="202" spans="4:9" x14ac:dyDescent="0.25">
      <c r="D202"/>
      <c r="E202"/>
      <c r="F202"/>
      <c r="G202"/>
      <c r="H202"/>
      <c r="I202"/>
    </row>
    <row r="203" spans="4:9" x14ac:dyDescent="0.25">
      <c r="D203"/>
      <c r="E203"/>
      <c r="F203"/>
      <c r="G203"/>
      <c r="H203"/>
      <c r="I203"/>
    </row>
    <row r="204" spans="4:9" x14ac:dyDescent="0.25">
      <c r="D204"/>
      <c r="E204"/>
      <c r="F204"/>
      <c r="G204"/>
      <c r="H204"/>
      <c r="I204"/>
    </row>
    <row r="205" spans="4:9" x14ac:dyDescent="0.25">
      <c r="D205"/>
      <c r="E205"/>
      <c r="F205"/>
      <c r="G205"/>
      <c r="H205"/>
      <c r="I205"/>
    </row>
    <row r="206" spans="4:9" x14ac:dyDescent="0.25">
      <c r="D206"/>
      <c r="E206"/>
      <c r="F206"/>
      <c r="G206"/>
      <c r="H206"/>
      <c r="I206"/>
    </row>
    <row r="207" spans="4:9" x14ac:dyDescent="0.25">
      <c r="D207"/>
      <c r="E207"/>
      <c r="F207"/>
      <c r="G207"/>
      <c r="H207"/>
      <c r="I207"/>
    </row>
    <row r="208" spans="4:9" x14ac:dyDescent="0.25">
      <c r="D208"/>
      <c r="E208"/>
      <c r="F208"/>
      <c r="G208"/>
      <c r="H208"/>
      <c r="I208"/>
    </row>
    <row r="209" spans="4:9" x14ac:dyDescent="0.25">
      <c r="D209"/>
      <c r="E209"/>
      <c r="F209"/>
      <c r="G209"/>
      <c r="H209"/>
      <c r="I209"/>
    </row>
    <row r="210" spans="4:9" x14ac:dyDescent="0.25">
      <c r="D210"/>
      <c r="E210"/>
      <c r="F210"/>
      <c r="G210"/>
      <c r="H210"/>
      <c r="I210"/>
    </row>
    <row r="211" spans="4:9" x14ac:dyDescent="0.25">
      <c r="D211"/>
      <c r="E211"/>
      <c r="F211"/>
      <c r="G211"/>
      <c r="H211"/>
      <c r="I211"/>
    </row>
    <row r="212" spans="4:9" x14ac:dyDescent="0.25">
      <c r="D212"/>
      <c r="E212"/>
      <c r="F212"/>
      <c r="G212"/>
      <c r="H212"/>
      <c r="I212"/>
    </row>
    <row r="213" spans="4:9" x14ac:dyDescent="0.25">
      <c r="D213"/>
      <c r="E213"/>
      <c r="F213"/>
      <c r="G213"/>
      <c r="H213"/>
      <c r="I213"/>
    </row>
    <row r="214" spans="4:9" x14ac:dyDescent="0.25">
      <c r="D214"/>
      <c r="E214"/>
      <c r="F214"/>
      <c r="G214"/>
      <c r="H214"/>
      <c r="I214"/>
    </row>
    <row r="215" spans="4:9" x14ac:dyDescent="0.25">
      <c r="D215"/>
      <c r="E215"/>
      <c r="F215"/>
      <c r="G215"/>
      <c r="H215"/>
      <c r="I215"/>
    </row>
    <row r="216" spans="4:9" x14ac:dyDescent="0.25">
      <c r="D216"/>
      <c r="E216"/>
      <c r="F216"/>
      <c r="G216"/>
      <c r="H216"/>
      <c r="I216"/>
    </row>
    <row r="217" spans="4:9" x14ac:dyDescent="0.25">
      <c r="D217"/>
      <c r="E217"/>
      <c r="F217"/>
      <c r="G217"/>
      <c r="H217"/>
      <c r="I217"/>
    </row>
    <row r="218" spans="4:9" x14ac:dyDescent="0.25">
      <c r="D218"/>
      <c r="E218"/>
      <c r="F218"/>
      <c r="G218"/>
      <c r="H218"/>
      <c r="I218"/>
    </row>
    <row r="219" spans="4:9" x14ac:dyDescent="0.25">
      <c r="D219"/>
      <c r="E219"/>
      <c r="F219"/>
      <c r="G219"/>
      <c r="H219"/>
      <c r="I219"/>
    </row>
    <row r="220" spans="4:9" x14ac:dyDescent="0.25">
      <c r="D220"/>
      <c r="E220"/>
      <c r="F220"/>
      <c r="G220"/>
      <c r="H220"/>
      <c r="I220"/>
    </row>
    <row r="221" spans="4:9" x14ac:dyDescent="0.25">
      <c r="D221"/>
      <c r="E221"/>
      <c r="F221"/>
      <c r="G221"/>
      <c r="H221"/>
      <c r="I221"/>
    </row>
    <row r="222" spans="4:9" x14ac:dyDescent="0.25">
      <c r="D222"/>
      <c r="E222"/>
      <c r="F222"/>
      <c r="G222"/>
      <c r="H222"/>
      <c r="I222"/>
    </row>
    <row r="223" spans="4:9" x14ac:dyDescent="0.25">
      <c r="D223"/>
      <c r="E223"/>
      <c r="F223"/>
      <c r="G223"/>
      <c r="H223"/>
      <c r="I223"/>
    </row>
    <row r="224" spans="4:9" x14ac:dyDescent="0.25">
      <c r="D224"/>
      <c r="E224"/>
      <c r="F224"/>
      <c r="G224"/>
      <c r="H224"/>
      <c r="I224"/>
    </row>
    <row r="225" spans="4:9" x14ac:dyDescent="0.25">
      <c r="D225"/>
      <c r="E225"/>
      <c r="F225"/>
      <c r="G225"/>
      <c r="H225"/>
      <c r="I225"/>
    </row>
    <row r="226" spans="4:9" x14ac:dyDescent="0.25">
      <c r="D226"/>
      <c r="E226"/>
      <c r="F226"/>
      <c r="G226"/>
      <c r="H226"/>
      <c r="I226"/>
    </row>
    <row r="227" spans="4:9" x14ac:dyDescent="0.25">
      <c r="D227"/>
      <c r="E227"/>
      <c r="F227"/>
      <c r="G227"/>
      <c r="H227"/>
      <c r="I227"/>
    </row>
    <row r="228" spans="4:9" x14ac:dyDescent="0.25">
      <c r="D228"/>
      <c r="E228"/>
      <c r="F228"/>
      <c r="G228"/>
      <c r="H228"/>
      <c r="I228"/>
    </row>
    <row r="229" spans="4:9" x14ac:dyDescent="0.25">
      <c r="D229"/>
      <c r="E229"/>
      <c r="F229"/>
      <c r="G229"/>
      <c r="H229"/>
      <c r="I229"/>
    </row>
    <row r="230" spans="4:9" x14ac:dyDescent="0.25">
      <c r="D230"/>
      <c r="E230"/>
      <c r="F230"/>
      <c r="G230"/>
      <c r="H230"/>
      <c r="I230"/>
    </row>
    <row r="231" spans="4:9" x14ac:dyDescent="0.25">
      <c r="D231"/>
      <c r="E231"/>
      <c r="F231"/>
      <c r="G231"/>
      <c r="H231"/>
      <c r="I231"/>
    </row>
    <row r="232" spans="4:9" x14ac:dyDescent="0.25">
      <c r="D232"/>
      <c r="E232"/>
      <c r="F232"/>
      <c r="G232"/>
      <c r="H232"/>
      <c r="I232"/>
    </row>
    <row r="233" spans="4:9" x14ac:dyDescent="0.25">
      <c r="D233"/>
      <c r="E233"/>
      <c r="F233"/>
      <c r="G233"/>
      <c r="H233"/>
      <c r="I233"/>
    </row>
    <row r="234" spans="4:9" x14ac:dyDescent="0.25">
      <c r="D234"/>
      <c r="E234"/>
      <c r="F234"/>
      <c r="G234"/>
      <c r="H234"/>
      <c r="I234"/>
    </row>
    <row r="235" spans="4:9" x14ac:dyDescent="0.25">
      <c r="D235"/>
      <c r="E235"/>
      <c r="F235"/>
      <c r="G235"/>
      <c r="H235"/>
      <c r="I235"/>
    </row>
    <row r="236" spans="4:9" x14ac:dyDescent="0.25">
      <c r="D236"/>
      <c r="E236"/>
      <c r="F236"/>
      <c r="G236"/>
      <c r="H236"/>
      <c r="I236"/>
    </row>
    <row r="237" spans="4:9" x14ac:dyDescent="0.25">
      <c r="D237"/>
      <c r="E237"/>
      <c r="F237"/>
      <c r="G237"/>
      <c r="H237"/>
      <c r="I237"/>
    </row>
    <row r="238" spans="4:9" x14ac:dyDescent="0.25">
      <c r="D238"/>
      <c r="E238"/>
      <c r="F238"/>
      <c r="G238"/>
      <c r="H238"/>
      <c r="I238"/>
    </row>
    <row r="239" spans="4:9" x14ac:dyDescent="0.25">
      <c r="D239"/>
      <c r="E239"/>
      <c r="F239"/>
      <c r="G239"/>
      <c r="H239"/>
      <c r="I239"/>
    </row>
    <row r="240" spans="4:9" x14ac:dyDescent="0.25">
      <c r="D240"/>
      <c r="E240"/>
      <c r="F240"/>
      <c r="G240"/>
      <c r="H240"/>
      <c r="I240"/>
    </row>
    <row r="241" spans="4:9" x14ac:dyDescent="0.25">
      <c r="D241"/>
      <c r="E241"/>
      <c r="F241"/>
      <c r="G241"/>
      <c r="H241"/>
      <c r="I241"/>
    </row>
    <row r="242" spans="4:9" x14ac:dyDescent="0.25">
      <c r="D242"/>
      <c r="E242"/>
      <c r="F242"/>
      <c r="G242"/>
      <c r="H242"/>
      <c r="I242"/>
    </row>
    <row r="243" spans="4:9" x14ac:dyDescent="0.25">
      <c r="D243"/>
      <c r="E243"/>
      <c r="F243"/>
      <c r="G243"/>
      <c r="H243"/>
      <c r="I243"/>
    </row>
    <row r="244" spans="4:9" x14ac:dyDescent="0.25">
      <c r="D244"/>
      <c r="E244"/>
      <c r="F244"/>
      <c r="G244"/>
      <c r="H244"/>
      <c r="I244"/>
    </row>
    <row r="245" spans="4:9" x14ac:dyDescent="0.25">
      <c r="D245"/>
      <c r="E245"/>
      <c r="F245"/>
      <c r="G245"/>
      <c r="H245"/>
      <c r="I245"/>
    </row>
    <row r="246" spans="4:9" x14ac:dyDescent="0.25">
      <c r="D246"/>
      <c r="E246"/>
      <c r="F246"/>
      <c r="G246"/>
      <c r="H246"/>
      <c r="I246"/>
    </row>
    <row r="247" spans="4:9" x14ac:dyDescent="0.25">
      <c r="D247"/>
      <c r="E247"/>
      <c r="F247"/>
      <c r="G247"/>
      <c r="H247"/>
      <c r="I247"/>
    </row>
    <row r="248" spans="4:9" x14ac:dyDescent="0.25">
      <c r="D248"/>
      <c r="E248"/>
      <c r="F248"/>
      <c r="G248"/>
      <c r="H248"/>
      <c r="I248"/>
    </row>
    <row r="249" spans="4:9" x14ac:dyDescent="0.25">
      <c r="D249"/>
      <c r="E249"/>
      <c r="F249"/>
      <c r="G249"/>
      <c r="H249"/>
      <c r="I249"/>
    </row>
    <row r="250" spans="4:9" x14ac:dyDescent="0.25">
      <c r="D250"/>
      <c r="E250"/>
      <c r="F250"/>
      <c r="G250"/>
      <c r="H250"/>
      <c r="I250"/>
    </row>
    <row r="251" spans="4:9" x14ac:dyDescent="0.25">
      <c r="D251"/>
      <c r="E251"/>
      <c r="F251"/>
      <c r="G251"/>
      <c r="H251"/>
      <c r="I251"/>
    </row>
    <row r="252" spans="4:9" x14ac:dyDescent="0.25">
      <c r="D252"/>
      <c r="E252"/>
      <c r="F252"/>
      <c r="G252"/>
      <c r="H252"/>
      <c r="I252"/>
    </row>
    <row r="253" spans="4:9" x14ac:dyDescent="0.25">
      <c r="D253"/>
      <c r="E253"/>
      <c r="F253"/>
      <c r="G253"/>
      <c r="H253"/>
      <c r="I253"/>
    </row>
    <row r="254" spans="4:9" x14ac:dyDescent="0.25">
      <c r="D254"/>
      <c r="E254"/>
      <c r="F254"/>
      <c r="G254"/>
      <c r="H254"/>
      <c r="I254"/>
    </row>
    <row r="255" spans="4:9" x14ac:dyDescent="0.25">
      <c r="D255"/>
      <c r="E255"/>
      <c r="F255"/>
      <c r="G255"/>
      <c r="H255"/>
      <c r="I255"/>
    </row>
    <row r="256" spans="4:9" x14ac:dyDescent="0.25">
      <c r="D256"/>
      <c r="E256"/>
      <c r="F256"/>
      <c r="G256"/>
      <c r="H256"/>
      <c r="I256"/>
    </row>
    <row r="257" spans="4:9" x14ac:dyDescent="0.25">
      <c r="D257"/>
      <c r="E257"/>
      <c r="F257"/>
      <c r="G257"/>
      <c r="H257"/>
      <c r="I257"/>
    </row>
    <row r="258" spans="4:9" x14ac:dyDescent="0.25">
      <c r="D258"/>
      <c r="E258"/>
      <c r="F258"/>
      <c r="G258"/>
      <c r="H258"/>
      <c r="I258"/>
    </row>
    <row r="259" spans="4:9" x14ac:dyDescent="0.25">
      <c r="D259"/>
      <c r="E259"/>
      <c r="F259"/>
      <c r="G259"/>
      <c r="H259"/>
      <c r="I259"/>
    </row>
    <row r="260" spans="4:9" x14ac:dyDescent="0.25">
      <c r="D260"/>
      <c r="E260"/>
      <c r="F260"/>
      <c r="G260"/>
      <c r="H260"/>
      <c r="I260"/>
    </row>
    <row r="261" spans="4:9" x14ac:dyDescent="0.25">
      <c r="D261"/>
      <c r="E261"/>
      <c r="F261"/>
      <c r="G261"/>
      <c r="H261"/>
      <c r="I261"/>
    </row>
    <row r="262" spans="4:9" x14ac:dyDescent="0.25">
      <c r="D262"/>
      <c r="E262"/>
      <c r="F262"/>
      <c r="G262"/>
      <c r="H262"/>
      <c r="I262"/>
    </row>
    <row r="263" spans="4:9" x14ac:dyDescent="0.25">
      <c r="D263"/>
      <c r="E263"/>
      <c r="F263"/>
      <c r="G263"/>
      <c r="H263"/>
      <c r="I263"/>
    </row>
    <row r="264" spans="4:9" x14ac:dyDescent="0.25">
      <c r="D264"/>
      <c r="E264"/>
      <c r="F264"/>
      <c r="G264"/>
      <c r="H264"/>
      <c r="I264"/>
    </row>
    <row r="265" spans="4:9" x14ac:dyDescent="0.25">
      <c r="D265"/>
      <c r="E265"/>
      <c r="F265"/>
      <c r="G265"/>
      <c r="H265"/>
      <c r="I265"/>
    </row>
    <row r="266" spans="4:9" x14ac:dyDescent="0.25">
      <c r="D266"/>
      <c r="E266"/>
      <c r="F266"/>
      <c r="G266"/>
      <c r="H266"/>
      <c r="I266"/>
    </row>
    <row r="267" spans="4:9" x14ac:dyDescent="0.25">
      <c r="D267"/>
      <c r="E267"/>
      <c r="F267"/>
      <c r="G267"/>
      <c r="H267"/>
      <c r="I267"/>
    </row>
    <row r="268" spans="4:9" x14ac:dyDescent="0.25">
      <c r="D268"/>
      <c r="E268"/>
      <c r="F268"/>
      <c r="G268"/>
      <c r="H268"/>
      <c r="I268"/>
    </row>
    <row r="269" spans="4:9" x14ac:dyDescent="0.25">
      <c r="D269"/>
      <c r="E269"/>
      <c r="F269"/>
      <c r="G269"/>
      <c r="H269"/>
      <c r="I269"/>
    </row>
    <row r="270" spans="4:9" x14ac:dyDescent="0.25">
      <c r="D270"/>
      <c r="E270"/>
      <c r="F270"/>
      <c r="G270"/>
      <c r="H270"/>
      <c r="I270"/>
    </row>
    <row r="271" spans="4:9" x14ac:dyDescent="0.25">
      <c r="D271"/>
      <c r="E271"/>
      <c r="F271"/>
      <c r="G271"/>
      <c r="H271"/>
      <c r="I271"/>
    </row>
    <row r="272" spans="4:9" x14ac:dyDescent="0.25">
      <c r="D272"/>
      <c r="E272"/>
      <c r="F272"/>
      <c r="G272"/>
      <c r="H272"/>
      <c r="I272"/>
    </row>
    <row r="273" spans="4:9" x14ac:dyDescent="0.25">
      <c r="D273"/>
      <c r="E273"/>
      <c r="F273"/>
      <c r="G273"/>
      <c r="H273"/>
      <c r="I273"/>
    </row>
    <row r="274" spans="4:9" x14ac:dyDescent="0.25">
      <c r="D274"/>
      <c r="E274"/>
      <c r="F274"/>
      <c r="G274"/>
      <c r="H274"/>
      <c r="I274"/>
    </row>
    <row r="275" spans="4:9" x14ac:dyDescent="0.25">
      <c r="D275"/>
      <c r="E275"/>
      <c r="F275"/>
      <c r="G275"/>
      <c r="H275"/>
      <c r="I275"/>
    </row>
    <row r="276" spans="4:9" x14ac:dyDescent="0.25">
      <c r="D276"/>
      <c r="E276"/>
      <c r="F276"/>
      <c r="G276"/>
      <c r="H276"/>
      <c r="I276"/>
    </row>
    <row r="277" spans="4:9" x14ac:dyDescent="0.25">
      <c r="D277"/>
      <c r="E277"/>
      <c r="F277"/>
      <c r="G277"/>
      <c r="H277"/>
      <c r="I277"/>
    </row>
    <row r="278" spans="4:9" x14ac:dyDescent="0.25">
      <c r="D278"/>
      <c r="E278"/>
      <c r="F278"/>
      <c r="G278"/>
      <c r="H278"/>
      <c r="I278"/>
    </row>
    <row r="279" spans="4:9" x14ac:dyDescent="0.25">
      <c r="D279"/>
      <c r="E279"/>
      <c r="F279"/>
      <c r="G279"/>
      <c r="H279"/>
      <c r="I279"/>
    </row>
    <row r="280" spans="4:9" x14ac:dyDescent="0.25">
      <c r="D280"/>
      <c r="E280"/>
      <c r="F280"/>
      <c r="G280"/>
      <c r="H280"/>
      <c r="I280"/>
    </row>
    <row r="281" spans="4:9" x14ac:dyDescent="0.25">
      <c r="D281"/>
      <c r="E281"/>
      <c r="F281"/>
      <c r="G281"/>
      <c r="H281"/>
      <c r="I281"/>
    </row>
    <row r="282" spans="4:9" x14ac:dyDescent="0.25">
      <c r="D282"/>
      <c r="E282"/>
      <c r="F282"/>
      <c r="G282"/>
      <c r="H282"/>
      <c r="I282"/>
    </row>
    <row r="283" spans="4:9" x14ac:dyDescent="0.25">
      <c r="D283"/>
      <c r="E283"/>
      <c r="F283"/>
      <c r="G283"/>
      <c r="H283"/>
      <c r="I283"/>
    </row>
    <row r="284" spans="4:9" x14ac:dyDescent="0.25">
      <c r="D284"/>
      <c r="E284"/>
      <c r="F284"/>
      <c r="G284"/>
      <c r="H284"/>
      <c r="I284"/>
    </row>
    <row r="285" spans="4:9" x14ac:dyDescent="0.25">
      <c r="D285"/>
      <c r="E285"/>
      <c r="F285"/>
      <c r="G285"/>
      <c r="H285"/>
      <c r="I285"/>
    </row>
    <row r="286" spans="4:9" x14ac:dyDescent="0.25">
      <c r="D286"/>
      <c r="E286"/>
      <c r="F286"/>
      <c r="G286"/>
      <c r="H286"/>
      <c r="I286"/>
    </row>
    <row r="287" spans="4:9" x14ac:dyDescent="0.25">
      <c r="D287"/>
      <c r="E287"/>
      <c r="F287"/>
      <c r="G287"/>
      <c r="H287"/>
      <c r="I287"/>
    </row>
    <row r="288" spans="4:9" x14ac:dyDescent="0.25">
      <c r="D288"/>
      <c r="E288"/>
      <c r="F288"/>
      <c r="G288"/>
      <c r="H288"/>
      <c r="I288"/>
    </row>
    <row r="289" spans="4:9" x14ac:dyDescent="0.25">
      <c r="D289"/>
      <c r="E289"/>
      <c r="F289"/>
      <c r="G289"/>
      <c r="H289"/>
      <c r="I289"/>
    </row>
    <row r="290" spans="4:9" x14ac:dyDescent="0.25">
      <c r="D290"/>
      <c r="E290"/>
      <c r="F290"/>
      <c r="G290"/>
      <c r="H290"/>
      <c r="I290"/>
    </row>
    <row r="291" spans="4:9" x14ac:dyDescent="0.25">
      <c r="D291"/>
      <c r="E291"/>
      <c r="F291"/>
      <c r="G291"/>
      <c r="H291"/>
      <c r="I291"/>
    </row>
    <row r="292" spans="4:9" x14ac:dyDescent="0.25">
      <c r="D292"/>
      <c r="E292"/>
      <c r="F292"/>
      <c r="G292"/>
      <c r="H292"/>
      <c r="I292"/>
    </row>
    <row r="293" spans="4:9" x14ac:dyDescent="0.25">
      <c r="D293"/>
      <c r="E293"/>
      <c r="F293"/>
      <c r="G293"/>
      <c r="H293"/>
      <c r="I293"/>
    </row>
    <row r="294" spans="4:9" x14ac:dyDescent="0.25">
      <c r="D294"/>
      <c r="E294"/>
      <c r="F294"/>
      <c r="G294"/>
      <c r="H294"/>
      <c r="I294"/>
    </row>
    <row r="295" spans="4:9" x14ac:dyDescent="0.25">
      <c r="D295"/>
      <c r="E295"/>
      <c r="F295"/>
      <c r="G295"/>
      <c r="H295"/>
      <c r="I295"/>
    </row>
    <row r="296" spans="4:9" x14ac:dyDescent="0.25">
      <c r="D296"/>
      <c r="E296"/>
      <c r="F296"/>
      <c r="G296"/>
      <c r="H296"/>
      <c r="I296"/>
    </row>
    <row r="297" spans="4:9" x14ac:dyDescent="0.25">
      <c r="D297"/>
      <c r="E297"/>
      <c r="F297"/>
      <c r="G297"/>
      <c r="H297"/>
      <c r="I297"/>
    </row>
    <row r="298" spans="4:9" x14ac:dyDescent="0.25">
      <c r="D298"/>
      <c r="E298"/>
      <c r="F298"/>
      <c r="G298"/>
      <c r="H298"/>
      <c r="I298"/>
    </row>
    <row r="299" spans="4:9" x14ac:dyDescent="0.25">
      <c r="D299"/>
      <c r="E299"/>
      <c r="F299"/>
      <c r="G299"/>
      <c r="H299"/>
      <c r="I299"/>
    </row>
    <row r="300" spans="4:9" x14ac:dyDescent="0.25">
      <c r="D300"/>
      <c r="E300"/>
      <c r="F300"/>
      <c r="G300"/>
      <c r="H300"/>
      <c r="I300"/>
    </row>
    <row r="301" spans="4:9" x14ac:dyDescent="0.25">
      <c r="D301"/>
      <c r="E301"/>
      <c r="F301"/>
      <c r="G301"/>
      <c r="H301"/>
      <c r="I301"/>
    </row>
    <row r="302" spans="4:9" x14ac:dyDescent="0.25">
      <c r="D302"/>
      <c r="E302"/>
      <c r="F302"/>
      <c r="G302"/>
      <c r="H302"/>
      <c r="I302"/>
    </row>
    <row r="303" spans="4:9" x14ac:dyDescent="0.25">
      <c r="D303"/>
      <c r="E303"/>
      <c r="F303"/>
      <c r="G303"/>
      <c r="H303"/>
      <c r="I303"/>
    </row>
    <row r="304" spans="4:9" x14ac:dyDescent="0.25">
      <c r="D304"/>
      <c r="E304"/>
      <c r="F304"/>
      <c r="G304"/>
      <c r="H304"/>
      <c r="I304"/>
    </row>
    <row r="305" spans="4:9" x14ac:dyDescent="0.25">
      <c r="D305"/>
      <c r="E305"/>
      <c r="F305"/>
      <c r="G305"/>
      <c r="H305"/>
      <c r="I305"/>
    </row>
    <row r="306" spans="4:9" x14ac:dyDescent="0.25">
      <c r="D306"/>
      <c r="E306"/>
      <c r="F306"/>
      <c r="G306"/>
      <c r="H306"/>
      <c r="I306"/>
    </row>
    <row r="307" spans="4:9" x14ac:dyDescent="0.25">
      <c r="D307"/>
      <c r="E307"/>
      <c r="F307"/>
      <c r="G307"/>
      <c r="H307"/>
      <c r="I307"/>
    </row>
    <row r="308" spans="4:9" x14ac:dyDescent="0.25">
      <c r="D308"/>
      <c r="E308"/>
      <c r="F308"/>
      <c r="G308"/>
      <c r="H308"/>
      <c r="I308"/>
    </row>
    <row r="309" spans="4:9" x14ac:dyDescent="0.25">
      <c r="D309"/>
      <c r="E309"/>
      <c r="F309"/>
      <c r="G309"/>
      <c r="H309"/>
      <c r="I309"/>
    </row>
    <row r="310" spans="4:9" x14ac:dyDescent="0.25">
      <c r="D310"/>
      <c r="E310"/>
      <c r="F310"/>
      <c r="G310"/>
      <c r="H310"/>
      <c r="I310"/>
    </row>
    <row r="311" spans="4:9" x14ac:dyDescent="0.25">
      <c r="D311"/>
      <c r="E311"/>
      <c r="F311"/>
      <c r="G311"/>
      <c r="H311"/>
      <c r="I311"/>
    </row>
    <row r="312" spans="4:9" x14ac:dyDescent="0.25">
      <c r="D312"/>
      <c r="E312"/>
      <c r="F312"/>
      <c r="G312"/>
      <c r="H312"/>
      <c r="I312"/>
    </row>
    <row r="313" spans="4:9" x14ac:dyDescent="0.25">
      <c r="D313"/>
      <c r="E313"/>
      <c r="F313"/>
      <c r="G313"/>
      <c r="H313"/>
      <c r="I313"/>
    </row>
    <row r="314" spans="4:9" x14ac:dyDescent="0.25">
      <c r="D314"/>
      <c r="E314"/>
      <c r="F314"/>
      <c r="G314"/>
      <c r="H314"/>
      <c r="I314"/>
    </row>
    <row r="315" spans="4:9" x14ac:dyDescent="0.25">
      <c r="D315"/>
      <c r="E315"/>
      <c r="F315"/>
      <c r="G315"/>
      <c r="H315"/>
      <c r="I315"/>
    </row>
    <row r="316" spans="4:9" x14ac:dyDescent="0.25">
      <c r="D316"/>
      <c r="E316"/>
      <c r="F316"/>
      <c r="G316"/>
      <c r="H316"/>
      <c r="I316"/>
    </row>
    <row r="317" spans="4:9" x14ac:dyDescent="0.25">
      <c r="D317"/>
      <c r="E317"/>
      <c r="F317"/>
      <c r="G317"/>
      <c r="H317"/>
      <c r="I317"/>
    </row>
    <row r="318" spans="4:9" x14ac:dyDescent="0.25">
      <c r="D318"/>
      <c r="E318"/>
      <c r="F318"/>
      <c r="G318"/>
      <c r="H318"/>
      <c r="I318"/>
    </row>
    <row r="319" spans="4:9" x14ac:dyDescent="0.25">
      <c r="D319"/>
      <c r="E319"/>
      <c r="F319"/>
      <c r="G319"/>
      <c r="H319"/>
      <c r="I319"/>
    </row>
    <row r="320" spans="4:9" x14ac:dyDescent="0.25">
      <c r="D320"/>
      <c r="E320"/>
      <c r="F320"/>
      <c r="G320"/>
      <c r="H320"/>
      <c r="I320"/>
    </row>
    <row r="321" spans="4:9" x14ac:dyDescent="0.25">
      <c r="D321"/>
      <c r="E321"/>
      <c r="F321"/>
      <c r="G321"/>
      <c r="H321"/>
      <c r="I321"/>
    </row>
    <row r="322" spans="4:9" x14ac:dyDescent="0.25">
      <c r="D322"/>
      <c r="E322"/>
      <c r="F322"/>
      <c r="G322"/>
      <c r="H322"/>
      <c r="I322"/>
    </row>
    <row r="323" spans="4:9" x14ac:dyDescent="0.25">
      <c r="D323"/>
      <c r="E323"/>
      <c r="F323"/>
      <c r="G323"/>
      <c r="H323"/>
      <c r="I323"/>
    </row>
    <row r="324" spans="4:9" x14ac:dyDescent="0.25">
      <c r="D324"/>
      <c r="E324"/>
      <c r="F324"/>
      <c r="G324"/>
      <c r="H324"/>
      <c r="I324"/>
    </row>
    <row r="325" spans="4:9" x14ac:dyDescent="0.25">
      <c r="D325"/>
      <c r="E325"/>
      <c r="F325"/>
      <c r="G325"/>
      <c r="H325"/>
      <c r="I325"/>
    </row>
    <row r="326" spans="4:9" x14ac:dyDescent="0.25">
      <c r="D326"/>
      <c r="E326"/>
      <c r="F326"/>
      <c r="G326"/>
      <c r="H326"/>
      <c r="I326"/>
    </row>
    <row r="327" spans="4:9" x14ac:dyDescent="0.25">
      <c r="D327"/>
      <c r="E327"/>
      <c r="F327"/>
      <c r="G327"/>
      <c r="H327"/>
      <c r="I327"/>
    </row>
    <row r="328" spans="4:9" x14ac:dyDescent="0.25">
      <c r="D328"/>
      <c r="E328"/>
      <c r="F328"/>
      <c r="G328"/>
      <c r="H328"/>
      <c r="I328"/>
    </row>
    <row r="329" spans="4:9" x14ac:dyDescent="0.25">
      <c r="D329"/>
      <c r="E329"/>
      <c r="F329"/>
      <c r="G329"/>
      <c r="H329"/>
      <c r="I329"/>
    </row>
    <row r="330" spans="4:9" x14ac:dyDescent="0.25">
      <c r="D330"/>
      <c r="E330"/>
      <c r="F330"/>
      <c r="G330"/>
      <c r="H330"/>
      <c r="I330"/>
    </row>
    <row r="331" spans="4:9" x14ac:dyDescent="0.25">
      <c r="D331"/>
      <c r="E331"/>
      <c r="F331"/>
      <c r="G331"/>
      <c r="H331"/>
      <c r="I331"/>
    </row>
    <row r="332" spans="4:9" x14ac:dyDescent="0.25">
      <c r="D332"/>
      <c r="E332"/>
      <c r="F332"/>
      <c r="G332"/>
      <c r="H332"/>
      <c r="I332"/>
    </row>
    <row r="333" spans="4:9" x14ac:dyDescent="0.25">
      <c r="D333"/>
      <c r="E333"/>
      <c r="F333"/>
      <c r="G333"/>
      <c r="H333"/>
      <c r="I333"/>
    </row>
    <row r="334" spans="4:9" x14ac:dyDescent="0.25">
      <c r="D334"/>
      <c r="E334"/>
      <c r="F334"/>
      <c r="G334"/>
      <c r="H334"/>
      <c r="I334"/>
    </row>
    <row r="335" spans="4:9" x14ac:dyDescent="0.25">
      <c r="D335"/>
      <c r="E335"/>
      <c r="F335"/>
      <c r="G335"/>
      <c r="H335"/>
      <c r="I335"/>
    </row>
    <row r="336" spans="4:9" x14ac:dyDescent="0.25">
      <c r="D336"/>
      <c r="E336"/>
      <c r="F336"/>
      <c r="G336"/>
      <c r="H336"/>
      <c r="I336"/>
    </row>
    <row r="337" spans="4:9" x14ac:dyDescent="0.25">
      <c r="D337"/>
      <c r="E337"/>
      <c r="F337"/>
      <c r="G337"/>
      <c r="H337"/>
      <c r="I337"/>
    </row>
    <row r="338" spans="4:9" x14ac:dyDescent="0.25">
      <c r="D338"/>
      <c r="E338"/>
      <c r="F338"/>
      <c r="G338"/>
      <c r="H338"/>
      <c r="I338"/>
    </row>
    <row r="339" spans="4:9" x14ac:dyDescent="0.25">
      <c r="D339"/>
      <c r="E339"/>
      <c r="F339"/>
      <c r="G339"/>
      <c r="H339"/>
      <c r="I339"/>
    </row>
    <row r="340" spans="4:9" x14ac:dyDescent="0.25">
      <c r="D340"/>
      <c r="E340"/>
      <c r="F340"/>
      <c r="G340"/>
      <c r="H340"/>
      <c r="I340"/>
    </row>
    <row r="341" spans="4:9" x14ac:dyDescent="0.25">
      <c r="D341"/>
      <c r="E341"/>
      <c r="F341"/>
      <c r="G341"/>
      <c r="H341"/>
      <c r="I341"/>
    </row>
    <row r="342" spans="4:9" x14ac:dyDescent="0.25">
      <c r="D342"/>
      <c r="E342"/>
      <c r="F342"/>
      <c r="G342"/>
      <c r="H342"/>
      <c r="I342"/>
    </row>
    <row r="343" spans="4:9" x14ac:dyDescent="0.25">
      <c r="D343"/>
      <c r="E343"/>
      <c r="F343"/>
      <c r="G343"/>
      <c r="H343"/>
      <c r="I343"/>
    </row>
    <row r="344" spans="4:9" x14ac:dyDescent="0.25">
      <c r="D344"/>
      <c r="E344"/>
      <c r="F344"/>
      <c r="G344"/>
      <c r="H344"/>
      <c r="I344"/>
    </row>
    <row r="345" spans="4:9" x14ac:dyDescent="0.25">
      <c r="D345"/>
      <c r="E345"/>
      <c r="F345"/>
      <c r="G345"/>
      <c r="H345"/>
      <c r="I345"/>
    </row>
    <row r="346" spans="4:9" x14ac:dyDescent="0.25">
      <c r="D346"/>
      <c r="E346"/>
      <c r="F346"/>
      <c r="G346"/>
      <c r="H346"/>
      <c r="I346"/>
    </row>
    <row r="347" spans="4:9" x14ac:dyDescent="0.25">
      <c r="D347"/>
      <c r="E347"/>
      <c r="F347"/>
      <c r="G347"/>
      <c r="H347"/>
      <c r="I347"/>
    </row>
    <row r="348" spans="4:9" x14ac:dyDescent="0.25">
      <c r="D348"/>
      <c r="E348"/>
      <c r="F348"/>
      <c r="G348"/>
      <c r="H348"/>
      <c r="I348"/>
    </row>
    <row r="349" spans="4:9" x14ac:dyDescent="0.25">
      <c r="D349"/>
      <c r="E349"/>
      <c r="F349"/>
      <c r="G349"/>
      <c r="H349"/>
      <c r="I349"/>
    </row>
    <row r="350" spans="4:9" x14ac:dyDescent="0.25">
      <c r="D350"/>
      <c r="E350"/>
      <c r="F350"/>
      <c r="G350"/>
      <c r="H350"/>
      <c r="I350"/>
    </row>
    <row r="351" spans="4:9" x14ac:dyDescent="0.25">
      <c r="D351"/>
      <c r="E351"/>
      <c r="F351"/>
      <c r="G351"/>
      <c r="H351"/>
      <c r="I351"/>
    </row>
    <row r="352" spans="4:9" x14ac:dyDescent="0.25">
      <c r="D352"/>
      <c r="E352"/>
      <c r="F352"/>
      <c r="G352"/>
      <c r="H352"/>
      <c r="I352"/>
    </row>
    <row r="353" spans="4:9" x14ac:dyDescent="0.25">
      <c r="D353"/>
      <c r="E353"/>
      <c r="F353"/>
      <c r="G353"/>
      <c r="H353"/>
      <c r="I353"/>
    </row>
    <row r="354" spans="4:9" x14ac:dyDescent="0.25">
      <c r="D354"/>
      <c r="E354"/>
      <c r="F354"/>
      <c r="G354"/>
      <c r="H354"/>
      <c r="I354"/>
    </row>
    <row r="355" spans="4:9" x14ac:dyDescent="0.25">
      <c r="D355"/>
      <c r="E355"/>
      <c r="F355"/>
      <c r="G355"/>
      <c r="H355"/>
      <c r="I355"/>
    </row>
    <row r="356" spans="4:9" x14ac:dyDescent="0.25">
      <c r="D356"/>
      <c r="E356"/>
      <c r="F356"/>
      <c r="G356"/>
      <c r="H356"/>
      <c r="I356"/>
    </row>
    <row r="357" spans="4:9" x14ac:dyDescent="0.25">
      <c r="D357"/>
      <c r="E357"/>
      <c r="F357"/>
      <c r="G357"/>
      <c r="H357"/>
      <c r="I357"/>
    </row>
    <row r="358" spans="4:9" x14ac:dyDescent="0.25">
      <c r="D358"/>
      <c r="E358"/>
      <c r="F358"/>
      <c r="G358"/>
      <c r="H358"/>
      <c r="I358"/>
    </row>
    <row r="359" spans="4:9" x14ac:dyDescent="0.25">
      <c r="D359"/>
      <c r="E359"/>
      <c r="F359"/>
      <c r="G359"/>
      <c r="H359"/>
      <c r="I359"/>
    </row>
    <row r="360" spans="4:9" x14ac:dyDescent="0.25">
      <c r="D360"/>
      <c r="E360"/>
      <c r="F360"/>
      <c r="G360"/>
      <c r="H360"/>
      <c r="I360"/>
    </row>
    <row r="361" spans="4:9" x14ac:dyDescent="0.25">
      <c r="D361"/>
      <c r="E361"/>
      <c r="F361"/>
      <c r="G361"/>
      <c r="H361"/>
      <c r="I361"/>
    </row>
    <row r="362" spans="4:9" x14ac:dyDescent="0.25">
      <c r="D362"/>
      <c r="E362"/>
      <c r="F362"/>
      <c r="G362"/>
      <c r="H362"/>
      <c r="I362"/>
    </row>
    <row r="363" spans="4:9" x14ac:dyDescent="0.25">
      <c r="D363"/>
      <c r="E363"/>
      <c r="F363"/>
      <c r="G363"/>
      <c r="H363"/>
      <c r="I363"/>
    </row>
    <row r="364" spans="4:9" x14ac:dyDescent="0.25">
      <c r="D364"/>
      <c r="E364"/>
      <c r="F364"/>
      <c r="G364"/>
      <c r="H364"/>
      <c r="I364"/>
    </row>
    <row r="365" spans="4:9" x14ac:dyDescent="0.25">
      <c r="D365"/>
      <c r="E365"/>
      <c r="F365"/>
      <c r="G365"/>
      <c r="H365"/>
      <c r="I365"/>
    </row>
    <row r="366" spans="4:9" x14ac:dyDescent="0.25">
      <c r="D366"/>
      <c r="E366"/>
      <c r="F366"/>
      <c r="G366"/>
      <c r="H366"/>
      <c r="I366"/>
    </row>
    <row r="367" spans="4:9" x14ac:dyDescent="0.25">
      <c r="D367"/>
      <c r="E367"/>
      <c r="F367"/>
      <c r="G367"/>
      <c r="H367"/>
      <c r="I367"/>
    </row>
    <row r="368" spans="4:9" x14ac:dyDescent="0.25">
      <c r="D368"/>
      <c r="E368"/>
      <c r="F368"/>
      <c r="G368"/>
      <c r="H368"/>
      <c r="I368"/>
    </row>
    <row r="369" spans="4:9" x14ac:dyDescent="0.25">
      <c r="D369"/>
      <c r="E369"/>
      <c r="F369"/>
      <c r="G369"/>
      <c r="H369"/>
      <c r="I369"/>
    </row>
    <row r="370" spans="4:9" x14ac:dyDescent="0.25">
      <c r="D370"/>
      <c r="E370"/>
      <c r="F370"/>
      <c r="G370"/>
      <c r="H370"/>
      <c r="I370"/>
    </row>
    <row r="371" spans="4:9" x14ac:dyDescent="0.25">
      <c r="D371"/>
      <c r="E371"/>
      <c r="F371"/>
      <c r="G371"/>
      <c r="H371"/>
      <c r="I371"/>
    </row>
    <row r="372" spans="4:9" x14ac:dyDescent="0.25">
      <c r="D372"/>
      <c r="E372"/>
      <c r="F372"/>
      <c r="G372"/>
      <c r="H372"/>
      <c r="I372"/>
    </row>
    <row r="373" spans="4:9" x14ac:dyDescent="0.25">
      <c r="D373"/>
      <c r="E373"/>
      <c r="F373"/>
      <c r="G373"/>
      <c r="H373"/>
      <c r="I373"/>
    </row>
    <row r="374" spans="4:9" x14ac:dyDescent="0.25">
      <c r="D374"/>
      <c r="E374"/>
      <c r="F374"/>
      <c r="G374"/>
      <c r="H374"/>
      <c r="I374"/>
    </row>
    <row r="375" spans="4:9" x14ac:dyDescent="0.25">
      <c r="D375"/>
      <c r="E375"/>
      <c r="F375"/>
      <c r="G375"/>
      <c r="H375"/>
      <c r="I375"/>
    </row>
    <row r="376" spans="4:9" x14ac:dyDescent="0.25">
      <c r="D376"/>
      <c r="E376"/>
      <c r="F376"/>
      <c r="G376"/>
      <c r="H376"/>
      <c r="I376"/>
    </row>
    <row r="377" spans="4:9" x14ac:dyDescent="0.25">
      <c r="D377"/>
      <c r="E377"/>
      <c r="F377"/>
      <c r="G377"/>
      <c r="H377"/>
      <c r="I377"/>
    </row>
    <row r="378" spans="4:9" x14ac:dyDescent="0.25">
      <c r="D378"/>
      <c r="E378"/>
      <c r="F378"/>
      <c r="G378"/>
      <c r="H378"/>
      <c r="I378"/>
    </row>
    <row r="379" spans="4:9" x14ac:dyDescent="0.25">
      <c r="D379"/>
      <c r="E379"/>
      <c r="F379"/>
      <c r="G379"/>
      <c r="H379"/>
      <c r="I379"/>
    </row>
    <row r="380" spans="4:9" x14ac:dyDescent="0.25">
      <c r="D380"/>
      <c r="E380"/>
      <c r="F380"/>
      <c r="G380"/>
      <c r="H380"/>
      <c r="I380"/>
    </row>
    <row r="381" spans="4:9" x14ac:dyDescent="0.25">
      <c r="D381"/>
      <c r="E381"/>
      <c r="F381"/>
      <c r="G381"/>
      <c r="H381"/>
      <c r="I381"/>
    </row>
    <row r="382" spans="4:9" x14ac:dyDescent="0.25">
      <c r="D382"/>
      <c r="E382"/>
      <c r="F382"/>
      <c r="G382"/>
      <c r="H382"/>
      <c r="I382"/>
    </row>
    <row r="383" spans="4:9" x14ac:dyDescent="0.25">
      <c r="D383"/>
      <c r="E383"/>
      <c r="F383"/>
      <c r="G383"/>
      <c r="H383"/>
      <c r="I383"/>
    </row>
    <row r="384" spans="4:9" x14ac:dyDescent="0.25">
      <c r="D384"/>
      <c r="E384"/>
      <c r="F384"/>
      <c r="G384"/>
      <c r="H384"/>
      <c r="I384"/>
    </row>
    <row r="385" spans="4:9" x14ac:dyDescent="0.25">
      <c r="D385"/>
      <c r="E385"/>
      <c r="F385"/>
      <c r="G385"/>
      <c r="H385"/>
      <c r="I385"/>
    </row>
    <row r="386" spans="4:9" x14ac:dyDescent="0.25">
      <c r="D386"/>
      <c r="E386"/>
      <c r="F386"/>
      <c r="G386"/>
      <c r="H386"/>
      <c r="I386"/>
    </row>
    <row r="387" spans="4:9" x14ac:dyDescent="0.25">
      <c r="D387"/>
      <c r="E387"/>
      <c r="F387"/>
      <c r="G387"/>
      <c r="H387"/>
      <c r="I387"/>
    </row>
    <row r="388" spans="4:9" x14ac:dyDescent="0.25">
      <c r="D388"/>
      <c r="E388"/>
      <c r="F388"/>
      <c r="G388"/>
      <c r="H388"/>
      <c r="I388"/>
    </row>
    <row r="389" spans="4:9" x14ac:dyDescent="0.25">
      <c r="D389"/>
      <c r="E389"/>
      <c r="F389"/>
      <c r="G389"/>
      <c r="H389"/>
      <c r="I389"/>
    </row>
    <row r="390" spans="4:9" x14ac:dyDescent="0.25">
      <c r="D390"/>
      <c r="E390"/>
      <c r="F390"/>
      <c r="G390"/>
      <c r="H390"/>
      <c r="I390"/>
    </row>
    <row r="391" spans="4:9" x14ac:dyDescent="0.25">
      <c r="D391"/>
      <c r="E391"/>
      <c r="F391"/>
      <c r="G391"/>
      <c r="H391"/>
      <c r="I391"/>
    </row>
    <row r="392" spans="4:9" x14ac:dyDescent="0.25">
      <c r="D392"/>
      <c r="E392"/>
      <c r="F392"/>
      <c r="G392"/>
      <c r="H392"/>
      <c r="I392"/>
    </row>
    <row r="393" spans="4:9" x14ac:dyDescent="0.25">
      <c r="D393"/>
      <c r="E393"/>
      <c r="F393"/>
      <c r="G393"/>
      <c r="H393"/>
      <c r="I393"/>
    </row>
    <row r="394" spans="4:9" x14ac:dyDescent="0.25">
      <c r="D394"/>
      <c r="E394"/>
      <c r="F394"/>
      <c r="G394"/>
      <c r="H394"/>
      <c r="I394"/>
    </row>
    <row r="395" spans="4:9" x14ac:dyDescent="0.25">
      <c r="D395"/>
      <c r="E395"/>
      <c r="F395"/>
      <c r="G395"/>
      <c r="H395"/>
      <c r="I395"/>
    </row>
    <row r="396" spans="4:9" x14ac:dyDescent="0.25">
      <c r="D396"/>
      <c r="E396"/>
      <c r="F396"/>
      <c r="G396"/>
      <c r="H396"/>
      <c r="I396"/>
    </row>
    <row r="397" spans="4:9" x14ac:dyDescent="0.25">
      <c r="D397"/>
      <c r="E397"/>
      <c r="F397"/>
      <c r="G397"/>
      <c r="H397"/>
      <c r="I397"/>
    </row>
    <row r="398" spans="4:9" x14ac:dyDescent="0.25">
      <c r="D398"/>
      <c r="E398"/>
      <c r="F398"/>
      <c r="G398"/>
      <c r="H398"/>
      <c r="I398"/>
    </row>
    <row r="399" spans="4:9" x14ac:dyDescent="0.25">
      <c r="D399"/>
      <c r="E399"/>
      <c r="F399"/>
      <c r="G399"/>
      <c r="H399"/>
      <c r="I399"/>
    </row>
    <row r="400" spans="4:9" x14ac:dyDescent="0.25">
      <c r="D400"/>
      <c r="E400"/>
      <c r="F400"/>
      <c r="G400"/>
      <c r="H400"/>
      <c r="I400"/>
    </row>
    <row r="401" spans="4:9" x14ac:dyDescent="0.25">
      <c r="D401"/>
      <c r="E401"/>
      <c r="F401"/>
      <c r="G401"/>
      <c r="H401"/>
      <c r="I401"/>
    </row>
    <row r="402" spans="4:9" x14ac:dyDescent="0.25">
      <c r="D402"/>
      <c r="E402"/>
      <c r="F402"/>
      <c r="G402"/>
      <c r="H402"/>
      <c r="I402"/>
    </row>
    <row r="403" spans="4:9" x14ac:dyDescent="0.25">
      <c r="D403"/>
      <c r="E403"/>
      <c r="F403"/>
      <c r="G403"/>
      <c r="H403"/>
      <c r="I403"/>
    </row>
    <row r="404" spans="4:9" x14ac:dyDescent="0.25">
      <c r="D404"/>
      <c r="E404"/>
      <c r="F404"/>
      <c r="G404"/>
      <c r="H404"/>
      <c r="I404"/>
    </row>
    <row r="405" spans="4:9" x14ac:dyDescent="0.25">
      <c r="D405"/>
      <c r="E405"/>
      <c r="F405"/>
      <c r="G405"/>
      <c r="H405"/>
      <c r="I405"/>
    </row>
    <row r="406" spans="4:9" x14ac:dyDescent="0.25">
      <c r="D406"/>
      <c r="E406"/>
      <c r="F406"/>
      <c r="G406"/>
      <c r="H406"/>
      <c r="I406"/>
    </row>
    <row r="407" spans="4:9" x14ac:dyDescent="0.25">
      <c r="D407"/>
      <c r="E407"/>
      <c r="F407"/>
      <c r="G407"/>
      <c r="H407"/>
      <c r="I407"/>
    </row>
    <row r="408" spans="4:9" x14ac:dyDescent="0.25">
      <c r="D408"/>
      <c r="E408"/>
      <c r="F408"/>
      <c r="G408"/>
      <c r="H408"/>
      <c r="I408"/>
    </row>
    <row r="409" spans="4:9" x14ac:dyDescent="0.25">
      <c r="D409"/>
      <c r="E409"/>
      <c r="F409"/>
      <c r="G409"/>
      <c r="H409"/>
      <c r="I409"/>
    </row>
    <row r="410" spans="4:9" x14ac:dyDescent="0.25">
      <c r="D410"/>
      <c r="E410"/>
      <c r="F410"/>
      <c r="G410"/>
      <c r="H410"/>
      <c r="I410"/>
    </row>
    <row r="411" spans="4:9" x14ac:dyDescent="0.25">
      <c r="D411"/>
      <c r="E411"/>
      <c r="F411"/>
      <c r="G411"/>
      <c r="H411"/>
      <c r="I411"/>
    </row>
    <row r="412" spans="4:9" x14ac:dyDescent="0.25">
      <c r="D412"/>
      <c r="E412"/>
      <c r="F412"/>
      <c r="G412"/>
      <c r="H412"/>
      <c r="I412"/>
    </row>
    <row r="413" spans="4:9" x14ac:dyDescent="0.25">
      <c r="D413"/>
      <c r="E413"/>
      <c r="F413"/>
      <c r="G413"/>
      <c r="H413"/>
      <c r="I413"/>
    </row>
    <row r="414" spans="4:9" x14ac:dyDescent="0.25">
      <c r="D414"/>
      <c r="E414"/>
      <c r="F414"/>
      <c r="G414"/>
      <c r="H414"/>
      <c r="I414"/>
    </row>
    <row r="415" spans="4:9" x14ac:dyDescent="0.25">
      <c r="D415"/>
      <c r="E415"/>
      <c r="F415"/>
      <c r="G415"/>
      <c r="H415"/>
      <c r="I415"/>
    </row>
    <row r="416" spans="4:9" x14ac:dyDescent="0.25">
      <c r="D416"/>
      <c r="E416"/>
      <c r="F416"/>
      <c r="G416"/>
      <c r="H416"/>
      <c r="I416"/>
    </row>
    <row r="417" spans="4:9" x14ac:dyDescent="0.25">
      <c r="D417"/>
      <c r="E417"/>
      <c r="F417"/>
      <c r="G417"/>
      <c r="H417"/>
      <c r="I417"/>
    </row>
    <row r="418" spans="4:9" x14ac:dyDescent="0.25">
      <c r="D418"/>
      <c r="E418"/>
      <c r="F418"/>
      <c r="G418"/>
      <c r="H418"/>
      <c r="I418"/>
    </row>
    <row r="419" spans="4:9" x14ac:dyDescent="0.25">
      <c r="D419"/>
      <c r="E419"/>
      <c r="F419"/>
      <c r="G419"/>
      <c r="H419"/>
      <c r="I419"/>
    </row>
    <row r="420" spans="4:9" x14ac:dyDescent="0.25">
      <c r="D420"/>
      <c r="E420"/>
      <c r="F420"/>
      <c r="G420"/>
      <c r="H420"/>
      <c r="I420"/>
    </row>
    <row r="421" spans="4:9" x14ac:dyDescent="0.25">
      <c r="D421"/>
      <c r="E421"/>
      <c r="F421"/>
      <c r="G421"/>
      <c r="H421"/>
      <c r="I421"/>
    </row>
    <row r="422" spans="4:9" x14ac:dyDescent="0.25">
      <c r="D422"/>
      <c r="E422"/>
      <c r="F422"/>
      <c r="G422"/>
      <c r="H422"/>
      <c r="I422"/>
    </row>
    <row r="423" spans="4:9" x14ac:dyDescent="0.25">
      <c r="D423"/>
      <c r="E423"/>
      <c r="F423"/>
      <c r="G423"/>
      <c r="H423"/>
      <c r="I423"/>
    </row>
    <row r="424" spans="4:9" x14ac:dyDescent="0.25">
      <c r="D424"/>
      <c r="E424"/>
      <c r="F424"/>
      <c r="G424"/>
      <c r="H424"/>
      <c r="I424"/>
    </row>
    <row r="425" spans="4:9" x14ac:dyDescent="0.25">
      <c r="D425"/>
      <c r="E425"/>
      <c r="F425"/>
      <c r="G425"/>
      <c r="H425"/>
      <c r="I425"/>
    </row>
    <row r="426" spans="4:9" x14ac:dyDescent="0.25">
      <c r="D426"/>
      <c r="E426"/>
      <c r="F426"/>
      <c r="G426"/>
      <c r="H426"/>
      <c r="I426"/>
    </row>
    <row r="427" spans="4:9" x14ac:dyDescent="0.25">
      <c r="D427"/>
      <c r="E427"/>
      <c r="F427"/>
      <c r="G427"/>
      <c r="H427"/>
      <c r="I427"/>
    </row>
    <row r="428" spans="4:9" x14ac:dyDescent="0.25">
      <c r="D428"/>
      <c r="E428"/>
      <c r="F428"/>
      <c r="G428"/>
      <c r="H428"/>
      <c r="I428"/>
    </row>
    <row r="429" spans="4:9" x14ac:dyDescent="0.25">
      <c r="D429"/>
      <c r="E429"/>
      <c r="F429"/>
      <c r="G429"/>
      <c r="H429"/>
      <c r="I429"/>
    </row>
    <row r="430" spans="4:9" x14ac:dyDescent="0.25">
      <c r="D430"/>
      <c r="E430"/>
      <c r="F430"/>
      <c r="G430"/>
      <c r="H430"/>
      <c r="I430"/>
    </row>
    <row r="431" spans="4:9" x14ac:dyDescent="0.25">
      <c r="D431"/>
      <c r="E431"/>
      <c r="F431"/>
      <c r="G431"/>
      <c r="H431"/>
      <c r="I431"/>
    </row>
    <row r="432" spans="4:9" x14ac:dyDescent="0.25">
      <c r="D432"/>
      <c r="E432"/>
      <c r="F432"/>
      <c r="G432"/>
      <c r="H432"/>
      <c r="I432"/>
    </row>
    <row r="433" spans="4:9" x14ac:dyDescent="0.25">
      <c r="D433"/>
      <c r="E433"/>
      <c r="F433"/>
      <c r="G433"/>
      <c r="H433"/>
      <c r="I433"/>
    </row>
    <row r="434" spans="4:9" x14ac:dyDescent="0.25">
      <c r="D434"/>
      <c r="E434"/>
      <c r="F434"/>
      <c r="G434"/>
      <c r="H434"/>
      <c r="I434"/>
    </row>
    <row r="435" spans="4:9" x14ac:dyDescent="0.25">
      <c r="D435"/>
      <c r="E435"/>
      <c r="F435"/>
      <c r="G435"/>
      <c r="H435"/>
      <c r="I435"/>
    </row>
    <row r="436" spans="4:9" x14ac:dyDescent="0.25">
      <c r="D436"/>
      <c r="E436"/>
      <c r="F436"/>
      <c r="G436"/>
      <c r="H436"/>
      <c r="I436"/>
    </row>
    <row r="437" spans="4:9" x14ac:dyDescent="0.25">
      <c r="D437"/>
      <c r="E437"/>
      <c r="F437"/>
      <c r="G437"/>
      <c r="H437"/>
      <c r="I437"/>
    </row>
    <row r="438" spans="4:9" x14ac:dyDescent="0.25">
      <c r="D438"/>
      <c r="E438"/>
      <c r="F438"/>
      <c r="G438"/>
      <c r="H438"/>
      <c r="I438"/>
    </row>
    <row r="439" spans="4:9" x14ac:dyDescent="0.25">
      <c r="D439"/>
      <c r="E439"/>
      <c r="F439"/>
      <c r="G439"/>
      <c r="H439"/>
      <c r="I439"/>
    </row>
    <row r="440" spans="4:9" x14ac:dyDescent="0.25">
      <c r="D440"/>
      <c r="E440"/>
      <c r="F440"/>
      <c r="G440"/>
      <c r="H440"/>
      <c r="I440"/>
    </row>
    <row r="441" spans="4:9" x14ac:dyDescent="0.25">
      <c r="D441"/>
      <c r="E441"/>
      <c r="F441"/>
      <c r="G441"/>
      <c r="H441"/>
      <c r="I441"/>
    </row>
    <row r="442" spans="4:9" x14ac:dyDescent="0.25">
      <c r="D442"/>
      <c r="E442"/>
      <c r="F442"/>
      <c r="G442"/>
      <c r="H442"/>
      <c r="I442"/>
    </row>
    <row r="443" spans="4:9" x14ac:dyDescent="0.25">
      <c r="D443"/>
      <c r="E443"/>
      <c r="F443"/>
      <c r="G443"/>
      <c r="H443"/>
      <c r="I443"/>
    </row>
    <row r="444" spans="4:9" x14ac:dyDescent="0.25">
      <c r="D444"/>
      <c r="E444"/>
      <c r="F444"/>
      <c r="G444"/>
      <c r="H444"/>
      <c r="I444"/>
    </row>
    <row r="445" spans="4:9" x14ac:dyDescent="0.25">
      <c r="D445"/>
      <c r="E445"/>
      <c r="F445"/>
      <c r="G445"/>
      <c r="H445"/>
      <c r="I445"/>
    </row>
    <row r="446" spans="4:9" x14ac:dyDescent="0.25">
      <c r="D446"/>
      <c r="E446"/>
      <c r="F446"/>
      <c r="G446"/>
      <c r="H446"/>
      <c r="I446"/>
    </row>
    <row r="447" spans="4:9" x14ac:dyDescent="0.25">
      <c r="D447"/>
      <c r="E447"/>
      <c r="F447"/>
      <c r="G447"/>
      <c r="H447"/>
      <c r="I447"/>
    </row>
    <row r="448" spans="4:9" x14ac:dyDescent="0.25">
      <c r="D448"/>
      <c r="E448"/>
      <c r="F448"/>
      <c r="G448"/>
      <c r="H448"/>
      <c r="I448"/>
    </row>
    <row r="449" spans="4:9" x14ac:dyDescent="0.25">
      <c r="D449"/>
      <c r="E449"/>
      <c r="F449"/>
      <c r="G449"/>
      <c r="H449"/>
      <c r="I449"/>
    </row>
    <row r="450" spans="4:9" x14ac:dyDescent="0.25">
      <c r="D450"/>
      <c r="E450"/>
      <c r="F450"/>
      <c r="G450"/>
      <c r="H450"/>
      <c r="I450"/>
    </row>
    <row r="451" spans="4:9" x14ac:dyDescent="0.25">
      <c r="D451"/>
      <c r="E451"/>
      <c r="F451"/>
      <c r="G451"/>
      <c r="H451"/>
      <c r="I451"/>
    </row>
    <row r="452" spans="4:9" x14ac:dyDescent="0.25">
      <c r="D452"/>
      <c r="E452"/>
      <c r="F452"/>
      <c r="G452"/>
      <c r="H452"/>
      <c r="I452"/>
    </row>
    <row r="453" spans="4:9" x14ac:dyDescent="0.25">
      <c r="D453"/>
      <c r="E453"/>
      <c r="F453"/>
      <c r="G453"/>
      <c r="H453"/>
      <c r="I453"/>
    </row>
    <row r="454" spans="4:9" x14ac:dyDescent="0.25">
      <c r="D454"/>
      <c r="E454"/>
      <c r="F454"/>
      <c r="G454"/>
      <c r="H454"/>
      <c r="I454"/>
    </row>
    <row r="455" spans="4:9" x14ac:dyDescent="0.25">
      <c r="D455"/>
      <c r="E455"/>
      <c r="F455"/>
      <c r="G455"/>
      <c r="H455"/>
      <c r="I455"/>
    </row>
    <row r="456" spans="4:9" x14ac:dyDescent="0.25">
      <c r="D456"/>
      <c r="E456"/>
      <c r="F456"/>
      <c r="G456"/>
      <c r="H456"/>
      <c r="I456"/>
    </row>
    <row r="457" spans="4:9" x14ac:dyDescent="0.25">
      <c r="D457"/>
      <c r="E457"/>
      <c r="F457"/>
      <c r="G457"/>
      <c r="H457"/>
      <c r="I457"/>
    </row>
    <row r="458" spans="4:9" x14ac:dyDescent="0.25">
      <c r="D458"/>
      <c r="E458"/>
      <c r="F458"/>
      <c r="G458"/>
      <c r="H458"/>
      <c r="I458"/>
    </row>
    <row r="459" spans="4:9" x14ac:dyDescent="0.25">
      <c r="D459"/>
      <c r="E459"/>
      <c r="F459"/>
      <c r="G459"/>
      <c r="H459"/>
      <c r="I459"/>
    </row>
    <row r="460" spans="4:9" x14ac:dyDescent="0.25">
      <c r="D460"/>
      <c r="E460"/>
      <c r="F460"/>
      <c r="G460"/>
      <c r="H460"/>
      <c r="I460"/>
    </row>
    <row r="461" spans="4:9" x14ac:dyDescent="0.25">
      <c r="D461"/>
      <c r="E461"/>
      <c r="F461"/>
      <c r="G461"/>
      <c r="H461"/>
      <c r="I461"/>
    </row>
    <row r="462" spans="4:9" x14ac:dyDescent="0.25">
      <c r="D462"/>
      <c r="E462"/>
      <c r="F462"/>
      <c r="G462"/>
      <c r="H462"/>
      <c r="I462"/>
    </row>
    <row r="463" spans="4:9" x14ac:dyDescent="0.25">
      <c r="D463"/>
      <c r="E463"/>
      <c r="F463"/>
      <c r="G463"/>
      <c r="H463"/>
      <c r="I463"/>
    </row>
    <row r="464" spans="4:9" x14ac:dyDescent="0.25">
      <c r="D464"/>
      <c r="E464"/>
      <c r="F464"/>
      <c r="G464"/>
      <c r="H464"/>
      <c r="I464"/>
    </row>
    <row r="465" spans="4:9" x14ac:dyDescent="0.25">
      <c r="D465"/>
      <c r="E465"/>
      <c r="F465"/>
      <c r="G465"/>
      <c r="H465"/>
      <c r="I465"/>
    </row>
    <row r="466" spans="4:9" x14ac:dyDescent="0.25">
      <c r="D466"/>
      <c r="E466"/>
      <c r="F466"/>
      <c r="G466"/>
      <c r="H466"/>
      <c r="I466"/>
    </row>
    <row r="467" spans="4:9" x14ac:dyDescent="0.25">
      <c r="D467"/>
      <c r="E467"/>
      <c r="F467"/>
      <c r="G467"/>
      <c r="H467"/>
      <c r="I467"/>
    </row>
    <row r="468" spans="4:9" x14ac:dyDescent="0.25">
      <c r="D468"/>
      <c r="E468"/>
      <c r="F468"/>
      <c r="G468"/>
      <c r="H468"/>
      <c r="I468"/>
    </row>
    <row r="469" spans="4:9" x14ac:dyDescent="0.25">
      <c r="D469"/>
      <c r="E469"/>
      <c r="F469"/>
      <c r="G469"/>
      <c r="H469"/>
      <c r="I469"/>
    </row>
    <row r="470" spans="4:9" x14ac:dyDescent="0.25">
      <c r="D470"/>
      <c r="E470"/>
      <c r="F470"/>
      <c r="G470"/>
      <c r="H470"/>
      <c r="I470"/>
    </row>
    <row r="471" spans="4:9" x14ac:dyDescent="0.25">
      <c r="D471"/>
      <c r="E471"/>
      <c r="F471"/>
      <c r="G471"/>
      <c r="H471"/>
      <c r="I471"/>
    </row>
    <row r="472" spans="4:9" x14ac:dyDescent="0.25">
      <c r="D472"/>
      <c r="E472"/>
      <c r="F472"/>
      <c r="G472"/>
      <c r="H472"/>
      <c r="I472"/>
    </row>
    <row r="473" spans="4:9" x14ac:dyDescent="0.25">
      <c r="D473"/>
      <c r="E473"/>
      <c r="F473"/>
      <c r="G473"/>
      <c r="H473"/>
      <c r="I473"/>
    </row>
    <row r="474" spans="4:9" x14ac:dyDescent="0.25">
      <c r="D474"/>
      <c r="E474"/>
      <c r="F474"/>
      <c r="G474"/>
      <c r="H474"/>
      <c r="I474"/>
    </row>
    <row r="475" spans="4:9" x14ac:dyDescent="0.25">
      <c r="D475"/>
      <c r="E475"/>
      <c r="F475"/>
      <c r="G475"/>
      <c r="H475"/>
      <c r="I475"/>
    </row>
    <row r="476" spans="4:9" x14ac:dyDescent="0.25">
      <c r="D476"/>
      <c r="E476"/>
      <c r="F476"/>
      <c r="G476"/>
      <c r="H476"/>
      <c r="I476"/>
    </row>
    <row r="477" spans="4:9" x14ac:dyDescent="0.25">
      <c r="D477"/>
      <c r="E477"/>
      <c r="F477"/>
      <c r="G477"/>
      <c r="H477"/>
      <c r="I477"/>
    </row>
    <row r="478" spans="4:9" x14ac:dyDescent="0.25">
      <c r="D478"/>
      <c r="E478"/>
      <c r="F478"/>
      <c r="G478"/>
      <c r="H478"/>
      <c r="I478"/>
    </row>
    <row r="479" spans="4:9" x14ac:dyDescent="0.25">
      <c r="D479"/>
      <c r="E479"/>
      <c r="F479"/>
      <c r="G479"/>
      <c r="H479"/>
      <c r="I479"/>
    </row>
    <row r="480" spans="4:9" x14ac:dyDescent="0.25">
      <c r="D480"/>
      <c r="E480"/>
      <c r="F480"/>
      <c r="G480"/>
      <c r="H480"/>
      <c r="I480"/>
    </row>
    <row r="481" spans="4:9" x14ac:dyDescent="0.25">
      <c r="D481"/>
      <c r="E481"/>
      <c r="F481"/>
      <c r="G481"/>
      <c r="H481"/>
      <c r="I481"/>
    </row>
    <row r="482" spans="4:9" x14ac:dyDescent="0.25">
      <c r="D482"/>
      <c r="E482"/>
      <c r="F482"/>
      <c r="G482"/>
      <c r="H482"/>
      <c r="I482"/>
    </row>
    <row r="483" spans="4:9" x14ac:dyDescent="0.25">
      <c r="D483"/>
      <c r="E483"/>
      <c r="F483"/>
      <c r="G483"/>
      <c r="H483"/>
      <c r="I483"/>
    </row>
    <row r="484" spans="4:9" x14ac:dyDescent="0.25">
      <c r="D484"/>
      <c r="E484"/>
      <c r="F484"/>
      <c r="G484"/>
      <c r="H484"/>
      <c r="I484"/>
    </row>
    <row r="485" spans="4:9" x14ac:dyDescent="0.25">
      <c r="D485"/>
      <c r="E485"/>
      <c r="F485"/>
      <c r="G485"/>
      <c r="H485"/>
      <c r="I485"/>
    </row>
    <row r="486" spans="4:9" x14ac:dyDescent="0.25">
      <c r="D486"/>
      <c r="E486"/>
      <c r="F486"/>
      <c r="G486"/>
      <c r="H486"/>
      <c r="I486"/>
    </row>
    <row r="487" spans="4:9" x14ac:dyDescent="0.25">
      <c r="D487"/>
      <c r="E487"/>
      <c r="F487"/>
      <c r="G487"/>
      <c r="H487"/>
      <c r="I487"/>
    </row>
    <row r="488" spans="4:9" x14ac:dyDescent="0.25">
      <c r="D488"/>
      <c r="E488"/>
      <c r="F488"/>
      <c r="G488"/>
      <c r="H488"/>
      <c r="I488"/>
    </row>
    <row r="489" spans="4:9" x14ac:dyDescent="0.25">
      <c r="D489"/>
      <c r="E489"/>
      <c r="F489"/>
      <c r="G489"/>
      <c r="H489"/>
      <c r="I489"/>
    </row>
    <row r="490" spans="4:9" x14ac:dyDescent="0.25">
      <c r="D490"/>
      <c r="E490"/>
      <c r="F490"/>
      <c r="G490"/>
      <c r="H490"/>
      <c r="I490"/>
    </row>
    <row r="491" spans="4:9" x14ac:dyDescent="0.25">
      <c r="D491"/>
      <c r="E491"/>
      <c r="F491"/>
      <c r="G491"/>
      <c r="H491"/>
      <c r="I491"/>
    </row>
    <row r="492" spans="4:9" x14ac:dyDescent="0.25">
      <c r="D492"/>
      <c r="E492"/>
      <c r="F492"/>
      <c r="G492"/>
      <c r="H492"/>
      <c r="I492"/>
    </row>
    <row r="493" spans="4:9" x14ac:dyDescent="0.25">
      <c r="D493"/>
      <c r="E493"/>
      <c r="F493"/>
      <c r="G493"/>
      <c r="H493"/>
      <c r="I493"/>
    </row>
    <row r="494" spans="4:9" x14ac:dyDescent="0.25">
      <c r="D494"/>
      <c r="E494"/>
      <c r="F494"/>
      <c r="G494"/>
      <c r="H494"/>
      <c r="I494"/>
    </row>
    <row r="495" spans="4:9" x14ac:dyDescent="0.25">
      <c r="D495"/>
      <c r="E495"/>
      <c r="F495"/>
      <c r="G495"/>
      <c r="H495"/>
      <c r="I495"/>
    </row>
    <row r="496" spans="4:9" x14ac:dyDescent="0.25">
      <c r="D496"/>
      <c r="E496"/>
      <c r="F496"/>
      <c r="G496"/>
      <c r="H496"/>
      <c r="I496"/>
    </row>
    <row r="497" spans="4:9" x14ac:dyDescent="0.25">
      <c r="D497"/>
      <c r="E497"/>
      <c r="F497"/>
      <c r="G497"/>
      <c r="H497"/>
      <c r="I497"/>
    </row>
    <row r="498" spans="4:9" x14ac:dyDescent="0.25">
      <c r="D498"/>
      <c r="E498"/>
      <c r="F498"/>
      <c r="G498"/>
      <c r="H498"/>
      <c r="I498"/>
    </row>
    <row r="499" spans="4:9" x14ac:dyDescent="0.25">
      <c r="D499"/>
      <c r="E499"/>
      <c r="F499"/>
      <c r="G499"/>
      <c r="H499"/>
      <c r="I499"/>
    </row>
    <row r="500" spans="4:9" x14ac:dyDescent="0.25">
      <c r="D500"/>
      <c r="E500"/>
      <c r="F500"/>
      <c r="G500"/>
      <c r="H500"/>
      <c r="I500"/>
    </row>
    <row r="501" spans="4:9" x14ac:dyDescent="0.25">
      <c r="D501"/>
      <c r="E501"/>
      <c r="F501"/>
      <c r="G501"/>
      <c r="H501"/>
      <c r="I501"/>
    </row>
    <row r="502" spans="4:9" x14ac:dyDescent="0.25">
      <c r="D502"/>
      <c r="E502"/>
      <c r="F502"/>
      <c r="G502"/>
      <c r="H502"/>
      <c r="I502"/>
    </row>
    <row r="503" spans="4:9" x14ac:dyDescent="0.25">
      <c r="D503"/>
      <c r="E503"/>
      <c r="F503"/>
      <c r="G503"/>
      <c r="H503"/>
      <c r="I503"/>
    </row>
    <row r="504" spans="4:9" x14ac:dyDescent="0.25">
      <c r="D504"/>
      <c r="E504"/>
      <c r="F504"/>
      <c r="G504"/>
      <c r="H504"/>
      <c r="I504"/>
    </row>
    <row r="505" spans="4:9" x14ac:dyDescent="0.25">
      <c r="D505"/>
      <c r="E505"/>
      <c r="F505"/>
      <c r="G505"/>
      <c r="H505"/>
      <c r="I505"/>
    </row>
    <row r="506" spans="4:9" x14ac:dyDescent="0.25">
      <c r="D506"/>
      <c r="E506"/>
      <c r="F506"/>
      <c r="G506"/>
      <c r="H506"/>
      <c r="I506"/>
    </row>
    <row r="507" spans="4:9" x14ac:dyDescent="0.25">
      <c r="D507"/>
      <c r="E507"/>
      <c r="F507"/>
      <c r="G507"/>
      <c r="H507"/>
      <c r="I507"/>
    </row>
    <row r="508" spans="4:9" x14ac:dyDescent="0.25">
      <c r="D508"/>
      <c r="E508"/>
      <c r="F508"/>
      <c r="G508"/>
      <c r="H508"/>
      <c r="I508"/>
    </row>
    <row r="509" spans="4:9" x14ac:dyDescent="0.25">
      <c r="D509"/>
      <c r="E509"/>
      <c r="F509"/>
      <c r="G509"/>
      <c r="H509"/>
      <c r="I509"/>
    </row>
    <row r="510" spans="4:9" x14ac:dyDescent="0.25">
      <c r="D510"/>
      <c r="E510"/>
      <c r="F510"/>
      <c r="G510"/>
      <c r="H510"/>
      <c r="I510"/>
    </row>
    <row r="511" spans="4:9" x14ac:dyDescent="0.25">
      <c r="D511"/>
      <c r="E511"/>
      <c r="F511"/>
      <c r="G511"/>
      <c r="H511"/>
      <c r="I511"/>
    </row>
    <row r="512" spans="4:9" x14ac:dyDescent="0.25">
      <c r="D512"/>
      <c r="E512"/>
      <c r="F512"/>
      <c r="G512"/>
      <c r="H512"/>
    </row>
    <row r="513" spans="4:8" x14ac:dyDescent="0.25">
      <c r="D513"/>
      <c r="E513"/>
      <c r="F513"/>
      <c r="G513"/>
      <c r="H513"/>
    </row>
    <row r="514" spans="4:8" x14ac:dyDescent="0.25">
      <c r="D514"/>
      <c r="E514"/>
      <c r="F514"/>
      <c r="G514"/>
      <c r="H514"/>
    </row>
    <row r="515" spans="4:8" x14ac:dyDescent="0.25">
      <c r="D515"/>
      <c r="E515"/>
      <c r="F515"/>
      <c r="G515"/>
      <c r="H515"/>
    </row>
    <row r="516" spans="4:8" x14ac:dyDescent="0.25">
      <c r="D516"/>
      <c r="E516"/>
      <c r="F516"/>
      <c r="G516"/>
      <c r="H516"/>
    </row>
    <row r="517" spans="4:8" x14ac:dyDescent="0.25">
      <c r="D517"/>
      <c r="E517"/>
      <c r="F517"/>
      <c r="G517"/>
      <c r="H517"/>
    </row>
    <row r="518" spans="4:8" x14ac:dyDescent="0.25">
      <c r="D518"/>
      <c r="E518"/>
      <c r="F518"/>
      <c r="G518"/>
      <c r="H518"/>
    </row>
    <row r="519" spans="4:8" x14ac:dyDescent="0.25">
      <c r="D519"/>
      <c r="E519"/>
      <c r="F519"/>
      <c r="G519"/>
      <c r="H519"/>
    </row>
    <row r="520" spans="4:8" x14ac:dyDescent="0.25">
      <c r="D520"/>
      <c r="E520"/>
      <c r="F520"/>
      <c r="G520"/>
      <c r="H520"/>
    </row>
    <row r="521" spans="4:8" x14ac:dyDescent="0.25">
      <c r="D521"/>
      <c r="E521"/>
      <c r="F521"/>
      <c r="G521"/>
      <c r="H521"/>
    </row>
    <row r="522" spans="4:8" x14ac:dyDescent="0.25">
      <c r="D522"/>
      <c r="E522"/>
      <c r="F522"/>
      <c r="G522"/>
      <c r="H522"/>
    </row>
    <row r="523" spans="4:8" x14ac:dyDescent="0.25">
      <c r="D523"/>
      <c r="E523"/>
      <c r="F523"/>
      <c r="G523"/>
      <c r="H523"/>
    </row>
    <row r="524" spans="4:8" x14ac:dyDescent="0.25">
      <c r="D524"/>
      <c r="E524"/>
      <c r="F524"/>
      <c r="G524"/>
      <c r="H524"/>
    </row>
    <row r="525" spans="4:8" x14ac:dyDescent="0.25">
      <c r="D525"/>
      <c r="E525"/>
      <c r="F525"/>
      <c r="G525"/>
      <c r="H525"/>
    </row>
    <row r="526" spans="4:8" x14ac:dyDescent="0.25">
      <c r="D526"/>
      <c r="E526"/>
      <c r="F526"/>
      <c r="G526"/>
      <c r="H526"/>
    </row>
    <row r="527" spans="4:8" x14ac:dyDescent="0.25">
      <c r="D527"/>
      <c r="E527"/>
      <c r="F527"/>
      <c r="G527"/>
      <c r="H527"/>
    </row>
    <row r="528" spans="4:8" x14ac:dyDescent="0.25">
      <c r="D528"/>
      <c r="E528"/>
      <c r="F528"/>
      <c r="G528"/>
      <c r="H528"/>
    </row>
    <row r="529" spans="4:8" x14ac:dyDescent="0.25">
      <c r="D529"/>
      <c r="E529"/>
      <c r="F529"/>
      <c r="G529"/>
      <c r="H529"/>
    </row>
    <row r="530" spans="4:8" x14ac:dyDescent="0.25">
      <c r="D530"/>
      <c r="E530"/>
      <c r="F530"/>
      <c r="G530"/>
      <c r="H530"/>
    </row>
    <row r="531" spans="4:8" x14ac:dyDescent="0.25">
      <c r="D531"/>
      <c r="E531"/>
      <c r="F531"/>
      <c r="G531"/>
      <c r="H531"/>
    </row>
    <row r="532" spans="4:8" x14ac:dyDescent="0.25">
      <c r="D532"/>
      <c r="E532"/>
      <c r="F532"/>
      <c r="G532"/>
      <c r="H532"/>
    </row>
    <row r="533" spans="4:8" x14ac:dyDescent="0.25">
      <c r="D533"/>
      <c r="E533"/>
      <c r="F533"/>
      <c r="G533"/>
      <c r="H533"/>
    </row>
    <row r="534" spans="4:8" x14ac:dyDescent="0.25">
      <c r="D534"/>
      <c r="E534"/>
      <c r="F534"/>
      <c r="G534"/>
      <c r="H534"/>
    </row>
    <row r="535" spans="4:8" x14ac:dyDescent="0.25">
      <c r="D535"/>
      <c r="E535"/>
      <c r="F535"/>
      <c r="G535"/>
      <c r="H535"/>
    </row>
    <row r="536" spans="4:8" x14ac:dyDescent="0.25">
      <c r="D536"/>
      <c r="E536"/>
      <c r="F536"/>
      <c r="G536"/>
      <c r="H536"/>
    </row>
    <row r="537" spans="4:8" x14ac:dyDescent="0.25">
      <c r="D537"/>
      <c r="E537"/>
      <c r="F537"/>
      <c r="G537"/>
      <c r="H537"/>
    </row>
    <row r="538" spans="4:8" x14ac:dyDescent="0.25">
      <c r="D538"/>
      <c r="E538"/>
      <c r="F538"/>
      <c r="G538"/>
      <c r="H538"/>
    </row>
    <row r="539" spans="4:8" x14ac:dyDescent="0.25">
      <c r="D539"/>
      <c r="E539"/>
      <c r="F539"/>
      <c r="G539"/>
      <c r="H539"/>
    </row>
    <row r="540" spans="4:8" x14ac:dyDescent="0.25">
      <c r="D540"/>
      <c r="E540"/>
      <c r="F540"/>
      <c r="G540"/>
      <c r="H540"/>
    </row>
    <row r="541" spans="4:8" x14ac:dyDescent="0.25">
      <c r="D541"/>
      <c r="E541"/>
      <c r="F541"/>
      <c r="G541"/>
      <c r="H541"/>
    </row>
    <row r="542" spans="4:8" x14ac:dyDescent="0.25">
      <c r="D542"/>
      <c r="E542"/>
      <c r="F542"/>
      <c r="G542"/>
      <c r="H542"/>
    </row>
    <row r="543" spans="4:8" x14ac:dyDescent="0.25">
      <c r="D543"/>
      <c r="E543"/>
      <c r="F543"/>
      <c r="G543"/>
      <c r="H543"/>
    </row>
    <row r="544" spans="4:8" x14ac:dyDescent="0.25">
      <c r="D544"/>
      <c r="E544"/>
      <c r="F544"/>
      <c r="G544"/>
      <c r="H544"/>
    </row>
    <row r="545" spans="4:8" x14ac:dyDescent="0.25">
      <c r="D545"/>
      <c r="E545"/>
      <c r="F545"/>
      <c r="G545"/>
      <c r="H545"/>
    </row>
    <row r="546" spans="4:8" x14ac:dyDescent="0.25">
      <c r="D546"/>
      <c r="E546"/>
      <c r="F546"/>
      <c r="G546"/>
      <c r="H546"/>
    </row>
    <row r="547" spans="4:8" x14ac:dyDescent="0.25">
      <c r="D547"/>
      <c r="E547"/>
      <c r="F547"/>
      <c r="G547"/>
      <c r="H547"/>
    </row>
    <row r="548" spans="4:8" x14ac:dyDescent="0.25">
      <c r="D548"/>
      <c r="E548"/>
      <c r="F548"/>
      <c r="G548"/>
      <c r="H548"/>
    </row>
    <row r="549" spans="4:8" x14ac:dyDescent="0.25">
      <c r="D549"/>
      <c r="E549"/>
      <c r="F549"/>
      <c r="G549"/>
      <c r="H549"/>
    </row>
    <row r="550" spans="4:8" x14ac:dyDescent="0.25">
      <c r="D550"/>
      <c r="E550"/>
      <c r="F550"/>
      <c r="G550"/>
      <c r="H550"/>
    </row>
    <row r="551" spans="4:8" x14ac:dyDescent="0.25">
      <c r="D551"/>
      <c r="E551"/>
      <c r="F551"/>
      <c r="G551"/>
      <c r="H551"/>
    </row>
    <row r="552" spans="4:8" x14ac:dyDescent="0.25">
      <c r="D552"/>
      <c r="E552"/>
      <c r="F552"/>
      <c r="G552"/>
      <c r="H552"/>
    </row>
    <row r="553" spans="4:8" x14ac:dyDescent="0.25">
      <c r="D553"/>
      <c r="E553"/>
      <c r="F553"/>
      <c r="G553"/>
      <c r="H553"/>
    </row>
    <row r="554" spans="4:8" x14ac:dyDescent="0.25">
      <c r="D554"/>
      <c r="E554"/>
      <c r="F554"/>
      <c r="G554"/>
      <c r="H554"/>
    </row>
    <row r="555" spans="4:8" x14ac:dyDescent="0.25">
      <c r="D555"/>
      <c r="E555"/>
      <c r="F555"/>
      <c r="G555"/>
      <c r="H555"/>
    </row>
    <row r="556" spans="4:8" x14ac:dyDescent="0.25">
      <c r="D556"/>
      <c r="E556"/>
      <c r="F556"/>
      <c r="G556"/>
      <c r="H556"/>
    </row>
    <row r="557" spans="4:8" x14ac:dyDescent="0.25">
      <c r="D557"/>
      <c r="E557"/>
      <c r="F557"/>
      <c r="G557"/>
      <c r="H557"/>
    </row>
    <row r="558" spans="4:8" x14ac:dyDescent="0.25">
      <c r="D558"/>
      <c r="E558"/>
      <c r="F558"/>
      <c r="G558"/>
      <c r="H558"/>
    </row>
    <row r="559" spans="4:8" x14ac:dyDescent="0.25">
      <c r="D559"/>
      <c r="E559"/>
      <c r="F559"/>
      <c r="G559"/>
      <c r="H559"/>
    </row>
    <row r="560" spans="4:8" x14ac:dyDescent="0.25">
      <c r="D560"/>
      <c r="E560"/>
      <c r="F560"/>
      <c r="G560"/>
      <c r="H560"/>
    </row>
    <row r="561" spans="4:8" x14ac:dyDescent="0.25">
      <c r="D561"/>
      <c r="E561"/>
      <c r="F561"/>
      <c r="G561"/>
      <c r="H561"/>
    </row>
    <row r="562" spans="4:8" x14ac:dyDescent="0.25">
      <c r="D562"/>
      <c r="E562"/>
      <c r="F562"/>
      <c r="G562"/>
      <c r="H562"/>
    </row>
    <row r="563" spans="4:8" x14ac:dyDescent="0.25">
      <c r="D563"/>
      <c r="E563"/>
      <c r="F563"/>
      <c r="G563"/>
      <c r="H563"/>
    </row>
    <row r="564" spans="4:8" x14ac:dyDescent="0.25">
      <c r="D564"/>
      <c r="E564"/>
      <c r="F564"/>
      <c r="G564"/>
      <c r="H564"/>
    </row>
    <row r="565" spans="4:8" x14ac:dyDescent="0.25">
      <c r="D565"/>
      <c r="E565"/>
      <c r="F565"/>
      <c r="G565"/>
      <c r="H565"/>
    </row>
    <row r="566" spans="4:8" x14ac:dyDescent="0.25">
      <c r="D566"/>
      <c r="E566"/>
      <c r="F566"/>
      <c r="G566"/>
      <c r="H566"/>
    </row>
    <row r="567" spans="4:8" x14ac:dyDescent="0.25">
      <c r="D567"/>
      <c r="E567"/>
      <c r="F567"/>
      <c r="G567"/>
      <c r="H567"/>
    </row>
    <row r="568" spans="4:8" x14ac:dyDescent="0.25">
      <c r="D568"/>
      <c r="E568"/>
      <c r="F568"/>
      <c r="G568"/>
      <c r="H568"/>
    </row>
    <row r="569" spans="4:8" x14ac:dyDescent="0.25">
      <c r="D569"/>
      <c r="E569"/>
      <c r="F569"/>
      <c r="G569"/>
      <c r="H569"/>
    </row>
    <row r="570" spans="4:8" x14ac:dyDescent="0.25">
      <c r="D570"/>
      <c r="E570"/>
      <c r="F570"/>
      <c r="G570"/>
      <c r="H570"/>
    </row>
    <row r="571" spans="4:8" x14ac:dyDescent="0.25">
      <c r="D571"/>
      <c r="E571"/>
      <c r="F571"/>
      <c r="G571"/>
      <c r="H571"/>
    </row>
    <row r="572" spans="4:8" x14ac:dyDescent="0.25">
      <c r="D572"/>
      <c r="E572"/>
      <c r="F572"/>
      <c r="G572"/>
      <c r="H572"/>
    </row>
    <row r="573" spans="4:8" x14ac:dyDescent="0.25">
      <c r="D573"/>
      <c r="E573"/>
      <c r="F573"/>
      <c r="G573"/>
      <c r="H573"/>
    </row>
    <row r="574" spans="4:8" x14ac:dyDescent="0.25">
      <c r="D574"/>
      <c r="E574"/>
      <c r="F574"/>
      <c r="G574"/>
      <c r="H574"/>
    </row>
    <row r="575" spans="4:8" x14ac:dyDescent="0.25">
      <c r="D575"/>
      <c r="E575"/>
    </row>
    <row r="576" spans="4:8" x14ac:dyDescent="0.25">
      <c r="D576"/>
      <c r="E576"/>
    </row>
    <row r="577" spans="4:5" x14ac:dyDescent="0.25">
      <c r="D577"/>
      <c r="E577"/>
    </row>
    <row r="578" spans="4:5" x14ac:dyDescent="0.25">
      <c r="D578"/>
      <c r="E578"/>
    </row>
    <row r="579" spans="4:5" x14ac:dyDescent="0.25">
      <c r="D579"/>
      <c r="E579"/>
    </row>
    <row r="580" spans="4:5" x14ac:dyDescent="0.25">
      <c r="D580"/>
      <c r="E580"/>
    </row>
    <row r="581" spans="4:5" x14ac:dyDescent="0.25">
      <c r="D581"/>
      <c r="E581"/>
    </row>
    <row r="582" spans="4:5" x14ac:dyDescent="0.25">
      <c r="D582"/>
      <c r="E582"/>
    </row>
    <row r="583" spans="4:5" x14ac:dyDescent="0.25">
      <c r="D583"/>
      <c r="E583"/>
    </row>
    <row r="584" spans="4:5" x14ac:dyDescent="0.25">
      <c r="D584"/>
      <c r="E584"/>
    </row>
    <row r="585" spans="4:5" x14ac:dyDescent="0.25">
      <c r="D585"/>
      <c r="E585"/>
    </row>
    <row r="586" spans="4:5" x14ac:dyDescent="0.25">
      <c r="D586"/>
      <c r="E586"/>
    </row>
    <row r="587" spans="4:5" x14ac:dyDescent="0.25">
      <c r="D587"/>
      <c r="E587"/>
    </row>
    <row r="588" spans="4:5" x14ac:dyDescent="0.25">
      <c r="D588"/>
      <c r="E588"/>
    </row>
    <row r="589" spans="4:5" x14ac:dyDescent="0.25">
      <c r="D589"/>
      <c r="E589"/>
    </row>
    <row r="590" spans="4:5" x14ac:dyDescent="0.25">
      <c r="D590"/>
      <c r="E590"/>
    </row>
    <row r="591" spans="4:5" x14ac:dyDescent="0.25">
      <c r="D591"/>
      <c r="E591"/>
    </row>
    <row r="592" spans="4:5" x14ac:dyDescent="0.25">
      <c r="D592"/>
      <c r="E592"/>
    </row>
    <row r="593" spans="4:5" x14ac:dyDescent="0.25">
      <c r="D593"/>
      <c r="E593"/>
    </row>
    <row r="594" spans="4:5" x14ac:dyDescent="0.25">
      <c r="D594"/>
      <c r="E594"/>
    </row>
    <row r="595" spans="4:5" x14ac:dyDescent="0.25">
      <c r="D595"/>
      <c r="E595"/>
    </row>
    <row r="596" spans="4:5" x14ac:dyDescent="0.25">
      <c r="D596"/>
      <c r="E596"/>
    </row>
    <row r="597" spans="4:5" x14ac:dyDescent="0.25">
      <c r="D597"/>
      <c r="E597"/>
    </row>
    <row r="598" spans="4:5" x14ac:dyDescent="0.25">
      <c r="D598"/>
      <c r="E598"/>
    </row>
    <row r="599" spans="4:5" x14ac:dyDescent="0.25">
      <c r="D599"/>
      <c r="E599"/>
    </row>
    <row r="600" spans="4:5" x14ac:dyDescent="0.25">
      <c r="D600"/>
      <c r="E600"/>
    </row>
    <row r="601" spans="4:5" x14ac:dyDescent="0.25">
      <c r="D601"/>
      <c r="E601"/>
    </row>
    <row r="602" spans="4:5" x14ac:dyDescent="0.25">
      <c r="D602"/>
      <c r="E602"/>
    </row>
    <row r="603" spans="4:5" x14ac:dyDescent="0.25">
      <c r="D603"/>
      <c r="E603"/>
    </row>
    <row r="604" spans="4:5" x14ac:dyDescent="0.25">
      <c r="D604"/>
      <c r="E604"/>
    </row>
    <row r="605" spans="4:5" x14ac:dyDescent="0.25">
      <c r="D605"/>
      <c r="E605"/>
    </row>
    <row r="606" spans="4:5" x14ac:dyDescent="0.25">
      <c r="D606"/>
      <c r="E606"/>
    </row>
    <row r="607" spans="4:5" x14ac:dyDescent="0.25">
      <c r="D607"/>
      <c r="E607"/>
    </row>
    <row r="608" spans="4:5" x14ac:dyDescent="0.25">
      <c r="D608"/>
      <c r="E608"/>
    </row>
    <row r="609" spans="4:5" x14ac:dyDescent="0.25">
      <c r="D609"/>
      <c r="E609"/>
    </row>
    <row r="610" spans="4:5" x14ac:dyDescent="0.25">
      <c r="D610"/>
      <c r="E610"/>
    </row>
    <row r="611" spans="4:5" x14ac:dyDescent="0.25">
      <c r="D611"/>
      <c r="E611"/>
    </row>
    <row r="612" spans="4:5" x14ac:dyDescent="0.25">
      <c r="D612"/>
      <c r="E612"/>
    </row>
    <row r="613" spans="4:5" x14ac:dyDescent="0.25">
      <c r="D613"/>
      <c r="E613"/>
    </row>
    <row r="614" spans="4:5" x14ac:dyDescent="0.25">
      <c r="D614"/>
      <c r="E614"/>
    </row>
    <row r="615" spans="4:5" x14ac:dyDescent="0.25">
      <c r="D615"/>
      <c r="E615"/>
    </row>
    <row r="616" spans="4:5" x14ac:dyDescent="0.25">
      <c r="D616"/>
      <c r="E616"/>
    </row>
    <row r="617" spans="4:5" x14ac:dyDescent="0.25">
      <c r="D617"/>
      <c r="E617"/>
    </row>
    <row r="618" spans="4:5" x14ac:dyDescent="0.25">
      <c r="D618"/>
      <c r="E618"/>
    </row>
    <row r="619" spans="4:5" x14ac:dyDescent="0.25">
      <c r="D619"/>
      <c r="E619"/>
    </row>
    <row r="620" spans="4:5" x14ac:dyDescent="0.25">
      <c r="D620"/>
      <c r="E620"/>
    </row>
    <row r="621" spans="4:5" x14ac:dyDescent="0.25">
      <c r="D621"/>
      <c r="E621"/>
    </row>
    <row r="622" spans="4:5" x14ac:dyDescent="0.25">
      <c r="D622"/>
      <c r="E622"/>
    </row>
    <row r="623" spans="4:5" x14ac:dyDescent="0.25">
      <c r="D623"/>
      <c r="E623"/>
    </row>
    <row r="624" spans="4:5" x14ac:dyDescent="0.25">
      <c r="D624"/>
      <c r="E624"/>
    </row>
    <row r="625" spans="4:5" x14ac:dyDescent="0.25">
      <c r="D625"/>
      <c r="E625"/>
    </row>
    <row r="626" spans="4:5" x14ac:dyDescent="0.25">
      <c r="D626"/>
      <c r="E626"/>
    </row>
    <row r="627" spans="4:5" x14ac:dyDescent="0.25">
      <c r="D627"/>
      <c r="E627"/>
    </row>
    <row r="628" spans="4:5" x14ac:dyDescent="0.25">
      <c r="D628"/>
      <c r="E628"/>
    </row>
    <row r="629" spans="4:5" x14ac:dyDescent="0.25">
      <c r="D629"/>
      <c r="E629"/>
    </row>
    <row r="630" spans="4:5" x14ac:dyDescent="0.25">
      <c r="D630"/>
      <c r="E630"/>
    </row>
    <row r="631" spans="4:5" x14ac:dyDescent="0.25">
      <c r="D631"/>
      <c r="E631"/>
    </row>
    <row r="632" spans="4:5" x14ac:dyDescent="0.25">
      <c r="D632"/>
      <c r="E632"/>
    </row>
    <row r="633" spans="4:5" x14ac:dyDescent="0.25">
      <c r="D633"/>
      <c r="E633"/>
    </row>
    <row r="634" spans="4:5" x14ac:dyDescent="0.25">
      <c r="D634"/>
      <c r="E634"/>
    </row>
    <row r="635" spans="4:5" x14ac:dyDescent="0.25">
      <c r="D635"/>
      <c r="E635"/>
    </row>
    <row r="636" spans="4:5" x14ac:dyDescent="0.25">
      <c r="D636"/>
      <c r="E636"/>
    </row>
    <row r="637" spans="4:5" x14ac:dyDescent="0.25">
      <c r="D637"/>
      <c r="E637"/>
    </row>
    <row r="638" spans="4:5" x14ac:dyDescent="0.25">
      <c r="D638"/>
      <c r="E638"/>
    </row>
    <row r="639" spans="4:5" x14ac:dyDescent="0.25">
      <c r="D639"/>
      <c r="E639"/>
    </row>
    <row r="640" spans="4:5" x14ac:dyDescent="0.25">
      <c r="D640"/>
      <c r="E640"/>
    </row>
    <row r="641" spans="4:5" x14ac:dyDescent="0.25">
      <c r="D641"/>
      <c r="E641"/>
    </row>
    <row r="642" spans="4:5" x14ac:dyDescent="0.25">
      <c r="D642"/>
      <c r="E642"/>
    </row>
    <row r="643" spans="4:5" x14ac:dyDescent="0.25">
      <c r="D643"/>
      <c r="E643"/>
    </row>
    <row r="644" spans="4:5" x14ac:dyDescent="0.25">
      <c r="D644"/>
      <c r="E644"/>
    </row>
    <row r="645" spans="4:5" x14ac:dyDescent="0.25">
      <c r="D645"/>
      <c r="E645"/>
    </row>
    <row r="646" spans="4:5" x14ac:dyDescent="0.25">
      <c r="D646"/>
      <c r="E646"/>
    </row>
    <row r="647" spans="4:5" x14ac:dyDescent="0.25">
      <c r="D647"/>
      <c r="E647"/>
    </row>
    <row r="648" spans="4:5" x14ac:dyDescent="0.25">
      <c r="D648"/>
      <c r="E648"/>
    </row>
    <row r="649" spans="4:5" x14ac:dyDescent="0.25">
      <c r="D649"/>
      <c r="E649"/>
    </row>
    <row r="650" spans="4:5" x14ac:dyDescent="0.25">
      <c r="D650"/>
      <c r="E650"/>
    </row>
    <row r="651" spans="4:5" x14ac:dyDescent="0.25">
      <c r="D651"/>
      <c r="E651"/>
    </row>
    <row r="652" spans="4:5" x14ac:dyDescent="0.25">
      <c r="D652"/>
      <c r="E652"/>
    </row>
    <row r="653" spans="4:5" x14ac:dyDescent="0.25">
      <c r="D653"/>
      <c r="E653"/>
    </row>
    <row r="654" spans="4:5" x14ac:dyDescent="0.25">
      <c r="D654"/>
      <c r="E654"/>
    </row>
    <row r="655" spans="4:5" x14ac:dyDescent="0.25">
      <c r="D655"/>
      <c r="E655"/>
    </row>
    <row r="656" spans="4:5" x14ac:dyDescent="0.25">
      <c r="D656"/>
      <c r="E656"/>
    </row>
    <row r="657" spans="4:5" x14ac:dyDescent="0.25">
      <c r="D657"/>
      <c r="E657"/>
    </row>
    <row r="658" spans="4:5" x14ac:dyDescent="0.25">
      <c r="D658"/>
      <c r="E658"/>
    </row>
    <row r="659" spans="4:5" x14ac:dyDescent="0.25">
      <c r="D659"/>
      <c r="E659"/>
    </row>
    <row r="660" spans="4:5" x14ac:dyDescent="0.25">
      <c r="D660"/>
      <c r="E660"/>
    </row>
    <row r="661" spans="4:5" x14ac:dyDescent="0.25">
      <c r="D661"/>
      <c r="E661"/>
    </row>
    <row r="662" spans="4:5" x14ac:dyDescent="0.25">
      <c r="D662"/>
      <c r="E662"/>
    </row>
    <row r="663" spans="4:5" x14ac:dyDescent="0.25">
      <c r="D663"/>
      <c r="E663"/>
    </row>
    <row r="664" spans="4:5" x14ac:dyDescent="0.25">
      <c r="D664"/>
      <c r="E664"/>
    </row>
    <row r="665" spans="4:5" x14ac:dyDescent="0.25">
      <c r="D665"/>
      <c r="E665"/>
    </row>
    <row r="666" spans="4:5" x14ac:dyDescent="0.25">
      <c r="D666"/>
      <c r="E666"/>
    </row>
    <row r="667" spans="4:5" x14ac:dyDescent="0.25">
      <c r="D667"/>
      <c r="E667"/>
    </row>
    <row r="668" spans="4:5" x14ac:dyDescent="0.25">
      <c r="D668"/>
      <c r="E668"/>
    </row>
    <row r="669" spans="4:5" x14ac:dyDescent="0.25">
      <c r="D669"/>
      <c r="E669"/>
    </row>
    <row r="670" spans="4:5" x14ac:dyDescent="0.25">
      <c r="D670"/>
      <c r="E670"/>
    </row>
    <row r="671" spans="4:5" x14ac:dyDescent="0.25">
      <c r="D671"/>
      <c r="E671"/>
    </row>
    <row r="672" spans="4:5" x14ac:dyDescent="0.25">
      <c r="D672"/>
      <c r="E672"/>
    </row>
    <row r="673" spans="4:5" x14ac:dyDescent="0.25">
      <c r="D673"/>
      <c r="E673"/>
    </row>
  </sheetData>
  <pageMargins left="0.7" right="0.7" top="0.75" bottom="0.75" header="0.3" footer="0.3"/>
  <pageSetup paperSize="9" orientation="portrait" r:id="rId2"/>
  <drawing r:id="rId3"/>
  <extLst>
    <ext xmlns:x14="http://schemas.microsoft.com/office/spreadsheetml/2009/9/main" uri="{A8765BA9-456A-4dab-B4F3-ACF838C121DE}">
      <x14:slicerList>
        <x14:slicer r:id="rId4"/>
      </x14:slicerList>
    </ext>
    <ext xmlns:x15="http://schemas.microsoft.com/office/spreadsheetml/2010/11/main" uri="{7E03D99C-DC04-49d9-9315-930204A7B6E9}">
      <x15:timelineRefs>
        <x15:timelineRef r:id="rId5"/>
      </x15:timeline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975ED-808A-4907-9646-0BADCD4E6009}">
  <dimension ref="A1:R39"/>
  <sheetViews>
    <sheetView topLeftCell="A10" workbookViewId="0">
      <selection activeCell="S13" sqref="S13"/>
    </sheetView>
  </sheetViews>
  <sheetFormatPr baseColWidth="10" defaultRowHeight="15" x14ac:dyDescent="0.25"/>
  <cols>
    <col min="1" max="1" width="27.5703125" bestFit="1" customWidth="1"/>
    <col min="2" max="2" width="11.140625" style="13" customWidth="1"/>
    <col min="5" max="5" width="12" bestFit="1" customWidth="1"/>
    <col min="6" max="6" width="16.5703125" bestFit="1" customWidth="1"/>
    <col min="9" max="9" width="13.140625" customWidth="1"/>
    <col min="10" max="10" width="33.7109375" customWidth="1"/>
    <col min="11" max="11" width="10.28515625" bestFit="1" customWidth="1"/>
    <col min="12" max="12" width="40.5703125" customWidth="1"/>
    <col min="13" max="13" width="8.140625" bestFit="1" customWidth="1"/>
    <col min="15" max="15" width="6.28515625" bestFit="1" customWidth="1"/>
    <col min="17" max="17" width="8.5703125" bestFit="1" customWidth="1"/>
  </cols>
  <sheetData>
    <row r="1" spans="1:18" ht="15" customHeight="1" x14ac:dyDescent="0.25">
      <c r="A1" s="112" t="s">
        <v>98</v>
      </c>
      <c r="B1" s="112"/>
      <c r="C1" s="112"/>
      <c r="D1" s="112"/>
      <c r="E1" s="112"/>
      <c r="F1" s="112"/>
      <c r="G1" s="112"/>
    </row>
    <row r="2" spans="1:18" ht="15.75" customHeight="1" x14ac:dyDescent="0.25">
      <c r="A2" s="112"/>
      <c r="B2" s="112"/>
      <c r="C2" s="112"/>
      <c r="D2" s="112"/>
      <c r="E2" s="112"/>
      <c r="F2" s="112"/>
      <c r="G2" s="112"/>
    </row>
    <row r="3" spans="1:18" ht="50.25" customHeight="1" x14ac:dyDescent="0.25">
      <c r="A3" s="32"/>
      <c r="B3" s="36" t="s">
        <v>43</v>
      </c>
      <c r="C3" s="36" t="s">
        <v>111</v>
      </c>
      <c r="D3" s="36" t="s">
        <v>112</v>
      </c>
      <c r="E3" s="36" t="s">
        <v>100</v>
      </c>
      <c r="F3" s="37" t="s">
        <v>101</v>
      </c>
      <c r="G3" s="36" t="s">
        <v>99</v>
      </c>
    </row>
    <row r="4" spans="1:18" x14ac:dyDescent="0.25">
      <c r="A4" s="10" t="s">
        <v>44</v>
      </c>
      <c r="B4" s="11"/>
      <c r="C4" s="11">
        <f>+'2018'!C28</f>
        <v>7</v>
      </c>
      <c r="D4" s="11">
        <v>6</v>
      </c>
      <c r="E4" s="11">
        <v>2</v>
      </c>
      <c r="F4" s="38">
        <f>+C4+D4-E4</f>
        <v>11</v>
      </c>
      <c r="G4" s="11">
        <f>+F4*B4</f>
        <v>0</v>
      </c>
      <c r="I4" s="35" t="s">
        <v>113</v>
      </c>
      <c r="J4" s="42"/>
      <c r="L4" s="39" t="s">
        <v>110</v>
      </c>
    </row>
    <row r="5" spans="1:18" x14ac:dyDescent="0.25">
      <c r="A5" s="10" t="s">
        <v>45</v>
      </c>
      <c r="B5" s="12">
        <v>32.4</v>
      </c>
      <c r="C5" s="11">
        <f>+'2018'!D28</f>
        <v>2</v>
      </c>
      <c r="D5" s="11">
        <v>0</v>
      </c>
      <c r="E5" s="11">
        <v>0</v>
      </c>
      <c r="F5" s="38">
        <f t="shared" ref="F5:F37" si="0">+C5+D5-E5</f>
        <v>2</v>
      </c>
      <c r="G5" s="11">
        <f t="shared" ref="G5:G37" si="1">+F5*B5</f>
        <v>64.8</v>
      </c>
      <c r="I5" s="42"/>
      <c r="J5" s="42"/>
      <c r="L5" s="40"/>
    </row>
    <row r="6" spans="1:18" x14ac:dyDescent="0.25">
      <c r="A6" s="10" t="s">
        <v>103</v>
      </c>
      <c r="B6" s="12">
        <v>12.16</v>
      </c>
      <c r="C6" s="11">
        <f>+'2018'!E28</f>
        <v>5</v>
      </c>
      <c r="D6" s="11">
        <v>6</v>
      </c>
      <c r="E6" s="11">
        <v>0</v>
      </c>
      <c r="F6" s="38">
        <f t="shared" si="0"/>
        <v>11</v>
      </c>
      <c r="G6" s="11">
        <f t="shared" si="1"/>
        <v>133.76</v>
      </c>
      <c r="I6" s="28" t="s">
        <v>25</v>
      </c>
      <c r="J6" s="27" t="s">
        <v>83</v>
      </c>
      <c r="K6" s="6"/>
      <c r="L6" s="41"/>
      <c r="M6" s="6"/>
      <c r="N6" s="6"/>
      <c r="O6" s="6"/>
      <c r="P6" s="6"/>
      <c r="Q6" s="6"/>
      <c r="R6" s="6"/>
    </row>
    <row r="7" spans="1:18" x14ac:dyDescent="0.25">
      <c r="A7" s="10" t="s">
        <v>46</v>
      </c>
      <c r="B7" s="12">
        <v>14.67</v>
      </c>
      <c r="C7" s="11">
        <f>+'2018'!F28</f>
        <v>2</v>
      </c>
      <c r="D7" s="11">
        <v>1</v>
      </c>
      <c r="E7" s="11">
        <v>1</v>
      </c>
      <c r="F7" s="38">
        <f t="shared" si="0"/>
        <v>2</v>
      </c>
      <c r="G7" s="11">
        <f t="shared" si="1"/>
        <v>29.34</v>
      </c>
      <c r="I7" s="28"/>
      <c r="J7" s="27"/>
      <c r="K7" s="6"/>
      <c r="L7" s="41"/>
      <c r="M7" s="6"/>
      <c r="N7" s="6"/>
      <c r="O7" s="6"/>
      <c r="P7" s="6"/>
      <c r="Q7" s="6"/>
      <c r="R7" s="6"/>
    </row>
    <row r="8" spans="1:18" x14ac:dyDescent="0.25">
      <c r="A8" s="10" t="s">
        <v>47</v>
      </c>
      <c r="B8" s="12">
        <v>64</v>
      </c>
      <c r="C8" s="11">
        <f>+'2018'!G28</f>
        <v>8</v>
      </c>
      <c r="D8" s="11">
        <v>1</v>
      </c>
      <c r="E8" s="11">
        <v>0</v>
      </c>
      <c r="F8" s="38">
        <f t="shared" si="0"/>
        <v>9</v>
      </c>
      <c r="G8" s="11">
        <f t="shared" si="1"/>
        <v>576</v>
      </c>
      <c r="I8" s="28" t="s">
        <v>84</v>
      </c>
      <c r="J8" s="27" t="s">
        <v>85</v>
      </c>
      <c r="K8" s="6"/>
      <c r="L8" s="41" t="s">
        <v>114</v>
      </c>
      <c r="M8" s="6"/>
      <c r="N8" s="28"/>
      <c r="O8" s="6"/>
      <c r="P8" s="6"/>
      <c r="Q8" s="6"/>
      <c r="R8" s="6"/>
    </row>
    <row r="9" spans="1:18" x14ac:dyDescent="0.25">
      <c r="A9" s="10" t="s">
        <v>48</v>
      </c>
      <c r="B9" s="12">
        <v>14.49</v>
      </c>
      <c r="C9" s="11">
        <f>+'2018'!H28</f>
        <v>7</v>
      </c>
      <c r="D9" s="11">
        <v>2</v>
      </c>
      <c r="E9" s="11">
        <v>1</v>
      </c>
      <c r="F9" s="38">
        <f t="shared" si="0"/>
        <v>8</v>
      </c>
      <c r="G9" s="11">
        <f t="shared" si="1"/>
        <v>115.92</v>
      </c>
      <c r="I9" s="28"/>
      <c r="J9" s="27" t="s">
        <v>86</v>
      </c>
      <c r="K9" s="6"/>
      <c r="L9" s="40"/>
      <c r="M9" s="6"/>
      <c r="N9" s="6"/>
      <c r="O9" s="6"/>
      <c r="P9" s="6"/>
      <c r="Q9" s="6"/>
      <c r="R9" s="6"/>
    </row>
    <row r="10" spans="1:18" x14ac:dyDescent="0.25">
      <c r="A10" s="10" t="s">
        <v>49</v>
      </c>
      <c r="B10" s="12">
        <v>60</v>
      </c>
      <c r="C10" s="11">
        <f>+'2018'!I28</f>
        <v>6</v>
      </c>
      <c r="D10" s="11">
        <v>2</v>
      </c>
      <c r="E10" s="11">
        <v>0</v>
      </c>
      <c r="F10" s="38">
        <f t="shared" si="0"/>
        <v>8</v>
      </c>
      <c r="G10" s="11">
        <f t="shared" si="1"/>
        <v>480</v>
      </c>
      <c r="I10" s="28"/>
      <c r="J10" s="27"/>
      <c r="K10" s="6"/>
      <c r="L10" s="41"/>
      <c r="M10" s="6"/>
      <c r="N10" s="6"/>
      <c r="O10" s="6"/>
      <c r="P10" s="6"/>
      <c r="Q10" s="6"/>
      <c r="R10" s="6"/>
    </row>
    <row r="11" spans="1:18" x14ac:dyDescent="0.25">
      <c r="A11" s="10" t="s">
        <v>50</v>
      </c>
      <c r="B11" s="12">
        <v>19.89</v>
      </c>
      <c r="C11" s="11">
        <f>+'2018'!J28</f>
        <v>8</v>
      </c>
      <c r="D11" s="11">
        <v>1</v>
      </c>
      <c r="E11" s="11">
        <v>0</v>
      </c>
      <c r="F11" s="38">
        <f t="shared" si="0"/>
        <v>9</v>
      </c>
      <c r="G11" s="11">
        <f t="shared" si="1"/>
        <v>179.01</v>
      </c>
      <c r="I11" s="28" t="s">
        <v>17</v>
      </c>
      <c r="J11" s="27" t="s">
        <v>87</v>
      </c>
      <c r="K11" s="6"/>
      <c r="L11" s="41" t="s">
        <v>88</v>
      </c>
      <c r="M11" s="6"/>
      <c r="O11" s="6"/>
      <c r="P11" s="6"/>
      <c r="Q11" s="6"/>
      <c r="R11" s="6"/>
    </row>
    <row r="12" spans="1:18" x14ac:dyDescent="0.25">
      <c r="A12" s="10" t="s">
        <v>51</v>
      </c>
      <c r="B12" s="12">
        <v>12</v>
      </c>
      <c r="C12" s="11">
        <f>+'2018'!K28</f>
        <v>7</v>
      </c>
      <c r="D12" s="11">
        <v>4</v>
      </c>
      <c r="E12" s="11">
        <v>3</v>
      </c>
      <c r="F12" s="38">
        <f t="shared" si="0"/>
        <v>8</v>
      </c>
      <c r="G12" s="11">
        <f t="shared" si="1"/>
        <v>96</v>
      </c>
      <c r="I12" s="28"/>
      <c r="J12" s="27" t="s">
        <v>97</v>
      </c>
      <c r="K12" s="6"/>
      <c r="L12" s="41" t="s">
        <v>115</v>
      </c>
      <c r="M12" s="6"/>
      <c r="O12" s="6"/>
      <c r="P12" s="6"/>
      <c r="Q12" s="6"/>
      <c r="R12" s="6"/>
    </row>
    <row r="13" spans="1:18" x14ac:dyDescent="0.25">
      <c r="A13" s="10" t="s">
        <v>52</v>
      </c>
      <c r="B13" s="12">
        <v>11.89</v>
      </c>
      <c r="C13" s="11">
        <f>+'2018'!L28</f>
        <v>9</v>
      </c>
      <c r="D13" s="11">
        <v>2</v>
      </c>
      <c r="E13" s="11">
        <v>0</v>
      </c>
      <c r="F13" s="38">
        <f t="shared" si="0"/>
        <v>11</v>
      </c>
      <c r="G13" s="11">
        <f t="shared" si="1"/>
        <v>130.79000000000002</v>
      </c>
      <c r="I13" s="43"/>
      <c r="J13" s="27" t="s">
        <v>89</v>
      </c>
      <c r="K13" s="6"/>
      <c r="L13" s="41"/>
      <c r="M13" s="6"/>
      <c r="O13" s="6"/>
      <c r="P13" s="6"/>
      <c r="Q13" s="6"/>
      <c r="R13" s="6"/>
    </row>
    <row r="14" spans="1:18" x14ac:dyDescent="0.25">
      <c r="A14" s="10" t="s">
        <v>53</v>
      </c>
      <c r="B14" s="12">
        <v>11.07</v>
      </c>
      <c r="C14" s="11">
        <f>+'2018'!M28</f>
        <v>8</v>
      </c>
      <c r="D14" s="11">
        <v>2</v>
      </c>
      <c r="E14" s="11">
        <v>1</v>
      </c>
      <c r="F14" s="38">
        <f t="shared" si="0"/>
        <v>9</v>
      </c>
      <c r="G14" s="11">
        <f t="shared" si="1"/>
        <v>99.63</v>
      </c>
      <c r="I14" s="43"/>
      <c r="J14" s="42"/>
    </row>
    <row r="15" spans="1:18" x14ac:dyDescent="0.25">
      <c r="A15" s="10" t="s">
        <v>54</v>
      </c>
      <c r="B15" s="12">
        <v>6.22</v>
      </c>
      <c r="C15" s="11">
        <f>+'2018'!N28</f>
        <v>7</v>
      </c>
      <c r="D15" s="11">
        <v>2</v>
      </c>
      <c r="E15" s="11">
        <v>2</v>
      </c>
      <c r="F15" s="38">
        <f t="shared" si="0"/>
        <v>7</v>
      </c>
      <c r="G15" s="11">
        <f t="shared" si="1"/>
        <v>43.54</v>
      </c>
      <c r="I15" s="28" t="s">
        <v>90</v>
      </c>
      <c r="J15" s="27" t="s">
        <v>91</v>
      </c>
      <c r="L15" s="41"/>
    </row>
    <row r="16" spans="1:18" x14ac:dyDescent="0.25">
      <c r="A16" s="10" t="s">
        <v>55</v>
      </c>
      <c r="B16" s="12">
        <v>32.630000000000003</v>
      </c>
      <c r="C16" s="11">
        <f>+'2018'!O28</f>
        <v>9</v>
      </c>
      <c r="D16" s="11">
        <v>2</v>
      </c>
      <c r="E16" s="11">
        <v>1</v>
      </c>
      <c r="F16" s="38">
        <f t="shared" si="0"/>
        <v>10</v>
      </c>
      <c r="G16" s="11">
        <f t="shared" si="1"/>
        <v>326.3</v>
      </c>
      <c r="I16" s="43"/>
      <c r="J16" s="27" t="s">
        <v>92</v>
      </c>
    </row>
    <row r="17" spans="1:14" x14ac:dyDescent="0.25">
      <c r="A17" s="10" t="s">
        <v>56</v>
      </c>
      <c r="B17" s="12">
        <v>56.32</v>
      </c>
      <c r="C17" s="11">
        <f>+'2018'!P28</f>
        <v>8</v>
      </c>
      <c r="D17" s="11">
        <v>2</v>
      </c>
      <c r="E17" s="11">
        <v>8</v>
      </c>
      <c r="F17" s="38">
        <f t="shared" si="0"/>
        <v>2</v>
      </c>
      <c r="G17" s="12">
        <f>+F17*B17</f>
        <v>112.64</v>
      </c>
      <c r="I17" s="43"/>
      <c r="J17" s="27" t="s">
        <v>93</v>
      </c>
    </row>
    <row r="18" spans="1:14" x14ac:dyDescent="0.25">
      <c r="A18" s="10" t="s">
        <v>57</v>
      </c>
      <c r="B18" s="12">
        <v>18.78</v>
      </c>
      <c r="C18" s="11">
        <f>+'2018'!Q28</f>
        <v>8</v>
      </c>
      <c r="D18" s="11">
        <v>1</v>
      </c>
      <c r="E18" s="11">
        <v>0</v>
      </c>
      <c r="F18" s="38">
        <f t="shared" si="0"/>
        <v>9</v>
      </c>
      <c r="G18" s="11">
        <f t="shared" si="1"/>
        <v>169.02</v>
      </c>
      <c r="I18" s="43"/>
      <c r="J18" s="42"/>
    </row>
    <row r="19" spans="1:14" x14ac:dyDescent="0.25">
      <c r="A19" s="10" t="s">
        <v>58</v>
      </c>
      <c r="B19" s="12">
        <v>64.86</v>
      </c>
      <c r="C19" s="11">
        <f>+'2018'!R28</f>
        <v>5</v>
      </c>
      <c r="D19" s="11">
        <v>1</v>
      </c>
      <c r="E19" s="11">
        <v>0</v>
      </c>
      <c r="F19" s="38">
        <f t="shared" si="0"/>
        <v>6</v>
      </c>
      <c r="G19" s="11">
        <f t="shared" si="1"/>
        <v>389.15999999999997</v>
      </c>
      <c r="I19" s="43"/>
      <c r="J19" s="27" t="s">
        <v>95</v>
      </c>
    </row>
    <row r="20" spans="1:14" x14ac:dyDescent="0.25">
      <c r="A20" s="10" t="s">
        <v>59</v>
      </c>
      <c r="B20" s="12">
        <v>4.33</v>
      </c>
      <c r="C20" s="11">
        <f>+'2018'!S28</f>
        <v>7</v>
      </c>
      <c r="D20" s="11">
        <v>2</v>
      </c>
      <c r="E20" s="11">
        <v>1</v>
      </c>
      <c r="F20" s="38">
        <f t="shared" si="0"/>
        <v>8</v>
      </c>
      <c r="G20" s="11">
        <f t="shared" si="1"/>
        <v>34.64</v>
      </c>
      <c r="I20" s="28" t="s">
        <v>4</v>
      </c>
      <c r="J20" s="27" t="s">
        <v>94</v>
      </c>
    </row>
    <row r="21" spans="1:14" x14ac:dyDescent="0.25">
      <c r="A21" s="10" t="s">
        <v>60</v>
      </c>
      <c r="B21" s="12">
        <v>5.04</v>
      </c>
      <c r="C21" s="11">
        <f>+'2018'!T28</f>
        <v>6</v>
      </c>
      <c r="D21" s="11">
        <v>2</v>
      </c>
      <c r="E21" s="11">
        <v>2</v>
      </c>
      <c r="F21" s="38">
        <f t="shared" si="0"/>
        <v>6</v>
      </c>
      <c r="G21" s="11">
        <f t="shared" si="1"/>
        <v>30.240000000000002</v>
      </c>
      <c r="I21" s="42"/>
      <c r="J21" s="27" t="s">
        <v>96</v>
      </c>
    </row>
    <row r="22" spans="1:14" x14ac:dyDescent="0.25">
      <c r="A22" s="10" t="s">
        <v>61</v>
      </c>
      <c r="B22" s="12">
        <v>7.13</v>
      </c>
      <c r="C22" s="11">
        <f>+'2018'!U28</f>
        <v>6</v>
      </c>
      <c r="D22" s="11">
        <v>2</v>
      </c>
      <c r="E22" s="11">
        <v>3</v>
      </c>
      <c r="F22" s="38">
        <f t="shared" si="0"/>
        <v>5</v>
      </c>
      <c r="G22" s="11">
        <f t="shared" si="1"/>
        <v>35.65</v>
      </c>
      <c r="I22" s="42"/>
      <c r="J22" s="42"/>
    </row>
    <row r="23" spans="1:14" x14ac:dyDescent="0.25">
      <c r="A23" s="10" t="s">
        <v>62</v>
      </c>
      <c r="B23" s="12">
        <v>8.23</v>
      </c>
      <c r="C23" s="11">
        <f>+'2018'!V28</f>
        <v>10</v>
      </c>
      <c r="D23" s="11">
        <v>2</v>
      </c>
      <c r="E23" s="11">
        <v>1</v>
      </c>
      <c r="F23" s="38">
        <f t="shared" si="0"/>
        <v>11</v>
      </c>
      <c r="G23" s="11">
        <f t="shared" si="1"/>
        <v>90.53</v>
      </c>
      <c r="I23" s="42"/>
      <c r="J23" s="27" t="s">
        <v>108</v>
      </c>
      <c r="L23" s="27"/>
      <c r="N23" s="27"/>
    </row>
    <row r="24" spans="1:14" x14ac:dyDescent="0.25">
      <c r="A24" s="10" t="s">
        <v>63</v>
      </c>
      <c r="B24" s="12">
        <v>2.68</v>
      </c>
      <c r="C24" s="11">
        <f>+'2018'!W28</f>
        <v>4</v>
      </c>
      <c r="D24" s="11">
        <v>2</v>
      </c>
      <c r="E24" s="11">
        <v>1</v>
      </c>
      <c r="F24" s="38">
        <f t="shared" si="0"/>
        <v>5</v>
      </c>
      <c r="G24" s="11">
        <f t="shared" si="1"/>
        <v>13.4</v>
      </c>
      <c r="I24" s="43" t="s">
        <v>107</v>
      </c>
      <c r="J24" s="27" t="s">
        <v>91</v>
      </c>
    </row>
    <row r="25" spans="1:14" x14ac:dyDescent="0.25">
      <c r="A25" s="10" t="s">
        <v>64</v>
      </c>
      <c r="B25" s="12">
        <v>3.06</v>
      </c>
      <c r="C25" s="11">
        <f>+'2018'!X28</f>
        <v>4</v>
      </c>
      <c r="D25" s="11">
        <v>2</v>
      </c>
      <c r="E25" s="11">
        <v>0</v>
      </c>
      <c r="F25" s="38">
        <f t="shared" si="0"/>
        <v>6</v>
      </c>
      <c r="G25" s="11">
        <f t="shared" si="1"/>
        <v>18.36</v>
      </c>
      <c r="I25" s="42"/>
      <c r="J25" s="27" t="s">
        <v>109</v>
      </c>
    </row>
    <row r="26" spans="1:14" x14ac:dyDescent="0.25">
      <c r="A26" s="10" t="s">
        <v>65</v>
      </c>
      <c r="B26" s="12">
        <v>4.12</v>
      </c>
      <c r="C26" s="11">
        <f>+'2018'!Y28</f>
        <v>2</v>
      </c>
      <c r="D26" s="11">
        <v>2</v>
      </c>
      <c r="E26" s="11">
        <v>1</v>
      </c>
      <c r="F26" s="38">
        <f t="shared" si="0"/>
        <v>3</v>
      </c>
      <c r="G26" s="11">
        <f t="shared" si="1"/>
        <v>12.36</v>
      </c>
      <c r="I26" s="42"/>
    </row>
    <row r="27" spans="1:14" x14ac:dyDescent="0.25">
      <c r="A27" s="10" t="s">
        <v>66</v>
      </c>
      <c r="B27" s="12">
        <v>4.79</v>
      </c>
      <c r="C27" s="11">
        <f>+'2018'!Z28</f>
        <v>2</v>
      </c>
      <c r="D27" s="11">
        <v>2</v>
      </c>
      <c r="E27" s="11">
        <v>0</v>
      </c>
      <c r="F27" s="38">
        <f t="shared" si="0"/>
        <v>4</v>
      </c>
      <c r="G27" s="11">
        <f t="shared" si="1"/>
        <v>19.16</v>
      </c>
    </row>
    <row r="28" spans="1:14" x14ac:dyDescent="0.25">
      <c r="A28" s="10" t="s">
        <v>67</v>
      </c>
      <c r="B28" s="12">
        <v>5.23</v>
      </c>
      <c r="C28" s="11">
        <f>+'2018'!AA28</f>
        <v>6</v>
      </c>
      <c r="D28" s="11">
        <v>2</v>
      </c>
      <c r="E28" s="11">
        <v>0</v>
      </c>
      <c r="F28" s="38">
        <f t="shared" si="0"/>
        <v>8</v>
      </c>
      <c r="G28" s="11">
        <f t="shared" si="1"/>
        <v>41.84</v>
      </c>
    </row>
    <row r="29" spans="1:14" x14ac:dyDescent="0.25">
      <c r="A29" s="10" t="s">
        <v>68</v>
      </c>
      <c r="B29" s="12">
        <v>8.69</v>
      </c>
      <c r="C29" s="11">
        <f>+'2018'!AB28</f>
        <v>4</v>
      </c>
      <c r="D29" s="11">
        <v>2</v>
      </c>
      <c r="E29" s="11">
        <v>0</v>
      </c>
      <c r="F29" s="38">
        <f t="shared" si="0"/>
        <v>6</v>
      </c>
      <c r="G29" s="11">
        <f t="shared" si="1"/>
        <v>52.14</v>
      </c>
    </row>
    <row r="30" spans="1:14" x14ac:dyDescent="0.25">
      <c r="A30" s="10" t="s">
        <v>69</v>
      </c>
      <c r="B30" s="12">
        <v>24.62</v>
      </c>
      <c r="C30" s="11">
        <f>+'2018'!AC28</f>
        <v>8</v>
      </c>
      <c r="D30" s="11">
        <v>2</v>
      </c>
      <c r="E30" s="11">
        <v>0</v>
      </c>
      <c r="F30" s="38">
        <f t="shared" si="0"/>
        <v>10</v>
      </c>
      <c r="G30" s="11">
        <f t="shared" si="1"/>
        <v>246.20000000000002</v>
      </c>
    </row>
    <row r="31" spans="1:14" x14ac:dyDescent="0.25">
      <c r="A31" s="10" t="s">
        <v>102</v>
      </c>
      <c r="B31" s="12">
        <v>95.65</v>
      </c>
      <c r="C31" s="11">
        <f>+'2018'!AD28</f>
        <v>3</v>
      </c>
      <c r="D31" s="11">
        <v>2</v>
      </c>
      <c r="E31" s="11">
        <v>1</v>
      </c>
      <c r="F31" s="38">
        <f t="shared" si="0"/>
        <v>4</v>
      </c>
      <c r="G31" s="11">
        <f t="shared" si="1"/>
        <v>382.6</v>
      </c>
    </row>
    <row r="32" spans="1:14" x14ac:dyDescent="0.25">
      <c r="A32" s="10" t="s">
        <v>70</v>
      </c>
      <c r="B32" s="12">
        <v>107</v>
      </c>
      <c r="C32" s="11">
        <f>+'2018'!AE28</f>
        <v>6</v>
      </c>
      <c r="D32" s="11">
        <v>1</v>
      </c>
      <c r="E32" s="11">
        <v>0</v>
      </c>
      <c r="F32" s="38">
        <f t="shared" si="0"/>
        <v>7</v>
      </c>
      <c r="G32" s="11">
        <f t="shared" si="1"/>
        <v>749</v>
      </c>
    </row>
    <row r="33" spans="1:10" x14ac:dyDescent="0.25">
      <c r="A33" s="10" t="s">
        <v>71</v>
      </c>
      <c r="B33" s="12">
        <v>36.53</v>
      </c>
      <c r="C33" s="11">
        <f>+'2018'!AF28</f>
        <v>9</v>
      </c>
      <c r="D33" s="11">
        <v>2</v>
      </c>
      <c r="E33" s="11">
        <v>0</v>
      </c>
      <c r="F33" s="38">
        <f t="shared" si="0"/>
        <v>11</v>
      </c>
      <c r="G33" s="11">
        <f t="shared" si="1"/>
        <v>401.83000000000004</v>
      </c>
    </row>
    <row r="34" spans="1:10" x14ac:dyDescent="0.25">
      <c r="A34" s="10" t="s">
        <v>72</v>
      </c>
      <c r="B34" s="12"/>
      <c r="C34" s="11">
        <f>+'2018'!AG28</f>
        <v>5</v>
      </c>
      <c r="D34" s="11">
        <v>2</v>
      </c>
      <c r="E34" s="11">
        <v>0</v>
      </c>
      <c r="F34" s="38">
        <f t="shared" si="0"/>
        <v>7</v>
      </c>
      <c r="G34" s="11">
        <f t="shared" si="1"/>
        <v>0</v>
      </c>
    </row>
    <row r="35" spans="1:10" x14ac:dyDescent="0.25">
      <c r="A35" s="10" t="s">
        <v>73</v>
      </c>
      <c r="B35" s="12">
        <v>4.2</v>
      </c>
      <c r="C35" s="11">
        <f>+'2018'!AH28</f>
        <v>13</v>
      </c>
      <c r="D35" s="11">
        <v>0</v>
      </c>
      <c r="E35" s="11">
        <v>10</v>
      </c>
      <c r="F35" s="38">
        <f t="shared" si="0"/>
        <v>3</v>
      </c>
      <c r="G35" s="11">
        <f t="shared" si="1"/>
        <v>12.600000000000001</v>
      </c>
    </row>
    <row r="36" spans="1:10" x14ac:dyDescent="0.25">
      <c r="A36" s="10" t="s">
        <v>74</v>
      </c>
      <c r="B36" s="12">
        <v>36.64</v>
      </c>
      <c r="C36" s="11">
        <f>+'2018'!AI28</f>
        <v>10</v>
      </c>
      <c r="D36" s="11">
        <v>0</v>
      </c>
      <c r="E36" s="11">
        <v>2</v>
      </c>
      <c r="F36" s="38">
        <f t="shared" si="0"/>
        <v>8</v>
      </c>
      <c r="G36" s="11">
        <f t="shared" si="1"/>
        <v>293.12</v>
      </c>
    </row>
    <row r="37" spans="1:10" x14ac:dyDescent="0.25">
      <c r="A37" s="26" t="s">
        <v>75</v>
      </c>
      <c r="B37" s="12">
        <v>68</v>
      </c>
      <c r="C37" s="11">
        <f>+'2018'!AJ28</f>
        <v>6</v>
      </c>
      <c r="D37" s="11">
        <v>3</v>
      </c>
      <c r="E37" s="11">
        <v>3</v>
      </c>
      <c r="F37" s="38">
        <f t="shared" si="0"/>
        <v>6</v>
      </c>
      <c r="G37" s="11">
        <f t="shared" si="1"/>
        <v>408</v>
      </c>
      <c r="J37" s="31"/>
    </row>
    <row r="38" spans="1:10" x14ac:dyDescent="0.25">
      <c r="A38" s="33"/>
      <c r="B38" s="30"/>
      <c r="C38" s="25"/>
      <c r="D38" s="25"/>
      <c r="E38" s="25"/>
      <c r="F38" s="34" t="s">
        <v>99</v>
      </c>
      <c r="G38" s="34">
        <f>+SUM(G4:G37)</f>
        <v>5787.58</v>
      </c>
      <c r="I38" s="31"/>
    </row>
    <row r="39" spans="1:10" s="31" customFormat="1" x14ac:dyDescent="0.25">
      <c r="A39" s="29"/>
      <c r="B39" s="30"/>
      <c r="I39"/>
      <c r="J39"/>
    </row>
  </sheetData>
  <mergeCells count="1">
    <mergeCell ref="A1:G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5F6CA-FFA7-4E79-8905-C70923781463}">
  <dimension ref="A1:BL33"/>
  <sheetViews>
    <sheetView zoomScaleNormal="100" workbookViewId="0">
      <pane xSplit="2" ySplit="2" topLeftCell="AH12" activePane="bottomRight" state="frozen"/>
      <selection activeCell="S13" sqref="S13"/>
      <selection pane="topRight" activeCell="S13" sqref="S13"/>
      <selection pane="bottomLeft" activeCell="S13" sqref="S13"/>
      <selection pane="bottomRight" activeCell="S13" sqref="S13"/>
    </sheetView>
  </sheetViews>
  <sheetFormatPr baseColWidth="10" defaultColWidth="11.5703125" defaultRowHeight="15" x14ac:dyDescent="0.25"/>
  <cols>
    <col min="1" max="1" width="15.5703125" bestFit="1" customWidth="1"/>
    <col min="2" max="2" width="18.28515625" customWidth="1"/>
    <col min="3" max="37" width="15.42578125" style="6" customWidth="1"/>
    <col min="38" max="38" width="15.42578125" style="6" bestFit="1" customWidth="1"/>
  </cols>
  <sheetData>
    <row r="1" spans="1:64" x14ac:dyDescent="0.25">
      <c r="A1" s="9" t="s">
        <v>104</v>
      </c>
    </row>
    <row r="2" spans="1:64" ht="15.75" thickBot="1" x14ac:dyDescent="0.3"/>
    <row r="3" spans="1:64" s="2" customFormat="1" ht="90.75" thickBot="1" x14ac:dyDescent="0.3">
      <c r="A3" s="1" t="s">
        <v>0</v>
      </c>
      <c r="B3" s="1" t="s">
        <v>1</v>
      </c>
      <c r="C3" s="1" t="str">
        <f>+'à commander 2019'!A4</f>
        <v>Cadenas</v>
      </c>
      <c r="D3" s="1" t="str">
        <f>+'à commander 2019'!A5</f>
        <v>Coffre 026-001</v>
      </c>
      <c r="E3" s="1" t="str">
        <f>+'à commander 2019'!A6</f>
        <v>Clef à molette 493-250</v>
      </c>
      <c r="F3" s="1" t="str">
        <f>+'à commander 2019'!A7</f>
        <v>Pince à dénuder 257-160</v>
      </c>
      <c r="G3" s="1" t="str">
        <f>+'à commander 2019'!A8</f>
        <v>Lime demi ronde 805-209</v>
      </c>
      <c r="H3" s="1" t="str">
        <f>+'à commander 2019'!A9</f>
        <v>Pince coupante 1000v 256-160</v>
      </c>
      <c r="I3" s="1" t="str">
        <f>+'à commander 2019'!A10</f>
        <v>Coupe câble</v>
      </c>
      <c r="J3" s="1" t="str">
        <f>+'à commander 2019'!A11</f>
        <v>Scie à métaux 840-001</v>
      </c>
      <c r="K3" s="1" t="str">
        <f>+'à commander 2019'!A12</f>
        <v>Mètre pliant</v>
      </c>
      <c r="L3" s="1" t="str">
        <f>+'à commander 2019'!A13</f>
        <v>Burin plat 753-22-16-300</v>
      </c>
      <c r="M3" s="1" t="str">
        <f>+'à commander 2019'!A14</f>
        <v>Burin pointe 754-04-16-300</v>
      </c>
      <c r="N3" s="1" t="str">
        <f>+'à commander 2019'!A15</f>
        <v>Massette 704-1250</v>
      </c>
      <c r="O3" s="1" t="str">
        <f>+'à commander 2019'!A16</f>
        <v>Niveau</v>
      </c>
      <c r="P3" s="1" t="str">
        <f>+'à commander 2019'!A17</f>
        <v>Jeu tournevis</v>
      </c>
      <c r="Q3" s="1" t="str">
        <f>+'à commander 2019'!A18</f>
        <v>Pince étau 275-175</v>
      </c>
      <c r="R3" s="1" t="str">
        <f>+'à commander 2019'!A19</f>
        <v>Coffret douilles 531-002</v>
      </c>
      <c r="S3" s="1" t="str">
        <f>+'à commander 2019'!A20</f>
        <v>Clef à pipe 10/462-10</v>
      </c>
      <c r="T3" s="1" t="str">
        <f>+'à commander 2019'!A21</f>
        <v>Clef à pipe 13/462-13</v>
      </c>
      <c r="U3" s="1" t="str">
        <f>+'à commander 2019'!A22</f>
        <v>Clef à pipe 17/462-17</v>
      </c>
      <c r="V3" s="1" t="str">
        <f>+'à commander 2019'!A23</f>
        <v>Clef à pipe 19/462-19</v>
      </c>
      <c r="W3" s="1" t="str">
        <f>+'à commander 2019'!A24</f>
        <v>Clef plate 10/451-10</v>
      </c>
      <c r="X3" s="1" t="str">
        <f>+'à commander 2019'!A25</f>
        <v>Clef plate 13/451-13</v>
      </c>
      <c r="Y3" s="1" t="str">
        <f>+'à commander 2019'!A26</f>
        <v>Clef plate 17/451-17</v>
      </c>
      <c r="Z3" s="1" t="str">
        <f>+'à commander 2019'!A27</f>
        <v>Clef plate 19/451-19</v>
      </c>
      <c r="AA3" s="1" t="str">
        <f>+'à commander 2019'!A28</f>
        <v>Cutter</v>
      </c>
      <c r="AB3" s="1" t="str">
        <f>+'à commander 2019'!A29</f>
        <v>Clef allen 602-009</v>
      </c>
      <c r="AC3" s="1" t="str">
        <f>+'à commander 2019'!A30</f>
        <v>Outil à dégainer 296-032</v>
      </c>
      <c r="AD3" s="1" t="str">
        <f>+'à commander 2019'!A31</f>
        <v>Pince à Sertir</v>
      </c>
      <c r="AE3" s="1" t="str">
        <f>+'à commander 2019'!A32</f>
        <v>Testeur Fluke</v>
      </c>
      <c r="AF3" s="1" t="str">
        <f>+'à commander 2019'!A33</f>
        <v xml:space="preserve">Boite embouts </v>
      </c>
      <c r="AG3" s="1" t="str">
        <f>+'à commander 2019'!A34</f>
        <v>Pince colson</v>
      </c>
      <c r="AH3" s="1" t="str">
        <f>+'à commander 2019'!A35</f>
        <v>Lunette de protection</v>
      </c>
      <c r="AI3" s="1" t="str">
        <f>+'à commander 2019'!A36</f>
        <v>Casque chantier</v>
      </c>
      <c r="AJ3" s="47" t="s">
        <v>157</v>
      </c>
      <c r="AK3" s="47" t="s">
        <v>160</v>
      </c>
      <c r="AL3" s="47" t="str">
        <f>+'à commander 2019'!A37</f>
        <v>Lampe frontale</v>
      </c>
      <c r="AM3" s="47" t="s">
        <v>117</v>
      </c>
      <c r="AN3" s="47" t="s">
        <v>124</v>
      </c>
      <c r="AO3" s="47" t="s">
        <v>91</v>
      </c>
      <c r="AP3" s="47" t="s">
        <v>118</v>
      </c>
      <c r="AQ3" s="47" t="s">
        <v>119</v>
      </c>
      <c r="AR3" s="47" t="s">
        <v>121</v>
      </c>
      <c r="AS3" s="47" t="s">
        <v>123</v>
      </c>
      <c r="AT3" s="47" t="s">
        <v>126</v>
      </c>
      <c r="AU3" s="47" t="s">
        <v>127</v>
      </c>
      <c r="AV3" s="47" t="s">
        <v>128</v>
      </c>
      <c r="AW3" s="47" t="s">
        <v>129</v>
      </c>
      <c r="AX3" s="47" t="s">
        <v>132</v>
      </c>
      <c r="AY3" s="1" t="s">
        <v>133</v>
      </c>
      <c r="AZ3" s="1" t="s">
        <v>134</v>
      </c>
      <c r="BA3" s="1" t="s">
        <v>135</v>
      </c>
      <c r="BB3" s="1" t="s">
        <v>137</v>
      </c>
      <c r="BC3" s="1" t="s">
        <v>138</v>
      </c>
      <c r="BD3" s="1" t="s">
        <v>139</v>
      </c>
      <c r="BE3" s="1" t="s">
        <v>140</v>
      </c>
      <c r="BF3" s="1" t="s">
        <v>144</v>
      </c>
      <c r="BG3" s="1" t="s">
        <v>145</v>
      </c>
      <c r="BH3" s="1" t="s">
        <v>146</v>
      </c>
      <c r="BI3" s="1" t="s">
        <v>149</v>
      </c>
      <c r="BJ3" s="1" t="s">
        <v>158</v>
      </c>
      <c r="BK3" s="1" t="s">
        <v>170</v>
      </c>
      <c r="BL3" s="1" t="s">
        <v>174</v>
      </c>
    </row>
    <row r="4" spans="1:64" s="2" customFormat="1" x14ac:dyDescent="0.25">
      <c r="A4" s="19" t="s">
        <v>80</v>
      </c>
      <c r="B4" s="19" t="s">
        <v>81</v>
      </c>
      <c r="C4" s="44" t="s">
        <v>77</v>
      </c>
      <c r="D4" s="44" t="s">
        <v>77</v>
      </c>
      <c r="E4" s="44">
        <v>43510</v>
      </c>
      <c r="F4" s="44" t="s">
        <v>77</v>
      </c>
      <c r="G4" s="44">
        <v>43510</v>
      </c>
      <c r="H4" s="44" t="s">
        <v>77</v>
      </c>
      <c r="I4" s="44" t="s">
        <v>77</v>
      </c>
      <c r="J4" s="44" t="s">
        <v>77</v>
      </c>
      <c r="K4" s="44" t="s">
        <v>77</v>
      </c>
      <c r="L4" s="44">
        <v>43510</v>
      </c>
      <c r="M4" s="44">
        <v>43510</v>
      </c>
      <c r="N4" s="44" t="s">
        <v>77</v>
      </c>
      <c r="O4" s="44">
        <v>43510</v>
      </c>
      <c r="P4" s="44">
        <v>43479</v>
      </c>
      <c r="Q4" s="44">
        <v>43510</v>
      </c>
      <c r="R4" s="44" t="s">
        <v>77</v>
      </c>
      <c r="S4" s="44" t="s">
        <v>77</v>
      </c>
      <c r="T4" s="44" t="s">
        <v>77</v>
      </c>
      <c r="U4" s="44" t="s">
        <v>77</v>
      </c>
      <c r="V4" s="44">
        <v>43510</v>
      </c>
      <c r="W4" s="44" t="s">
        <v>77</v>
      </c>
      <c r="X4" s="44">
        <v>43510</v>
      </c>
      <c r="Y4" s="44" t="s">
        <v>77</v>
      </c>
      <c r="Z4" s="44" t="s">
        <v>77</v>
      </c>
      <c r="AA4" s="44">
        <v>43510</v>
      </c>
      <c r="AB4" s="44">
        <v>43510</v>
      </c>
      <c r="AC4" s="44" t="s">
        <v>77</v>
      </c>
      <c r="AD4" s="44" t="s">
        <v>77</v>
      </c>
      <c r="AE4" s="44" t="s">
        <v>77</v>
      </c>
      <c r="AF4" s="44">
        <v>43510</v>
      </c>
      <c r="AG4" s="44" t="s">
        <v>77</v>
      </c>
      <c r="AH4" s="51" t="s">
        <v>76</v>
      </c>
      <c r="AI4" s="51" t="s">
        <v>76</v>
      </c>
      <c r="AJ4" s="56"/>
      <c r="AK4" s="56"/>
      <c r="AL4" s="48" t="s">
        <v>77</v>
      </c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>
        <v>43598</v>
      </c>
      <c r="AX4" s="48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64" s="3" customFormat="1" x14ac:dyDescent="0.25">
      <c r="A5" s="19" t="s">
        <v>2</v>
      </c>
      <c r="B5" s="19" t="s">
        <v>3</v>
      </c>
      <c r="C5" s="44"/>
      <c r="D5" s="44" t="s">
        <v>77</v>
      </c>
      <c r="E5" s="44" t="s">
        <v>77</v>
      </c>
      <c r="F5" s="44" t="s">
        <v>77</v>
      </c>
      <c r="G5" s="44" t="s">
        <v>77</v>
      </c>
      <c r="H5" s="44">
        <v>43510</v>
      </c>
      <c r="I5" s="44" t="s">
        <v>77</v>
      </c>
      <c r="J5" s="44">
        <v>43510</v>
      </c>
      <c r="K5" s="44">
        <v>43510</v>
      </c>
      <c r="L5" s="44">
        <v>43510</v>
      </c>
      <c r="M5" s="44">
        <v>43510</v>
      </c>
      <c r="N5" s="44">
        <v>43510</v>
      </c>
      <c r="O5" s="44" t="s">
        <v>77</v>
      </c>
      <c r="P5" s="44" t="s">
        <v>77</v>
      </c>
      <c r="Q5" s="44">
        <v>43510</v>
      </c>
      <c r="R5" s="44" t="s">
        <v>77</v>
      </c>
      <c r="S5" s="44">
        <v>43510</v>
      </c>
      <c r="T5" s="44">
        <v>43510</v>
      </c>
      <c r="U5" s="44">
        <v>43510</v>
      </c>
      <c r="V5" s="44">
        <v>43510</v>
      </c>
      <c r="W5" s="44" t="s">
        <v>77</v>
      </c>
      <c r="X5" s="44" t="s">
        <v>77</v>
      </c>
      <c r="Y5" s="44" t="s">
        <v>77</v>
      </c>
      <c r="Z5" s="44" t="s">
        <v>77</v>
      </c>
      <c r="AA5" s="44">
        <v>43510</v>
      </c>
      <c r="AB5" s="44">
        <v>43510</v>
      </c>
      <c r="AC5" s="44">
        <v>43510</v>
      </c>
      <c r="AD5" s="44" t="s">
        <v>77</v>
      </c>
      <c r="AE5" s="44" t="s">
        <v>150</v>
      </c>
      <c r="AF5" s="44">
        <v>43510</v>
      </c>
      <c r="AG5" s="44"/>
      <c r="AH5" s="51" t="s">
        <v>76</v>
      </c>
      <c r="AI5" s="51" t="s">
        <v>77</v>
      </c>
      <c r="AJ5" s="56"/>
      <c r="AK5" s="56"/>
      <c r="AL5" s="48">
        <v>43817</v>
      </c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4"/>
      <c r="AZ5" s="44"/>
      <c r="BA5" s="44"/>
      <c r="BB5" s="44">
        <v>43746</v>
      </c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64" s="3" customFormat="1" x14ac:dyDescent="0.25">
      <c r="A6" s="4" t="s">
        <v>4</v>
      </c>
      <c r="B6" s="4" t="s">
        <v>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9"/>
      <c r="AK6" s="49"/>
      <c r="AL6" s="49" t="s">
        <v>77</v>
      </c>
      <c r="AM6" s="49">
        <v>43511</v>
      </c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</row>
    <row r="7" spans="1:64" s="3" customFormat="1" x14ac:dyDescent="0.25">
      <c r="A7" s="4" t="s">
        <v>4</v>
      </c>
      <c r="B7" s="4" t="s">
        <v>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>
        <v>43674</v>
      </c>
      <c r="AJ7" s="49">
        <v>43674</v>
      </c>
      <c r="AK7" s="49"/>
      <c r="AL7" s="49">
        <v>43476</v>
      </c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</row>
    <row r="8" spans="1:64" s="3" customFormat="1" x14ac:dyDescent="0.25">
      <c r="A8" s="20" t="s">
        <v>7</v>
      </c>
      <c r="B8" s="20" t="s">
        <v>8</v>
      </c>
      <c r="C8" s="44"/>
      <c r="D8" s="44" t="s">
        <v>76</v>
      </c>
      <c r="E8" s="44">
        <v>43511</v>
      </c>
      <c r="F8" s="44">
        <v>43511</v>
      </c>
      <c r="G8" s="44">
        <v>43511</v>
      </c>
      <c r="H8" s="44">
        <v>43511</v>
      </c>
      <c r="I8" s="44" t="s">
        <v>77</v>
      </c>
      <c r="J8" s="44">
        <v>43511</v>
      </c>
      <c r="K8" s="44">
        <v>43511</v>
      </c>
      <c r="L8" s="44">
        <v>43511</v>
      </c>
      <c r="M8" s="44">
        <v>43511</v>
      </c>
      <c r="N8" s="44">
        <v>43511</v>
      </c>
      <c r="O8" s="44">
        <v>43511</v>
      </c>
      <c r="P8" s="44">
        <v>43511</v>
      </c>
      <c r="Q8" s="44">
        <v>43511</v>
      </c>
      <c r="R8" s="44">
        <v>43511</v>
      </c>
      <c r="S8" s="44">
        <v>43511</v>
      </c>
      <c r="T8" s="44">
        <v>43511</v>
      </c>
      <c r="U8" s="44">
        <v>43511</v>
      </c>
      <c r="V8" s="44">
        <v>43511</v>
      </c>
      <c r="W8" s="44" t="s">
        <v>77</v>
      </c>
      <c r="X8" s="44">
        <v>43511</v>
      </c>
      <c r="Y8" s="44">
        <v>43511</v>
      </c>
      <c r="Z8" s="44">
        <v>43511</v>
      </c>
      <c r="AA8" s="44" t="s">
        <v>77</v>
      </c>
      <c r="AB8" s="44" t="s">
        <v>77</v>
      </c>
      <c r="AC8" s="44" t="s">
        <v>77</v>
      </c>
      <c r="AD8" s="44" t="s">
        <v>77</v>
      </c>
      <c r="AE8" s="44" t="s">
        <v>151</v>
      </c>
      <c r="AF8" s="44">
        <v>43511</v>
      </c>
      <c r="AG8" s="44"/>
      <c r="AH8" s="44" t="s">
        <v>76</v>
      </c>
      <c r="AI8" s="44">
        <v>43674</v>
      </c>
      <c r="AJ8" s="48">
        <v>43674</v>
      </c>
      <c r="AK8" s="48"/>
      <c r="AL8" s="48">
        <v>43511</v>
      </c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>
        <v>43637</v>
      </c>
      <c r="AX8" s="48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</row>
    <row r="9" spans="1:64" s="3" customFormat="1" ht="30" x14ac:dyDescent="0.25">
      <c r="A9" s="4" t="s">
        <v>105</v>
      </c>
      <c r="B9" s="4" t="s">
        <v>106</v>
      </c>
      <c r="C9" s="44" t="s">
        <v>77</v>
      </c>
      <c r="D9" s="44" t="s">
        <v>77</v>
      </c>
      <c r="E9" s="44" t="s">
        <v>77</v>
      </c>
      <c r="F9" s="44" t="s">
        <v>77</v>
      </c>
      <c r="G9" s="54">
        <v>43634</v>
      </c>
      <c r="H9" s="44" t="s">
        <v>77</v>
      </c>
      <c r="I9" s="44" t="s">
        <v>143</v>
      </c>
      <c r="J9" s="44" t="s">
        <v>77</v>
      </c>
      <c r="K9" s="44" t="s">
        <v>77</v>
      </c>
      <c r="L9" s="44" t="s">
        <v>77</v>
      </c>
      <c r="M9" s="44" t="s">
        <v>77</v>
      </c>
      <c r="N9" s="44" t="s">
        <v>77</v>
      </c>
      <c r="O9" s="44">
        <v>43510</v>
      </c>
      <c r="P9" s="44">
        <v>43727</v>
      </c>
      <c r="Q9" s="44">
        <v>43510</v>
      </c>
      <c r="R9" s="44">
        <v>43510</v>
      </c>
      <c r="S9" s="44" t="s">
        <v>77</v>
      </c>
      <c r="T9" s="44" t="s">
        <v>77</v>
      </c>
      <c r="U9" s="44" t="s">
        <v>77</v>
      </c>
      <c r="V9" s="44" t="s">
        <v>77</v>
      </c>
      <c r="W9" s="44" t="s">
        <v>77</v>
      </c>
      <c r="X9" s="44" t="s">
        <v>77</v>
      </c>
      <c r="Y9" s="44" t="s">
        <v>77</v>
      </c>
      <c r="Z9" s="44" t="s">
        <v>77</v>
      </c>
      <c r="AA9" s="44" t="s">
        <v>77</v>
      </c>
      <c r="AB9" s="44" t="s">
        <v>77</v>
      </c>
      <c r="AC9" s="44">
        <v>43510</v>
      </c>
      <c r="AD9" s="44" t="s">
        <v>77</v>
      </c>
      <c r="AE9" s="44" t="s">
        <v>152</v>
      </c>
      <c r="AF9" s="44">
        <v>43510</v>
      </c>
      <c r="AG9" s="44">
        <v>43510</v>
      </c>
      <c r="AH9" s="44" t="s">
        <v>77</v>
      </c>
      <c r="AI9" s="44">
        <v>43634</v>
      </c>
      <c r="AJ9" s="48"/>
      <c r="AK9" s="48"/>
      <c r="AL9" s="48">
        <v>43510</v>
      </c>
      <c r="AM9" s="48"/>
      <c r="AN9" s="48">
        <v>43521</v>
      </c>
      <c r="AO9" s="48">
        <v>43510</v>
      </c>
      <c r="AP9" s="48"/>
      <c r="AQ9" s="48"/>
      <c r="AR9" s="48"/>
      <c r="AS9" s="48"/>
      <c r="AT9" s="48"/>
      <c r="AU9" s="48"/>
      <c r="AV9" s="48"/>
      <c r="AW9" s="48"/>
      <c r="AX9" s="48"/>
      <c r="AY9" s="44"/>
      <c r="AZ9" s="44"/>
      <c r="BA9" s="44"/>
      <c r="BB9" s="44" t="s">
        <v>172</v>
      </c>
      <c r="BC9" s="44">
        <v>43634</v>
      </c>
      <c r="BD9" s="44">
        <v>43634</v>
      </c>
      <c r="BE9" s="44"/>
      <c r="BF9" s="44"/>
      <c r="BG9" s="44"/>
      <c r="BH9" s="44"/>
      <c r="BI9" s="44"/>
      <c r="BJ9" s="44"/>
      <c r="BK9" s="44" t="s">
        <v>171</v>
      </c>
      <c r="BL9" s="44"/>
    </row>
    <row r="10" spans="1:64" s="3" customFormat="1" x14ac:dyDescent="0.25">
      <c r="A10" s="20" t="s">
        <v>13</v>
      </c>
      <c r="B10" s="20" t="s">
        <v>14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8"/>
      <c r="AK10" s="48"/>
      <c r="AL10" s="48" t="s">
        <v>77</v>
      </c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64" s="3" customFormat="1" x14ac:dyDescent="0.25">
      <c r="A11" s="20" t="s">
        <v>15</v>
      </c>
      <c r="B11" s="20" t="s">
        <v>16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>
        <v>43674</v>
      </c>
      <c r="AJ11" s="49"/>
      <c r="AK11" s="49"/>
      <c r="AL11" s="49" t="s">
        <v>77</v>
      </c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</row>
    <row r="12" spans="1:64" s="3" customFormat="1" x14ac:dyDescent="0.25">
      <c r="A12" s="4" t="s">
        <v>17</v>
      </c>
      <c r="B12" s="4" t="s">
        <v>18</v>
      </c>
      <c r="C12" s="45"/>
      <c r="D12" s="45"/>
      <c r="E12" s="45"/>
      <c r="F12" s="45"/>
      <c r="G12" s="45"/>
      <c r="H12" s="45"/>
      <c r="I12" s="45"/>
      <c r="J12" s="45">
        <v>43511</v>
      </c>
      <c r="K12" s="45">
        <v>43511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>
        <v>43511</v>
      </c>
      <c r="AI12" s="45">
        <v>43674</v>
      </c>
      <c r="AJ12" s="49"/>
      <c r="AK12" s="49"/>
      <c r="AL12" s="49">
        <v>43511</v>
      </c>
      <c r="AM12" s="49"/>
      <c r="AN12" s="49"/>
      <c r="AO12" s="49"/>
      <c r="AP12" s="49">
        <v>43473</v>
      </c>
      <c r="AQ12" s="49"/>
      <c r="AR12" s="49"/>
      <c r="AS12" s="49"/>
      <c r="AT12" s="49"/>
      <c r="AU12" s="49"/>
      <c r="AV12" s="49"/>
      <c r="AW12" s="49"/>
      <c r="AX12" s="49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</row>
    <row r="13" spans="1:64" s="3" customFormat="1" x14ac:dyDescent="0.25">
      <c r="A13" s="4" t="s">
        <v>19</v>
      </c>
      <c r="B13" s="4" t="s">
        <v>20</v>
      </c>
      <c r="C13" s="45"/>
      <c r="D13" s="45">
        <v>43546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>
        <v>43511</v>
      </c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>
        <v>43573</v>
      </c>
      <c r="AE13" s="45"/>
      <c r="AF13" s="45"/>
      <c r="AG13" s="45"/>
      <c r="AH13" s="45">
        <v>43511</v>
      </c>
      <c r="AI13" s="45"/>
      <c r="AJ13" s="49"/>
      <c r="AK13" s="49"/>
      <c r="AL13" s="49" t="s">
        <v>77</v>
      </c>
      <c r="AM13" s="49"/>
      <c r="AN13" s="49"/>
      <c r="AO13" s="49">
        <v>43511</v>
      </c>
      <c r="AP13" s="49"/>
      <c r="AQ13" s="49">
        <v>43511</v>
      </c>
      <c r="AR13" s="49"/>
      <c r="AS13" s="49"/>
      <c r="AT13" s="49"/>
      <c r="AU13" s="49"/>
      <c r="AV13" s="49"/>
      <c r="AW13" s="49"/>
      <c r="AX13" s="49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</row>
    <row r="14" spans="1:64" s="3" customFormat="1" ht="60" x14ac:dyDescent="0.25">
      <c r="A14" s="4" t="s">
        <v>21</v>
      </c>
      <c r="B14" s="4" t="s">
        <v>22</v>
      </c>
      <c r="C14" s="44">
        <v>43510</v>
      </c>
      <c r="D14" s="51" t="s">
        <v>77</v>
      </c>
      <c r="E14" s="44" t="s">
        <v>77</v>
      </c>
      <c r="F14" s="44" t="s">
        <v>77</v>
      </c>
      <c r="G14" s="55">
        <v>43644</v>
      </c>
      <c r="H14" s="44" t="s">
        <v>77</v>
      </c>
      <c r="I14" s="44">
        <v>43510</v>
      </c>
      <c r="J14" s="44" t="s">
        <v>77</v>
      </c>
      <c r="K14" s="44" t="s">
        <v>77</v>
      </c>
      <c r="L14" s="44">
        <v>43510</v>
      </c>
      <c r="M14" s="44">
        <v>43510</v>
      </c>
      <c r="N14" s="44">
        <v>43510</v>
      </c>
      <c r="O14" s="44">
        <v>43510</v>
      </c>
      <c r="P14" s="44">
        <v>43501</v>
      </c>
      <c r="Q14" s="44">
        <v>43510</v>
      </c>
      <c r="R14" s="44" t="s">
        <v>77</v>
      </c>
      <c r="S14" s="44">
        <v>43510</v>
      </c>
      <c r="T14" s="44">
        <v>43510</v>
      </c>
      <c r="U14" s="44">
        <v>43510</v>
      </c>
      <c r="V14" s="44">
        <v>43510</v>
      </c>
      <c r="W14" s="44" t="s">
        <v>77</v>
      </c>
      <c r="X14" s="44" t="s">
        <v>77</v>
      </c>
      <c r="Y14" s="44" t="s">
        <v>77</v>
      </c>
      <c r="Z14" s="44" t="s">
        <v>77</v>
      </c>
      <c r="AA14" s="44">
        <v>43510</v>
      </c>
      <c r="AB14" s="44" t="s">
        <v>77</v>
      </c>
      <c r="AC14" s="44">
        <v>43510</v>
      </c>
      <c r="AD14" s="44" t="s">
        <v>77</v>
      </c>
      <c r="AE14" s="44" t="s">
        <v>77</v>
      </c>
      <c r="AF14" s="44" t="s">
        <v>77</v>
      </c>
      <c r="AG14" s="44" t="s">
        <v>141</v>
      </c>
      <c r="AH14" s="44" t="s">
        <v>77</v>
      </c>
      <c r="AI14" s="44">
        <v>43567</v>
      </c>
      <c r="AJ14" s="48"/>
      <c r="AK14" s="48"/>
      <c r="AL14" s="48">
        <v>43619</v>
      </c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</row>
    <row r="15" spans="1:64" s="3" customFormat="1" ht="18.75" customHeight="1" x14ac:dyDescent="0.25">
      <c r="A15" s="4" t="s">
        <v>23</v>
      </c>
      <c r="B15" s="4" t="s">
        <v>24</v>
      </c>
      <c r="C15" s="44">
        <v>43517</v>
      </c>
      <c r="D15" s="44" t="s">
        <v>77</v>
      </c>
      <c r="E15" s="44" t="s">
        <v>77</v>
      </c>
      <c r="F15" s="44" t="s">
        <v>77</v>
      </c>
      <c r="G15" s="44" t="s">
        <v>120</v>
      </c>
      <c r="H15" s="44">
        <v>43517</v>
      </c>
      <c r="I15" s="44" t="s">
        <v>143</v>
      </c>
      <c r="J15" s="44">
        <v>43517</v>
      </c>
      <c r="K15" s="44">
        <v>43517</v>
      </c>
      <c r="L15" s="44">
        <v>43517</v>
      </c>
      <c r="M15" s="44">
        <v>43517</v>
      </c>
      <c r="N15" s="44">
        <v>43517</v>
      </c>
      <c r="O15" s="44" t="s">
        <v>77</v>
      </c>
      <c r="P15" s="44">
        <v>43517</v>
      </c>
      <c r="Q15" s="44" t="s">
        <v>77</v>
      </c>
      <c r="R15" s="44">
        <v>43517</v>
      </c>
      <c r="S15" s="44">
        <v>43517</v>
      </c>
      <c r="T15" s="44">
        <v>43517</v>
      </c>
      <c r="U15" s="44">
        <v>43517</v>
      </c>
      <c r="V15" s="44">
        <v>43517</v>
      </c>
      <c r="W15" s="44" t="s">
        <v>77</v>
      </c>
      <c r="X15" s="44" t="s">
        <v>77</v>
      </c>
      <c r="Y15" s="44" t="s">
        <v>77</v>
      </c>
      <c r="Z15" s="44" t="s">
        <v>77</v>
      </c>
      <c r="AA15" s="44" t="s">
        <v>77</v>
      </c>
      <c r="AB15" s="44" t="s">
        <v>77</v>
      </c>
      <c r="AC15" s="44" t="s">
        <v>77</v>
      </c>
      <c r="AD15" s="51">
        <v>43522</v>
      </c>
      <c r="AE15" s="44" t="s">
        <v>169</v>
      </c>
      <c r="AF15" s="44" t="s">
        <v>77</v>
      </c>
      <c r="AG15" s="44">
        <v>43517</v>
      </c>
      <c r="AH15" s="44">
        <v>43517</v>
      </c>
      <c r="AI15" s="44">
        <v>43674</v>
      </c>
      <c r="AJ15" s="48"/>
      <c r="AK15" s="48"/>
      <c r="AL15" s="48" t="s">
        <v>77</v>
      </c>
      <c r="AM15" s="48"/>
      <c r="AN15" s="48">
        <v>43522</v>
      </c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</row>
    <row r="16" spans="1:64" s="3" customFormat="1" x14ac:dyDescent="0.25">
      <c r="A16" s="20" t="s">
        <v>25</v>
      </c>
      <c r="B16" s="20" t="s">
        <v>26</v>
      </c>
      <c r="C16" s="44" t="s">
        <v>77</v>
      </c>
      <c r="D16" s="44" t="s">
        <v>77</v>
      </c>
      <c r="E16" s="44">
        <v>43510</v>
      </c>
      <c r="F16" s="44" t="s">
        <v>77</v>
      </c>
      <c r="G16" s="44" t="s">
        <v>77</v>
      </c>
      <c r="H16" s="44" t="s">
        <v>77</v>
      </c>
      <c r="I16" s="44" t="s">
        <v>77</v>
      </c>
      <c r="J16" s="44" t="s">
        <v>77</v>
      </c>
      <c r="K16" s="44">
        <v>43510</v>
      </c>
      <c r="L16" s="44" t="s">
        <v>77</v>
      </c>
      <c r="M16" s="44" t="s">
        <v>77</v>
      </c>
      <c r="N16" s="44" t="s">
        <v>77</v>
      </c>
      <c r="O16" s="44">
        <v>43510</v>
      </c>
      <c r="P16" s="44">
        <v>43510</v>
      </c>
      <c r="Q16" s="44" t="s">
        <v>77</v>
      </c>
      <c r="R16" s="44" t="s">
        <v>77</v>
      </c>
      <c r="S16" s="44">
        <v>43510</v>
      </c>
      <c r="T16" s="44" t="s">
        <v>77</v>
      </c>
      <c r="U16" s="44" t="s">
        <v>77</v>
      </c>
      <c r="V16" s="44" t="s">
        <v>77</v>
      </c>
      <c r="W16" s="44" t="s">
        <v>77</v>
      </c>
      <c r="X16" s="44" t="s">
        <v>77</v>
      </c>
      <c r="Y16" s="44" t="s">
        <v>77</v>
      </c>
      <c r="Z16" s="44" t="s">
        <v>77</v>
      </c>
      <c r="AA16" s="44" t="s">
        <v>77</v>
      </c>
      <c r="AB16" s="44" t="s">
        <v>77</v>
      </c>
      <c r="AC16" s="44" t="s">
        <v>77</v>
      </c>
      <c r="AD16" s="44" t="s">
        <v>77</v>
      </c>
      <c r="AE16" s="44" t="s">
        <v>153</v>
      </c>
      <c r="AF16" s="44" t="s">
        <v>77</v>
      </c>
      <c r="AG16" s="44" t="s">
        <v>77</v>
      </c>
      <c r="AH16" s="44" t="s">
        <v>77</v>
      </c>
      <c r="AI16" s="44">
        <v>43674</v>
      </c>
      <c r="AJ16" s="48"/>
      <c r="AK16" s="48">
        <v>43726</v>
      </c>
      <c r="AL16" s="48" t="s">
        <v>77</v>
      </c>
      <c r="AM16" s="48"/>
      <c r="AN16" s="48"/>
      <c r="AO16" s="48"/>
      <c r="AP16" s="48"/>
      <c r="AQ16" s="48"/>
      <c r="AR16" s="48">
        <v>43510</v>
      </c>
      <c r="AS16" s="48"/>
      <c r="AT16" s="48"/>
      <c r="AU16" s="48"/>
      <c r="AV16" s="48"/>
      <c r="AW16" s="48"/>
      <c r="AX16" s="48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</row>
    <row r="17" spans="1:64" s="3" customFormat="1" x14ac:dyDescent="0.25">
      <c r="A17" s="20" t="s">
        <v>162</v>
      </c>
      <c r="B17" s="20" t="s">
        <v>163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 t="s">
        <v>164</v>
      </c>
      <c r="AF17" s="44"/>
      <c r="AG17" s="44"/>
      <c r="AH17" s="44"/>
      <c r="AI17" s="44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</row>
    <row r="18" spans="1:64" s="5" customFormat="1" ht="18" customHeight="1" x14ac:dyDescent="0.25">
      <c r="A18" s="4" t="s">
        <v>29</v>
      </c>
      <c r="B18" s="4" t="s">
        <v>30</v>
      </c>
      <c r="C18" s="45"/>
      <c r="D18" s="45"/>
      <c r="E18" s="45"/>
      <c r="F18" s="45"/>
      <c r="G18" s="45" t="s">
        <v>122</v>
      </c>
      <c r="H18" s="45"/>
      <c r="I18" s="45">
        <v>43572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>
        <v>43514</v>
      </c>
      <c r="AE18" s="45" t="s">
        <v>154</v>
      </c>
      <c r="AF18" s="45"/>
      <c r="AG18" s="45"/>
      <c r="AH18" s="45"/>
      <c r="AI18" s="45">
        <v>43674</v>
      </c>
      <c r="AJ18" s="49">
        <v>43674</v>
      </c>
      <c r="AK18" s="49"/>
      <c r="AL18" s="49">
        <v>43733</v>
      </c>
      <c r="AM18" s="49"/>
      <c r="AN18" s="49"/>
      <c r="AO18" s="49"/>
      <c r="AP18" s="49"/>
      <c r="AQ18" s="49"/>
      <c r="AR18" s="49"/>
      <c r="AS18" s="49">
        <v>43514</v>
      </c>
      <c r="AT18" s="49"/>
      <c r="AU18" s="49"/>
      <c r="AV18" s="49"/>
      <c r="AW18" s="49"/>
      <c r="AX18" s="49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</row>
    <row r="19" spans="1:64" s="5" customFormat="1" ht="18" customHeight="1" x14ac:dyDescent="0.25">
      <c r="A19" s="4" t="s">
        <v>29</v>
      </c>
      <c r="B19" s="4" t="s">
        <v>142</v>
      </c>
      <c r="C19" s="45">
        <v>43669</v>
      </c>
      <c r="D19" s="45">
        <v>43669</v>
      </c>
      <c r="E19" s="45">
        <v>43669</v>
      </c>
      <c r="F19" s="45"/>
      <c r="G19" s="45">
        <v>43669</v>
      </c>
      <c r="H19" s="45">
        <v>43669</v>
      </c>
      <c r="I19" s="45"/>
      <c r="J19" s="45">
        <v>43669</v>
      </c>
      <c r="K19" s="45">
        <v>43669</v>
      </c>
      <c r="L19" s="45">
        <v>43669</v>
      </c>
      <c r="M19" s="45">
        <v>43669</v>
      </c>
      <c r="N19" s="45">
        <v>43669</v>
      </c>
      <c r="O19" s="45">
        <v>43669</v>
      </c>
      <c r="P19" s="45">
        <v>43669</v>
      </c>
      <c r="Q19" s="45">
        <v>43669</v>
      </c>
      <c r="R19" s="45">
        <v>43669</v>
      </c>
      <c r="S19" s="45">
        <v>43669</v>
      </c>
      <c r="T19" s="45">
        <v>43669</v>
      </c>
      <c r="U19" s="45">
        <v>43669</v>
      </c>
      <c r="V19" s="45">
        <v>43669</v>
      </c>
      <c r="W19" s="45">
        <v>43669</v>
      </c>
      <c r="X19" s="45">
        <v>43669</v>
      </c>
      <c r="Y19" s="45">
        <v>43669</v>
      </c>
      <c r="Z19" s="45">
        <v>43669</v>
      </c>
      <c r="AA19" s="45"/>
      <c r="AB19" s="45">
        <v>43669</v>
      </c>
      <c r="AC19" s="45"/>
      <c r="AD19" s="45"/>
      <c r="AE19" s="45"/>
      <c r="AF19" s="45"/>
      <c r="AG19" s="45"/>
      <c r="AH19" s="45"/>
      <c r="AI19" s="45"/>
      <c r="AJ19" s="49"/>
      <c r="AK19" s="49"/>
      <c r="AL19" s="49">
        <v>43732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5"/>
      <c r="AZ19" s="45" t="s">
        <v>147</v>
      </c>
      <c r="BA19" s="45"/>
      <c r="BB19" s="45"/>
      <c r="BC19" s="45" t="s">
        <v>148</v>
      </c>
      <c r="BD19" s="45"/>
      <c r="BE19" s="45"/>
      <c r="BF19" s="45"/>
      <c r="BG19" s="45">
        <v>43669</v>
      </c>
      <c r="BH19" s="45">
        <v>43669</v>
      </c>
      <c r="BI19" s="45">
        <v>43669</v>
      </c>
      <c r="BJ19" s="45"/>
      <c r="BK19" s="45"/>
      <c r="BL19" s="45"/>
    </row>
    <row r="20" spans="1:64" s="5" customFormat="1" ht="18" customHeight="1" x14ac:dyDescent="0.25">
      <c r="A20" s="4" t="s">
        <v>165</v>
      </c>
      <c r="B20" s="4" t="s">
        <v>166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 t="s">
        <v>167</v>
      </c>
      <c r="AF20" s="45"/>
      <c r="AG20" s="45"/>
      <c r="AH20" s="45"/>
      <c r="AI20" s="45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</row>
    <row r="21" spans="1:64" s="3" customFormat="1" x14ac:dyDescent="0.25">
      <c r="A21" s="4" t="s">
        <v>31</v>
      </c>
      <c r="B21" s="4" t="s">
        <v>32</v>
      </c>
      <c r="C21" s="45"/>
      <c r="D21" s="45"/>
      <c r="E21" s="45"/>
      <c r="F21" s="45"/>
      <c r="G21" s="45"/>
      <c r="H21" s="45"/>
      <c r="I21" s="45" t="s">
        <v>155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>
        <v>43516</v>
      </c>
      <c r="AF21" s="45"/>
      <c r="AG21" s="45"/>
      <c r="AH21" s="45"/>
      <c r="AI21" s="45">
        <v>43674</v>
      </c>
      <c r="AJ21" s="49"/>
      <c r="AK21" s="49"/>
      <c r="AL21" s="49" t="s">
        <v>77</v>
      </c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</row>
    <row r="22" spans="1:64" s="3" customFormat="1" x14ac:dyDescent="0.25">
      <c r="A22" s="4" t="s">
        <v>33</v>
      </c>
      <c r="B22" s="4" t="s">
        <v>5</v>
      </c>
      <c r="C22" s="44" t="s">
        <v>77</v>
      </c>
      <c r="D22" s="44" t="s">
        <v>77</v>
      </c>
      <c r="E22" s="44" t="s">
        <v>77</v>
      </c>
      <c r="F22" s="44" t="s">
        <v>77</v>
      </c>
      <c r="G22" s="44" t="s">
        <v>77</v>
      </c>
      <c r="H22" s="51">
        <v>43531</v>
      </c>
      <c r="I22" s="51">
        <v>43571</v>
      </c>
      <c r="J22" s="44">
        <v>43514</v>
      </c>
      <c r="K22" s="44" t="s">
        <v>77</v>
      </c>
      <c r="L22" s="44">
        <v>43514</v>
      </c>
      <c r="M22" s="44" t="s">
        <v>77</v>
      </c>
      <c r="N22" s="44" t="s">
        <v>77</v>
      </c>
      <c r="O22" s="44" t="s">
        <v>77</v>
      </c>
      <c r="P22" s="44" t="s">
        <v>77</v>
      </c>
      <c r="Q22" s="44" t="s">
        <v>77</v>
      </c>
      <c r="R22" s="44" t="s">
        <v>77</v>
      </c>
      <c r="S22" s="44" t="s">
        <v>77</v>
      </c>
      <c r="T22" s="44" t="s">
        <v>77</v>
      </c>
      <c r="U22" s="44" t="s">
        <v>77</v>
      </c>
      <c r="V22" s="44">
        <v>43514</v>
      </c>
      <c r="W22" s="44">
        <v>43480</v>
      </c>
      <c r="X22" s="44">
        <v>43480</v>
      </c>
      <c r="Y22" s="44" t="s">
        <v>77</v>
      </c>
      <c r="Z22" s="44" t="s">
        <v>77</v>
      </c>
      <c r="AA22" s="44" t="s">
        <v>77</v>
      </c>
      <c r="AB22" s="44" t="s">
        <v>77</v>
      </c>
      <c r="AC22" s="44">
        <v>43514</v>
      </c>
      <c r="AD22" s="51" t="s">
        <v>77</v>
      </c>
      <c r="AE22" s="44">
        <v>43514</v>
      </c>
      <c r="AF22" s="44" t="s">
        <v>125</v>
      </c>
      <c r="AG22" s="44" t="s">
        <v>77</v>
      </c>
      <c r="AH22" s="44">
        <v>43514</v>
      </c>
      <c r="AI22" s="44" t="s">
        <v>77</v>
      </c>
      <c r="AJ22" s="48"/>
      <c r="AK22" s="48"/>
      <c r="AL22" s="48" t="s">
        <v>77</v>
      </c>
      <c r="AM22" s="48"/>
      <c r="AN22" s="48">
        <v>43522</v>
      </c>
      <c r="AO22" s="48"/>
      <c r="AP22" s="48"/>
      <c r="AQ22" s="48"/>
      <c r="AR22" s="48"/>
      <c r="AS22" s="48"/>
      <c r="AT22" s="48">
        <v>43432</v>
      </c>
      <c r="AU22" s="48"/>
      <c r="AV22" s="48"/>
      <c r="AW22" s="48"/>
      <c r="AX22" s="48"/>
      <c r="AY22" s="44"/>
      <c r="AZ22" s="44"/>
      <c r="BA22" s="44"/>
      <c r="BB22" s="44"/>
      <c r="BC22" s="44"/>
      <c r="BD22" s="44"/>
      <c r="BE22" s="44">
        <v>43640</v>
      </c>
      <c r="BF22" s="44"/>
      <c r="BG22" s="44"/>
      <c r="BH22" s="44"/>
      <c r="BI22" s="44"/>
      <c r="BJ22" s="44"/>
      <c r="BK22" s="44"/>
      <c r="BL22" s="44"/>
    </row>
    <row r="23" spans="1:64" s="3" customFormat="1" ht="30" x14ac:dyDescent="0.25">
      <c r="A23" s="19" t="s">
        <v>33</v>
      </c>
      <c r="B23" s="19" t="s">
        <v>34</v>
      </c>
      <c r="C23" s="44">
        <v>43510</v>
      </c>
      <c r="D23" s="44" t="s">
        <v>77</v>
      </c>
      <c r="E23" s="44" t="s">
        <v>77</v>
      </c>
      <c r="F23" s="44" t="s">
        <v>77</v>
      </c>
      <c r="G23" s="44" t="s">
        <v>77</v>
      </c>
      <c r="H23" s="44" t="s">
        <v>77</v>
      </c>
      <c r="I23" s="44">
        <v>43511</v>
      </c>
      <c r="J23" s="44" t="s">
        <v>77</v>
      </c>
      <c r="K23" s="44" t="s">
        <v>77</v>
      </c>
      <c r="L23" s="44">
        <v>43510</v>
      </c>
      <c r="M23" s="44">
        <v>43510</v>
      </c>
      <c r="N23" s="44" t="s">
        <v>77</v>
      </c>
      <c r="O23" s="44" t="s">
        <v>77</v>
      </c>
      <c r="P23" s="44" t="s">
        <v>77</v>
      </c>
      <c r="Q23" s="44" t="s">
        <v>77</v>
      </c>
      <c r="R23" s="44" t="s">
        <v>77</v>
      </c>
      <c r="S23" s="44" t="s">
        <v>77</v>
      </c>
      <c r="T23" s="44" t="s">
        <v>77</v>
      </c>
      <c r="U23" s="44" t="s">
        <v>77</v>
      </c>
      <c r="V23" s="44" t="s">
        <v>77</v>
      </c>
      <c r="W23" s="44" t="s">
        <v>77</v>
      </c>
      <c r="X23" s="44" t="s">
        <v>77</v>
      </c>
      <c r="Y23" s="44" t="s">
        <v>77</v>
      </c>
      <c r="Z23" s="44" t="s">
        <v>77</v>
      </c>
      <c r="AA23" s="44">
        <v>43510</v>
      </c>
      <c r="AB23" s="44" t="s">
        <v>77</v>
      </c>
      <c r="AC23" s="44">
        <v>43510</v>
      </c>
      <c r="AD23" s="44">
        <v>43510</v>
      </c>
      <c r="AE23" s="44" t="s">
        <v>77</v>
      </c>
      <c r="AF23" s="44" t="s">
        <v>77</v>
      </c>
      <c r="AG23" s="44" t="s">
        <v>77</v>
      </c>
      <c r="AH23" s="44">
        <v>43510</v>
      </c>
      <c r="AI23" s="44" t="s">
        <v>76</v>
      </c>
      <c r="AJ23" s="48"/>
      <c r="AK23" s="48"/>
      <c r="AL23" s="48">
        <v>43510</v>
      </c>
      <c r="AM23" s="48"/>
      <c r="AN23" s="48">
        <v>43521</v>
      </c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159</v>
      </c>
      <c r="BK23" s="44"/>
      <c r="BL23" s="44"/>
    </row>
    <row r="24" spans="1:64" s="3" customFormat="1" x14ac:dyDescent="0.25">
      <c r="A24" s="20" t="s">
        <v>37</v>
      </c>
      <c r="B24" s="20" t="s">
        <v>38</v>
      </c>
      <c r="C24" s="44" t="s">
        <v>77</v>
      </c>
      <c r="D24" s="44" t="s">
        <v>77</v>
      </c>
      <c r="E24" s="44" t="s">
        <v>77</v>
      </c>
      <c r="F24" s="44" t="s">
        <v>77</v>
      </c>
      <c r="G24" s="44" t="s">
        <v>77</v>
      </c>
      <c r="H24" s="44" t="s">
        <v>77</v>
      </c>
      <c r="I24" s="44" t="s">
        <v>77</v>
      </c>
      <c r="J24" s="44" t="s">
        <v>77</v>
      </c>
      <c r="K24" s="44" t="s">
        <v>77</v>
      </c>
      <c r="L24" s="44" t="s">
        <v>77</v>
      </c>
      <c r="M24" s="44" t="s">
        <v>77</v>
      </c>
      <c r="N24" s="44" t="s">
        <v>77</v>
      </c>
      <c r="O24" s="44" t="s">
        <v>77</v>
      </c>
      <c r="P24" s="44" t="s">
        <v>77</v>
      </c>
      <c r="Q24" s="44" t="s">
        <v>77</v>
      </c>
      <c r="R24" s="44" t="s">
        <v>77</v>
      </c>
      <c r="S24" s="44" t="s">
        <v>77</v>
      </c>
      <c r="T24" s="44" t="s">
        <v>77</v>
      </c>
      <c r="U24" s="44" t="s">
        <v>77</v>
      </c>
      <c r="V24" s="44">
        <v>43511</v>
      </c>
      <c r="W24" s="44">
        <v>43511</v>
      </c>
      <c r="X24" s="44" t="s">
        <v>77</v>
      </c>
      <c r="Y24" s="44" t="s">
        <v>77</v>
      </c>
      <c r="Z24" s="44" t="s">
        <v>77</v>
      </c>
      <c r="AA24" s="44" t="s">
        <v>77</v>
      </c>
      <c r="AB24" s="44" t="s">
        <v>77</v>
      </c>
      <c r="AC24" s="44" t="s">
        <v>77</v>
      </c>
      <c r="AD24" s="44" t="s">
        <v>77</v>
      </c>
      <c r="AE24" s="57">
        <v>26081498</v>
      </c>
      <c r="AF24" s="44" t="s">
        <v>77</v>
      </c>
      <c r="AG24" s="44">
        <v>43511</v>
      </c>
      <c r="AH24" s="44">
        <v>43511</v>
      </c>
      <c r="AI24" s="44" t="s">
        <v>77</v>
      </c>
      <c r="AJ24" s="48"/>
      <c r="AK24" s="48"/>
      <c r="AL24" s="48">
        <v>43447</v>
      </c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</row>
    <row r="25" spans="1:64" s="3" customFormat="1" x14ac:dyDescent="0.25">
      <c r="A25" s="4" t="s">
        <v>39</v>
      </c>
      <c r="B25" s="4" t="s">
        <v>40</v>
      </c>
      <c r="C25" s="44">
        <v>43511</v>
      </c>
      <c r="D25" s="44">
        <v>43511</v>
      </c>
      <c r="E25" s="44">
        <v>43511</v>
      </c>
      <c r="F25" s="44">
        <v>43511</v>
      </c>
      <c r="G25" s="51">
        <v>43636</v>
      </c>
      <c r="H25" s="44" t="s">
        <v>77</v>
      </c>
      <c r="I25" s="44" t="s">
        <v>156</v>
      </c>
      <c r="J25" s="44">
        <v>43511</v>
      </c>
      <c r="K25" s="44">
        <v>43511</v>
      </c>
      <c r="L25" s="44">
        <v>43511</v>
      </c>
      <c r="M25" s="44">
        <v>43511</v>
      </c>
      <c r="N25" s="44">
        <v>43511</v>
      </c>
      <c r="O25" s="44">
        <v>43511</v>
      </c>
      <c r="P25" s="44">
        <v>43511</v>
      </c>
      <c r="Q25" s="44">
        <v>43511</v>
      </c>
      <c r="R25" s="44">
        <v>43511</v>
      </c>
      <c r="S25" s="44">
        <v>43511</v>
      </c>
      <c r="T25" s="44" t="s">
        <v>77</v>
      </c>
      <c r="U25" s="44">
        <v>43511</v>
      </c>
      <c r="V25" s="44">
        <v>43511</v>
      </c>
      <c r="W25" s="44">
        <v>43511</v>
      </c>
      <c r="X25" s="44">
        <v>43511</v>
      </c>
      <c r="Y25" s="44">
        <v>43511</v>
      </c>
      <c r="Z25" s="44">
        <v>43511</v>
      </c>
      <c r="AA25" s="44">
        <v>43511</v>
      </c>
      <c r="AB25" s="44">
        <v>43511</v>
      </c>
      <c r="AC25" s="44">
        <v>43511</v>
      </c>
      <c r="AD25" s="44">
        <v>43511</v>
      </c>
      <c r="AE25" s="44">
        <v>43732</v>
      </c>
      <c r="AF25" s="44">
        <v>43636</v>
      </c>
      <c r="AG25" s="44">
        <v>43511</v>
      </c>
      <c r="AH25" s="44">
        <v>43511</v>
      </c>
      <c r="AI25" s="44" t="s">
        <v>77</v>
      </c>
      <c r="AJ25" s="48"/>
      <c r="AK25" s="48"/>
      <c r="AL25" s="48">
        <v>43564</v>
      </c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</row>
    <row r="26" spans="1:64" s="3" customFormat="1" ht="75" x14ac:dyDescent="0.25">
      <c r="A26" s="4" t="s">
        <v>41</v>
      </c>
      <c r="B26" s="4" t="s">
        <v>42</v>
      </c>
      <c r="C26" s="44" t="s">
        <v>77</v>
      </c>
      <c r="D26" s="44" t="s">
        <v>77</v>
      </c>
      <c r="E26" s="44" t="s">
        <v>77</v>
      </c>
      <c r="F26" s="44" t="s">
        <v>77</v>
      </c>
      <c r="G26" s="51">
        <v>43510</v>
      </c>
      <c r="H26" s="44">
        <v>43510</v>
      </c>
      <c r="I26" s="44" t="s">
        <v>77</v>
      </c>
      <c r="J26" s="44">
        <v>43510</v>
      </c>
      <c r="K26" s="44" t="s">
        <v>77</v>
      </c>
      <c r="L26" s="44" t="s">
        <v>77</v>
      </c>
      <c r="M26" s="44" t="s">
        <v>77</v>
      </c>
      <c r="N26" s="44" t="s">
        <v>77</v>
      </c>
      <c r="O26" s="44" t="s">
        <v>77</v>
      </c>
      <c r="P26" s="44">
        <v>43510</v>
      </c>
      <c r="Q26" s="44" t="s">
        <v>77</v>
      </c>
      <c r="R26" s="44">
        <v>43510</v>
      </c>
      <c r="S26" s="44" t="s">
        <v>77</v>
      </c>
      <c r="T26" s="44" t="s">
        <v>77</v>
      </c>
      <c r="U26" s="44" t="s">
        <v>77</v>
      </c>
      <c r="V26" s="44" t="s">
        <v>77</v>
      </c>
      <c r="W26" s="44" t="s">
        <v>77</v>
      </c>
      <c r="X26" s="44" t="s">
        <v>77</v>
      </c>
      <c r="Y26" s="44" t="s">
        <v>77</v>
      </c>
      <c r="Z26" s="44" t="s">
        <v>77</v>
      </c>
      <c r="AA26" s="44">
        <v>43510</v>
      </c>
      <c r="AB26" s="44" t="s">
        <v>77</v>
      </c>
      <c r="AC26" s="44" t="s">
        <v>77</v>
      </c>
      <c r="AD26" s="44">
        <v>43510</v>
      </c>
      <c r="AE26" s="44" t="s">
        <v>77</v>
      </c>
      <c r="AF26" s="44" t="s">
        <v>125</v>
      </c>
      <c r="AG26" s="44" t="s">
        <v>77</v>
      </c>
      <c r="AH26" s="44">
        <v>43510</v>
      </c>
      <c r="AI26" s="44" t="s">
        <v>77</v>
      </c>
      <c r="AJ26" s="48"/>
      <c r="AK26" s="48"/>
      <c r="AL26" s="48" t="s">
        <v>77</v>
      </c>
      <c r="AM26" s="48"/>
      <c r="AN26" s="48">
        <v>43521</v>
      </c>
      <c r="AO26" s="48"/>
      <c r="AP26" s="48"/>
      <c r="AQ26" s="48"/>
      <c r="AR26" s="48"/>
      <c r="AS26" s="48"/>
      <c r="AT26" s="48"/>
      <c r="AU26" s="48">
        <v>43516</v>
      </c>
      <c r="AV26" s="48">
        <v>43510</v>
      </c>
      <c r="AW26" s="48"/>
      <c r="AX26" s="48"/>
      <c r="AY26" s="44"/>
      <c r="AZ26" s="44"/>
      <c r="BA26" s="44" t="s">
        <v>177</v>
      </c>
      <c r="BB26" s="44" t="s">
        <v>176</v>
      </c>
      <c r="BC26" s="44"/>
      <c r="BD26" s="44"/>
      <c r="BE26" s="44">
        <v>43745</v>
      </c>
      <c r="BF26" s="44"/>
      <c r="BG26" s="44"/>
      <c r="BH26" s="44"/>
      <c r="BI26" s="44"/>
      <c r="BJ26" s="44" t="s">
        <v>173</v>
      </c>
      <c r="BK26" s="44"/>
      <c r="BL26" s="44" t="s">
        <v>175</v>
      </c>
    </row>
    <row r="27" spans="1:64" s="3" customFormat="1" ht="15.75" thickBot="1" x14ac:dyDescent="0.3">
      <c r="A27" s="15" t="s">
        <v>130</v>
      </c>
      <c r="B27" s="15" t="s">
        <v>131</v>
      </c>
      <c r="C27" s="46"/>
      <c r="D27" s="46" t="s">
        <v>77</v>
      </c>
      <c r="E27" s="46" t="s">
        <v>77</v>
      </c>
      <c r="F27" s="46" t="s">
        <v>77</v>
      </c>
      <c r="G27" s="46" t="s">
        <v>77</v>
      </c>
      <c r="H27" s="46" t="s">
        <v>77</v>
      </c>
      <c r="I27" s="46" t="s">
        <v>77</v>
      </c>
      <c r="J27" s="46" t="s">
        <v>77</v>
      </c>
      <c r="K27" s="46" t="s">
        <v>77</v>
      </c>
      <c r="L27" s="46" t="s">
        <v>77</v>
      </c>
      <c r="M27" s="46" t="s">
        <v>77</v>
      </c>
      <c r="N27" s="46" t="s">
        <v>77</v>
      </c>
      <c r="O27" s="46" t="s">
        <v>77</v>
      </c>
      <c r="P27" s="46" t="s">
        <v>77</v>
      </c>
      <c r="Q27" s="46" t="s">
        <v>77</v>
      </c>
      <c r="R27" s="46" t="s">
        <v>136</v>
      </c>
      <c r="S27" s="46" t="s">
        <v>77</v>
      </c>
      <c r="T27" s="46" t="s">
        <v>77</v>
      </c>
      <c r="U27" s="46" t="s">
        <v>77</v>
      </c>
      <c r="V27" s="46" t="s">
        <v>77</v>
      </c>
      <c r="W27" s="46" t="s">
        <v>77</v>
      </c>
      <c r="X27" s="46" t="s">
        <v>77</v>
      </c>
      <c r="Y27" s="46" t="s">
        <v>77</v>
      </c>
      <c r="Z27" s="46" t="s">
        <v>77</v>
      </c>
      <c r="AA27" s="46" t="s">
        <v>77</v>
      </c>
      <c r="AB27" s="53">
        <v>2</v>
      </c>
      <c r="AC27" s="46" t="s">
        <v>76</v>
      </c>
      <c r="AD27" s="46" t="s">
        <v>77</v>
      </c>
      <c r="AE27" s="46" t="s">
        <v>161</v>
      </c>
      <c r="AF27" s="46" t="s">
        <v>77</v>
      </c>
      <c r="AG27" s="46" t="s">
        <v>77</v>
      </c>
      <c r="AH27" s="46" t="s">
        <v>77</v>
      </c>
      <c r="AI27" s="46" t="s">
        <v>76</v>
      </c>
      <c r="AJ27" s="50"/>
      <c r="AK27" s="50"/>
      <c r="AL27" s="50" t="s">
        <v>77</v>
      </c>
      <c r="AM27" s="50"/>
      <c r="AN27" s="50"/>
      <c r="AO27" s="50" t="s">
        <v>77</v>
      </c>
      <c r="AP27" s="50"/>
      <c r="AQ27" s="50"/>
      <c r="AR27" s="50"/>
      <c r="AS27" s="50"/>
      <c r="AT27" s="50"/>
      <c r="AU27" s="50"/>
      <c r="AV27" s="50"/>
      <c r="AW27" s="50"/>
      <c r="AX27" s="52">
        <v>2</v>
      </c>
      <c r="AY27" s="53">
        <v>4</v>
      </c>
      <c r="AZ27" s="53">
        <v>1</v>
      </c>
      <c r="BA27" s="53">
        <v>1</v>
      </c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</row>
    <row r="28" spans="1:64" ht="15.75" thickBot="1" x14ac:dyDescent="0.3">
      <c r="A28" s="8"/>
      <c r="B28" s="22" t="s">
        <v>82</v>
      </c>
      <c r="C28" s="21">
        <f t="shared" ref="C28:AW28" si="0">+COUNTIF(C4:C27,"NOK")</f>
        <v>0</v>
      </c>
      <c r="D28" s="21">
        <f t="shared" si="0"/>
        <v>1</v>
      </c>
      <c r="E28" s="21">
        <f t="shared" si="0"/>
        <v>0</v>
      </c>
      <c r="F28" s="21">
        <f t="shared" si="0"/>
        <v>0</v>
      </c>
      <c r="G28" s="21">
        <f t="shared" si="0"/>
        <v>0</v>
      </c>
      <c r="H28" s="21">
        <f t="shared" si="0"/>
        <v>0</v>
      </c>
      <c r="I28" s="21">
        <f t="shared" si="0"/>
        <v>0</v>
      </c>
      <c r="J28" s="21">
        <f t="shared" si="0"/>
        <v>0</v>
      </c>
      <c r="K28" s="21">
        <f t="shared" si="0"/>
        <v>0</v>
      </c>
      <c r="L28" s="21">
        <f t="shared" si="0"/>
        <v>0</v>
      </c>
      <c r="M28" s="21">
        <f t="shared" si="0"/>
        <v>0</v>
      </c>
      <c r="N28" s="21">
        <f t="shared" si="0"/>
        <v>0</v>
      </c>
      <c r="O28" s="21">
        <f t="shared" si="0"/>
        <v>0</v>
      </c>
      <c r="P28" s="21">
        <f t="shared" si="0"/>
        <v>0</v>
      </c>
      <c r="Q28" s="21">
        <f t="shared" si="0"/>
        <v>0</v>
      </c>
      <c r="R28" s="21">
        <f t="shared" si="0"/>
        <v>0</v>
      </c>
      <c r="S28" s="21">
        <f t="shared" si="0"/>
        <v>0</v>
      </c>
      <c r="T28" s="21">
        <f t="shared" si="0"/>
        <v>0</v>
      </c>
      <c r="U28" s="21">
        <f t="shared" si="0"/>
        <v>0</v>
      </c>
      <c r="V28" s="21">
        <f t="shared" si="0"/>
        <v>0</v>
      </c>
      <c r="W28" s="21">
        <f t="shared" si="0"/>
        <v>0</v>
      </c>
      <c r="X28" s="21">
        <f t="shared" si="0"/>
        <v>0</v>
      </c>
      <c r="Y28" s="21">
        <f t="shared" si="0"/>
        <v>0</v>
      </c>
      <c r="Z28" s="21">
        <f t="shared" si="0"/>
        <v>0</v>
      </c>
      <c r="AA28" s="21">
        <f t="shared" si="0"/>
        <v>0</v>
      </c>
      <c r="AB28" s="21">
        <f t="shared" si="0"/>
        <v>0</v>
      </c>
      <c r="AC28" s="21">
        <f t="shared" si="0"/>
        <v>1</v>
      </c>
      <c r="AD28" s="21">
        <f t="shared" si="0"/>
        <v>0</v>
      </c>
      <c r="AE28" s="21">
        <f t="shared" si="0"/>
        <v>0</v>
      </c>
      <c r="AF28" s="21">
        <f t="shared" si="0"/>
        <v>0</v>
      </c>
      <c r="AG28" s="21">
        <f t="shared" si="0"/>
        <v>0</v>
      </c>
      <c r="AH28" s="21">
        <f>+COUNTIF(AH4:AH27,"NOK")</f>
        <v>3</v>
      </c>
      <c r="AI28" s="21">
        <f t="shared" si="0"/>
        <v>3</v>
      </c>
      <c r="AJ28" s="21"/>
      <c r="AK28" s="21"/>
      <c r="AL28" s="21">
        <f t="shared" si="0"/>
        <v>0</v>
      </c>
      <c r="AM28" s="21">
        <f t="shared" si="0"/>
        <v>0</v>
      </c>
      <c r="AN28" s="21">
        <f t="shared" si="0"/>
        <v>0</v>
      </c>
      <c r="AO28" s="21">
        <f t="shared" si="0"/>
        <v>0</v>
      </c>
      <c r="AP28" s="21">
        <f t="shared" si="0"/>
        <v>0</v>
      </c>
      <c r="AQ28" s="21">
        <f t="shared" si="0"/>
        <v>0</v>
      </c>
      <c r="AR28" s="21">
        <f t="shared" si="0"/>
        <v>0</v>
      </c>
      <c r="AS28" s="21">
        <f t="shared" si="0"/>
        <v>0</v>
      </c>
      <c r="AT28" s="21">
        <f t="shared" si="0"/>
        <v>0</v>
      </c>
      <c r="AU28" s="21">
        <f t="shared" si="0"/>
        <v>0</v>
      </c>
      <c r="AV28" s="21">
        <f t="shared" si="0"/>
        <v>0</v>
      </c>
      <c r="AW28" s="21">
        <f t="shared" si="0"/>
        <v>0</v>
      </c>
    </row>
    <row r="29" spans="1:64" x14ac:dyDescent="0.25">
      <c r="AE29" s="21"/>
    </row>
    <row r="31" spans="1:64" s="3" customFormat="1" x14ac:dyDescent="0.25">
      <c r="A31" s="4" t="s">
        <v>11</v>
      </c>
      <c r="B31" s="4" t="s">
        <v>12</v>
      </c>
      <c r="C31" s="44" t="s">
        <v>77</v>
      </c>
      <c r="D31" s="44" t="s">
        <v>77</v>
      </c>
      <c r="E31" s="44" t="s">
        <v>77</v>
      </c>
      <c r="F31" s="44" t="s">
        <v>77</v>
      </c>
      <c r="G31" s="44" t="s">
        <v>77</v>
      </c>
      <c r="H31" s="44" t="s">
        <v>76</v>
      </c>
      <c r="I31" s="44" t="s">
        <v>77</v>
      </c>
      <c r="J31" s="44" t="s">
        <v>77</v>
      </c>
      <c r="K31" s="44" t="s">
        <v>77</v>
      </c>
      <c r="L31" s="44" t="s">
        <v>77</v>
      </c>
      <c r="M31" s="44" t="s">
        <v>77</v>
      </c>
      <c r="N31" s="44" t="s">
        <v>77</v>
      </c>
      <c r="O31" s="44" t="s">
        <v>77</v>
      </c>
      <c r="P31" s="44" t="s">
        <v>77</v>
      </c>
      <c r="Q31" s="44" t="s">
        <v>77</v>
      </c>
      <c r="R31" s="44" t="s">
        <v>77</v>
      </c>
      <c r="S31" s="44" t="s">
        <v>77</v>
      </c>
      <c r="T31" s="44" t="s">
        <v>77</v>
      </c>
      <c r="U31" s="44" t="s">
        <v>77</v>
      </c>
      <c r="V31" s="44" t="s">
        <v>77</v>
      </c>
      <c r="W31" s="44" t="s">
        <v>77</v>
      </c>
      <c r="X31" s="44" t="s">
        <v>77</v>
      </c>
      <c r="Y31" s="44" t="s">
        <v>77</v>
      </c>
      <c r="Z31" s="44" t="s">
        <v>77</v>
      </c>
      <c r="AA31" s="44" t="s">
        <v>77</v>
      </c>
      <c r="AB31" s="44" t="s">
        <v>77</v>
      </c>
      <c r="AC31" s="44" t="s">
        <v>77</v>
      </c>
      <c r="AD31" s="44" t="s">
        <v>77</v>
      </c>
      <c r="AE31" s="44" t="s">
        <v>168</v>
      </c>
      <c r="AF31" s="44" t="s">
        <v>77</v>
      </c>
      <c r="AG31" s="44" t="s">
        <v>78</v>
      </c>
      <c r="AH31" s="44" t="s">
        <v>78</v>
      </c>
      <c r="AI31" s="44" t="s">
        <v>78</v>
      </c>
      <c r="AJ31" s="48"/>
      <c r="AK31" s="48"/>
      <c r="AL31" s="48">
        <v>43731</v>
      </c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>
        <v>43605</v>
      </c>
      <c r="AX31" s="48"/>
      <c r="AY31" s="44"/>
      <c r="AZ31" s="44"/>
      <c r="BA31" s="44"/>
      <c r="BB31" s="44"/>
      <c r="BC31" s="44"/>
      <c r="BD31" s="44"/>
      <c r="BE31" s="44"/>
      <c r="BF31" s="44">
        <v>43696</v>
      </c>
      <c r="BG31" s="44"/>
      <c r="BH31" s="44"/>
      <c r="BI31" s="44"/>
      <c r="BJ31" s="44"/>
    </row>
    <row r="32" spans="1:64" s="7" customFormat="1" x14ac:dyDescent="0.25">
      <c r="A32"/>
      <c r="B32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</row>
    <row r="33" spans="1:38" s="7" customFormat="1" x14ac:dyDescent="0.25">
      <c r="A33"/>
      <c r="B3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7A854-9966-4A23-9701-C499375500B7}">
  <dimension ref="A1:BM27"/>
  <sheetViews>
    <sheetView zoomScaleNormal="100" workbookViewId="0">
      <pane xSplit="2" ySplit="2" topLeftCell="AE12" activePane="bottomRight" state="frozen"/>
      <selection activeCell="S13" sqref="S13"/>
      <selection pane="topRight" activeCell="S13" sqref="S13"/>
      <selection pane="bottomLeft" activeCell="S13" sqref="S13"/>
      <selection pane="bottomRight" activeCell="S13" sqref="S13"/>
    </sheetView>
  </sheetViews>
  <sheetFormatPr baseColWidth="10" defaultColWidth="11.5703125" defaultRowHeight="15" x14ac:dyDescent="0.25"/>
  <cols>
    <col min="1" max="1" width="15.5703125" bestFit="1" customWidth="1"/>
    <col min="2" max="2" width="18.28515625" customWidth="1"/>
    <col min="3" max="37" width="15.42578125" style="6" customWidth="1"/>
    <col min="38" max="38" width="15.42578125" style="6" bestFit="1" customWidth="1"/>
  </cols>
  <sheetData>
    <row r="1" spans="1:65" x14ac:dyDescent="0.25">
      <c r="A1" s="9" t="s">
        <v>104</v>
      </c>
    </row>
    <row r="2" spans="1:65" ht="15.75" thickBot="1" x14ac:dyDescent="0.3"/>
    <row r="3" spans="1:65" s="2" customFormat="1" ht="90.75" thickBot="1" x14ac:dyDescent="0.3">
      <c r="A3" s="1" t="s">
        <v>0</v>
      </c>
      <c r="B3" s="1" t="s">
        <v>1</v>
      </c>
      <c r="C3" s="1" t="str">
        <f>+'à commander 2019'!A4</f>
        <v>Cadenas</v>
      </c>
      <c r="D3" s="1" t="str">
        <f>+'à commander 2019'!A5</f>
        <v>Coffre 026-001</v>
      </c>
      <c r="E3" s="1" t="str">
        <f>+'à commander 2019'!A6</f>
        <v>Clef à molette 493-250</v>
      </c>
      <c r="F3" s="1" t="str">
        <f>+'à commander 2019'!A7</f>
        <v>Pince à dénuder 257-160</v>
      </c>
      <c r="G3" s="1" t="str">
        <f>+'à commander 2019'!A8</f>
        <v>Lime demi ronde 805-209</v>
      </c>
      <c r="H3" s="1" t="str">
        <f>+'à commander 2019'!A9</f>
        <v>Pince coupante 1000v 256-160</v>
      </c>
      <c r="I3" s="1" t="str">
        <f>+'à commander 2019'!A10</f>
        <v>Coupe câble</v>
      </c>
      <c r="J3" s="1" t="str">
        <f>+'à commander 2019'!A11</f>
        <v>Scie à métaux 840-001</v>
      </c>
      <c r="K3" s="1" t="str">
        <f>+'à commander 2019'!A12</f>
        <v>Mètre pliant</v>
      </c>
      <c r="L3" s="1" t="str">
        <f>+'à commander 2019'!A13</f>
        <v>Burin plat 753-22-16-300</v>
      </c>
      <c r="M3" s="1" t="str">
        <f>+'à commander 2019'!A14</f>
        <v>Burin pointe 754-04-16-300</v>
      </c>
      <c r="N3" s="1" t="str">
        <f>+'à commander 2019'!A15</f>
        <v>Massette 704-1250</v>
      </c>
      <c r="O3" s="1" t="str">
        <f>+'à commander 2019'!A16</f>
        <v>Niveau</v>
      </c>
      <c r="P3" s="1" t="str">
        <f>+'à commander 2019'!A17</f>
        <v>Jeu tournevis</v>
      </c>
      <c r="Q3" s="1" t="str">
        <f>+'à commander 2019'!A18</f>
        <v>Pince étau 275-175</v>
      </c>
      <c r="R3" s="1" t="str">
        <f>+'à commander 2019'!A19</f>
        <v>Coffret douilles 531-002</v>
      </c>
      <c r="S3" s="1" t="str">
        <f>+'à commander 2019'!A20</f>
        <v>Clef à pipe 10/462-10</v>
      </c>
      <c r="T3" s="1" t="str">
        <f>+'à commander 2019'!A21</f>
        <v>Clef à pipe 13/462-13</v>
      </c>
      <c r="U3" s="1" t="str">
        <f>+'à commander 2019'!A22</f>
        <v>Clef à pipe 17/462-17</v>
      </c>
      <c r="V3" s="1" t="str">
        <f>+'à commander 2019'!A23</f>
        <v>Clef à pipe 19/462-19</v>
      </c>
      <c r="W3" s="1" t="str">
        <f>+'à commander 2019'!A24</f>
        <v>Clef plate 10/451-10</v>
      </c>
      <c r="X3" s="1" t="str">
        <f>+'à commander 2019'!A25</f>
        <v>Clef plate 13/451-13</v>
      </c>
      <c r="Y3" s="1" t="str">
        <f>+'à commander 2019'!A26</f>
        <v>Clef plate 17/451-17</v>
      </c>
      <c r="Z3" s="1" t="str">
        <f>+'à commander 2019'!A27</f>
        <v>Clef plate 19/451-19</v>
      </c>
      <c r="AA3" s="1" t="str">
        <f>+'à commander 2019'!A28</f>
        <v>Cutter</v>
      </c>
      <c r="AB3" s="1" t="str">
        <f>+'à commander 2019'!A29</f>
        <v>Clef allen 602-009</v>
      </c>
      <c r="AC3" s="1" t="str">
        <f>+'à commander 2019'!A30</f>
        <v>Outil à dégainer 296-032</v>
      </c>
      <c r="AD3" s="1" t="str">
        <f>+'à commander 2019'!A31</f>
        <v>Pince à Sertir</v>
      </c>
      <c r="AE3" s="1" t="str">
        <f>+'à commander 2019'!A32</f>
        <v>Testeur Fluke</v>
      </c>
      <c r="AF3" s="1" t="str">
        <f>+'à commander 2019'!A33</f>
        <v xml:space="preserve">Boite embouts </v>
      </c>
      <c r="AG3" s="1" t="str">
        <f>+'à commander 2019'!A34</f>
        <v>Pince colson</v>
      </c>
      <c r="AH3" s="1" t="str">
        <f>+'à commander 2019'!A35</f>
        <v>Lunette de protection</v>
      </c>
      <c r="AI3" s="1" t="str">
        <f>+'à commander 2019'!A36</f>
        <v>Casque chantier</v>
      </c>
      <c r="AJ3" s="47" t="s">
        <v>157</v>
      </c>
      <c r="AK3" s="47" t="s">
        <v>160</v>
      </c>
      <c r="AL3" s="47" t="str">
        <f>+'à commander 2019'!A37</f>
        <v>Lampe frontale</v>
      </c>
      <c r="AM3" s="47" t="s">
        <v>117</v>
      </c>
      <c r="AN3" s="47" t="s">
        <v>124</v>
      </c>
      <c r="AO3" s="47" t="s">
        <v>91</v>
      </c>
      <c r="AP3" s="47" t="s">
        <v>118</v>
      </c>
      <c r="AQ3" s="47" t="s">
        <v>119</v>
      </c>
      <c r="AR3" s="47" t="s">
        <v>121</v>
      </c>
      <c r="AS3" s="47" t="s">
        <v>123</v>
      </c>
      <c r="AT3" s="47" t="s">
        <v>126</v>
      </c>
      <c r="AU3" s="47" t="s">
        <v>127</v>
      </c>
      <c r="AV3" s="47" t="s">
        <v>128</v>
      </c>
      <c r="AW3" s="47" t="s">
        <v>129</v>
      </c>
      <c r="AX3" s="47" t="s">
        <v>132</v>
      </c>
      <c r="AY3" s="1" t="s">
        <v>133</v>
      </c>
      <c r="AZ3" s="1" t="s">
        <v>134</v>
      </c>
      <c r="BA3" s="1" t="s">
        <v>135</v>
      </c>
      <c r="BB3" s="1" t="s">
        <v>137</v>
      </c>
      <c r="BC3" s="1" t="s">
        <v>138</v>
      </c>
      <c r="BD3" s="1" t="s">
        <v>139</v>
      </c>
      <c r="BE3" s="1" t="s">
        <v>140</v>
      </c>
      <c r="BF3" s="1" t="s">
        <v>144</v>
      </c>
      <c r="BG3" s="1" t="s">
        <v>145</v>
      </c>
      <c r="BH3" s="1" t="s">
        <v>146</v>
      </c>
      <c r="BI3" s="1" t="s">
        <v>149</v>
      </c>
      <c r="BJ3" s="1" t="s">
        <v>158</v>
      </c>
      <c r="BK3" s="1" t="s">
        <v>170</v>
      </c>
      <c r="BL3" s="1" t="s">
        <v>174</v>
      </c>
      <c r="BM3" s="1" t="s">
        <v>183</v>
      </c>
    </row>
    <row r="4" spans="1:65" s="2" customFormat="1" ht="75" x14ac:dyDescent="0.25">
      <c r="A4" s="17" t="s">
        <v>80</v>
      </c>
      <c r="B4" s="17" t="s">
        <v>81</v>
      </c>
      <c r="C4" s="44" t="s">
        <v>77</v>
      </c>
      <c r="D4" s="44" t="s">
        <v>77</v>
      </c>
      <c r="E4" s="44">
        <v>43510</v>
      </c>
      <c r="F4" s="44" t="s">
        <v>77</v>
      </c>
      <c r="G4" s="44">
        <v>43510</v>
      </c>
      <c r="H4" s="44" t="s">
        <v>77</v>
      </c>
      <c r="I4" s="44" t="s">
        <v>77</v>
      </c>
      <c r="J4" s="44" t="s">
        <v>178</v>
      </c>
      <c r="K4" s="44" t="s">
        <v>77</v>
      </c>
      <c r="L4" s="44" t="s">
        <v>76</v>
      </c>
      <c r="M4" s="44" t="s">
        <v>76</v>
      </c>
      <c r="N4" s="44" t="s">
        <v>77</v>
      </c>
      <c r="O4" s="44">
        <v>43510</v>
      </c>
      <c r="P4" s="44">
        <v>43479</v>
      </c>
      <c r="Q4" s="44" t="s">
        <v>76</v>
      </c>
      <c r="R4" s="44" t="s">
        <v>76</v>
      </c>
      <c r="S4" s="44" t="s">
        <v>77</v>
      </c>
      <c r="T4" s="44" t="s">
        <v>77</v>
      </c>
      <c r="U4" s="44" t="s">
        <v>77</v>
      </c>
      <c r="V4" s="44">
        <v>43510</v>
      </c>
      <c r="W4" s="44" t="s">
        <v>77</v>
      </c>
      <c r="X4" s="44">
        <v>43510</v>
      </c>
      <c r="Y4" s="44" t="s">
        <v>77</v>
      </c>
      <c r="Z4" s="44" t="s">
        <v>77</v>
      </c>
      <c r="AA4" s="44">
        <v>43510</v>
      </c>
      <c r="AB4" s="44">
        <v>43510</v>
      </c>
      <c r="AC4" s="44" t="s">
        <v>77</v>
      </c>
      <c r="AD4" s="44" t="s">
        <v>77</v>
      </c>
      <c r="AE4" s="44" t="s">
        <v>179</v>
      </c>
      <c r="AF4" s="44">
        <v>43510</v>
      </c>
      <c r="AG4" s="44" t="s">
        <v>77</v>
      </c>
      <c r="AH4" s="51" t="s">
        <v>76</v>
      </c>
      <c r="AI4" s="51" t="s">
        <v>76</v>
      </c>
      <c r="AJ4" s="56"/>
      <c r="AK4" s="56"/>
      <c r="AL4" s="48" t="s">
        <v>77</v>
      </c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>
        <v>43598</v>
      </c>
      <c r="AX4" s="48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 t="s">
        <v>77</v>
      </c>
    </row>
    <row r="5" spans="1:65" s="3" customFormat="1" x14ac:dyDescent="0.25">
      <c r="A5" s="19" t="s">
        <v>2</v>
      </c>
      <c r="B5" s="19" t="s">
        <v>3</v>
      </c>
      <c r="C5" s="44"/>
      <c r="D5" s="44" t="s">
        <v>77</v>
      </c>
      <c r="E5" s="44" t="s">
        <v>77</v>
      </c>
      <c r="F5" s="44" t="s">
        <v>77</v>
      </c>
      <c r="G5" s="44" t="s">
        <v>77</v>
      </c>
      <c r="H5" s="44">
        <v>43510</v>
      </c>
      <c r="I5" s="44" t="s">
        <v>77</v>
      </c>
      <c r="J5" s="44">
        <v>43510</v>
      </c>
      <c r="K5" s="44">
        <v>43510</v>
      </c>
      <c r="L5" s="44">
        <v>43510</v>
      </c>
      <c r="M5" s="44">
        <v>43510</v>
      </c>
      <c r="N5" s="44">
        <v>43510</v>
      </c>
      <c r="O5" s="44" t="s">
        <v>77</v>
      </c>
      <c r="P5" s="44" t="s">
        <v>77</v>
      </c>
      <c r="Q5" s="44">
        <v>43510</v>
      </c>
      <c r="R5" s="44" t="s">
        <v>77</v>
      </c>
      <c r="S5" s="44">
        <v>43510</v>
      </c>
      <c r="T5" s="44">
        <v>43510</v>
      </c>
      <c r="U5" s="44">
        <v>43510</v>
      </c>
      <c r="V5" s="44">
        <v>43510</v>
      </c>
      <c r="W5" s="44" t="s">
        <v>77</v>
      </c>
      <c r="X5" s="44" t="s">
        <v>77</v>
      </c>
      <c r="Y5" s="44" t="s">
        <v>77</v>
      </c>
      <c r="Z5" s="44" t="s">
        <v>77</v>
      </c>
      <c r="AA5" s="44">
        <v>43510</v>
      </c>
      <c r="AB5" s="44">
        <v>43510</v>
      </c>
      <c r="AC5" s="44">
        <v>43510</v>
      </c>
      <c r="AD5" s="44" t="s">
        <v>77</v>
      </c>
      <c r="AE5" s="44" t="s">
        <v>150</v>
      </c>
      <c r="AF5" s="44">
        <v>43510</v>
      </c>
      <c r="AG5" s="44"/>
      <c r="AH5" s="51" t="s">
        <v>76</v>
      </c>
      <c r="AI5" s="51" t="s">
        <v>77</v>
      </c>
      <c r="AJ5" s="56"/>
      <c r="AK5" s="56"/>
      <c r="AL5" s="48">
        <v>43817</v>
      </c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4"/>
      <c r="AZ5" s="44"/>
      <c r="BA5" s="44"/>
      <c r="BB5" s="44">
        <v>43746</v>
      </c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</row>
    <row r="6" spans="1:65" s="3" customFormat="1" x14ac:dyDescent="0.25">
      <c r="A6" s="4" t="s">
        <v>4</v>
      </c>
      <c r="B6" s="4" t="s">
        <v>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9"/>
      <c r="AK6" s="49"/>
      <c r="AL6" s="49" t="s">
        <v>77</v>
      </c>
      <c r="AM6" s="49">
        <v>43511</v>
      </c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</row>
    <row r="7" spans="1:65" s="3" customFormat="1" x14ac:dyDescent="0.25">
      <c r="A7" s="4" t="s">
        <v>4</v>
      </c>
      <c r="B7" s="4" t="s">
        <v>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>
        <v>43674</v>
      </c>
      <c r="AJ7" s="49">
        <v>43674</v>
      </c>
      <c r="AK7" s="49"/>
      <c r="AL7" s="49">
        <v>43476</v>
      </c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</row>
    <row r="8" spans="1:65" s="3" customFormat="1" x14ac:dyDescent="0.25">
      <c r="A8" s="20" t="s">
        <v>7</v>
      </c>
      <c r="B8" s="20" t="s">
        <v>8</v>
      </c>
      <c r="C8" s="44"/>
      <c r="D8" s="44" t="s">
        <v>76</v>
      </c>
      <c r="E8" s="44">
        <v>43511</v>
      </c>
      <c r="F8" s="44">
        <v>43511</v>
      </c>
      <c r="G8" s="44">
        <v>43511</v>
      </c>
      <c r="H8" s="44">
        <v>43511</v>
      </c>
      <c r="I8" s="44" t="s">
        <v>77</v>
      </c>
      <c r="J8" s="44">
        <v>43511</v>
      </c>
      <c r="K8" s="44">
        <v>43511</v>
      </c>
      <c r="L8" s="44">
        <v>43511</v>
      </c>
      <c r="M8" s="44">
        <v>43511</v>
      </c>
      <c r="N8" s="44">
        <v>43511</v>
      </c>
      <c r="O8" s="44">
        <v>43511</v>
      </c>
      <c r="P8" s="44">
        <v>43511</v>
      </c>
      <c r="Q8" s="44">
        <v>43511</v>
      </c>
      <c r="R8" s="44">
        <v>43511</v>
      </c>
      <c r="S8" s="44">
        <v>43511</v>
      </c>
      <c r="T8" s="44">
        <v>43511</v>
      </c>
      <c r="U8" s="44">
        <v>43511</v>
      </c>
      <c r="V8" s="44">
        <v>43511</v>
      </c>
      <c r="W8" s="44" t="s">
        <v>77</v>
      </c>
      <c r="X8" s="44">
        <v>43511</v>
      </c>
      <c r="Y8" s="44">
        <v>43511</v>
      </c>
      <c r="Z8" s="44">
        <v>43511</v>
      </c>
      <c r="AA8" s="44" t="s">
        <v>77</v>
      </c>
      <c r="AB8" s="44" t="s">
        <v>77</v>
      </c>
      <c r="AC8" s="44" t="s">
        <v>77</v>
      </c>
      <c r="AD8" s="44" t="s">
        <v>77</v>
      </c>
      <c r="AE8" s="44" t="s">
        <v>151</v>
      </c>
      <c r="AF8" s="44">
        <v>43511</v>
      </c>
      <c r="AG8" s="44"/>
      <c r="AH8" s="44" t="s">
        <v>76</v>
      </c>
      <c r="AI8" s="44">
        <v>43674</v>
      </c>
      <c r="AJ8" s="48">
        <v>43674</v>
      </c>
      <c r="AK8" s="48"/>
      <c r="AL8" s="48">
        <v>43511</v>
      </c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>
        <v>43637</v>
      </c>
      <c r="AX8" s="48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</row>
    <row r="9" spans="1:65" s="3" customFormat="1" ht="30" x14ac:dyDescent="0.25">
      <c r="A9" s="4" t="s">
        <v>105</v>
      </c>
      <c r="B9" s="4" t="s">
        <v>106</v>
      </c>
      <c r="C9" s="44" t="s">
        <v>77</v>
      </c>
      <c r="D9" s="44" t="s">
        <v>77</v>
      </c>
      <c r="E9" s="44" t="s">
        <v>77</v>
      </c>
      <c r="F9" s="44" t="s">
        <v>77</v>
      </c>
      <c r="G9" s="54">
        <v>43634</v>
      </c>
      <c r="H9" s="44" t="s">
        <v>77</v>
      </c>
      <c r="I9" s="44" t="s">
        <v>143</v>
      </c>
      <c r="J9" s="44" t="s">
        <v>77</v>
      </c>
      <c r="K9" s="44" t="s">
        <v>77</v>
      </c>
      <c r="L9" s="44" t="s">
        <v>77</v>
      </c>
      <c r="M9" s="44" t="s">
        <v>77</v>
      </c>
      <c r="N9" s="44" t="s">
        <v>77</v>
      </c>
      <c r="O9" s="44">
        <v>43510</v>
      </c>
      <c r="P9" s="44">
        <v>43727</v>
      </c>
      <c r="Q9" s="44">
        <v>43510</v>
      </c>
      <c r="R9" s="44">
        <v>43510</v>
      </c>
      <c r="S9" s="44" t="s">
        <v>77</v>
      </c>
      <c r="T9" s="44" t="s">
        <v>77</v>
      </c>
      <c r="U9" s="44" t="s">
        <v>77</v>
      </c>
      <c r="V9" s="44" t="s">
        <v>77</v>
      </c>
      <c r="W9" s="44" t="s">
        <v>77</v>
      </c>
      <c r="X9" s="44" t="s">
        <v>77</v>
      </c>
      <c r="Y9" s="44" t="s">
        <v>77</v>
      </c>
      <c r="Z9" s="44" t="s">
        <v>77</v>
      </c>
      <c r="AA9" s="44" t="s">
        <v>77</v>
      </c>
      <c r="AB9" s="44" t="s">
        <v>77</v>
      </c>
      <c r="AC9" s="44">
        <v>43510</v>
      </c>
      <c r="AD9" s="44" t="s">
        <v>77</v>
      </c>
      <c r="AE9" s="44" t="s">
        <v>152</v>
      </c>
      <c r="AF9" s="44">
        <v>43510</v>
      </c>
      <c r="AG9" s="44">
        <v>43510</v>
      </c>
      <c r="AH9" s="44" t="s">
        <v>77</v>
      </c>
      <c r="AI9" s="44">
        <v>43634</v>
      </c>
      <c r="AJ9" s="48"/>
      <c r="AK9" s="48"/>
      <c r="AL9" s="48">
        <v>43510</v>
      </c>
      <c r="AM9" s="48"/>
      <c r="AN9" s="48">
        <v>43521</v>
      </c>
      <c r="AO9" s="48">
        <v>43510</v>
      </c>
      <c r="AP9" s="48"/>
      <c r="AQ9" s="48"/>
      <c r="AR9" s="48"/>
      <c r="AS9" s="48"/>
      <c r="AT9" s="48"/>
      <c r="AU9" s="48"/>
      <c r="AV9" s="48"/>
      <c r="AW9" s="48"/>
      <c r="AX9" s="48"/>
      <c r="AY9" s="44"/>
      <c r="AZ9" s="44"/>
      <c r="BA9" s="44"/>
      <c r="BB9" s="44" t="s">
        <v>172</v>
      </c>
      <c r="BC9" s="44">
        <v>43634</v>
      </c>
      <c r="BD9" s="44">
        <v>43634</v>
      </c>
      <c r="BE9" s="44"/>
      <c r="BF9" s="44"/>
      <c r="BG9" s="44"/>
      <c r="BH9" s="44"/>
      <c r="BI9" s="44"/>
      <c r="BJ9" s="44"/>
      <c r="BK9" s="44" t="s">
        <v>171</v>
      </c>
      <c r="BL9" s="44"/>
      <c r="BM9" s="44"/>
    </row>
    <row r="10" spans="1:65" s="3" customFormat="1" x14ac:dyDescent="0.25">
      <c r="A10" s="20" t="s">
        <v>13</v>
      </c>
      <c r="B10" s="20" t="s">
        <v>14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8"/>
      <c r="AK10" s="48"/>
      <c r="AL10" s="48" t="s">
        <v>77</v>
      </c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</row>
    <row r="11" spans="1:65" s="3" customFormat="1" x14ac:dyDescent="0.25">
      <c r="A11" s="20" t="s">
        <v>15</v>
      </c>
      <c r="B11" s="20" t="s">
        <v>16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>
        <v>43674</v>
      </c>
      <c r="AJ11" s="49"/>
      <c r="AK11" s="49"/>
      <c r="AL11" s="49" t="s">
        <v>77</v>
      </c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</row>
    <row r="12" spans="1:65" s="3" customFormat="1" x14ac:dyDescent="0.25">
      <c r="A12" s="4" t="s">
        <v>17</v>
      </c>
      <c r="B12" s="4" t="s">
        <v>18</v>
      </c>
      <c r="C12" s="45"/>
      <c r="D12" s="45"/>
      <c r="E12" s="45"/>
      <c r="F12" s="45"/>
      <c r="G12" s="45"/>
      <c r="H12" s="45"/>
      <c r="I12" s="45"/>
      <c r="J12" s="45">
        <v>43511</v>
      </c>
      <c r="K12" s="45">
        <v>43511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>
        <v>43511</v>
      </c>
      <c r="AI12" s="45">
        <v>43674</v>
      </c>
      <c r="AJ12" s="49"/>
      <c r="AK12" s="49"/>
      <c r="AL12" s="49">
        <v>43511</v>
      </c>
      <c r="AM12" s="49"/>
      <c r="AN12" s="49"/>
      <c r="AO12" s="49"/>
      <c r="AP12" s="49">
        <v>43473</v>
      </c>
      <c r="AQ12" s="49"/>
      <c r="AR12" s="49"/>
      <c r="AS12" s="49"/>
      <c r="AT12" s="49"/>
      <c r="AU12" s="49"/>
      <c r="AV12" s="49"/>
      <c r="AW12" s="49"/>
      <c r="AX12" s="49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</row>
    <row r="13" spans="1:65" s="3" customFormat="1" x14ac:dyDescent="0.25">
      <c r="A13" s="4" t="s">
        <v>19</v>
      </c>
      <c r="B13" s="4" t="s">
        <v>20</v>
      </c>
      <c r="C13" s="45"/>
      <c r="D13" s="45">
        <v>43546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>
        <v>43511</v>
      </c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>
        <v>43573</v>
      </c>
      <c r="AE13" s="45"/>
      <c r="AF13" s="45"/>
      <c r="AG13" s="45"/>
      <c r="AH13" s="45">
        <v>43511</v>
      </c>
      <c r="AI13" s="45"/>
      <c r="AJ13" s="49"/>
      <c r="AK13" s="49"/>
      <c r="AL13" s="49" t="s">
        <v>77</v>
      </c>
      <c r="AM13" s="49"/>
      <c r="AN13" s="49"/>
      <c r="AO13" s="49">
        <v>43511</v>
      </c>
      <c r="AP13" s="49"/>
      <c r="AQ13" s="49">
        <v>43511</v>
      </c>
      <c r="AR13" s="49"/>
      <c r="AS13" s="49"/>
      <c r="AT13" s="49"/>
      <c r="AU13" s="49"/>
      <c r="AV13" s="49"/>
      <c r="AW13" s="49"/>
      <c r="AX13" s="49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</row>
    <row r="14" spans="1:65" s="3" customFormat="1" ht="60" x14ac:dyDescent="0.25">
      <c r="A14" s="4" t="s">
        <v>21</v>
      </c>
      <c r="B14" s="4" t="s">
        <v>22</v>
      </c>
      <c r="C14" s="44">
        <v>43510</v>
      </c>
      <c r="D14" s="51" t="s">
        <v>77</v>
      </c>
      <c r="E14" s="44" t="s">
        <v>77</v>
      </c>
      <c r="F14" s="44" t="s">
        <v>77</v>
      </c>
      <c r="G14" s="55">
        <v>43644</v>
      </c>
      <c r="H14" s="44" t="s">
        <v>77</v>
      </c>
      <c r="I14" s="44">
        <v>43510</v>
      </c>
      <c r="J14" s="44" t="s">
        <v>77</v>
      </c>
      <c r="K14" s="44" t="s">
        <v>77</v>
      </c>
      <c r="L14" s="44">
        <v>43510</v>
      </c>
      <c r="M14" s="44">
        <v>43510</v>
      </c>
      <c r="N14" s="44">
        <v>43510</v>
      </c>
      <c r="O14" s="44">
        <v>43510</v>
      </c>
      <c r="P14" s="44">
        <v>43501</v>
      </c>
      <c r="Q14" s="44">
        <v>43510</v>
      </c>
      <c r="R14" s="44" t="s">
        <v>77</v>
      </c>
      <c r="S14" s="44">
        <v>43510</v>
      </c>
      <c r="T14" s="44">
        <v>43510</v>
      </c>
      <c r="U14" s="44">
        <v>43510</v>
      </c>
      <c r="V14" s="44">
        <v>43510</v>
      </c>
      <c r="W14" s="44" t="s">
        <v>77</v>
      </c>
      <c r="X14" s="44" t="s">
        <v>77</v>
      </c>
      <c r="Y14" s="44" t="s">
        <v>77</v>
      </c>
      <c r="Z14" s="44" t="s">
        <v>77</v>
      </c>
      <c r="AA14" s="44">
        <v>43510</v>
      </c>
      <c r="AB14" s="44" t="s">
        <v>77</v>
      </c>
      <c r="AC14" s="44">
        <v>43510</v>
      </c>
      <c r="AD14" s="44" t="s">
        <v>77</v>
      </c>
      <c r="AE14" s="44" t="s">
        <v>192</v>
      </c>
      <c r="AF14" s="44" t="s">
        <v>77</v>
      </c>
      <c r="AG14" s="44" t="s">
        <v>141</v>
      </c>
      <c r="AH14" s="44" t="s">
        <v>77</v>
      </c>
      <c r="AI14" s="44">
        <v>43567</v>
      </c>
      <c r="AJ14" s="48"/>
      <c r="AK14" s="48"/>
      <c r="AL14" s="48">
        <v>43619</v>
      </c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</row>
    <row r="15" spans="1:65" s="3" customFormat="1" ht="18.75" customHeight="1" x14ac:dyDescent="0.25">
      <c r="A15" s="4" t="s">
        <v>23</v>
      </c>
      <c r="B15" s="4" t="s">
        <v>24</v>
      </c>
      <c r="C15" s="44">
        <v>43517</v>
      </c>
      <c r="D15" s="44" t="s">
        <v>77</v>
      </c>
      <c r="E15" s="44" t="s">
        <v>77</v>
      </c>
      <c r="F15" s="44" t="s">
        <v>77</v>
      </c>
      <c r="G15" s="44" t="s">
        <v>120</v>
      </c>
      <c r="H15" s="44">
        <v>43517</v>
      </c>
      <c r="I15" s="44" t="s">
        <v>143</v>
      </c>
      <c r="J15" s="44">
        <v>43517</v>
      </c>
      <c r="K15" s="44">
        <v>43517</v>
      </c>
      <c r="L15" s="44">
        <v>43517</v>
      </c>
      <c r="M15" s="44">
        <v>43517</v>
      </c>
      <c r="N15" s="44">
        <v>43517</v>
      </c>
      <c r="O15" s="44" t="s">
        <v>77</v>
      </c>
      <c r="P15" s="44">
        <v>43517</v>
      </c>
      <c r="Q15" s="44" t="s">
        <v>77</v>
      </c>
      <c r="R15" s="44">
        <v>43517</v>
      </c>
      <c r="S15" s="44">
        <v>43517</v>
      </c>
      <c r="T15" s="44">
        <v>43517</v>
      </c>
      <c r="U15" s="44">
        <v>43517</v>
      </c>
      <c r="V15" s="44">
        <v>43517</v>
      </c>
      <c r="W15" s="44" t="s">
        <v>77</v>
      </c>
      <c r="X15" s="44" t="s">
        <v>77</v>
      </c>
      <c r="Y15" s="44" t="s">
        <v>77</v>
      </c>
      <c r="Z15" s="44" t="s">
        <v>77</v>
      </c>
      <c r="AA15" s="44" t="s">
        <v>77</v>
      </c>
      <c r="AB15" s="44" t="s">
        <v>77</v>
      </c>
      <c r="AC15" s="44" t="s">
        <v>77</v>
      </c>
      <c r="AD15" s="51">
        <v>43522</v>
      </c>
      <c r="AE15" s="44" t="s">
        <v>169</v>
      </c>
      <c r="AF15" s="44" t="s">
        <v>77</v>
      </c>
      <c r="AG15" s="44">
        <v>43517</v>
      </c>
      <c r="AH15" s="44">
        <v>43517</v>
      </c>
      <c r="AI15" s="44">
        <v>43674</v>
      </c>
      <c r="AJ15" s="48"/>
      <c r="AK15" s="48"/>
      <c r="AL15" s="48" t="s">
        <v>77</v>
      </c>
      <c r="AM15" s="48"/>
      <c r="AN15" s="48">
        <v>43522</v>
      </c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</row>
    <row r="16" spans="1:65" s="3" customFormat="1" x14ac:dyDescent="0.25">
      <c r="A16" s="20" t="s">
        <v>25</v>
      </c>
      <c r="B16" s="20" t="s">
        <v>26</v>
      </c>
      <c r="C16" s="44" t="s">
        <v>77</v>
      </c>
      <c r="D16" s="44" t="s">
        <v>77</v>
      </c>
      <c r="E16" s="44">
        <v>43510</v>
      </c>
      <c r="F16" s="44" t="s">
        <v>77</v>
      </c>
      <c r="G16" s="44" t="s">
        <v>77</v>
      </c>
      <c r="H16" s="44" t="s">
        <v>77</v>
      </c>
      <c r="I16" s="44" t="s">
        <v>77</v>
      </c>
      <c r="J16" s="44" t="s">
        <v>77</v>
      </c>
      <c r="K16" s="44">
        <v>43510</v>
      </c>
      <c r="L16" s="44" t="s">
        <v>77</v>
      </c>
      <c r="M16" s="44" t="s">
        <v>77</v>
      </c>
      <c r="N16" s="44" t="s">
        <v>77</v>
      </c>
      <c r="O16" s="44">
        <v>43510</v>
      </c>
      <c r="P16" s="44">
        <v>43510</v>
      </c>
      <c r="Q16" s="44" t="s">
        <v>77</v>
      </c>
      <c r="R16" s="44" t="s">
        <v>77</v>
      </c>
      <c r="S16" s="44">
        <v>43510</v>
      </c>
      <c r="T16" s="44" t="s">
        <v>77</v>
      </c>
      <c r="U16" s="44" t="s">
        <v>77</v>
      </c>
      <c r="V16" s="44" t="s">
        <v>77</v>
      </c>
      <c r="W16" s="44" t="s">
        <v>77</v>
      </c>
      <c r="X16" s="44" t="s">
        <v>77</v>
      </c>
      <c r="Y16" s="44" t="s">
        <v>77</v>
      </c>
      <c r="Z16" s="44" t="s">
        <v>77</v>
      </c>
      <c r="AA16" s="44" t="s">
        <v>77</v>
      </c>
      <c r="AB16" s="44" t="s">
        <v>77</v>
      </c>
      <c r="AC16" s="44" t="s">
        <v>77</v>
      </c>
      <c r="AD16" s="44" t="s">
        <v>77</v>
      </c>
      <c r="AE16" s="44" t="s">
        <v>153</v>
      </c>
      <c r="AF16" s="44" t="s">
        <v>77</v>
      </c>
      <c r="AG16" s="44" t="s">
        <v>77</v>
      </c>
      <c r="AH16" s="44" t="s">
        <v>77</v>
      </c>
      <c r="AI16" s="44">
        <v>43674</v>
      </c>
      <c r="AJ16" s="48"/>
      <c r="AK16" s="48">
        <v>43726</v>
      </c>
      <c r="AL16" s="48" t="s">
        <v>77</v>
      </c>
      <c r="AM16" s="48"/>
      <c r="AN16" s="48"/>
      <c r="AO16" s="48"/>
      <c r="AP16" s="48"/>
      <c r="AQ16" s="48"/>
      <c r="AR16" s="48">
        <v>43510</v>
      </c>
      <c r="AS16" s="48"/>
      <c r="AT16" s="48"/>
      <c r="AU16" s="48"/>
      <c r="AV16" s="48"/>
      <c r="AW16" s="48"/>
      <c r="AX16" s="48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</row>
    <row r="17" spans="1:65" s="3" customFormat="1" x14ac:dyDescent="0.25">
      <c r="A17" s="20" t="s">
        <v>162</v>
      </c>
      <c r="B17" s="20" t="s">
        <v>163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 t="s">
        <v>164</v>
      </c>
      <c r="AF17" s="44"/>
      <c r="AG17" s="44"/>
      <c r="AH17" s="44"/>
      <c r="AI17" s="44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</row>
    <row r="18" spans="1:65" s="5" customFormat="1" ht="18" customHeight="1" x14ac:dyDescent="0.25">
      <c r="A18" s="4" t="s">
        <v>29</v>
      </c>
      <c r="B18" s="4" t="s">
        <v>30</v>
      </c>
      <c r="C18" s="45"/>
      <c r="D18" s="45"/>
      <c r="E18" s="45"/>
      <c r="F18" s="45"/>
      <c r="G18" s="45" t="s">
        <v>122</v>
      </c>
      <c r="H18" s="45"/>
      <c r="I18" s="45">
        <v>43572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>
        <v>43514</v>
      </c>
      <c r="AE18" s="45" t="s">
        <v>154</v>
      </c>
      <c r="AF18" s="45"/>
      <c r="AG18" s="45"/>
      <c r="AH18" s="45"/>
      <c r="AI18" s="45">
        <v>43674</v>
      </c>
      <c r="AJ18" s="49">
        <v>43674</v>
      </c>
      <c r="AK18" s="49"/>
      <c r="AL18" s="49">
        <v>43733</v>
      </c>
      <c r="AM18" s="49"/>
      <c r="AN18" s="49"/>
      <c r="AO18" s="49"/>
      <c r="AP18" s="49"/>
      <c r="AQ18" s="49"/>
      <c r="AR18" s="49"/>
      <c r="AS18" s="49">
        <v>43514</v>
      </c>
      <c r="AT18" s="49"/>
      <c r="AU18" s="49"/>
      <c r="AV18" s="49"/>
      <c r="AW18" s="49"/>
      <c r="AX18" s="49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</row>
    <row r="19" spans="1:65" s="5" customFormat="1" ht="18" customHeight="1" x14ac:dyDescent="0.25">
      <c r="A19" s="4" t="s">
        <v>29</v>
      </c>
      <c r="B19" s="4" t="s">
        <v>142</v>
      </c>
      <c r="C19" s="45">
        <v>43669</v>
      </c>
      <c r="D19" s="45">
        <v>43669</v>
      </c>
      <c r="E19" s="45">
        <v>43669</v>
      </c>
      <c r="F19" s="45"/>
      <c r="G19" s="45">
        <v>43669</v>
      </c>
      <c r="H19" s="45">
        <v>43669</v>
      </c>
      <c r="I19" s="45"/>
      <c r="J19" s="45">
        <v>43669</v>
      </c>
      <c r="K19" s="45">
        <v>43669</v>
      </c>
      <c r="L19" s="45">
        <v>43669</v>
      </c>
      <c r="M19" s="45">
        <v>43669</v>
      </c>
      <c r="N19" s="45">
        <v>43669</v>
      </c>
      <c r="O19" s="45">
        <v>43669</v>
      </c>
      <c r="P19" s="45">
        <v>43669</v>
      </c>
      <c r="Q19" s="45">
        <v>43669</v>
      </c>
      <c r="R19" s="45">
        <v>43669</v>
      </c>
      <c r="S19" s="45">
        <v>43669</v>
      </c>
      <c r="T19" s="45">
        <v>43669</v>
      </c>
      <c r="U19" s="45">
        <v>43669</v>
      </c>
      <c r="V19" s="45">
        <v>43669</v>
      </c>
      <c r="W19" s="45">
        <v>43669</v>
      </c>
      <c r="X19" s="45">
        <v>43669</v>
      </c>
      <c r="Y19" s="45">
        <v>43669</v>
      </c>
      <c r="Z19" s="45">
        <v>43669</v>
      </c>
      <c r="AA19" s="45"/>
      <c r="AB19" s="45">
        <v>43669</v>
      </c>
      <c r="AC19" s="45"/>
      <c r="AD19" s="45"/>
      <c r="AE19" s="45"/>
      <c r="AF19" s="45"/>
      <c r="AG19" s="45"/>
      <c r="AH19" s="45"/>
      <c r="AI19" s="45"/>
      <c r="AJ19" s="49"/>
      <c r="AK19" s="49"/>
      <c r="AL19" s="49">
        <v>43732</v>
      </c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5"/>
      <c r="AZ19" s="45" t="s">
        <v>147</v>
      </c>
      <c r="BA19" s="45"/>
      <c r="BB19" s="45"/>
      <c r="BC19" s="45" t="s">
        <v>148</v>
      </c>
      <c r="BD19" s="45"/>
      <c r="BE19" s="45"/>
      <c r="BF19" s="45"/>
      <c r="BG19" s="45">
        <v>43669</v>
      </c>
      <c r="BH19" s="45">
        <v>43669</v>
      </c>
      <c r="BI19" s="45">
        <v>43669</v>
      </c>
      <c r="BJ19" s="45"/>
      <c r="BK19" s="45"/>
      <c r="BL19" s="45"/>
      <c r="BM19" s="45"/>
    </row>
    <row r="20" spans="1:65" s="5" customFormat="1" ht="18" customHeight="1" x14ac:dyDescent="0.25">
      <c r="A20" s="4" t="s">
        <v>165</v>
      </c>
      <c r="B20" s="4" t="s">
        <v>166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 t="s">
        <v>167</v>
      </c>
      <c r="AF20" s="45"/>
      <c r="AG20" s="45"/>
      <c r="AH20" s="45"/>
      <c r="AI20" s="45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5"/>
      <c r="AZ20" s="45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</row>
    <row r="21" spans="1:65" s="3" customFormat="1" x14ac:dyDescent="0.25">
      <c r="A21" s="4" t="s">
        <v>31</v>
      </c>
      <c r="B21" s="4" t="s">
        <v>32</v>
      </c>
      <c r="C21" s="45"/>
      <c r="D21" s="45"/>
      <c r="E21" s="45"/>
      <c r="F21" s="45"/>
      <c r="G21" s="45"/>
      <c r="H21" s="45"/>
      <c r="I21" s="45" t="s">
        <v>155</v>
      </c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 t="s">
        <v>155</v>
      </c>
      <c r="AF21" s="45"/>
      <c r="AG21" s="45"/>
      <c r="AH21" s="45"/>
      <c r="AI21" s="45">
        <v>43674</v>
      </c>
      <c r="AJ21" s="49"/>
      <c r="AK21" s="49"/>
      <c r="AL21" s="49" t="s">
        <v>77</v>
      </c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</row>
    <row r="22" spans="1:65" s="3" customFormat="1" x14ac:dyDescent="0.25">
      <c r="A22" s="17" t="s">
        <v>33</v>
      </c>
      <c r="B22" s="17" t="s">
        <v>5</v>
      </c>
      <c r="C22" s="44" t="s">
        <v>77</v>
      </c>
      <c r="D22" s="44" t="s">
        <v>77</v>
      </c>
      <c r="E22" s="44" t="s">
        <v>77</v>
      </c>
      <c r="F22" s="44" t="s">
        <v>77</v>
      </c>
      <c r="G22" s="44" t="s">
        <v>77</v>
      </c>
      <c r="H22" s="51">
        <v>43531</v>
      </c>
      <c r="I22" s="51">
        <v>43571</v>
      </c>
      <c r="J22" s="44">
        <v>43514</v>
      </c>
      <c r="K22" s="44" t="s">
        <v>77</v>
      </c>
      <c r="L22" s="44">
        <v>43514</v>
      </c>
      <c r="M22" s="44" t="s">
        <v>77</v>
      </c>
      <c r="N22" s="44" t="s">
        <v>77</v>
      </c>
      <c r="O22" s="44" t="s">
        <v>77</v>
      </c>
      <c r="P22" s="44" t="s">
        <v>77</v>
      </c>
      <c r="Q22" s="44" t="s">
        <v>77</v>
      </c>
      <c r="R22" s="44" t="s">
        <v>77</v>
      </c>
      <c r="S22" s="44" t="s">
        <v>77</v>
      </c>
      <c r="T22" s="44" t="s">
        <v>77</v>
      </c>
      <c r="U22" s="44" t="s">
        <v>77</v>
      </c>
      <c r="V22" s="44">
        <v>43514</v>
      </c>
      <c r="W22" s="44">
        <v>43480</v>
      </c>
      <c r="X22" s="44">
        <v>43480</v>
      </c>
      <c r="Y22" s="44" t="s">
        <v>77</v>
      </c>
      <c r="Z22" s="44" t="s">
        <v>77</v>
      </c>
      <c r="AA22" s="44" t="s">
        <v>77</v>
      </c>
      <c r="AB22" s="44" t="s">
        <v>77</v>
      </c>
      <c r="AC22" s="44">
        <v>43514</v>
      </c>
      <c r="AD22" s="51" t="s">
        <v>77</v>
      </c>
      <c r="AE22" s="44" t="s">
        <v>193</v>
      </c>
      <c r="AF22" s="44" t="s">
        <v>125</v>
      </c>
      <c r="AG22" s="44" t="s">
        <v>77</v>
      </c>
      <c r="AH22" s="44">
        <v>43514</v>
      </c>
      <c r="AI22" s="44" t="s">
        <v>77</v>
      </c>
      <c r="AJ22" s="48"/>
      <c r="AK22" s="48"/>
      <c r="AL22" s="48" t="s">
        <v>77</v>
      </c>
      <c r="AM22" s="48"/>
      <c r="AN22" s="48">
        <v>43522</v>
      </c>
      <c r="AO22" s="48"/>
      <c r="AP22" s="48"/>
      <c r="AQ22" s="48"/>
      <c r="AR22" s="48"/>
      <c r="AS22" s="48"/>
      <c r="AT22" s="48">
        <v>43432</v>
      </c>
      <c r="AU22" s="48"/>
      <c r="AV22" s="48"/>
      <c r="AW22" s="48"/>
      <c r="AX22" s="48"/>
      <c r="AY22" s="44"/>
      <c r="AZ22" s="44"/>
      <c r="BA22" s="44"/>
      <c r="BB22" s="44"/>
      <c r="BC22" s="44"/>
      <c r="BD22" s="44"/>
      <c r="BE22" s="44">
        <v>43640</v>
      </c>
      <c r="BF22" s="44"/>
      <c r="BG22" s="44"/>
      <c r="BH22" s="44"/>
      <c r="BI22" s="44"/>
      <c r="BJ22" s="44"/>
      <c r="BK22" s="44"/>
      <c r="BL22" s="44"/>
      <c r="BM22" s="44"/>
    </row>
    <row r="23" spans="1:65" s="3" customFormat="1" ht="30" x14ac:dyDescent="0.25">
      <c r="A23" s="17" t="s">
        <v>33</v>
      </c>
      <c r="B23" s="17" t="s">
        <v>34</v>
      </c>
      <c r="C23" s="44">
        <v>43510</v>
      </c>
      <c r="D23" s="44" t="s">
        <v>77</v>
      </c>
      <c r="E23" s="44" t="s">
        <v>77</v>
      </c>
      <c r="F23" s="44" t="s">
        <v>77</v>
      </c>
      <c r="G23" s="44" t="s">
        <v>77</v>
      </c>
      <c r="H23" s="44" t="s">
        <v>77</v>
      </c>
      <c r="I23" s="44">
        <v>43511</v>
      </c>
      <c r="J23" s="44" t="s">
        <v>77</v>
      </c>
      <c r="K23" s="44" t="s">
        <v>77</v>
      </c>
      <c r="L23" s="44">
        <v>43510</v>
      </c>
      <c r="M23" s="44">
        <v>43510</v>
      </c>
      <c r="N23" s="44" t="s">
        <v>77</v>
      </c>
      <c r="O23" s="44" t="s">
        <v>77</v>
      </c>
      <c r="P23" s="44" t="s">
        <v>77</v>
      </c>
      <c r="Q23" s="44" t="s">
        <v>77</v>
      </c>
      <c r="R23" s="44" t="s">
        <v>77</v>
      </c>
      <c r="S23" s="44" t="s">
        <v>77</v>
      </c>
      <c r="T23" s="44" t="s">
        <v>77</v>
      </c>
      <c r="U23" s="44" t="s">
        <v>77</v>
      </c>
      <c r="V23" s="44" t="s">
        <v>77</v>
      </c>
      <c r="W23" s="44" t="s">
        <v>77</v>
      </c>
      <c r="X23" s="44" t="s">
        <v>77</v>
      </c>
      <c r="Y23" s="44" t="s">
        <v>77</v>
      </c>
      <c r="Z23" s="44" t="s">
        <v>77</v>
      </c>
      <c r="AA23" s="44">
        <v>43510</v>
      </c>
      <c r="AB23" s="44" t="s">
        <v>77</v>
      </c>
      <c r="AC23" s="44">
        <v>43510</v>
      </c>
      <c r="AD23" s="44">
        <v>43510</v>
      </c>
      <c r="AE23" s="44" t="s">
        <v>194</v>
      </c>
      <c r="AF23" s="44" t="s">
        <v>77</v>
      </c>
      <c r="AG23" s="44" t="s">
        <v>77</v>
      </c>
      <c r="AH23" s="44">
        <v>43510</v>
      </c>
      <c r="AI23" s="44" t="s">
        <v>76</v>
      </c>
      <c r="AJ23" s="48"/>
      <c r="AK23" s="48"/>
      <c r="AL23" s="48">
        <v>43510</v>
      </c>
      <c r="AM23" s="48"/>
      <c r="AN23" s="48">
        <v>43521</v>
      </c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 t="s">
        <v>159</v>
      </c>
      <c r="BK23" s="44"/>
      <c r="BL23" s="44"/>
      <c r="BM23" s="44"/>
    </row>
    <row r="24" spans="1:65" s="3" customFormat="1" x14ac:dyDescent="0.25">
      <c r="A24" s="20" t="s">
        <v>37</v>
      </c>
      <c r="B24" s="20" t="s">
        <v>38</v>
      </c>
      <c r="C24" s="44" t="s">
        <v>77</v>
      </c>
      <c r="D24" s="44" t="s">
        <v>77</v>
      </c>
      <c r="E24" s="44" t="s">
        <v>77</v>
      </c>
      <c r="F24" s="44" t="s">
        <v>77</v>
      </c>
      <c r="G24" s="44" t="s">
        <v>77</v>
      </c>
      <c r="H24" s="44" t="s">
        <v>77</v>
      </c>
      <c r="I24" s="44" t="s">
        <v>77</v>
      </c>
      <c r="J24" s="44" t="s">
        <v>77</v>
      </c>
      <c r="K24" s="44" t="s">
        <v>77</v>
      </c>
      <c r="L24" s="44" t="s">
        <v>77</v>
      </c>
      <c r="M24" s="44" t="s">
        <v>77</v>
      </c>
      <c r="N24" s="44" t="s">
        <v>77</v>
      </c>
      <c r="O24" s="44" t="s">
        <v>77</v>
      </c>
      <c r="P24" s="44" t="s">
        <v>77</v>
      </c>
      <c r="Q24" s="44" t="s">
        <v>77</v>
      </c>
      <c r="R24" s="44" t="s">
        <v>77</v>
      </c>
      <c r="S24" s="44" t="s">
        <v>77</v>
      </c>
      <c r="T24" s="44" t="s">
        <v>77</v>
      </c>
      <c r="U24" s="44" t="s">
        <v>77</v>
      </c>
      <c r="V24" s="44">
        <v>43511</v>
      </c>
      <c r="W24" s="44">
        <v>43511</v>
      </c>
      <c r="X24" s="44" t="s">
        <v>77</v>
      </c>
      <c r="Y24" s="44" t="s">
        <v>77</v>
      </c>
      <c r="Z24" s="44" t="s">
        <v>77</v>
      </c>
      <c r="AA24" s="44" t="s">
        <v>77</v>
      </c>
      <c r="AB24" s="44" t="s">
        <v>77</v>
      </c>
      <c r="AC24" s="44" t="s">
        <v>77</v>
      </c>
      <c r="AD24" s="44" t="s">
        <v>77</v>
      </c>
      <c r="AE24" s="57">
        <v>26081498</v>
      </c>
      <c r="AF24" s="44" t="s">
        <v>77</v>
      </c>
      <c r="AG24" s="44">
        <v>43511</v>
      </c>
      <c r="AH24" s="44">
        <v>43511</v>
      </c>
      <c r="AI24" s="44" t="s">
        <v>77</v>
      </c>
      <c r="AJ24" s="48"/>
      <c r="AK24" s="48"/>
      <c r="AL24" s="48">
        <v>43447</v>
      </c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</row>
    <row r="25" spans="1:65" s="3" customFormat="1" x14ac:dyDescent="0.25">
      <c r="A25" s="4" t="s">
        <v>39</v>
      </c>
      <c r="B25" s="4" t="s">
        <v>40</v>
      </c>
      <c r="C25" s="44">
        <v>43511</v>
      </c>
      <c r="D25" s="44">
        <v>43511</v>
      </c>
      <c r="E25" s="44">
        <v>43511</v>
      </c>
      <c r="F25" s="44">
        <v>43511</v>
      </c>
      <c r="G25" s="51">
        <v>43636</v>
      </c>
      <c r="H25" s="44" t="s">
        <v>77</v>
      </c>
      <c r="I25" s="44" t="s">
        <v>156</v>
      </c>
      <c r="J25" s="44">
        <v>43511</v>
      </c>
      <c r="K25" s="44">
        <v>43511</v>
      </c>
      <c r="L25" s="44">
        <v>43511</v>
      </c>
      <c r="M25" s="44">
        <v>43511</v>
      </c>
      <c r="N25" s="44">
        <v>43511</v>
      </c>
      <c r="O25" s="44">
        <v>43511</v>
      </c>
      <c r="P25" s="44">
        <v>43511</v>
      </c>
      <c r="Q25" s="44">
        <v>43511</v>
      </c>
      <c r="R25" s="44">
        <v>43511</v>
      </c>
      <c r="S25" s="44">
        <v>43511</v>
      </c>
      <c r="T25" s="44" t="s">
        <v>77</v>
      </c>
      <c r="U25" s="44">
        <v>43511</v>
      </c>
      <c r="V25" s="44">
        <v>43511</v>
      </c>
      <c r="W25" s="44">
        <v>43511</v>
      </c>
      <c r="X25" s="44">
        <v>43511</v>
      </c>
      <c r="Y25" s="44">
        <v>43511</v>
      </c>
      <c r="Z25" s="44">
        <v>43511</v>
      </c>
      <c r="AA25" s="44">
        <v>43511</v>
      </c>
      <c r="AB25" s="44">
        <v>43511</v>
      </c>
      <c r="AC25" s="44">
        <v>43511</v>
      </c>
      <c r="AD25" s="44">
        <v>43511</v>
      </c>
      <c r="AE25" s="44">
        <v>43732</v>
      </c>
      <c r="AF25" s="44">
        <v>43636</v>
      </c>
      <c r="AG25" s="44">
        <v>43511</v>
      </c>
      <c r="AH25" s="44">
        <v>43511</v>
      </c>
      <c r="AI25" s="44" t="s">
        <v>77</v>
      </c>
      <c r="AJ25" s="48"/>
      <c r="AK25" s="48"/>
      <c r="AL25" s="48">
        <v>43564</v>
      </c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</row>
    <row r="26" spans="1:65" s="3" customFormat="1" ht="75" x14ac:dyDescent="0.25">
      <c r="A26" s="17" t="s">
        <v>41</v>
      </c>
      <c r="B26" s="17" t="s">
        <v>42</v>
      </c>
      <c r="C26" s="44" t="s">
        <v>77</v>
      </c>
      <c r="D26" s="44" t="s">
        <v>77</v>
      </c>
      <c r="E26" s="44" t="s">
        <v>77</v>
      </c>
      <c r="F26" s="44" t="s">
        <v>77</v>
      </c>
      <c r="G26" s="51">
        <v>43510</v>
      </c>
      <c r="H26" s="44">
        <v>43510</v>
      </c>
      <c r="I26" s="44" t="s">
        <v>77</v>
      </c>
      <c r="J26" s="44">
        <v>43510</v>
      </c>
      <c r="K26" s="44" t="s">
        <v>186</v>
      </c>
      <c r="L26" s="44" t="s">
        <v>77</v>
      </c>
      <c r="M26" s="44" t="s">
        <v>77</v>
      </c>
      <c r="N26" s="44" t="s">
        <v>77</v>
      </c>
      <c r="O26" s="44" t="s">
        <v>77</v>
      </c>
      <c r="P26" s="44">
        <v>43510</v>
      </c>
      <c r="Q26" s="44" t="s">
        <v>186</v>
      </c>
      <c r="R26" s="44">
        <v>43510</v>
      </c>
      <c r="S26" s="44" t="s">
        <v>77</v>
      </c>
      <c r="T26" s="44" t="s">
        <v>77</v>
      </c>
      <c r="U26" s="44" t="s">
        <v>77</v>
      </c>
      <c r="V26" s="44" t="s">
        <v>77</v>
      </c>
      <c r="W26" s="44" t="s">
        <v>77</v>
      </c>
      <c r="X26" s="44" t="s">
        <v>77</v>
      </c>
      <c r="Y26" s="44" t="s">
        <v>77</v>
      </c>
      <c r="Z26" s="44" t="s">
        <v>77</v>
      </c>
      <c r="AA26" s="44">
        <v>43510</v>
      </c>
      <c r="AB26" s="44" t="s">
        <v>77</v>
      </c>
      <c r="AC26" s="44" t="s">
        <v>77</v>
      </c>
      <c r="AD26" s="44">
        <v>43510</v>
      </c>
      <c r="AE26" s="44" t="s">
        <v>187</v>
      </c>
      <c r="AF26" s="44" t="s">
        <v>77</v>
      </c>
      <c r="AG26" s="44" t="s">
        <v>77</v>
      </c>
      <c r="AH26" s="44">
        <v>43510</v>
      </c>
      <c r="AI26" s="44" t="s">
        <v>77</v>
      </c>
      <c r="AJ26" s="48"/>
      <c r="AK26" s="48"/>
      <c r="AL26" s="48" t="s">
        <v>77</v>
      </c>
      <c r="AM26" s="48"/>
      <c r="AN26" s="48">
        <v>43521</v>
      </c>
      <c r="AO26" s="48"/>
      <c r="AP26" s="48"/>
      <c r="AQ26" s="48"/>
      <c r="AR26" s="48"/>
      <c r="AS26" s="48"/>
      <c r="AT26" s="48"/>
      <c r="AU26" s="48">
        <v>43516</v>
      </c>
      <c r="AV26" s="48">
        <v>43510</v>
      </c>
      <c r="AW26" s="48"/>
      <c r="AX26" s="48"/>
      <c r="AY26" s="44"/>
      <c r="AZ26" s="44"/>
      <c r="BA26" s="44" t="s">
        <v>177</v>
      </c>
      <c r="BB26" s="44" t="s">
        <v>188</v>
      </c>
      <c r="BC26" s="44"/>
      <c r="BD26" s="44"/>
      <c r="BE26" s="44">
        <v>43745</v>
      </c>
      <c r="BF26" s="44"/>
      <c r="BG26" s="44"/>
      <c r="BH26" s="44"/>
      <c r="BI26" s="44"/>
      <c r="BJ26" s="44" t="s">
        <v>173</v>
      </c>
      <c r="BK26" s="44"/>
      <c r="BL26" s="44" t="s">
        <v>175</v>
      </c>
      <c r="BM26" s="44">
        <v>43810</v>
      </c>
    </row>
    <row r="27" spans="1:65" s="3" customFormat="1" ht="15.75" thickBot="1" x14ac:dyDescent="0.3">
      <c r="A27" s="15" t="s">
        <v>130</v>
      </c>
      <c r="B27" s="15" t="s">
        <v>131</v>
      </c>
      <c r="C27" s="46"/>
      <c r="D27" s="46" t="s">
        <v>77</v>
      </c>
      <c r="E27" s="46" t="s">
        <v>77</v>
      </c>
      <c r="F27" s="46" t="s">
        <v>77</v>
      </c>
      <c r="G27" s="46" t="s">
        <v>77</v>
      </c>
      <c r="H27" s="46" t="s">
        <v>77</v>
      </c>
      <c r="I27" s="46" t="s">
        <v>77</v>
      </c>
      <c r="J27" s="46" t="s">
        <v>77</v>
      </c>
      <c r="K27" s="46" t="s">
        <v>77</v>
      </c>
      <c r="L27" s="46" t="s">
        <v>77</v>
      </c>
      <c r="M27" s="46" t="s">
        <v>77</v>
      </c>
      <c r="N27" s="46" t="s">
        <v>77</v>
      </c>
      <c r="O27" s="46" t="s">
        <v>77</v>
      </c>
      <c r="P27" s="46" t="s">
        <v>77</v>
      </c>
      <c r="Q27" s="46" t="s">
        <v>77</v>
      </c>
      <c r="R27" s="46" t="s">
        <v>136</v>
      </c>
      <c r="S27" s="46" t="s">
        <v>77</v>
      </c>
      <c r="T27" s="46" t="s">
        <v>77</v>
      </c>
      <c r="U27" s="46" t="s">
        <v>77</v>
      </c>
      <c r="V27" s="46" t="s">
        <v>77</v>
      </c>
      <c r="W27" s="46" t="s">
        <v>77</v>
      </c>
      <c r="X27" s="46" t="s">
        <v>77</v>
      </c>
      <c r="Y27" s="46" t="s">
        <v>77</v>
      </c>
      <c r="Z27" s="46" t="s">
        <v>77</v>
      </c>
      <c r="AA27" s="46" t="s">
        <v>77</v>
      </c>
      <c r="AB27" s="53">
        <v>2</v>
      </c>
      <c r="AC27" s="46" t="s">
        <v>76</v>
      </c>
      <c r="AD27" s="46" t="s">
        <v>77</v>
      </c>
      <c r="AE27" s="46" t="s">
        <v>161</v>
      </c>
      <c r="AF27" s="46" t="s">
        <v>77</v>
      </c>
      <c r="AG27" s="46" t="s">
        <v>77</v>
      </c>
      <c r="AH27" s="46" t="s">
        <v>77</v>
      </c>
      <c r="AI27" s="46" t="s">
        <v>76</v>
      </c>
      <c r="AJ27" s="50"/>
      <c r="AK27" s="50"/>
      <c r="AL27" s="50" t="s">
        <v>77</v>
      </c>
      <c r="AM27" s="50"/>
      <c r="AN27" s="50"/>
      <c r="AO27" s="50" t="s">
        <v>77</v>
      </c>
      <c r="AP27" s="50"/>
      <c r="AQ27" s="50"/>
      <c r="AR27" s="50"/>
      <c r="AS27" s="50"/>
      <c r="AT27" s="50"/>
      <c r="AU27" s="50"/>
      <c r="AV27" s="50"/>
      <c r="AW27" s="50"/>
      <c r="AX27" s="52">
        <v>2</v>
      </c>
      <c r="AY27" s="53">
        <v>4</v>
      </c>
      <c r="AZ27" s="53">
        <v>1</v>
      </c>
      <c r="BA27" s="53">
        <v>1</v>
      </c>
      <c r="BB27" s="53"/>
      <c r="BC27" s="53"/>
      <c r="BD27" s="53"/>
      <c r="BE27" s="53"/>
      <c r="BF27" s="53"/>
      <c r="BG27" s="53"/>
      <c r="BH27" s="53"/>
      <c r="BI27" s="53"/>
      <c r="BJ27" s="53"/>
      <c r="BK27" s="53"/>
      <c r="BL27" s="53"/>
      <c r="BM27" s="53"/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E29D1-B18C-4B0D-9342-A6978278FC02}">
  <dimension ref="A2:CB111"/>
  <sheetViews>
    <sheetView topLeftCell="A13" workbookViewId="0">
      <selection activeCell="S13" sqref="S13"/>
    </sheetView>
  </sheetViews>
  <sheetFormatPr baseColWidth="10" defaultRowHeight="15" x14ac:dyDescent="0.25"/>
  <cols>
    <col min="1" max="1" width="15.7109375" bestFit="1" customWidth="1"/>
    <col min="2" max="2" width="24.42578125" customWidth="1"/>
  </cols>
  <sheetData>
    <row r="2" spans="1:80" x14ac:dyDescent="0.25">
      <c r="A2" s="9" t="s">
        <v>190</v>
      </c>
    </row>
    <row r="3" spans="1:80" ht="15.75" thickBot="1" x14ac:dyDescent="0.3"/>
    <row r="4" spans="1:80" ht="210.75" thickBot="1" x14ac:dyDescent="0.3">
      <c r="A4" s="1" t="s">
        <v>0</v>
      </c>
      <c r="B4" s="1" t="s">
        <v>1</v>
      </c>
      <c r="C4" s="1" t="str">
        <f>+'à commander 2019'!A5</f>
        <v>Coffre 026-001</v>
      </c>
      <c r="D4" s="1" t="str">
        <f>+'à commander 2019'!A6</f>
        <v>Clef à molette 493-250</v>
      </c>
      <c r="E4" s="1" t="str">
        <f>+'à commander 2019'!A7</f>
        <v>Pince à dénuder 257-160</v>
      </c>
      <c r="F4" s="1" t="str">
        <f>+'à commander 2019'!A8</f>
        <v>Lime demi ronde 805-209</v>
      </c>
      <c r="G4" s="1" t="str">
        <f>+'à commander 2019'!A9</f>
        <v>Pince coupante 1000v 256-160</v>
      </c>
      <c r="H4" s="1" t="str">
        <f>+'à commander 2019'!A10</f>
        <v>Coupe câble</v>
      </c>
      <c r="I4" s="1" t="s">
        <v>189</v>
      </c>
      <c r="J4" s="1" t="str">
        <f>+'à commander 2019'!A11</f>
        <v>Scie à métaux 840-001</v>
      </c>
      <c r="K4" s="1" t="str">
        <f>+'à commander 2019'!A12</f>
        <v>Mètre pliant</v>
      </c>
      <c r="L4" s="1" t="str">
        <f>+'à commander 2019'!A13</f>
        <v>Burin plat 753-22-16-300</v>
      </c>
      <c r="M4" s="1" t="str">
        <f>+'à commander 2019'!A14</f>
        <v>Burin pointe 754-04-16-300</v>
      </c>
      <c r="N4" s="1" t="str">
        <f>+'à commander 2019'!A15</f>
        <v>Massette 704-1250</v>
      </c>
      <c r="O4" s="1" t="str">
        <f>+'à commander 2019'!A16</f>
        <v>Niveau</v>
      </c>
      <c r="P4" s="1" t="str">
        <f>+'à commander 2019'!A17</f>
        <v>Jeu tournevis</v>
      </c>
      <c r="Q4" s="1" t="str">
        <f>+'à commander 2019'!A18</f>
        <v>Pince étau 275-175</v>
      </c>
      <c r="R4" s="1" t="str">
        <f>+'à commander 2019'!A19</f>
        <v>Coffret douilles 531-002</v>
      </c>
      <c r="S4" s="1" t="str">
        <f>+'à commander 2019'!A20</f>
        <v>Clef à pipe 10/462-10</v>
      </c>
      <c r="T4" s="1" t="s">
        <v>198</v>
      </c>
      <c r="U4" s="1" t="str">
        <f>+'à commander 2019'!A21</f>
        <v>Clef à pipe 13/462-13</v>
      </c>
      <c r="V4" s="1" t="str">
        <f>+'à commander 2019'!A22</f>
        <v>Clef à pipe 17/462-17</v>
      </c>
      <c r="W4" s="1" t="str">
        <f>+'à commander 2019'!A23</f>
        <v>Clef à pipe 19/462-19</v>
      </c>
      <c r="X4" s="1" t="str">
        <f>+'à commander 2019'!A24</f>
        <v>Clef plate 10/451-10</v>
      </c>
      <c r="Y4" s="1" t="s">
        <v>197</v>
      </c>
      <c r="Z4" s="1" t="str">
        <f>+'à commander 2019'!A25</f>
        <v>Clef plate 13/451-13</v>
      </c>
      <c r="AA4" s="1" t="str">
        <f>+'à commander 2019'!A26</f>
        <v>Clef plate 17/451-17</v>
      </c>
      <c r="AB4" s="1" t="str">
        <f>+'à commander 2019'!A27</f>
        <v>Clef plate 19/451-19</v>
      </c>
      <c r="AC4" s="1" t="str">
        <f>+'à commander 2019'!A28</f>
        <v>Cutter</v>
      </c>
      <c r="AD4" s="1" t="str">
        <f>+'à commander 2019'!A29</f>
        <v>Clef allen 602-009</v>
      </c>
      <c r="AE4" s="1" t="str">
        <f>+'à commander 2019'!A30</f>
        <v>Outil à dégainer 296-032</v>
      </c>
      <c r="AF4" s="1" t="str">
        <f>+'à commander 2019'!A31</f>
        <v>Pince à Sertir</v>
      </c>
      <c r="AG4" s="1" t="str">
        <f>+'à commander 2019'!A32</f>
        <v>Testeur Fluke</v>
      </c>
      <c r="AH4" s="1" t="str">
        <f>+'à commander 2019'!A33</f>
        <v xml:space="preserve">Boite embouts </v>
      </c>
      <c r="AI4" s="1" t="str">
        <f>+'à commander 2019'!A34</f>
        <v>Pince colson</v>
      </c>
      <c r="AJ4" s="1" t="str">
        <f>+'à commander 2019'!A35</f>
        <v>Lunette de protection</v>
      </c>
      <c r="AK4" s="1" t="str">
        <f>+'à commander 2019'!A36</f>
        <v>Casque chantier</v>
      </c>
      <c r="AL4" s="1" t="str">
        <f>+'à commander 2019'!A37</f>
        <v>Lampe frontale</v>
      </c>
      <c r="AM4" s="47" t="s">
        <v>157</v>
      </c>
      <c r="AN4" s="47" t="s">
        <v>160</v>
      </c>
      <c r="AO4" s="47" t="s">
        <v>117</v>
      </c>
      <c r="AP4" s="47" t="s">
        <v>124</v>
      </c>
      <c r="AQ4" s="47" t="s">
        <v>91</v>
      </c>
      <c r="AR4" s="47" t="s">
        <v>118</v>
      </c>
      <c r="AS4" s="47" t="s">
        <v>199</v>
      </c>
      <c r="AT4" s="47" t="s">
        <v>121</v>
      </c>
      <c r="AU4" s="47" t="s">
        <v>123</v>
      </c>
      <c r="AV4" s="47" t="s">
        <v>126</v>
      </c>
      <c r="AW4" s="47" t="s">
        <v>127</v>
      </c>
      <c r="AX4" s="47" t="s">
        <v>128</v>
      </c>
      <c r="AY4" s="47" t="s">
        <v>129</v>
      </c>
      <c r="AZ4" s="47" t="s">
        <v>132</v>
      </c>
      <c r="BA4" s="1" t="s">
        <v>133</v>
      </c>
      <c r="BB4" s="1" t="s">
        <v>134</v>
      </c>
      <c r="BC4" s="1" t="s">
        <v>135</v>
      </c>
      <c r="BD4" s="1" t="s">
        <v>200</v>
      </c>
      <c r="BE4" s="1" t="s">
        <v>137</v>
      </c>
      <c r="BF4" s="1" t="s">
        <v>138</v>
      </c>
      <c r="BG4" s="1" t="s">
        <v>139</v>
      </c>
      <c r="BH4" s="1" t="s">
        <v>140</v>
      </c>
      <c r="BI4" s="1" t="s">
        <v>144</v>
      </c>
      <c r="BJ4" s="1" t="s">
        <v>145</v>
      </c>
      <c r="BK4" s="1" t="s">
        <v>146</v>
      </c>
      <c r="BL4" s="1" t="s">
        <v>149</v>
      </c>
      <c r="BM4" s="1" t="s">
        <v>158</v>
      </c>
      <c r="BN4" s="1" t="s">
        <v>170</v>
      </c>
      <c r="BO4" s="1" t="s">
        <v>174</v>
      </c>
      <c r="BP4" s="1" t="s">
        <v>180</v>
      </c>
      <c r="BQ4" s="1" t="s">
        <v>181</v>
      </c>
      <c r="BR4" s="1" t="s">
        <v>182</v>
      </c>
      <c r="BS4" s="1" t="s">
        <v>184</v>
      </c>
      <c r="BT4" s="1" t="s">
        <v>185</v>
      </c>
      <c r="BU4" s="1" t="s">
        <v>191</v>
      </c>
      <c r="BV4" s="1" t="s">
        <v>195</v>
      </c>
      <c r="BW4" s="1" t="s">
        <v>196</v>
      </c>
      <c r="BX4" s="1" t="s">
        <v>201</v>
      </c>
      <c r="BY4" s="1" t="s">
        <v>202</v>
      </c>
      <c r="BZ4" s="1" t="s">
        <v>203</v>
      </c>
      <c r="CA4" s="1" t="s">
        <v>204</v>
      </c>
      <c r="CB4" s="1" t="s">
        <v>227</v>
      </c>
    </row>
    <row r="5" spans="1:80" x14ac:dyDescent="0.25">
      <c r="A5" s="17" t="s">
        <v>80</v>
      </c>
      <c r="B5" s="17" t="s">
        <v>81</v>
      </c>
      <c r="C5" s="58"/>
      <c r="D5" s="58"/>
      <c r="E5" s="58">
        <v>1</v>
      </c>
      <c r="F5" s="58"/>
      <c r="G5" s="58"/>
      <c r="H5" s="58"/>
      <c r="I5" s="58"/>
      <c r="J5" s="58">
        <v>1</v>
      </c>
      <c r="K5" s="58"/>
      <c r="L5" s="58">
        <v>1</v>
      </c>
      <c r="M5" s="58">
        <v>1</v>
      </c>
      <c r="N5" s="58"/>
      <c r="O5" s="58"/>
      <c r="P5" s="58"/>
      <c r="Q5" s="58">
        <v>1</v>
      </c>
      <c r="R5" s="58">
        <v>1</v>
      </c>
      <c r="S5" s="58"/>
      <c r="T5" s="58"/>
      <c r="U5" s="58"/>
      <c r="V5" s="58"/>
      <c r="W5" s="58"/>
      <c r="X5" s="58"/>
      <c r="Y5" s="58"/>
      <c r="Z5" s="58"/>
      <c r="AA5" s="58"/>
      <c r="AB5" s="58"/>
      <c r="AC5" s="58">
        <v>1</v>
      </c>
      <c r="AD5" s="58"/>
      <c r="AE5" s="58">
        <v>1</v>
      </c>
      <c r="AF5" s="58"/>
      <c r="AG5" s="58"/>
      <c r="AH5" s="58"/>
      <c r="AI5" s="58"/>
      <c r="AJ5" s="58"/>
      <c r="AK5" s="59"/>
      <c r="AL5" s="59"/>
      <c r="AM5" s="60"/>
      <c r="AN5" s="60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>
        <v>1</v>
      </c>
      <c r="BQ5" s="58">
        <v>1</v>
      </c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</row>
    <row r="6" spans="1:80" x14ac:dyDescent="0.25">
      <c r="A6" s="17" t="s">
        <v>2</v>
      </c>
      <c r="B6" s="17" t="s">
        <v>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>
        <v>1</v>
      </c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9"/>
      <c r="AL6" s="59"/>
      <c r="AM6" s="60"/>
      <c r="AN6" s="60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>
        <v>1</v>
      </c>
      <c r="BW6" s="58"/>
      <c r="BX6" s="58"/>
      <c r="BY6" s="58"/>
      <c r="BZ6" s="58"/>
      <c r="CA6" s="58"/>
      <c r="CB6" s="58"/>
    </row>
    <row r="7" spans="1:80" x14ac:dyDescent="0.25">
      <c r="A7" s="17" t="s">
        <v>4</v>
      </c>
      <c r="B7" s="17" t="s">
        <v>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>
        <v>1</v>
      </c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</row>
    <row r="8" spans="1:80" x14ac:dyDescent="0.25">
      <c r="A8" s="4" t="s">
        <v>4</v>
      </c>
      <c r="B8" s="4" t="s">
        <v>6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</row>
    <row r="9" spans="1:80" x14ac:dyDescent="0.25">
      <c r="A9" s="20" t="s">
        <v>7</v>
      </c>
      <c r="B9" s="20" t="s">
        <v>8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>
        <v>1</v>
      </c>
      <c r="S9" s="58">
        <v>1</v>
      </c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  <c r="AI9" s="58">
        <v>1</v>
      </c>
      <c r="AJ9" s="58"/>
      <c r="AK9" s="58"/>
      <c r="AL9" s="58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>
        <v>1</v>
      </c>
      <c r="CA9" s="58"/>
      <c r="CB9" s="58"/>
    </row>
    <row r="10" spans="1:80" x14ac:dyDescent="0.25">
      <c r="A10" s="17" t="s">
        <v>105</v>
      </c>
      <c r="B10" s="17" t="s">
        <v>106</v>
      </c>
      <c r="C10" s="58"/>
      <c r="D10" s="58"/>
      <c r="E10" s="58"/>
      <c r="F10" s="58">
        <v>1</v>
      </c>
      <c r="G10" s="64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>
        <v>1</v>
      </c>
      <c r="AE10" s="58"/>
      <c r="AF10" s="58"/>
      <c r="AG10" s="58"/>
      <c r="AH10" s="58"/>
      <c r="AI10" s="58"/>
      <c r="AJ10" s="58"/>
      <c r="AK10" s="58"/>
      <c r="AL10" s="58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>
        <v>1</v>
      </c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>
        <v>1</v>
      </c>
      <c r="BZ10" s="58"/>
      <c r="CA10" s="58"/>
      <c r="CB10" s="58"/>
    </row>
    <row r="11" spans="1:80" x14ac:dyDescent="0.25">
      <c r="A11" s="20" t="s">
        <v>13</v>
      </c>
      <c r="B11" s="20" t="s">
        <v>14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</row>
    <row r="12" spans="1:80" x14ac:dyDescent="0.25">
      <c r="A12" s="20" t="s">
        <v>15</v>
      </c>
      <c r="B12" s="20" t="s">
        <v>16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</row>
    <row r="13" spans="1:80" x14ac:dyDescent="0.25">
      <c r="A13" s="4" t="s">
        <v>17</v>
      </c>
      <c r="B13" s="4" t="s">
        <v>18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</row>
    <row r="14" spans="1:80" x14ac:dyDescent="0.25">
      <c r="A14" s="17" t="s">
        <v>19</v>
      </c>
      <c r="B14" s="17" t="s">
        <v>20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>
        <v>1</v>
      </c>
      <c r="BX14" s="62"/>
      <c r="BY14" s="62"/>
      <c r="BZ14" s="62"/>
      <c r="CA14" s="62"/>
      <c r="CB14" s="62"/>
    </row>
    <row r="15" spans="1:80" x14ac:dyDescent="0.25">
      <c r="A15" s="4" t="s">
        <v>21</v>
      </c>
      <c r="B15" s="4" t="s">
        <v>22</v>
      </c>
      <c r="C15" s="58"/>
      <c r="D15" s="59"/>
      <c r="E15" s="58"/>
      <c r="F15" s="58"/>
      <c r="G15" s="65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</row>
    <row r="16" spans="1:80" x14ac:dyDescent="0.25">
      <c r="A16" s="4" t="s">
        <v>23</v>
      </c>
      <c r="B16" s="4" t="s">
        <v>24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9"/>
      <c r="AH16" s="58"/>
      <c r="AI16" s="58"/>
      <c r="AJ16" s="58"/>
      <c r="AK16" s="58"/>
      <c r="AL16" s="58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</row>
    <row r="17" spans="1:80" x14ac:dyDescent="0.25">
      <c r="A17" s="20" t="s">
        <v>25</v>
      </c>
      <c r="B17" s="20" t="s">
        <v>26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</row>
    <row r="18" spans="1:80" x14ac:dyDescent="0.25">
      <c r="A18" s="20" t="s">
        <v>162</v>
      </c>
      <c r="B18" s="20" t="s">
        <v>163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>
        <v>1</v>
      </c>
      <c r="CB18" s="58"/>
    </row>
    <row r="19" spans="1:80" x14ac:dyDescent="0.25">
      <c r="A19" s="17" t="s">
        <v>29</v>
      </c>
      <c r="B19" s="17" t="s">
        <v>30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</row>
    <row r="20" spans="1:80" x14ac:dyDescent="0.25">
      <c r="A20" s="17" t="s">
        <v>29</v>
      </c>
      <c r="B20" s="17" t="s">
        <v>142</v>
      </c>
      <c r="C20" s="62"/>
      <c r="D20" s="62"/>
      <c r="E20" s="62"/>
      <c r="F20" s="62"/>
      <c r="G20" s="62"/>
      <c r="H20" s="62"/>
      <c r="I20" s="62"/>
      <c r="J20" s="62"/>
      <c r="K20" s="62"/>
      <c r="L20" s="62">
        <v>1</v>
      </c>
      <c r="M20" s="62">
        <v>1</v>
      </c>
      <c r="N20" s="62">
        <v>1</v>
      </c>
      <c r="O20" s="62"/>
      <c r="P20" s="62">
        <v>1</v>
      </c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>
        <v>1</v>
      </c>
      <c r="AD20" s="62"/>
      <c r="AE20" s="62"/>
      <c r="AF20" s="62"/>
      <c r="AG20" s="62"/>
      <c r="AH20" s="62"/>
      <c r="AI20" s="62"/>
      <c r="AJ20" s="62"/>
      <c r="AK20" s="62"/>
      <c r="AL20" s="62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>
        <v>1</v>
      </c>
      <c r="BX20" s="62"/>
      <c r="BY20" s="62"/>
      <c r="BZ20" s="62"/>
      <c r="CA20" s="62"/>
      <c r="CB20" s="62"/>
    </row>
    <row r="21" spans="1:80" x14ac:dyDescent="0.25">
      <c r="A21" s="17" t="s">
        <v>165</v>
      </c>
      <c r="B21" s="17" t="s">
        <v>166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</row>
    <row r="22" spans="1:80" x14ac:dyDescent="0.25">
      <c r="A22" s="17" t="s">
        <v>31</v>
      </c>
      <c r="B22" s="17" t="s">
        <v>32</v>
      </c>
      <c r="C22" s="62"/>
      <c r="D22" s="62"/>
      <c r="E22" s="62"/>
      <c r="F22" s="62"/>
      <c r="G22" s="62"/>
      <c r="H22" s="62"/>
      <c r="I22" s="62"/>
      <c r="J22" s="62">
        <v>1</v>
      </c>
      <c r="K22" s="62"/>
      <c r="L22" s="62"/>
      <c r="M22" s="62"/>
      <c r="N22" s="62">
        <v>1</v>
      </c>
      <c r="O22" s="62">
        <v>1</v>
      </c>
      <c r="P22" s="62">
        <v>1</v>
      </c>
      <c r="Q22" s="62"/>
      <c r="R22" s="62"/>
      <c r="S22" s="62">
        <v>1</v>
      </c>
      <c r="T22" s="62">
        <v>1</v>
      </c>
      <c r="U22" s="62"/>
      <c r="V22" s="62"/>
      <c r="W22" s="62"/>
      <c r="X22" s="62">
        <v>1</v>
      </c>
      <c r="Y22" s="62">
        <v>1</v>
      </c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3"/>
      <c r="AN22" s="63"/>
      <c r="AO22" s="63"/>
      <c r="AP22" s="63"/>
      <c r="AQ22" s="63"/>
      <c r="AR22" s="63"/>
      <c r="AS22" s="63">
        <v>1</v>
      </c>
      <c r="AT22" s="63"/>
      <c r="AU22" s="63"/>
      <c r="AV22" s="63"/>
      <c r="AW22" s="63"/>
      <c r="AX22" s="63"/>
      <c r="AY22" s="63"/>
      <c r="AZ22" s="63"/>
      <c r="BA22" s="62"/>
      <c r="BB22" s="62"/>
      <c r="BC22" s="62">
        <v>1</v>
      </c>
      <c r="BD22" s="62">
        <v>1</v>
      </c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</row>
    <row r="23" spans="1:80" x14ac:dyDescent="0.25">
      <c r="A23" s="17" t="s">
        <v>33</v>
      </c>
      <c r="B23" s="17" t="s">
        <v>5</v>
      </c>
      <c r="C23" s="58"/>
      <c r="D23" s="58"/>
      <c r="E23" s="58"/>
      <c r="F23" s="58"/>
      <c r="G23" s="58"/>
      <c r="H23" s="59">
        <v>1</v>
      </c>
      <c r="I23" s="59">
        <v>1</v>
      </c>
      <c r="J23" s="59"/>
      <c r="K23" s="58"/>
      <c r="L23" s="58"/>
      <c r="M23" s="58"/>
      <c r="N23" s="58"/>
      <c r="O23" s="58"/>
      <c r="P23" s="58">
        <v>1</v>
      </c>
      <c r="Q23" s="58"/>
      <c r="R23" s="58"/>
      <c r="S23" s="58"/>
      <c r="T23" s="58"/>
      <c r="U23" s="58"/>
      <c r="V23" s="58">
        <v>1</v>
      </c>
      <c r="W23" s="58"/>
      <c r="X23" s="58"/>
      <c r="Y23" s="58"/>
      <c r="Z23" s="58"/>
      <c r="AA23" s="58"/>
      <c r="AB23" s="58"/>
      <c r="AC23" s="58">
        <v>1</v>
      </c>
      <c r="AD23" s="58"/>
      <c r="AE23" s="58"/>
      <c r="AF23" s="58"/>
      <c r="AG23" s="59"/>
      <c r="AH23" s="58"/>
      <c r="AI23" s="58"/>
      <c r="AJ23" s="58"/>
      <c r="AK23" s="58"/>
      <c r="AL23" s="58"/>
      <c r="AM23" s="61"/>
      <c r="AN23" s="61"/>
      <c r="AO23" s="61">
        <v>1</v>
      </c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58"/>
      <c r="BB23" s="58"/>
      <c r="BC23" s="58"/>
      <c r="BD23" s="58"/>
      <c r="BE23" s="58"/>
      <c r="BF23" s="58">
        <v>1</v>
      </c>
      <c r="BG23" s="58"/>
      <c r="BH23" s="58"/>
      <c r="BI23" s="58"/>
      <c r="BJ23" s="58"/>
      <c r="BK23" s="58"/>
      <c r="BL23" s="58"/>
      <c r="BM23" s="58">
        <v>1</v>
      </c>
      <c r="BN23" s="58">
        <v>2</v>
      </c>
      <c r="BO23" s="58"/>
      <c r="BP23" s="58">
        <v>1</v>
      </c>
      <c r="BQ23" s="58"/>
      <c r="BR23" s="58"/>
      <c r="BS23" s="58"/>
      <c r="BT23" s="58"/>
      <c r="BU23" s="58"/>
      <c r="BV23" s="58"/>
      <c r="BW23" s="58"/>
      <c r="BX23" s="58">
        <v>1</v>
      </c>
      <c r="BY23" s="58"/>
      <c r="BZ23" s="58"/>
      <c r="CA23" s="58"/>
      <c r="CB23" s="58"/>
    </row>
    <row r="24" spans="1:80" x14ac:dyDescent="0.25">
      <c r="A24" s="17" t="s">
        <v>33</v>
      </c>
      <c r="B24" s="17" t="s">
        <v>34</v>
      </c>
      <c r="C24" s="58"/>
      <c r="D24" s="58"/>
      <c r="E24" s="58"/>
      <c r="F24" s="58">
        <v>1</v>
      </c>
      <c r="G24" s="58">
        <v>1</v>
      </c>
      <c r="H24" s="58">
        <v>1</v>
      </c>
      <c r="I24" s="58"/>
      <c r="J24" s="58"/>
      <c r="K24" s="58"/>
      <c r="L24" s="58"/>
      <c r="M24" s="58"/>
      <c r="N24" s="58">
        <v>1</v>
      </c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>
        <v>1</v>
      </c>
      <c r="AD24" s="58"/>
      <c r="AE24" s="58"/>
      <c r="AF24" s="58"/>
      <c r="AG24" s="58"/>
      <c r="AH24" s="58">
        <v>1</v>
      </c>
      <c r="AI24" s="58"/>
      <c r="AJ24" s="58"/>
      <c r="AK24" s="58"/>
      <c r="AL24" s="58">
        <v>1</v>
      </c>
      <c r="AM24" s="61"/>
      <c r="AN24" s="61"/>
      <c r="AO24" s="61"/>
      <c r="AP24" s="61"/>
      <c r="AQ24" s="61">
        <v>1</v>
      </c>
      <c r="AR24" s="61"/>
      <c r="AS24" s="61"/>
      <c r="AT24" s="61">
        <v>1</v>
      </c>
      <c r="AU24" s="61"/>
      <c r="AV24" s="61"/>
      <c r="AW24" s="61"/>
      <c r="AX24" s="61"/>
      <c r="AY24" s="61"/>
      <c r="AZ24" s="61"/>
      <c r="BA24" s="58"/>
      <c r="BB24" s="58"/>
      <c r="BC24" s="58"/>
      <c r="BD24" s="58"/>
      <c r="BE24" s="58">
        <v>1</v>
      </c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>
        <v>1</v>
      </c>
      <c r="BU24" s="58">
        <v>1</v>
      </c>
      <c r="BV24" s="58"/>
      <c r="BW24" s="58"/>
      <c r="BX24" s="58"/>
      <c r="BY24" s="58"/>
      <c r="BZ24" s="58"/>
      <c r="CA24" s="58"/>
      <c r="CB24" s="58"/>
    </row>
    <row r="25" spans="1:80" x14ac:dyDescent="0.25">
      <c r="A25" s="20" t="s">
        <v>37</v>
      </c>
      <c r="B25" s="20" t="s">
        <v>38</v>
      </c>
      <c r="C25" s="58"/>
      <c r="D25" s="58"/>
      <c r="E25" s="58"/>
      <c r="F25" s="58"/>
      <c r="G25" s="58">
        <v>1</v>
      </c>
      <c r="H25" s="58"/>
      <c r="I25" s="58"/>
      <c r="J25" s="58"/>
      <c r="K25" s="58"/>
      <c r="L25" s="58"/>
      <c r="M25" s="58"/>
      <c r="N25" s="58"/>
      <c r="O25" s="58"/>
      <c r="P25" s="58">
        <v>1</v>
      </c>
      <c r="Q25" s="58"/>
      <c r="R25" s="58">
        <v>1</v>
      </c>
      <c r="S25" s="58"/>
      <c r="T25" s="58"/>
      <c r="U25" s="58">
        <v>1</v>
      </c>
      <c r="V25" s="58"/>
      <c r="W25" s="58"/>
      <c r="X25" s="58">
        <v>1</v>
      </c>
      <c r="Y25" s="58"/>
      <c r="Z25" s="58"/>
      <c r="AA25" s="58"/>
      <c r="AB25" s="58"/>
      <c r="AC25" s="58"/>
      <c r="AD25" s="58">
        <v>1</v>
      </c>
      <c r="AE25" s="58">
        <v>1</v>
      </c>
      <c r="AF25" s="58"/>
      <c r="AG25" s="58"/>
      <c r="AH25" s="58"/>
      <c r="AI25" s="58"/>
      <c r="AJ25" s="58"/>
      <c r="AK25" s="58"/>
      <c r="AL25" s="58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>
        <v>1</v>
      </c>
      <c r="AY25" s="61"/>
      <c r="AZ25" s="61"/>
      <c r="BA25" s="58"/>
      <c r="BB25" s="58"/>
      <c r="BC25" s="58"/>
      <c r="BD25" s="58"/>
      <c r="BE25" s="58">
        <v>1</v>
      </c>
      <c r="BF25" s="58"/>
      <c r="BG25" s="58"/>
      <c r="BH25" s="58"/>
      <c r="BI25" s="58"/>
      <c r="BJ25" s="58"/>
      <c r="BK25" s="58"/>
      <c r="BL25" s="58"/>
      <c r="BM25" s="58"/>
      <c r="BN25" s="58">
        <v>2</v>
      </c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>
        <v>1</v>
      </c>
    </row>
    <row r="26" spans="1:80" x14ac:dyDescent="0.25">
      <c r="A26" s="4" t="s">
        <v>39</v>
      </c>
      <c r="B26" s="4" t="s">
        <v>40</v>
      </c>
      <c r="C26" s="58">
        <v>1</v>
      </c>
      <c r="D26" s="58"/>
      <c r="E26" s="58"/>
      <c r="F26" s="58"/>
      <c r="G26" s="59">
        <v>1</v>
      </c>
      <c r="H26" s="58">
        <v>1</v>
      </c>
      <c r="I26" s="58"/>
      <c r="J26" s="58"/>
      <c r="K26" s="58"/>
      <c r="L26" s="58"/>
      <c r="M26" s="58"/>
      <c r="N26" s="58"/>
      <c r="O26" s="58"/>
      <c r="P26" s="58">
        <v>1</v>
      </c>
      <c r="Q26" s="58"/>
      <c r="R26" s="58"/>
      <c r="S26" s="58">
        <v>1</v>
      </c>
      <c r="T26" s="58"/>
      <c r="U26" s="58">
        <v>1</v>
      </c>
      <c r="V26" s="58"/>
      <c r="W26" s="58"/>
      <c r="X26" s="58">
        <v>1</v>
      </c>
      <c r="Y26" s="58">
        <v>1</v>
      </c>
      <c r="Z26" s="58"/>
      <c r="AA26" s="58"/>
      <c r="AB26" s="58"/>
      <c r="AC26" s="58">
        <v>1</v>
      </c>
      <c r="AD26" s="58">
        <v>1</v>
      </c>
      <c r="AE26" s="58">
        <v>1</v>
      </c>
      <c r="AF26" s="58"/>
      <c r="AG26" s="58"/>
      <c r="AH26" s="58">
        <v>1</v>
      </c>
      <c r="AI26" s="58"/>
      <c r="AJ26" s="58"/>
      <c r="AK26" s="58"/>
      <c r="AL26" s="58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58"/>
      <c r="BB26" s="58"/>
      <c r="BC26" s="58"/>
      <c r="BD26" s="58"/>
      <c r="BE26" s="58">
        <v>1</v>
      </c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</row>
    <row r="27" spans="1:80" x14ac:dyDescent="0.25">
      <c r="A27" s="17" t="s">
        <v>41</v>
      </c>
      <c r="B27" s="17" t="s">
        <v>42</v>
      </c>
      <c r="C27" s="58"/>
      <c r="D27" s="58"/>
      <c r="E27" s="58"/>
      <c r="F27" s="58"/>
      <c r="G27" s="59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>
        <v>1</v>
      </c>
      <c r="BQ27" s="58"/>
      <c r="BR27" s="58">
        <v>1</v>
      </c>
      <c r="BS27" s="58">
        <v>1</v>
      </c>
      <c r="BT27" s="58">
        <v>1</v>
      </c>
      <c r="BU27" s="58"/>
      <c r="BV27" s="58"/>
      <c r="BW27" s="58"/>
      <c r="BX27" s="58"/>
      <c r="BY27" s="58"/>
      <c r="BZ27" s="58"/>
      <c r="CA27" s="58"/>
      <c r="CB27" s="58"/>
    </row>
    <row r="28" spans="1:80" ht="15.75" thickBot="1" x14ac:dyDescent="0.3">
      <c r="A28" s="69" t="s">
        <v>130</v>
      </c>
      <c r="B28" s="69" t="s">
        <v>131</v>
      </c>
      <c r="C28" s="66">
        <v>1</v>
      </c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</row>
    <row r="29" spans="1:80" ht="15.75" thickBot="1" x14ac:dyDescent="0.3">
      <c r="A29" s="8"/>
      <c r="B29" s="22" t="s">
        <v>82</v>
      </c>
      <c r="C29" s="68">
        <f>+SUM($C$5:$C$28)</f>
        <v>2</v>
      </c>
      <c r="D29" s="68">
        <f>+SUM($D$5:$D$28)</f>
        <v>0</v>
      </c>
      <c r="E29" s="68">
        <f>+SUM($E$5:$E$28)</f>
        <v>1</v>
      </c>
      <c r="F29" s="68">
        <f>+SUM($F$5:$F$28)</f>
        <v>2</v>
      </c>
      <c r="G29" s="68">
        <f>+SUM($G$5:$G$28)</f>
        <v>3</v>
      </c>
      <c r="H29" s="68">
        <f>+SUM($H$5:$H$28)</f>
        <v>3</v>
      </c>
      <c r="I29" s="68">
        <f>+SUM($I$5:$I$28)</f>
        <v>1</v>
      </c>
      <c r="J29" s="68">
        <f>+SUM($J$5:$J$28)</f>
        <v>2</v>
      </c>
      <c r="K29" s="68">
        <f>+SUM($K$5:$K$28)</f>
        <v>0</v>
      </c>
      <c r="L29" s="68">
        <f>+SUM($L$5:$L$28)</f>
        <v>2</v>
      </c>
      <c r="M29" s="68">
        <f>+SUM($M$5:$M$28)</f>
        <v>2</v>
      </c>
      <c r="N29" s="68">
        <f>+SUM($N$5:$N$28)</f>
        <v>3</v>
      </c>
      <c r="O29" s="68">
        <f>+SUM($O$5:$O$28)</f>
        <v>1</v>
      </c>
      <c r="P29" s="68">
        <f>+SUM($P$5:$P$28)</f>
        <v>7</v>
      </c>
      <c r="Q29" s="68">
        <f>+SUM($Q$5:$Q$28)</f>
        <v>1</v>
      </c>
      <c r="R29" s="68">
        <f>+SUM($R$5:$R$28)</f>
        <v>3</v>
      </c>
      <c r="S29" s="68">
        <f>+SUM($S$5:$S$28)</f>
        <v>3</v>
      </c>
      <c r="T29" s="68">
        <f>+SUM($T$5:$T$28)</f>
        <v>1</v>
      </c>
      <c r="U29" s="68">
        <f>+SUM($U$5:$U$28)</f>
        <v>2</v>
      </c>
      <c r="V29" s="68">
        <f>+SUM($V$5:$V$28)</f>
        <v>1</v>
      </c>
      <c r="W29" s="68">
        <f>+SUM($W$5:$W$28)</f>
        <v>0</v>
      </c>
      <c r="X29" s="68">
        <f>+SUM($X$5:$X$28)</f>
        <v>3</v>
      </c>
      <c r="Y29" s="68">
        <f>+SUM($Y$5:$Y$28)</f>
        <v>2</v>
      </c>
      <c r="Z29" s="68">
        <f>+SUM($Z$5:$Z$28)</f>
        <v>0</v>
      </c>
      <c r="AA29" s="68">
        <f>+SUM($AA$5:$AA$28)</f>
        <v>0</v>
      </c>
      <c r="AB29" s="68">
        <f>+SUM($AB$5:$AB$28)</f>
        <v>0</v>
      </c>
      <c r="AC29" s="68">
        <f>+SUM($AC$5:$AC$28)</f>
        <v>5</v>
      </c>
      <c r="AD29" s="68">
        <f>+SUM($AD$5:$AD$28)</f>
        <v>3</v>
      </c>
      <c r="AE29" s="68">
        <f>+SUM($AE$5:$AE$28)</f>
        <v>3</v>
      </c>
      <c r="AF29" s="68">
        <f>+SUM($AF$5:$AF$28)</f>
        <v>0</v>
      </c>
      <c r="AG29" s="68">
        <f>+SUM($AG$5:$AG$28)</f>
        <v>0</v>
      </c>
      <c r="AH29" s="68">
        <f>+SUM($AH$5:$AH$28)</f>
        <v>2</v>
      </c>
      <c r="AI29" s="68">
        <f>+SUM($AI$5:$AI$28)</f>
        <v>1</v>
      </c>
      <c r="AJ29" s="68">
        <f>+SUM($AJ$5:$AJ$28)</f>
        <v>0</v>
      </c>
      <c r="AK29" s="68">
        <f>+SUM($AK$5:$AK$28)</f>
        <v>0</v>
      </c>
      <c r="AL29" s="68">
        <f>+SUM($AL$5:$AL$28)</f>
        <v>1</v>
      </c>
      <c r="AM29" s="68">
        <f>+SUM($AM$5:$AM$28)</f>
        <v>0</v>
      </c>
      <c r="AN29" s="68">
        <f>+SUM($AN$5:$AN$28)</f>
        <v>0</v>
      </c>
      <c r="AO29" s="68">
        <f>+SUM($AO$4:$AO$27)</f>
        <v>1</v>
      </c>
      <c r="AP29" s="68">
        <f>+SUM($AP$5:$AP$28)</f>
        <v>0</v>
      </c>
      <c r="AQ29" s="68">
        <f>+SUM($AQ$5:$AQ$28)</f>
        <v>1</v>
      </c>
      <c r="AR29" s="68">
        <f>+SUM($AR$5:$AR$28)</f>
        <v>0</v>
      </c>
      <c r="AS29" s="68">
        <f>+SUM($AS$5:$AS$28)</f>
        <v>1</v>
      </c>
      <c r="AT29" s="68">
        <f>+SUM($AT$5:$AT$28)</f>
        <v>1</v>
      </c>
      <c r="AU29" s="68">
        <f>+SUM($AU$5:$AU$28)</f>
        <v>0</v>
      </c>
      <c r="AV29" s="68">
        <f>+SUM($AV$5:$AV$28)</f>
        <v>0</v>
      </c>
      <c r="AW29" s="68">
        <f>+SUM($AW$5:$AW$28)</f>
        <v>0</v>
      </c>
      <c r="AX29" s="68">
        <f>+SUM($AX$5:$AX$28)</f>
        <v>1</v>
      </c>
      <c r="AY29" s="68">
        <f>+SUM($AY$5:$AY$28)</f>
        <v>0</v>
      </c>
      <c r="AZ29" s="68">
        <f>+SUM($AZ$5:$AZ$28)</f>
        <v>1</v>
      </c>
      <c r="BA29" s="68">
        <f>+SUM($BA$5:$BA$28)</f>
        <v>0</v>
      </c>
      <c r="BB29" s="68">
        <f>+SUM($BB$5:$BB$28)</f>
        <v>0</v>
      </c>
      <c r="BC29" s="68">
        <f>+SUM($BC$5:$BC$28)</f>
        <v>1</v>
      </c>
      <c r="BD29" s="68">
        <f>+SUM($BD$5:$BD$28)</f>
        <v>1</v>
      </c>
      <c r="BE29" s="68">
        <f>+SUM($BE$5:$BE$28)</f>
        <v>3</v>
      </c>
      <c r="BF29" s="68">
        <f>+SUM($BF$5:$BF$28)</f>
        <v>1</v>
      </c>
      <c r="BG29" s="68">
        <f>+SUM($BG$5:$BG$28)</f>
        <v>0</v>
      </c>
      <c r="BH29" s="68">
        <f>+SUM($BH$5:$BH$28)</f>
        <v>0</v>
      </c>
      <c r="BI29" s="68">
        <f>+SUM($BI$5:$BI$28)</f>
        <v>0</v>
      </c>
      <c r="BJ29" s="68">
        <f>+SUM($BJ$5:$BJ$28)</f>
        <v>0</v>
      </c>
      <c r="BK29" s="68">
        <f>+SUM($BK$5:$BK$28)</f>
        <v>0</v>
      </c>
      <c r="BL29" s="68">
        <f>+SUM($BL$5:$BL$28)</f>
        <v>0</v>
      </c>
      <c r="BM29" s="68">
        <f>+SUM($BM$5:$BM$28)</f>
        <v>1</v>
      </c>
      <c r="BN29" s="68">
        <f>+SUM($BN$5:$BN$28)</f>
        <v>4</v>
      </c>
      <c r="BO29" s="68">
        <f>+SUM($BO$5:$BO$28)</f>
        <v>0</v>
      </c>
      <c r="BP29" s="68">
        <f>+SUM($BP$5:$BP$28)</f>
        <v>3</v>
      </c>
      <c r="BQ29" s="68">
        <f>+SUM($BQ$5:$BQ$28)</f>
        <v>1</v>
      </c>
      <c r="BR29" s="68">
        <f>+SUM($BR$5:$BR$28)</f>
        <v>1</v>
      </c>
      <c r="BS29" s="68">
        <f>+SUM($BS$5:$BS$28)</f>
        <v>1</v>
      </c>
      <c r="BT29" s="68">
        <f>+SUM($BT$5:$BT$28)</f>
        <v>2</v>
      </c>
      <c r="BU29" s="68">
        <f>+SUM($BU$5:$BU$28)</f>
        <v>1</v>
      </c>
      <c r="BV29" s="68">
        <f>+SUM($BV$5:$BV$28)</f>
        <v>1</v>
      </c>
      <c r="BW29" s="68">
        <f>+SUM($BW$5:$BW$28)</f>
        <v>2</v>
      </c>
      <c r="BX29" s="68">
        <f>+SUM($BX$5:$BX$28)</f>
        <v>1</v>
      </c>
      <c r="BY29" s="68">
        <f>+SUM($BY$5:$BY$28)</f>
        <v>1</v>
      </c>
      <c r="BZ29" s="68">
        <f>+SUM($BZ$5:$BZ$28)</f>
        <v>1</v>
      </c>
      <c r="CA29" s="68">
        <f>+SUM($CA$5:$CA$28)</f>
        <v>1</v>
      </c>
      <c r="CB29" s="68">
        <f>+SUM($CB$5:$CB$28)</f>
        <v>1</v>
      </c>
    </row>
    <row r="30" spans="1:80" x14ac:dyDescent="0.25">
      <c r="AO30" s="68"/>
    </row>
    <row r="32" spans="1:80" x14ac:dyDescent="0.25">
      <c r="B32" t="s">
        <v>210</v>
      </c>
      <c r="C32" t="s">
        <v>212</v>
      </c>
      <c r="E32" t="s">
        <v>205</v>
      </c>
      <c r="F32" t="s">
        <v>212</v>
      </c>
    </row>
    <row r="34" spans="2:7" x14ac:dyDescent="0.25">
      <c r="B34" s="10" t="s">
        <v>45</v>
      </c>
      <c r="C34" s="68">
        <f>+SUM($C$5:$C$28)</f>
        <v>2</v>
      </c>
      <c r="E34" s="10" t="s">
        <v>209</v>
      </c>
      <c r="F34" s="10">
        <v>3</v>
      </c>
      <c r="G34" t="s">
        <v>206</v>
      </c>
    </row>
    <row r="35" spans="2:7" x14ac:dyDescent="0.25">
      <c r="B35" s="10" t="s">
        <v>103</v>
      </c>
      <c r="C35" s="68">
        <f>+SUM($D$5:$D$28)</f>
        <v>0</v>
      </c>
      <c r="E35" s="10" t="s">
        <v>208</v>
      </c>
      <c r="F35" s="10">
        <v>1</v>
      </c>
      <c r="G35" t="s">
        <v>207</v>
      </c>
    </row>
    <row r="36" spans="2:7" x14ac:dyDescent="0.25">
      <c r="B36" s="10" t="s">
        <v>46</v>
      </c>
      <c r="C36" s="68">
        <f>+SUM($E$5:$E$28)</f>
        <v>1</v>
      </c>
      <c r="E36" s="10" t="s">
        <v>211</v>
      </c>
      <c r="F36" s="10">
        <v>3</v>
      </c>
    </row>
    <row r="37" spans="2:7" x14ac:dyDescent="0.25">
      <c r="B37" s="10" t="s">
        <v>47</v>
      </c>
      <c r="C37" s="68">
        <f>+SUM($F$5:$F$28)</f>
        <v>2</v>
      </c>
      <c r="E37" s="10" t="s">
        <v>213</v>
      </c>
      <c r="F37" s="10">
        <v>1</v>
      </c>
    </row>
    <row r="38" spans="2:7" x14ac:dyDescent="0.25">
      <c r="B38" s="10" t="s">
        <v>48</v>
      </c>
      <c r="C38" s="68">
        <f>+SUM($G$5:$G$28)</f>
        <v>3</v>
      </c>
      <c r="E38" s="10" t="s">
        <v>214</v>
      </c>
      <c r="F38" s="10">
        <v>1</v>
      </c>
    </row>
    <row r="39" spans="2:7" x14ac:dyDescent="0.25">
      <c r="B39" s="10" t="s">
        <v>49</v>
      </c>
      <c r="C39" s="68">
        <f>+SUM($H$5:$H$28)</f>
        <v>3</v>
      </c>
      <c r="E39" s="10"/>
      <c r="F39" s="10"/>
    </row>
    <row r="40" spans="2:7" x14ac:dyDescent="0.25">
      <c r="B40" s="10" t="s">
        <v>189</v>
      </c>
      <c r="C40" s="68">
        <f>+SUM($I$5:$I$28)</f>
        <v>1</v>
      </c>
      <c r="E40" s="10"/>
      <c r="F40" s="10"/>
    </row>
    <row r="41" spans="2:7" x14ac:dyDescent="0.25">
      <c r="B41" s="10" t="s">
        <v>50</v>
      </c>
      <c r="C41" s="68">
        <f>+SUM($J$5:$J$28)</f>
        <v>2</v>
      </c>
      <c r="E41" s="10"/>
      <c r="F41" s="10"/>
    </row>
    <row r="42" spans="2:7" x14ac:dyDescent="0.25">
      <c r="B42" s="10" t="s">
        <v>51</v>
      </c>
      <c r="C42" s="68">
        <f>+SUM($K$5:$K$28)</f>
        <v>0</v>
      </c>
      <c r="E42" s="10"/>
      <c r="F42" s="10"/>
    </row>
    <row r="43" spans="2:7" x14ac:dyDescent="0.25">
      <c r="B43" s="10" t="s">
        <v>52</v>
      </c>
      <c r="C43" s="68">
        <f>+SUM($L$5:$L$28)</f>
        <v>2</v>
      </c>
      <c r="E43" s="10"/>
      <c r="F43" s="10"/>
    </row>
    <row r="44" spans="2:7" x14ac:dyDescent="0.25">
      <c r="B44" s="10" t="s">
        <v>53</v>
      </c>
      <c r="C44" s="68">
        <f>+SUM($M$5:$M$28)</f>
        <v>2</v>
      </c>
      <c r="E44" s="10"/>
      <c r="F44" s="10"/>
    </row>
    <row r="45" spans="2:7" x14ac:dyDescent="0.25">
      <c r="B45" s="10" t="s">
        <v>54</v>
      </c>
      <c r="C45" s="68">
        <f>+SUM($N$5:$N$28)</f>
        <v>3</v>
      </c>
      <c r="E45" s="10"/>
      <c r="F45" s="10"/>
    </row>
    <row r="46" spans="2:7" x14ac:dyDescent="0.25">
      <c r="B46" s="10" t="s">
        <v>55</v>
      </c>
      <c r="C46" s="68">
        <f>+SUM($O$5:$O$28)</f>
        <v>1</v>
      </c>
      <c r="E46" s="10" t="s">
        <v>220</v>
      </c>
      <c r="F46" s="10"/>
    </row>
    <row r="47" spans="2:7" x14ac:dyDescent="0.25">
      <c r="B47" s="10" t="s">
        <v>56</v>
      </c>
      <c r="C47" s="68">
        <f>+SUM($P$5:$P$28)</f>
        <v>7</v>
      </c>
      <c r="E47" s="10" t="s">
        <v>215</v>
      </c>
      <c r="F47" s="10">
        <v>1</v>
      </c>
      <c r="G47" t="s">
        <v>221</v>
      </c>
    </row>
    <row r="48" spans="2:7" x14ac:dyDescent="0.25">
      <c r="B48" s="10" t="s">
        <v>57</v>
      </c>
      <c r="C48" s="68">
        <f>+SUM($Q$5:$Q$28)</f>
        <v>1</v>
      </c>
      <c r="E48" s="10" t="s">
        <v>216</v>
      </c>
      <c r="F48" s="10">
        <v>1</v>
      </c>
    </row>
    <row r="49" spans="2:6" x14ac:dyDescent="0.25">
      <c r="B49" s="10" t="s">
        <v>58</v>
      </c>
      <c r="C49" s="68">
        <f>+SUM($R$5:$R$28)</f>
        <v>3</v>
      </c>
      <c r="E49" s="10" t="s">
        <v>217</v>
      </c>
      <c r="F49" s="10">
        <v>1</v>
      </c>
    </row>
    <row r="50" spans="2:6" x14ac:dyDescent="0.25">
      <c r="B50" s="10" t="s">
        <v>59</v>
      </c>
      <c r="C50" s="68">
        <f>+SUM($S$5:$S$28)</f>
        <v>3</v>
      </c>
      <c r="E50" s="10" t="s">
        <v>218</v>
      </c>
      <c r="F50" s="10">
        <v>1</v>
      </c>
    </row>
    <row r="51" spans="2:6" x14ac:dyDescent="0.25">
      <c r="B51" s="10" t="s">
        <v>198</v>
      </c>
      <c r="C51" s="68">
        <f>+SUM($T$5:$T$28)</f>
        <v>1</v>
      </c>
      <c r="E51" s="10" t="s">
        <v>219</v>
      </c>
      <c r="F51" s="10">
        <v>1</v>
      </c>
    </row>
    <row r="52" spans="2:6" x14ac:dyDescent="0.25">
      <c r="B52" s="10" t="s">
        <v>60</v>
      </c>
      <c r="C52" s="68">
        <f>+SUM($U$5:$U$28)</f>
        <v>2</v>
      </c>
      <c r="E52" s="10"/>
      <c r="F52" s="10"/>
    </row>
    <row r="53" spans="2:6" x14ac:dyDescent="0.25">
      <c r="B53" s="10" t="s">
        <v>61</v>
      </c>
      <c r="C53" s="68">
        <f>+SUM($V$5:$V$28)</f>
        <v>1</v>
      </c>
      <c r="E53" s="10"/>
      <c r="F53" s="10"/>
    </row>
    <row r="54" spans="2:6" x14ac:dyDescent="0.25">
      <c r="B54" s="10" t="s">
        <v>62</v>
      </c>
      <c r="C54" s="68">
        <f>+SUM($W$5:$W$28)</f>
        <v>0</v>
      </c>
      <c r="E54" s="10"/>
      <c r="F54" s="10"/>
    </row>
    <row r="55" spans="2:6" x14ac:dyDescent="0.25">
      <c r="B55" s="10" t="s">
        <v>63</v>
      </c>
      <c r="C55" s="68">
        <f>+SUM($X$5:$X$28)</f>
        <v>3</v>
      </c>
      <c r="E55" s="10"/>
      <c r="F55" s="10"/>
    </row>
    <row r="56" spans="2:6" x14ac:dyDescent="0.25">
      <c r="B56" s="10" t="s">
        <v>197</v>
      </c>
      <c r="C56" s="68">
        <f>+SUM($Y$5:$Y$28)</f>
        <v>2</v>
      </c>
      <c r="E56" s="10"/>
      <c r="F56" s="10"/>
    </row>
    <row r="57" spans="2:6" x14ac:dyDescent="0.25">
      <c r="B57" s="10" t="s">
        <v>64</v>
      </c>
      <c r="C57" s="68">
        <f>+SUM($Z$5:$Z$28)</f>
        <v>0</v>
      </c>
      <c r="E57" s="10"/>
      <c r="F57" s="10"/>
    </row>
    <row r="58" spans="2:6" x14ac:dyDescent="0.25">
      <c r="B58" s="10" t="s">
        <v>65</v>
      </c>
      <c r="C58" s="68">
        <f>+SUM($AA$5:$AA$28)</f>
        <v>0</v>
      </c>
      <c r="E58" s="10"/>
      <c r="F58" s="10"/>
    </row>
    <row r="59" spans="2:6" x14ac:dyDescent="0.25">
      <c r="B59" s="10" t="s">
        <v>66</v>
      </c>
      <c r="C59" s="68">
        <f>+SUM($AB$5:$AB$28)</f>
        <v>0</v>
      </c>
      <c r="E59" s="10"/>
      <c r="F59" s="10"/>
    </row>
    <row r="60" spans="2:6" x14ac:dyDescent="0.25">
      <c r="B60" s="10" t="s">
        <v>67</v>
      </c>
      <c r="C60" s="68">
        <f>+SUM($AC$5:$AC$28)</f>
        <v>5</v>
      </c>
      <c r="E60" s="10"/>
      <c r="F60" s="10"/>
    </row>
    <row r="61" spans="2:6" x14ac:dyDescent="0.25">
      <c r="B61" s="10" t="s">
        <v>68</v>
      </c>
      <c r="C61" s="68">
        <f>+SUM($AD$5:$AD$28)</f>
        <v>3</v>
      </c>
      <c r="E61" s="10"/>
      <c r="F61" s="10"/>
    </row>
    <row r="62" spans="2:6" x14ac:dyDescent="0.25">
      <c r="B62" s="10" t="s">
        <v>69</v>
      </c>
      <c r="C62" s="68">
        <f>+SUM($AE$5:$AE$28)</f>
        <v>3</v>
      </c>
      <c r="E62" s="10"/>
      <c r="F62" s="10"/>
    </row>
    <row r="63" spans="2:6" x14ac:dyDescent="0.25">
      <c r="B63" s="10" t="s">
        <v>102</v>
      </c>
      <c r="C63" s="68">
        <f>+SUM($AF$5:$AF$28)</f>
        <v>0</v>
      </c>
      <c r="E63" s="10"/>
      <c r="F63" s="10"/>
    </row>
    <row r="64" spans="2:6" x14ac:dyDescent="0.25">
      <c r="B64" s="10" t="s">
        <v>70</v>
      </c>
      <c r="C64" s="68">
        <f>+SUM($AG$5:$AG$28)</f>
        <v>0</v>
      </c>
      <c r="E64" s="10"/>
      <c r="F64" s="10"/>
    </row>
    <row r="65" spans="2:6" x14ac:dyDescent="0.25">
      <c r="B65" s="10" t="s">
        <v>71</v>
      </c>
      <c r="C65" s="68">
        <f>+SUM($AH$5:$AH$28)</f>
        <v>2</v>
      </c>
      <c r="E65" s="10"/>
      <c r="F65" s="10"/>
    </row>
    <row r="66" spans="2:6" x14ac:dyDescent="0.25">
      <c r="B66" s="10" t="s">
        <v>72</v>
      </c>
      <c r="C66" s="68">
        <f>+SUM($AI$5:$AI$28)</f>
        <v>1</v>
      </c>
      <c r="E66" s="10"/>
      <c r="F66" s="10"/>
    </row>
    <row r="67" spans="2:6" x14ac:dyDescent="0.25">
      <c r="B67" s="10" t="s">
        <v>73</v>
      </c>
      <c r="C67" s="68">
        <f>+SUM($AJ$5:$AJ$28)</f>
        <v>0</v>
      </c>
      <c r="E67" s="10"/>
      <c r="F67" s="10"/>
    </row>
    <row r="68" spans="2:6" x14ac:dyDescent="0.25">
      <c r="B68" s="10" t="s">
        <v>74</v>
      </c>
      <c r="C68" s="68">
        <f>+SUM($AK$5:$AK$28)</f>
        <v>0</v>
      </c>
      <c r="E68" s="10"/>
      <c r="F68" s="10"/>
    </row>
    <row r="69" spans="2:6" x14ac:dyDescent="0.25">
      <c r="B69" s="10" t="s">
        <v>75</v>
      </c>
      <c r="C69" s="68">
        <f>+SUM($AL$5:$AL$28)</f>
        <v>1</v>
      </c>
      <c r="E69" s="10"/>
      <c r="F69" s="10"/>
    </row>
    <row r="70" spans="2:6" x14ac:dyDescent="0.25">
      <c r="B70" s="10" t="s">
        <v>157</v>
      </c>
      <c r="C70" s="68">
        <f>+SUM($AM$5:$AM$28)</f>
        <v>0</v>
      </c>
      <c r="E70" s="10"/>
      <c r="F70" s="10"/>
    </row>
    <row r="71" spans="2:6" x14ac:dyDescent="0.25">
      <c r="B71" s="10" t="s">
        <v>160</v>
      </c>
      <c r="C71" s="68">
        <f>+SUM($AN$5:$AN$28)</f>
        <v>0</v>
      </c>
      <c r="E71" s="10"/>
      <c r="F71" s="10"/>
    </row>
    <row r="72" spans="2:6" x14ac:dyDescent="0.25">
      <c r="B72" s="10" t="s">
        <v>117</v>
      </c>
      <c r="C72" s="68">
        <f>+SUM($AO$4:$AO$27)</f>
        <v>1</v>
      </c>
      <c r="E72" s="10"/>
      <c r="F72" s="10"/>
    </row>
    <row r="73" spans="2:6" x14ac:dyDescent="0.25">
      <c r="B73" s="10" t="s">
        <v>124</v>
      </c>
      <c r="C73" s="68">
        <f>+SUM($AP$5:$AP$28)</f>
        <v>0</v>
      </c>
      <c r="E73" s="10"/>
      <c r="F73" s="10"/>
    </row>
    <row r="74" spans="2:6" x14ac:dyDescent="0.25">
      <c r="B74" s="10" t="s">
        <v>91</v>
      </c>
      <c r="C74" s="68">
        <f>+SUM($AQ$5:$AQ$28)</f>
        <v>1</v>
      </c>
      <c r="E74" s="10"/>
      <c r="F74" s="10"/>
    </row>
    <row r="75" spans="2:6" x14ac:dyDescent="0.25">
      <c r="B75" s="10" t="s">
        <v>118</v>
      </c>
      <c r="C75" s="68">
        <f>+SUM($AR$5:$AR$28)</f>
        <v>0</v>
      </c>
      <c r="E75" s="10"/>
      <c r="F75" s="10"/>
    </row>
    <row r="76" spans="2:6" x14ac:dyDescent="0.25">
      <c r="B76" s="10" t="s">
        <v>199</v>
      </c>
      <c r="C76" s="68">
        <f>+SUM($AS$5:$AS$28)</f>
        <v>1</v>
      </c>
      <c r="E76" s="10"/>
      <c r="F76" s="10"/>
    </row>
    <row r="77" spans="2:6" x14ac:dyDescent="0.25">
      <c r="B77" s="10" t="s">
        <v>121</v>
      </c>
      <c r="C77" s="68">
        <f>+SUM($AT$5:$AT$28)</f>
        <v>1</v>
      </c>
      <c r="E77" s="10"/>
      <c r="F77" s="10"/>
    </row>
    <row r="78" spans="2:6" x14ac:dyDescent="0.25">
      <c r="B78" s="10" t="s">
        <v>123</v>
      </c>
      <c r="C78" s="68">
        <f>+SUM($AU$5:$AU$28)</f>
        <v>0</v>
      </c>
      <c r="E78" s="10"/>
      <c r="F78" s="10"/>
    </row>
    <row r="79" spans="2:6" x14ac:dyDescent="0.25">
      <c r="B79" s="10" t="s">
        <v>126</v>
      </c>
      <c r="C79" s="68">
        <f>+SUM($AV$5:$AV$28)</f>
        <v>0</v>
      </c>
      <c r="E79" s="10"/>
      <c r="F79" s="10"/>
    </row>
    <row r="80" spans="2:6" x14ac:dyDescent="0.25">
      <c r="B80" s="10" t="s">
        <v>127</v>
      </c>
      <c r="C80" s="68">
        <f>+SUM($AW$5:$AW$28)</f>
        <v>0</v>
      </c>
      <c r="E80" s="10"/>
      <c r="F80" s="10"/>
    </row>
    <row r="81" spans="2:6" x14ac:dyDescent="0.25">
      <c r="B81" s="10" t="s">
        <v>128</v>
      </c>
      <c r="C81" s="68">
        <f>+SUM($AX$5:$AX$28)</f>
        <v>1</v>
      </c>
      <c r="E81" s="10"/>
      <c r="F81" s="10"/>
    </row>
    <row r="82" spans="2:6" x14ac:dyDescent="0.25">
      <c r="B82" s="10" t="s">
        <v>129</v>
      </c>
      <c r="C82" s="68">
        <f>+SUM($AY$5:$AY$28)</f>
        <v>0</v>
      </c>
      <c r="E82" s="10"/>
      <c r="F82" s="10"/>
    </row>
    <row r="83" spans="2:6" x14ac:dyDescent="0.25">
      <c r="B83" s="10" t="s">
        <v>132</v>
      </c>
      <c r="C83" s="68">
        <f>+SUM($AZ$5:$AZ$28)</f>
        <v>1</v>
      </c>
      <c r="E83" s="10"/>
      <c r="F83" s="10"/>
    </row>
    <row r="84" spans="2:6" x14ac:dyDescent="0.25">
      <c r="B84" s="10" t="s">
        <v>133</v>
      </c>
      <c r="C84" s="68">
        <f>+SUM($BA$5:$BA$28)</f>
        <v>0</v>
      </c>
      <c r="E84" s="10"/>
      <c r="F84" s="10"/>
    </row>
    <row r="85" spans="2:6" x14ac:dyDescent="0.25">
      <c r="B85" s="10" t="s">
        <v>134</v>
      </c>
      <c r="C85" s="68">
        <f>+SUM($BB$5:$BB$28)</f>
        <v>0</v>
      </c>
      <c r="E85" s="10"/>
      <c r="F85" s="10"/>
    </row>
    <row r="86" spans="2:6" x14ac:dyDescent="0.25">
      <c r="B86" s="10" t="s">
        <v>135</v>
      </c>
      <c r="C86" s="68">
        <f>+SUM($BC$5:$BC$28)</f>
        <v>1</v>
      </c>
      <c r="E86" s="10"/>
      <c r="F86" s="10"/>
    </row>
    <row r="87" spans="2:6" x14ac:dyDescent="0.25">
      <c r="B87" s="10" t="s">
        <v>200</v>
      </c>
      <c r="C87" s="68">
        <f>+SUM($BD$5:$BD$28)</f>
        <v>1</v>
      </c>
      <c r="E87" s="10"/>
      <c r="F87" s="10"/>
    </row>
    <row r="88" spans="2:6" x14ac:dyDescent="0.25">
      <c r="B88" s="10" t="s">
        <v>137</v>
      </c>
      <c r="C88" s="68">
        <f>+SUM($BE$5:$BE$28)</f>
        <v>3</v>
      </c>
      <c r="E88" s="10"/>
      <c r="F88" s="10"/>
    </row>
    <row r="89" spans="2:6" x14ac:dyDescent="0.25">
      <c r="B89" s="10" t="s">
        <v>138</v>
      </c>
      <c r="C89" s="68">
        <f>+SUM($BF$5:$BF$28)</f>
        <v>1</v>
      </c>
      <c r="E89" s="10"/>
      <c r="F89" s="10"/>
    </row>
    <row r="90" spans="2:6" x14ac:dyDescent="0.25">
      <c r="B90" s="10" t="s">
        <v>139</v>
      </c>
      <c r="C90" s="68">
        <f>+SUM($BG$5:$BG$28)</f>
        <v>0</v>
      </c>
      <c r="E90" s="10"/>
      <c r="F90" s="10"/>
    </row>
    <row r="91" spans="2:6" x14ac:dyDescent="0.25">
      <c r="B91" s="10" t="s">
        <v>140</v>
      </c>
      <c r="C91" s="68">
        <f>+SUM($BH$5:$BH$28)</f>
        <v>0</v>
      </c>
      <c r="E91" s="10"/>
      <c r="F91" s="10"/>
    </row>
    <row r="92" spans="2:6" x14ac:dyDescent="0.25">
      <c r="B92" s="10" t="s">
        <v>144</v>
      </c>
      <c r="C92" s="68">
        <f>+SUM($BI$5:$BI$28)</f>
        <v>0</v>
      </c>
      <c r="E92" s="10"/>
      <c r="F92" s="10"/>
    </row>
    <row r="93" spans="2:6" x14ac:dyDescent="0.25">
      <c r="B93" s="10" t="s">
        <v>145</v>
      </c>
      <c r="C93" s="68">
        <f>+SUM($BJ$5:$BJ$28)</f>
        <v>0</v>
      </c>
      <c r="E93" s="10"/>
      <c r="F93" s="10"/>
    </row>
    <row r="94" spans="2:6" x14ac:dyDescent="0.25">
      <c r="B94" s="10" t="s">
        <v>146</v>
      </c>
      <c r="C94" s="68">
        <f>+SUM($BK$5:$BK$28)</f>
        <v>0</v>
      </c>
      <c r="E94" s="10"/>
      <c r="F94" s="10"/>
    </row>
    <row r="95" spans="2:6" x14ac:dyDescent="0.25">
      <c r="B95" s="10" t="s">
        <v>149</v>
      </c>
      <c r="C95" s="68">
        <f>+SUM($BL$5:$BL$28)</f>
        <v>0</v>
      </c>
      <c r="E95" s="10"/>
      <c r="F95" s="10"/>
    </row>
    <row r="96" spans="2:6" x14ac:dyDescent="0.25">
      <c r="B96" s="10" t="s">
        <v>158</v>
      </c>
      <c r="C96" s="68">
        <f>+SUM($BM$5:$BM$28)</f>
        <v>1</v>
      </c>
      <c r="E96" s="10"/>
      <c r="F96" s="10"/>
    </row>
    <row r="97" spans="2:6" x14ac:dyDescent="0.25">
      <c r="B97" s="10" t="s">
        <v>170</v>
      </c>
      <c r="C97" s="68">
        <f>+SUM($BN$5:$BN$28)</f>
        <v>4</v>
      </c>
      <c r="E97" s="10"/>
      <c r="F97" s="10"/>
    </row>
    <row r="98" spans="2:6" x14ac:dyDescent="0.25">
      <c r="B98" s="10" t="s">
        <v>174</v>
      </c>
      <c r="C98" s="68">
        <f>+SUM($BO$5:$BO$28)</f>
        <v>0</v>
      </c>
      <c r="E98" s="10"/>
      <c r="F98" s="10"/>
    </row>
    <row r="99" spans="2:6" x14ac:dyDescent="0.25">
      <c r="B99" s="10" t="s">
        <v>180</v>
      </c>
      <c r="C99" s="68">
        <f>+SUM($BP$5:$BP$28)</f>
        <v>3</v>
      </c>
      <c r="E99" s="10"/>
      <c r="F99" s="10"/>
    </row>
    <row r="100" spans="2:6" x14ac:dyDescent="0.25">
      <c r="B100" s="10" t="s">
        <v>181</v>
      </c>
      <c r="C100" s="68">
        <f>+SUM($BQ$5:$BQ$28)</f>
        <v>1</v>
      </c>
      <c r="E100" s="10"/>
      <c r="F100" s="10"/>
    </row>
    <row r="101" spans="2:6" x14ac:dyDescent="0.25">
      <c r="B101" s="10" t="s">
        <v>182</v>
      </c>
      <c r="C101" s="68">
        <f>+SUM($BR$5:$BR$28)</f>
        <v>1</v>
      </c>
      <c r="E101" s="10"/>
      <c r="F101" s="10"/>
    </row>
    <row r="102" spans="2:6" x14ac:dyDescent="0.25">
      <c r="B102" s="10" t="s">
        <v>184</v>
      </c>
      <c r="C102" s="68">
        <f>+SUM($BS$5:$BS$28)</f>
        <v>1</v>
      </c>
      <c r="E102" s="10"/>
      <c r="F102" s="10"/>
    </row>
    <row r="103" spans="2:6" x14ac:dyDescent="0.25">
      <c r="B103" s="10" t="s">
        <v>185</v>
      </c>
      <c r="C103" s="68">
        <f>+SUM($BT$5:$BT$28)</f>
        <v>2</v>
      </c>
      <c r="E103" s="10"/>
      <c r="F103" s="10"/>
    </row>
    <row r="104" spans="2:6" x14ac:dyDescent="0.25">
      <c r="B104" s="10" t="s">
        <v>191</v>
      </c>
      <c r="C104" s="68">
        <f>+SUM($BU$5:$BU$28)</f>
        <v>1</v>
      </c>
      <c r="E104" s="10"/>
      <c r="F104" s="10"/>
    </row>
    <row r="105" spans="2:6" x14ac:dyDescent="0.25">
      <c r="B105" s="10" t="s">
        <v>195</v>
      </c>
      <c r="C105" s="68">
        <f>+SUM($BV$5:$BV$28)</f>
        <v>1</v>
      </c>
      <c r="E105" s="10"/>
      <c r="F105" s="10"/>
    </row>
    <row r="106" spans="2:6" x14ac:dyDescent="0.25">
      <c r="B106" s="10" t="s">
        <v>196</v>
      </c>
      <c r="C106" s="68">
        <f>+SUM($BW$5:$BW$28)</f>
        <v>2</v>
      </c>
      <c r="E106" s="10"/>
      <c r="F106" s="10"/>
    </row>
    <row r="107" spans="2:6" x14ac:dyDescent="0.25">
      <c r="B107" s="10" t="s">
        <v>201</v>
      </c>
      <c r="C107" s="68">
        <f>+SUM($BX$5:$BX$28)</f>
        <v>1</v>
      </c>
      <c r="E107" s="10"/>
      <c r="F107" s="10"/>
    </row>
    <row r="108" spans="2:6" x14ac:dyDescent="0.25">
      <c r="B108" s="10" t="s">
        <v>202</v>
      </c>
      <c r="C108" s="68">
        <f>+SUM($BY$5:$BY$28)</f>
        <v>1</v>
      </c>
      <c r="E108" s="10"/>
      <c r="F108" s="10"/>
    </row>
    <row r="109" spans="2:6" x14ac:dyDescent="0.25">
      <c r="B109" s="10" t="s">
        <v>203</v>
      </c>
      <c r="C109" s="68">
        <f>+SUM($BZ$5:$BZ$28)</f>
        <v>1</v>
      </c>
      <c r="E109" s="10"/>
      <c r="F109" s="10"/>
    </row>
    <row r="110" spans="2:6" x14ac:dyDescent="0.25">
      <c r="B110" s="10" t="s">
        <v>204</v>
      </c>
      <c r="C110" s="68">
        <f>+SUM($CA$5:$CA$28)</f>
        <v>1</v>
      </c>
      <c r="E110" s="10"/>
      <c r="F110" s="10"/>
    </row>
    <row r="111" spans="2:6" x14ac:dyDescent="0.25">
      <c r="B111" s="10"/>
      <c r="C111" s="68">
        <f>+SUM($CB$5:$CB$28)</f>
        <v>1</v>
      </c>
      <c r="E111" s="10"/>
      <c r="F111" s="10"/>
    </row>
  </sheetData>
  <pageMargins left="0.7" right="0.7" top="0.75" bottom="0.75" header="0.3" footer="0.3"/>
  <pageSetup paperSize="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045B4C-AE9B-4BFC-9211-659DF49C6569}">
  <dimension ref="A2:CB111"/>
  <sheetViews>
    <sheetView topLeftCell="A4" workbookViewId="0">
      <selection activeCell="S13" sqref="S13"/>
    </sheetView>
  </sheetViews>
  <sheetFormatPr baseColWidth="10" defaultRowHeight="15" x14ac:dyDescent="0.25"/>
  <cols>
    <col min="1" max="1" width="15.7109375" bestFit="1" customWidth="1"/>
    <col min="2" max="2" width="24.42578125" customWidth="1"/>
  </cols>
  <sheetData>
    <row r="2" spans="1:80" x14ac:dyDescent="0.25">
      <c r="A2" s="9" t="s">
        <v>190</v>
      </c>
    </row>
    <row r="3" spans="1:80" ht="15.75" thickBot="1" x14ac:dyDescent="0.3"/>
    <row r="4" spans="1:80" ht="210.75" thickBot="1" x14ac:dyDescent="0.3">
      <c r="A4" s="1" t="s">
        <v>0</v>
      </c>
      <c r="B4" s="1" t="s">
        <v>1</v>
      </c>
      <c r="C4" s="1" t="str">
        <f>+'à commander 2019'!A5</f>
        <v>Coffre 026-001</v>
      </c>
      <c r="D4" s="1" t="str">
        <f>+'à commander 2019'!A6</f>
        <v>Clef à molette 493-250</v>
      </c>
      <c r="E4" s="1" t="str">
        <f>+'à commander 2019'!A7</f>
        <v>Pince à dénuder 257-160</v>
      </c>
      <c r="F4" s="1" t="str">
        <f>+'à commander 2019'!A8</f>
        <v>Lime demi ronde 805-209</v>
      </c>
      <c r="G4" s="1" t="str">
        <f>+'à commander 2019'!A9</f>
        <v>Pince coupante 1000v 256-160</v>
      </c>
      <c r="H4" s="1" t="str">
        <f>+'à commander 2019'!A10</f>
        <v>Coupe câble</v>
      </c>
      <c r="I4" s="1" t="s">
        <v>189</v>
      </c>
      <c r="J4" s="1" t="str">
        <f>+'à commander 2019'!A11</f>
        <v>Scie à métaux 840-001</v>
      </c>
      <c r="K4" s="1" t="str">
        <f>+'à commander 2019'!A12</f>
        <v>Mètre pliant</v>
      </c>
      <c r="L4" s="1" t="str">
        <f>+'à commander 2019'!A13</f>
        <v>Burin plat 753-22-16-300</v>
      </c>
      <c r="M4" s="1" t="str">
        <f>+'à commander 2019'!A14</f>
        <v>Burin pointe 754-04-16-300</v>
      </c>
      <c r="N4" s="1" t="str">
        <f>+'à commander 2019'!A15</f>
        <v>Massette 704-1250</v>
      </c>
      <c r="O4" s="1" t="str">
        <f>+'à commander 2019'!A16</f>
        <v>Niveau</v>
      </c>
      <c r="P4" s="1" t="str">
        <f>+'à commander 2019'!A17</f>
        <v>Jeu tournevis</v>
      </c>
      <c r="Q4" s="1" t="str">
        <f>+'à commander 2019'!A18</f>
        <v>Pince étau 275-175</v>
      </c>
      <c r="R4" s="1" t="str">
        <f>+'à commander 2019'!A19</f>
        <v>Coffret douilles 531-002</v>
      </c>
      <c r="S4" s="1" t="str">
        <f>+'à commander 2019'!A20</f>
        <v>Clef à pipe 10/462-10</v>
      </c>
      <c r="T4" s="1" t="s">
        <v>198</v>
      </c>
      <c r="U4" s="1" t="str">
        <f>+'à commander 2019'!A21</f>
        <v>Clef à pipe 13/462-13</v>
      </c>
      <c r="V4" s="1" t="str">
        <f>+'à commander 2019'!A22</f>
        <v>Clef à pipe 17/462-17</v>
      </c>
      <c r="W4" s="1" t="str">
        <f>+'à commander 2019'!A23</f>
        <v>Clef à pipe 19/462-19</v>
      </c>
      <c r="X4" s="1" t="str">
        <f>+'à commander 2019'!A24</f>
        <v>Clef plate 10/451-10</v>
      </c>
      <c r="Y4" s="1" t="s">
        <v>197</v>
      </c>
      <c r="Z4" s="1" t="str">
        <f>+'à commander 2019'!A25</f>
        <v>Clef plate 13/451-13</v>
      </c>
      <c r="AA4" s="1" t="str">
        <f>+'à commander 2019'!A26</f>
        <v>Clef plate 17/451-17</v>
      </c>
      <c r="AB4" s="1" t="str">
        <f>+'à commander 2019'!A27</f>
        <v>Clef plate 19/451-19</v>
      </c>
      <c r="AC4" s="1" t="str">
        <f>+'à commander 2019'!A28</f>
        <v>Cutter</v>
      </c>
      <c r="AD4" s="1" t="str">
        <f>+'à commander 2019'!A29</f>
        <v>Clef allen 602-009</v>
      </c>
      <c r="AE4" s="1" t="str">
        <f>+'à commander 2019'!A30</f>
        <v>Outil à dégainer 296-032</v>
      </c>
      <c r="AF4" s="1" t="str">
        <f>+'à commander 2019'!A31</f>
        <v>Pince à Sertir</v>
      </c>
      <c r="AG4" s="1" t="str">
        <f>+'à commander 2019'!A32</f>
        <v>Testeur Fluke</v>
      </c>
      <c r="AH4" s="1" t="str">
        <f>+'à commander 2019'!A33</f>
        <v xml:space="preserve">Boite embouts </v>
      </c>
      <c r="AI4" s="1" t="str">
        <f>+'à commander 2019'!A34</f>
        <v>Pince colson</v>
      </c>
      <c r="AJ4" s="1" t="str">
        <f>+'à commander 2019'!A35</f>
        <v>Lunette de protection</v>
      </c>
      <c r="AK4" s="1" t="str">
        <f>+'à commander 2019'!A36</f>
        <v>Casque chantier</v>
      </c>
      <c r="AL4" s="1" t="str">
        <f>+'à commander 2019'!A37</f>
        <v>Lampe frontale</v>
      </c>
      <c r="AM4" s="47" t="s">
        <v>157</v>
      </c>
      <c r="AN4" s="47" t="s">
        <v>160</v>
      </c>
      <c r="AO4" s="47" t="s">
        <v>117</v>
      </c>
      <c r="AP4" s="47" t="s">
        <v>124</v>
      </c>
      <c r="AQ4" s="47" t="s">
        <v>91</v>
      </c>
      <c r="AR4" s="47" t="s">
        <v>118</v>
      </c>
      <c r="AS4" s="47" t="s">
        <v>199</v>
      </c>
      <c r="AT4" s="47" t="s">
        <v>121</v>
      </c>
      <c r="AU4" s="47" t="s">
        <v>123</v>
      </c>
      <c r="AV4" s="47" t="s">
        <v>126</v>
      </c>
      <c r="AW4" s="47" t="s">
        <v>127</v>
      </c>
      <c r="AX4" s="47" t="s">
        <v>128</v>
      </c>
      <c r="AY4" s="47" t="s">
        <v>129</v>
      </c>
      <c r="AZ4" s="47" t="s">
        <v>132</v>
      </c>
      <c r="BA4" s="1" t="s">
        <v>133</v>
      </c>
      <c r="BB4" s="1" t="s">
        <v>134</v>
      </c>
      <c r="BC4" s="1" t="s">
        <v>135</v>
      </c>
      <c r="BD4" s="1" t="s">
        <v>200</v>
      </c>
      <c r="BE4" s="1" t="s">
        <v>137</v>
      </c>
      <c r="BF4" s="1" t="s">
        <v>138</v>
      </c>
      <c r="BG4" s="1" t="s">
        <v>139</v>
      </c>
      <c r="BH4" s="1" t="s">
        <v>140</v>
      </c>
      <c r="BI4" s="1" t="s">
        <v>144</v>
      </c>
      <c r="BJ4" s="1" t="s">
        <v>145</v>
      </c>
      <c r="BK4" s="1" t="s">
        <v>146</v>
      </c>
      <c r="BL4" s="1" t="s">
        <v>149</v>
      </c>
      <c r="BM4" s="1" t="s">
        <v>158</v>
      </c>
      <c r="BN4" s="1" t="s">
        <v>170</v>
      </c>
      <c r="BO4" s="1" t="s">
        <v>174</v>
      </c>
      <c r="BP4" s="1" t="s">
        <v>180</v>
      </c>
      <c r="BQ4" s="1" t="s">
        <v>181</v>
      </c>
      <c r="BR4" s="1" t="s">
        <v>182</v>
      </c>
      <c r="BS4" s="1" t="s">
        <v>184</v>
      </c>
      <c r="BT4" s="1" t="s">
        <v>185</v>
      </c>
      <c r="BU4" s="1" t="s">
        <v>191</v>
      </c>
      <c r="BV4" s="1" t="s">
        <v>195</v>
      </c>
      <c r="BW4" s="1" t="s">
        <v>196</v>
      </c>
      <c r="BX4" s="1" t="s">
        <v>201</v>
      </c>
      <c r="BY4" s="1" t="s">
        <v>202</v>
      </c>
      <c r="BZ4" s="1" t="s">
        <v>203</v>
      </c>
      <c r="CA4" s="1" t="s">
        <v>204</v>
      </c>
      <c r="CB4" s="1" t="s">
        <v>227</v>
      </c>
    </row>
    <row r="5" spans="1:80" x14ac:dyDescent="0.25">
      <c r="A5" s="17" t="s">
        <v>80</v>
      </c>
      <c r="B5" s="17" t="s">
        <v>81</v>
      </c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9"/>
      <c r="AL5" s="59"/>
      <c r="AM5" s="60"/>
      <c r="AN5" s="60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</row>
    <row r="6" spans="1:80" x14ac:dyDescent="0.25">
      <c r="A6" s="17" t="s">
        <v>2</v>
      </c>
      <c r="B6" s="17" t="s">
        <v>3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9"/>
      <c r="AL6" s="59"/>
      <c r="AM6" s="60"/>
      <c r="AN6" s="60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</row>
    <row r="7" spans="1:80" x14ac:dyDescent="0.25">
      <c r="A7" s="17" t="s">
        <v>4</v>
      </c>
      <c r="B7" s="17" t="s">
        <v>5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</row>
    <row r="8" spans="1:80" x14ac:dyDescent="0.25">
      <c r="A8" s="4" t="s">
        <v>4</v>
      </c>
      <c r="B8" s="4" t="s">
        <v>6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</row>
    <row r="9" spans="1:80" x14ac:dyDescent="0.25">
      <c r="A9" s="72" t="s">
        <v>7</v>
      </c>
      <c r="B9" s="72" t="s">
        <v>8</v>
      </c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>
        <v>1</v>
      </c>
      <c r="S9" s="58">
        <v>1</v>
      </c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>
        <v>1</v>
      </c>
      <c r="AF9" s="58"/>
      <c r="AG9" s="58"/>
      <c r="AH9" s="58"/>
      <c r="AI9" s="58">
        <v>1</v>
      </c>
      <c r="AJ9" s="58">
        <v>1</v>
      </c>
      <c r="AK9" s="58"/>
      <c r="AL9" s="58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</row>
    <row r="10" spans="1:80" x14ac:dyDescent="0.25">
      <c r="A10" s="17" t="s">
        <v>105</v>
      </c>
      <c r="B10" s="17" t="s">
        <v>106</v>
      </c>
      <c r="C10" s="58"/>
      <c r="D10" s="58"/>
      <c r="E10" s="58"/>
      <c r="F10" s="58"/>
      <c r="G10" s="64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</row>
    <row r="11" spans="1:80" x14ac:dyDescent="0.25">
      <c r="A11" s="72" t="s">
        <v>13</v>
      </c>
      <c r="B11" s="72" t="s">
        <v>14</v>
      </c>
      <c r="C11" s="58"/>
      <c r="D11" s="58">
        <v>1</v>
      </c>
      <c r="E11" s="58">
        <v>1</v>
      </c>
      <c r="F11" s="58">
        <v>1</v>
      </c>
      <c r="G11" s="58">
        <v>1</v>
      </c>
      <c r="H11" s="58">
        <v>1</v>
      </c>
      <c r="I11" s="58"/>
      <c r="J11" s="58"/>
      <c r="K11" s="58">
        <v>1</v>
      </c>
      <c r="L11" s="58"/>
      <c r="M11" s="58"/>
      <c r="N11" s="58">
        <v>1</v>
      </c>
      <c r="O11" s="58">
        <v>1</v>
      </c>
      <c r="P11" s="58">
        <v>1</v>
      </c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>
        <v>1</v>
      </c>
      <c r="AG11" s="58">
        <v>1</v>
      </c>
      <c r="AH11" s="58">
        <v>1</v>
      </c>
      <c r="AI11" s="58">
        <v>1</v>
      </c>
      <c r="AJ11" s="58"/>
      <c r="AK11" s="58"/>
      <c r="AL11" s="58">
        <v>1</v>
      </c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</row>
    <row r="12" spans="1:80" x14ac:dyDescent="0.25">
      <c r="A12" s="20" t="s">
        <v>15</v>
      </c>
      <c r="B12" s="20" t="s">
        <v>16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</row>
    <row r="13" spans="1:80" x14ac:dyDescent="0.25">
      <c r="A13" s="4" t="s">
        <v>17</v>
      </c>
      <c r="B13" s="4" t="s">
        <v>18</v>
      </c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</row>
    <row r="14" spans="1:80" x14ac:dyDescent="0.25">
      <c r="A14" s="17" t="s">
        <v>19</v>
      </c>
      <c r="B14" s="17" t="s">
        <v>20</v>
      </c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</row>
    <row r="15" spans="1:80" x14ac:dyDescent="0.25">
      <c r="A15" s="72" t="s">
        <v>21</v>
      </c>
      <c r="B15" s="72" t="s">
        <v>22</v>
      </c>
      <c r="C15" s="58">
        <v>1</v>
      </c>
      <c r="D15" s="59">
        <v>1</v>
      </c>
      <c r="E15" s="58">
        <v>1</v>
      </c>
      <c r="F15" s="58">
        <v>1</v>
      </c>
      <c r="G15" s="65">
        <v>1</v>
      </c>
      <c r="H15" s="58">
        <v>1</v>
      </c>
      <c r="I15" s="58"/>
      <c r="J15" s="58">
        <v>1</v>
      </c>
      <c r="K15" s="58">
        <v>1</v>
      </c>
      <c r="L15" s="58">
        <v>1</v>
      </c>
      <c r="M15" s="58">
        <v>1</v>
      </c>
      <c r="N15" s="58">
        <v>1</v>
      </c>
      <c r="O15" s="58">
        <v>1</v>
      </c>
      <c r="P15" s="58">
        <v>1</v>
      </c>
      <c r="Q15" s="58">
        <v>1</v>
      </c>
      <c r="R15" s="58">
        <v>1</v>
      </c>
      <c r="S15" s="58">
        <v>1</v>
      </c>
      <c r="T15" s="58"/>
      <c r="U15" s="58">
        <v>1</v>
      </c>
      <c r="V15" s="58">
        <v>1</v>
      </c>
      <c r="W15" s="58">
        <v>1</v>
      </c>
      <c r="X15" s="58">
        <v>1</v>
      </c>
      <c r="Y15" s="58"/>
      <c r="Z15" s="58">
        <v>1</v>
      </c>
      <c r="AA15" s="58">
        <v>1</v>
      </c>
      <c r="AB15" s="58">
        <v>1</v>
      </c>
      <c r="AC15" s="58">
        <v>1</v>
      </c>
      <c r="AD15" s="58">
        <v>1</v>
      </c>
      <c r="AE15" s="58">
        <v>1</v>
      </c>
      <c r="AF15" s="58">
        <v>1</v>
      </c>
      <c r="AG15" s="58">
        <v>1</v>
      </c>
      <c r="AH15" s="58">
        <v>1</v>
      </c>
      <c r="AI15" s="58"/>
      <c r="AJ15" s="58"/>
      <c r="AK15" s="58"/>
      <c r="AL15" s="58">
        <v>1</v>
      </c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58"/>
      <c r="BB15" s="58"/>
      <c r="BC15" s="58"/>
      <c r="BD15" s="58"/>
      <c r="BE15" s="58">
        <v>1</v>
      </c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</row>
    <row r="16" spans="1:80" x14ac:dyDescent="0.25">
      <c r="A16" s="4" t="s">
        <v>23</v>
      </c>
      <c r="B16" s="4" t="s">
        <v>24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9"/>
      <c r="AH16" s="58"/>
      <c r="AI16" s="58"/>
      <c r="AJ16" s="58"/>
      <c r="AK16" s="58"/>
      <c r="AL16" s="58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</row>
    <row r="17" spans="1:80" x14ac:dyDescent="0.25">
      <c r="A17" s="20" t="s">
        <v>25</v>
      </c>
      <c r="B17" s="20" t="s">
        <v>26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</row>
    <row r="18" spans="1:80" x14ac:dyDescent="0.25">
      <c r="A18" s="20" t="s">
        <v>162</v>
      </c>
      <c r="B18" s="20" t="s">
        <v>163</v>
      </c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</row>
    <row r="19" spans="1:80" x14ac:dyDescent="0.25">
      <c r="A19" s="17" t="s">
        <v>29</v>
      </c>
      <c r="B19" s="17" t="s">
        <v>30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</row>
    <row r="20" spans="1:80" x14ac:dyDescent="0.25">
      <c r="A20" s="17" t="s">
        <v>29</v>
      </c>
      <c r="B20" s="17" t="s">
        <v>142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</row>
    <row r="21" spans="1:80" x14ac:dyDescent="0.25">
      <c r="A21" s="17" t="s">
        <v>165</v>
      </c>
      <c r="B21" s="17" t="s">
        <v>166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</row>
    <row r="22" spans="1:80" x14ac:dyDescent="0.25">
      <c r="A22" s="17" t="s">
        <v>31</v>
      </c>
      <c r="B22" s="17" t="s">
        <v>32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</row>
    <row r="23" spans="1:80" x14ac:dyDescent="0.25">
      <c r="A23" s="17" t="s">
        <v>33</v>
      </c>
      <c r="B23" s="17" t="s">
        <v>5</v>
      </c>
      <c r="C23" s="58"/>
      <c r="D23" s="58"/>
      <c r="E23" s="58"/>
      <c r="F23" s="58"/>
      <c r="G23" s="58"/>
      <c r="H23" s="59"/>
      <c r="I23" s="59"/>
      <c r="J23" s="59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9"/>
      <c r="AH23" s="58"/>
      <c r="AI23" s="58"/>
      <c r="AJ23" s="58"/>
      <c r="AK23" s="58"/>
      <c r="AL23" s="58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</row>
    <row r="24" spans="1:80" x14ac:dyDescent="0.25">
      <c r="A24" s="17" t="s">
        <v>33</v>
      </c>
      <c r="B24" s="17" t="s">
        <v>34</v>
      </c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</row>
    <row r="25" spans="1:80" x14ac:dyDescent="0.25">
      <c r="A25" s="72" t="s">
        <v>37</v>
      </c>
      <c r="B25" s="72" t="s">
        <v>38</v>
      </c>
      <c r="C25" s="58"/>
      <c r="D25" s="58"/>
      <c r="E25" s="58"/>
      <c r="F25" s="58"/>
      <c r="G25" s="58">
        <v>1</v>
      </c>
      <c r="H25" s="58"/>
      <c r="I25" s="58"/>
      <c r="J25" s="58"/>
      <c r="K25" s="58"/>
      <c r="L25" s="58"/>
      <c r="M25" s="58"/>
      <c r="N25" s="58"/>
      <c r="O25" s="58"/>
      <c r="P25" s="58">
        <v>1</v>
      </c>
      <c r="Q25" s="58"/>
      <c r="R25" s="58">
        <v>1</v>
      </c>
      <c r="S25" s="58"/>
      <c r="T25" s="58"/>
      <c r="U25" s="58">
        <v>1</v>
      </c>
      <c r="V25" s="58"/>
      <c r="W25" s="58"/>
      <c r="X25" s="58">
        <v>1</v>
      </c>
      <c r="Y25" s="58"/>
      <c r="Z25" s="58"/>
      <c r="AA25" s="58"/>
      <c r="AB25" s="58"/>
      <c r="AC25" s="58"/>
      <c r="AD25" s="58">
        <v>1</v>
      </c>
      <c r="AE25" s="58">
        <v>1</v>
      </c>
      <c r="AF25" s="58"/>
      <c r="AG25" s="58"/>
      <c r="AH25" s="58"/>
      <c r="AI25" s="58"/>
      <c r="AJ25" s="58"/>
      <c r="AK25" s="58"/>
      <c r="AL25" s="58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58"/>
      <c r="BB25" s="58"/>
      <c r="BC25" s="58"/>
      <c r="BD25" s="58"/>
      <c r="BE25" s="58">
        <v>1</v>
      </c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</row>
    <row r="26" spans="1:80" x14ac:dyDescent="0.25">
      <c r="A26" s="72" t="s">
        <v>39</v>
      </c>
      <c r="B26" s="72" t="s">
        <v>40</v>
      </c>
      <c r="C26" s="58">
        <v>1</v>
      </c>
      <c r="D26" s="58"/>
      <c r="E26" s="58"/>
      <c r="F26" s="58"/>
      <c r="G26" s="59">
        <v>1</v>
      </c>
      <c r="H26" s="58">
        <v>1</v>
      </c>
      <c r="I26" s="58"/>
      <c r="J26" s="58"/>
      <c r="K26" s="58"/>
      <c r="L26" s="58"/>
      <c r="M26" s="58"/>
      <c r="N26" s="58"/>
      <c r="O26" s="58"/>
      <c r="P26" s="58">
        <v>1</v>
      </c>
      <c r="Q26" s="58"/>
      <c r="R26" s="58"/>
      <c r="S26" s="58">
        <v>1</v>
      </c>
      <c r="T26" s="58"/>
      <c r="U26" s="58">
        <v>1</v>
      </c>
      <c r="V26" s="58"/>
      <c r="W26" s="58"/>
      <c r="X26" s="58">
        <v>1</v>
      </c>
      <c r="Y26" s="58"/>
      <c r="Z26" s="58">
        <v>1</v>
      </c>
      <c r="AA26" s="58"/>
      <c r="AB26" s="58"/>
      <c r="AC26" s="58">
        <v>1</v>
      </c>
      <c r="AD26" s="58">
        <v>1</v>
      </c>
      <c r="AE26" s="58">
        <v>1</v>
      </c>
      <c r="AF26" s="58"/>
      <c r="AG26" s="58"/>
      <c r="AH26" s="58">
        <v>1</v>
      </c>
      <c r="AI26" s="58"/>
      <c r="AJ26" s="58"/>
      <c r="AK26" s="58"/>
      <c r="AL26" s="58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58"/>
      <c r="BB26" s="58"/>
      <c r="BC26" s="58"/>
      <c r="BD26" s="58"/>
      <c r="BE26" s="58">
        <v>1</v>
      </c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</row>
    <row r="27" spans="1:80" x14ac:dyDescent="0.25">
      <c r="A27" s="17" t="s">
        <v>41</v>
      </c>
      <c r="B27" s="17" t="s">
        <v>42</v>
      </c>
      <c r="C27" s="58"/>
      <c r="D27" s="58"/>
      <c r="E27" s="58"/>
      <c r="F27" s="58"/>
      <c r="G27" s="59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</row>
    <row r="28" spans="1:80" ht="15.75" thickBot="1" x14ac:dyDescent="0.3">
      <c r="A28" s="69" t="s">
        <v>130</v>
      </c>
      <c r="B28" s="69" t="s">
        <v>131</v>
      </c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6"/>
      <c r="CA28" s="66"/>
      <c r="CB28" s="66"/>
    </row>
    <row r="29" spans="1:80" ht="15.75" thickBot="1" x14ac:dyDescent="0.3">
      <c r="A29" s="8"/>
      <c r="B29" s="22" t="s">
        <v>82</v>
      </c>
      <c r="C29" s="68">
        <f>+SUM($C$5:$C$28)</f>
        <v>2</v>
      </c>
      <c r="D29" s="68">
        <f>+SUM($D$5:$D$28)</f>
        <v>2</v>
      </c>
      <c r="E29" s="68">
        <f>+SUM($E$5:$E$28)</f>
        <v>2</v>
      </c>
      <c r="F29" s="68">
        <f>+SUM($F$5:$F$28)</f>
        <v>2</v>
      </c>
      <c r="G29" s="68">
        <f>+SUM($G$5:$G$28)</f>
        <v>4</v>
      </c>
      <c r="H29" s="68">
        <f>+SUM($H$5:$H$28)</f>
        <v>3</v>
      </c>
      <c r="I29" s="68">
        <f>+SUM($I$5:$I$28)</f>
        <v>0</v>
      </c>
      <c r="J29" s="68">
        <f>+SUM($J$5:$J$28)</f>
        <v>1</v>
      </c>
      <c r="K29" s="68">
        <f>+SUM($K$5:$K$28)</f>
        <v>2</v>
      </c>
      <c r="L29" s="68">
        <f>+SUM($L$5:$L$28)</f>
        <v>1</v>
      </c>
      <c r="M29" s="68">
        <f>+SUM($M$5:$M$28)</f>
        <v>1</v>
      </c>
      <c r="N29" s="68">
        <f>+SUM($N$5:$N$28)</f>
        <v>2</v>
      </c>
      <c r="O29" s="68">
        <f>+SUM($O$5:$O$28)</f>
        <v>2</v>
      </c>
      <c r="P29" s="68">
        <f>+SUM($P$5:$P$28)</f>
        <v>4</v>
      </c>
      <c r="Q29" s="68">
        <f>+SUM($Q$5:$Q$28)</f>
        <v>1</v>
      </c>
      <c r="R29" s="68">
        <f>+SUM($R$5:$R$28)</f>
        <v>3</v>
      </c>
      <c r="S29" s="68">
        <f>+SUM($S$5:$S$28)</f>
        <v>3</v>
      </c>
      <c r="T29" s="68">
        <f>+SUM($T$5:$T$28)</f>
        <v>0</v>
      </c>
      <c r="U29" s="68">
        <f>+SUM($U$5:$U$28)</f>
        <v>3</v>
      </c>
      <c r="V29" s="68">
        <f>+SUM($V$5:$V$28)</f>
        <v>1</v>
      </c>
      <c r="W29" s="68">
        <f>+SUM($W$5:$W$28)</f>
        <v>1</v>
      </c>
      <c r="X29" s="68">
        <f>+SUM($X$5:$X$28)</f>
        <v>3</v>
      </c>
      <c r="Y29" s="68">
        <f>+SUM($Y$5:$Y$28)</f>
        <v>0</v>
      </c>
      <c r="Z29" s="68">
        <f>+SUM($Z$5:$Z$28)</f>
        <v>2</v>
      </c>
      <c r="AA29" s="68">
        <f>+SUM($AA$5:$AA$28)</f>
        <v>1</v>
      </c>
      <c r="AB29" s="68">
        <f>+SUM($AB$5:$AB$28)</f>
        <v>1</v>
      </c>
      <c r="AC29" s="68">
        <f>+SUM($AC$5:$AC$28)</f>
        <v>2</v>
      </c>
      <c r="AD29" s="68">
        <f>+SUM($AD$5:$AD$28)</f>
        <v>3</v>
      </c>
      <c r="AE29" s="68">
        <f>+SUM($AE$5:$AE$28)</f>
        <v>4</v>
      </c>
      <c r="AF29" s="68">
        <f>+SUM($AF$5:$AF$28)</f>
        <v>2</v>
      </c>
      <c r="AG29" s="68">
        <f>+SUM($AG$5:$AG$28)</f>
        <v>2</v>
      </c>
      <c r="AH29" s="68">
        <f>+SUM($AH$5:$AH$28)</f>
        <v>3</v>
      </c>
      <c r="AI29" s="68">
        <f>+SUM($AI$5:$AI$28)</f>
        <v>2</v>
      </c>
      <c r="AJ29" s="68">
        <f>+SUM($AJ$5:$AJ$28)</f>
        <v>1</v>
      </c>
      <c r="AK29" s="68">
        <f>+SUM($AK$5:$AK$28)</f>
        <v>0</v>
      </c>
      <c r="AL29" s="68">
        <f>+SUM($AL$5:$AL$28)</f>
        <v>2</v>
      </c>
      <c r="AM29" s="68">
        <f>+SUM($AM$5:$AM$28)</f>
        <v>0</v>
      </c>
      <c r="AN29" s="68">
        <f>+SUM($AN$5:$AN$28)</f>
        <v>0</v>
      </c>
      <c r="AO29" s="68">
        <f>+SUM($AO$4:$AO$27)</f>
        <v>0</v>
      </c>
      <c r="AP29" s="68">
        <f>+SUM($AP$5:$AP$28)</f>
        <v>0</v>
      </c>
      <c r="AQ29" s="68">
        <f>+SUM($AQ$5:$AQ$28)</f>
        <v>0</v>
      </c>
      <c r="AR29" s="68">
        <f>+SUM($AR$5:$AR$28)</f>
        <v>0</v>
      </c>
      <c r="AS29" s="68">
        <f>+SUM($AS$5:$AS$28)</f>
        <v>0</v>
      </c>
      <c r="AT29" s="68">
        <f>+SUM($AT$5:$AT$28)</f>
        <v>0</v>
      </c>
      <c r="AU29" s="68">
        <f>+SUM($AU$5:$AU$28)</f>
        <v>0</v>
      </c>
      <c r="AV29" s="68">
        <f>+SUM($AV$5:$AV$28)</f>
        <v>0</v>
      </c>
      <c r="AW29" s="68">
        <f>+SUM($AW$5:$AW$28)</f>
        <v>0</v>
      </c>
      <c r="AX29" s="68">
        <f>+SUM($AX$5:$AX$28)</f>
        <v>0</v>
      </c>
      <c r="AY29" s="68">
        <f>+SUM($AY$5:$AY$28)</f>
        <v>0</v>
      </c>
      <c r="AZ29" s="68">
        <f>+SUM($AZ$5:$AZ$28)</f>
        <v>0</v>
      </c>
      <c r="BA29" s="68">
        <f>+SUM($BA$5:$BA$28)</f>
        <v>0</v>
      </c>
      <c r="BB29" s="68">
        <f>+SUM($BB$5:$BB$28)</f>
        <v>0</v>
      </c>
      <c r="BC29" s="68">
        <f>+SUM($BC$5:$BC$28)</f>
        <v>0</v>
      </c>
      <c r="BD29" s="68">
        <f>+SUM($BD$5:$BD$28)</f>
        <v>0</v>
      </c>
      <c r="BE29" s="68">
        <f>+SUM($BE$5:$BE$28)</f>
        <v>3</v>
      </c>
      <c r="BF29" s="68">
        <f>+SUM($BF$5:$BF$28)</f>
        <v>0</v>
      </c>
      <c r="BG29" s="68">
        <f>+SUM($BG$5:$BG$28)</f>
        <v>0</v>
      </c>
      <c r="BH29" s="68">
        <f>+SUM($BH$5:$BH$28)</f>
        <v>0</v>
      </c>
      <c r="BI29" s="68">
        <f>+SUM($BI$5:$BI$28)</f>
        <v>0</v>
      </c>
      <c r="BJ29" s="68">
        <f>+SUM($BJ$5:$BJ$28)</f>
        <v>0</v>
      </c>
      <c r="BK29" s="68">
        <f>+SUM($BK$5:$BK$28)</f>
        <v>0</v>
      </c>
      <c r="BL29" s="68">
        <f>+SUM($BL$5:$BL$28)</f>
        <v>0</v>
      </c>
      <c r="BM29" s="68">
        <f>+SUM($BM$5:$BM$28)</f>
        <v>0</v>
      </c>
      <c r="BN29" s="68">
        <f>+SUM($BN$5:$BN$28)</f>
        <v>0</v>
      </c>
      <c r="BO29" s="68">
        <f>+SUM($BO$5:$BO$28)</f>
        <v>0</v>
      </c>
      <c r="BP29" s="68">
        <f>+SUM($BP$5:$BP$28)</f>
        <v>0</v>
      </c>
      <c r="BQ29" s="68">
        <f>+SUM($BQ$5:$BQ$28)</f>
        <v>0</v>
      </c>
      <c r="BR29" s="68">
        <f>+SUM($BR$5:$BR$28)</f>
        <v>0</v>
      </c>
      <c r="BS29" s="68">
        <f>+SUM($BS$5:$BS$28)</f>
        <v>0</v>
      </c>
      <c r="BT29" s="68">
        <f>+SUM($BT$5:$BT$28)</f>
        <v>0</v>
      </c>
      <c r="BU29" s="68">
        <f>+SUM($BU$5:$BU$28)</f>
        <v>0</v>
      </c>
      <c r="BV29" s="68">
        <f>+SUM($BV$5:$BV$28)</f>
        <v>0</v>
      </c>
      <c r="BW29" s="68">
        <f>+SUM($BW$5:$BW$28)</f>
        <v>0</v>
      </c>
      <c r="BX29" s="68">
        <f>+SUM($BX$5:$BX$28)</f>
        <v>0</v>
      </c>
      <c r="BY29" s="68">
        <f>+SUM($BY$5:$BY$28)</f>
        <v>0</v>
      </c>
      <c r="BZ29" s="68">
        <f>+SUM($BZ$5:$BZ$28)</f>
        <v>0</v>
      </c>
      <c r="CA29" s="68">
        <f>+SUM($CA$5:$CA$28)</f>
        <v>0</v>
      </c>
      <c r="CB29" s="68">
        <f>+SUM($CB$5:$CB$28)</f>
        <v>0</v>
      </c>
    </row>
    <row r="30" spans="1:80" x14ac:dyDescent="0.25">
      <c r="AO30" s="68"/>
    </row>
    <row r="32" spans="1:80" x14ac:dyDescent="0.25">
      <c r="B32" t="s">
        <v>210</v>
      </c>
      <c r="C32" t="s">
        <v>212</v>
      </c>
      <c r="E32" t="s">
        <v>205</v>
      </c>
      <c r="F32" t="s">
        <v>212</v>
      </c>
    </row>
    <row r="34" spans="2:7" x14ac:dyDescent="0.25">
      <c r="B34" s="10" t="s">
        <v>45</v>
      </c>
      <c r="C34" s="68">
        <f>+SUM($C$5:$C$28)</f>
        <v>2</v>
      </c>
      <c r="E34" s="10" t="s">
        <v>209</v>
      </c>
      <c r="F34" s="10">
        <v>3</v>
      </c>
      <c r="G34" t="s">
        <v>206</v>
      </c>
    </row>
    <row r="35" spans="2:7" x14ac:dyDescent="0.25">
      <c r="B35" s="10" t="s">
        <v>103</v>
      </c>
      <c r="C35" s="68">
        <f>+SUM($D$5:$D$28)</f>
        <v>2</v>
      </c>
      <c r="E35" s="10" t="s">
        <v>208</v>
      </c>
      <c r="F35" s="10">
        <v>1</v>
      </c>
      <c r="G35" t="s">
        <v>207</v>
      </c>
    </row>
    <row r="36" spans="2:7" x14ac:dyDescent="0.25">
      <c r="B36" s="10" t="s">
        <v>46</v>
      </c>
      <c r="C36" s="68">
        <f>+SUM($E$5:$E$28)</f>
        <v>2</v>
      </c>
      <c r="E36" s="10" t="s">
        <v>211</v>
      </c>
      <c r="F36" s="10">
        <v>3</v>
      </c>
    </row>
    <row r="37" spans="2:7" x14ac:dyDescent="0.25">
      <c r="B37" s="10" t="s">
        <v>47</v>
      </c>
      <c r="C37" s="68">
        <f>+SUM($F$5:$F$28)</f>
        <v>2</v>
      </c>
      <c r="E37" s="10" t="s">
        <v>213</v>
      </c>
      <c r="F37" s="10">
        <v>1</v>
      </c>
    </row>
    <row r="38" spans="2:7" x14ac:dyDescent="0.25">
      <c r="B38" s="10" t="s">
        <v>48</v>
      </c>
      <c r="C38" s="68">
        <f>+SUM($G$5:$G$28)</f>
        <v>4</v>
      </c>
      <c r="E38" s="10" t="s">
        <v>214</v>
      </c>
      <c r="F38" s="10">
        <v>1</v>
      </c>
    </row>
    <row r="39" spans="2:7" x14ac:dyDescent="0.25">
      <c r="B39" s="10" t="s">
        <v>49</v>
      </c>
      <c r="C39" s="68">
        <f>+SUM($H$5:$H$28)</f>
        <v>3</v>
      </c>
      <c r="E39" s="10"/>
      <c r="F39" s="10"/>
    </row>
    <row r="40" spans="2:7" x14ac:dyDescent="0.25">
      <c r="B40" s="10" t="s">
        <v>189</v>
      </c>
      <c r="C40" s="68">
        <f>+SUM($I$5:$I$28)</f>
        <v>0</v>
      </c>
      <c r="E40" s="10"/>
      <c r="F40" s="10"/>
    </row>
    <row r="41" spans="2:7" x14ac:dyDescent="0.25">
      <c r="B41" s="10" t="s">
        <v>50</v>
      </c>
      <c r="C41" s="68">
        <f>+SUM($J$5:$J$28)</f>
        <v>1</v>
      </c>
      <c r="E41" s="10"/>
      <c r="F41" s="10"/>
    </row>
    <row r="42" spans="2:7" x14ac:dyDescent="0.25">
      <c r="B42" s="10" t="s">
        <v>51</v>
      </c>
      <c r="C42" s="68">
        <f>+SUM($K$5:$K$28)</f>
        <v>2</v>
      </c>
      <c r="E42" s="10"/>
      <c r="F42" s="10"/>
    </row>
    <row r="43" spans="2:7" x14ac:dyDescent="0.25">
      <c r="B43" s="10" t="s">
        <v>52</v>
      </c>
      <c r="C43" s="68">
        <f>+SUM($L$5:$L$28)</f>
        <v>1</v>
      </c>
      <c r="E43" s="10"/>
      <c r="F43" s="10"/>
    </row>
    <row r="44" spans="2:7" x14ac:dyDescent="0.25">
      <c r="B44" s="10" t="s">
        <v>53</v>
      </c>
      <c r="C44" s="68">
        <f>+SUM($M$5:$M$28)</f>
        <v>1</v>
      </c>
      <c r="E44" s="10"/>
      <c r="F44" s="10"/>
    </row>
    <row r="45" spans="2:7" x14ac:dyDescent="0.25">
      <c r="B45" s="10" t="s">
        <v>54</v>
      </c>
      <c r="C45" s="68">
        <f>+SUM($N$5:$N$28)</f>
        <v>2</v>
      </c>
      <c r="E45" s="10"/>
      <c r="F45" s="10"/>
    </row>
    <row r="46" spans="2:7" x14ac:dyDescent="0.25">
      <c r="B46" s="10" t="s">
        <v>55</v>
      </c>
      <c r="C46" s="68">
        <f>+SUM($O$5:$O$28)</f>
        <v>2</v>
      </c>
      <c r="E46" s="10" t="s">
        <v>220</v>
      </c>
      <c r="F46" s="10"/>
    </row>
    <row r="47" spans="2:7" x14ac:dyDescent="0.25">
      <c r="B47" s="10" t="s">
        <v>56</v>
      </c>
      <c r="C47" s="68">
        <f>+SUM($P$5:$P$28)</f>
        <v>4</v>
      </c>
      <c r="E47" s="10" t="s">
        <v>215</v>
      </c>
      <c r="F47" s="10">
        <v>1</v>
      </c>
      <c r="G47" t="s">
        <v>221</v>
      </c>
    </row>
    <row r="48" spans="2:7" x14ac:dyDescent="0.25">
      <c r="B48" s="10" t="s">
        <v>57</v>
      </c>
      <c r="C48" s="68">
        <f>+SUM($Q$5:$Q$28)</f>
        <v>1</v>
      </c>
      <c r="E48" s="10" t="s">
        <v>216</v>
      </c>
      <c r="F48" s="10">
        <v>1</v>
      </c>
    </row>
    <row r="49" spans="2:6" x14ac:dyDescent="0.25">
      <c r="B49" s="10" t="s">
        <v>58</v>
      </c>
      <c r="C49" s="68">
        <f>+SUM($R$5:$R$28)</f>
        <v>3</v>
      </c>
      <c r="E49" s="10" t="s">
        <v>217</v>
      </c>
      <c r="F49" s="10">
        <v>1</v>
      </c>
    </row>
    <row r="50" spans="2:6" x14ac:dyDescent="0.25">
      <c r="B50" s="10" t="s">
        <v>59</v>
      </c>
      <c r="C50" s="68">
        <f>+SUM($S$5:$S$28)</f>
        <v>3</v>
      </c>
      <c r="E50" s="10" t="s">
        <v>218</v>
      </c>
      <c r="F50" s="10">
        <v>1</v>
      </c>
    </row>
    <row r="51" spans="2:6" x14ac:dyDescent="0.25">
      <c r="B51" s="10" t="s">
        <v>198</v>
      </c>
      <c r="C51" s="68">
        <f>+SUM($T$5:$T$28)</f>
        <v>0</v>
      </c>
      <c r="E51" s="10" t="s">
        <v>219</v>
      </c>
      <c r="F51" s="10">
        <v>1</v>
      </c>
    </row>
    <row r="52" spans="2:6" x14ac:dyDescent="0.25">
      <c r="B52" s="10" t="s">
        <v>60</v>
      </c>
      <c r="C52" s="68">
        <f>+SUM($U$5:$U$28)</f>
        <v>3</v>
      </c>
      <c r="E52" s="10"/>
      <c r="F52" s="10"/>
    </row>
    <row r="53" spans="2:6" x14ac:dyDescent="0.25">
      <c r="B53" s="10" t="s">
        <v>61</v>
      </c>
      <c r="C53" s="68">
        <f>+SUM($V$5:$V$28)</f>
        <v>1</v>
      </c>
      <c r="E53" s="10"/>
      <c r="F53" s="10"/>
    </row>
    <row r="54" spans="2:6" x14ac:dyDescent="0.25">
      <c r="B54" s="10" t="s">
        <v>62</v>
      </c>
      <c r="C54" s="68">
        <f>+SUM($W$5:$W$28)</f>
        <v>1</v>
      </c>
      <c r="E54" s="10"/>
      <c r="F54" s="10"/>
    </row>
    <row r="55" spans="2:6" x14ac:dyDescent="0.25">
      <c r="B55" s="10" t="s">
        <v>63</v>
      </c>
      <c r="C55" s="68">
        <f>+SUM($X$5:$X$28)</f>
        <v>3</v>
      </c>
      <c r="E55" s="10"/>
      <c r="F55" s="10"/>
    </row>
    <row r="56" spans="2:6" x14ac:dyDescent="0.25">
      <c r="B56" s="10" t="s">
        <v>197</v>
      </c>
      <c r="C56" s="68">
        <f>+SUM($Y$5:$Y$28)</f>
        <v>0</v>
      </c>
      <c r="E56" s="10"/>
      <c r="F56" s="10"/>
    </row>
    <row r="57" spans="2:6" x14ac:dyDescent="0.25">
      <c r="B57" s="10" t="s">
        <v>64</v>
      </c>
      <c r="C57" s="68">
        <f>+SUM($Z$5:$Z$28)</f>
        <v>2</v>
      </c>
      <c r="E57" s="10"/>
      <c r="F57" s="10"/>
    </row>
    <row r="58" spans="2:6" x14ac:dyDescent="0.25">
      <c r="B58" s="10" t="s">
        <v>65</v>
      </c>
      <c r="C58" s="68">
        <f>+SUM($AA$5:$AA$28)</f>
        <v>1</v>
      </c>
      <c r="E58" s="10"/>
      <c r="F58" s="10"/>
    </row>
    <row r="59" spans="2:6" x14ac:dyDescent="0.25">
      <c r="B59" s="10" t="s">
        <v>66</v>
      </c>
      <c r="C59" s="68">
        <f>+SUM($AB$5:$AB$28)</f>
        <v>1</v>
      </c>
      <c r="E59" s="10"/>
      <c r="F59" s="10"/>
    </row>
    <row r="60" spans="2:6" x14ac:dyDescent="0.25">
      <c r="B60" s="10" t="s">
        <v>67</v>
      </c>
      <c r="C60" s="68">
        <f>+SUM($AC$5:$AC$28)</f>
        <v>2</v>
      </c>
      <c r="E60" s="10"/>
      <c r="F60" s="10"/>
    </row>
    <row r="61" spans="2:6" x14ac:dyDescent="0.25">
      <c r="B61" s="10" t="s">
        <v>68</v>
      </c>
      <c r="C61" s="68">
        <f>+SUM($AD$5:$AD$28)</f>
        <v>3</v>
      </c>
      <c r="E61" s="10"/>
      <c r="F61" s="10"/>
    </row>
    <row r="62" spans="2:6" x14ac:dyDescent="0.25">
      <c r="B62" s="10" t="s">
        <v>69</v>
      </c>
      <c r="C62" s="68">
        <f>+SUM($AE$5:$AE$28)</f>
        <v>4</v>
      </c>
      <c r="E62" s="10"/>
      <c r="F62" s="10"/>
    </row>
    <row r="63" spans="2:6" x14ac:dyDescent="0.25">
      <c r="B63" s="10" t="s">
        <v>102</v>
      </c>
      <c r="C63" s="68">
        <f>+SUM($AF$5:$AF$28)</f>
        <v>2</v>
      </c>
      <c r="E63" s="10"/>
      <c r="F63" s="10"/>
    </row>
    <row r="64" spans="2:6" x14ac:dyDescent="0.25">
      <c r="B64" s="10" t="s">
        <v>70</v>
      </c>
      <c r="C64" s="68">
        <f>+SUM($AG$5:$AG$28)</f>
        <v>2</v>
      </c>
      <c r="E64" s="10"/>
      <c r="F64" s="10"/>
    </row>
    <row r="65" spans="2:6" x14ac:dyDescent="0.25">
      <c r="B65" s="10" t="s">
        <v>71</v>
      </c>
      <c r="C65" s="68">
        <f>+SUM($AH$5:$AH$28)</f>
        <v>3</v>
      </c>
      <c r="E65" s="10"/>
      <c r="F65" s="10"/>
    </row>
    <row r="66" spans="2:6" x14ac:dyDescent="0.25">
      <c r="B66" s="10" t="s">
        <v>72</v>
      </c>
      <c r="C66" s="68">
        <f>+SUM($AI$5:$AI$28)</f>
        <v>2</v>
      </c>
      <c r="E66" s="10"/>
      <c r="F66" s="10"/>
    </row>
    <row r="67" spans="2:6" x14ac:dyDescent="0.25">
      <c r="B67" s="10" t="s">
        <v>73</v>
      </c>
      <c r="C67" s="68">
        <f>+SUM($AJ$5:$AJ$28)</f>
        <v>1</v>
      </c>
      <c r="E67" s="10"/>
      <c r="F67" s="10"/>
    </row>
    <row r="68" spans="2:6" x14ac:dyDescent="0.25">
      <c r="B68" s="10" t="s">
        <v>74</v>
      </c>
      <c r="C68" s="68">
        <f>+SUM($AK$5:$AK$28)</f>
        <v>0</v>
      </c>
      <c r="E68" s="10"/>
      <c r="F68" s="10"/>
    </row>
    <row r="69" spans="2:6" x14ac:dyDescent="0.25">
      <c r="B69" s="10" t="s">
        <v>75</v>
      </c>
      <c r="C69" s="68">
        <f>+SUM($AL$5:$AL$28)</f>
        <v>2</v>
      </c>
      <c r="E69" s="10"/>
      <c r="F69" s="10"/>
    </row>
    <row r="70" spans="2:6" x14ac:dyDescent="0.25">
      <c r="B70" s="10" t="s">
        <v>157</v>
      </c>
      <c r="C70" s="68">
        <f>+SUM($AM$5:$AM$28)</f>
        <v>0</v>
      </c>
      <c r="E70" s="10"/>
      <c r="F70" s="10"/>
    </row>
    <row r="71" spans="2:6" x14ac:dyDescent="0.25">
      <c r="B71" s="10" t="s">
        <v>160</v>
      </c>
      <c r="C71" s="68">
        <f>+SUM($AN$5:$AN$28)</f>
        <v>0</v>
      </c>
      <c r="E71" s="10"/>
      <c r="F71" s="10"/>
    </row>
    <row r="72" spans="2:6" x14ac:dyDescent="0.25">
      <c r="B72" s="10" t="s">
        <v>117</v>
      </c>
      <c r="C72" s="68">
        <f>+SUM($AO$4:$AO$27)</f>
        <v>0</v>
      </c>
      <c r="E72" s="10"/>
      <c r="F72" s="10"/>
    </row>
    <row r="73" spans="2:6" x14ac:dyDescent="0.25">
      <c r="B73" s="10" t="s">
        <v>124</v>
      </c>
      <c r="C73" s="68">
        <f>+SUM($AP$5:$AP$28)</f>
        <v>0</v>
      </c>
      <c r="E73" s="10"/>
      <c r="F73" s="10"/>
    </row>
    <row r="74" spans="2:6" x14ac:dyDescent="0.25">
      <c r="B74" s="10" t="s">
        <v>91</v>
      </c>
      <c r="C74" s="68">
        <f>+SUM($AQ$5:$AQ$28)</f>
        <v>0</v>
      </c>
      <c r="E74" s="10"/>
      <c r="F74" s="10"/>
    </row>
    <row r="75" spans="2:6" x14ac:dyDescent="0.25">
      <c r="B75" s="10" t="s">
        <v>118</v>
      </c>
      <c r="C75" s="68">
        <f>+SUM($AR$5:$AR$28)</f>
        <v>0</v>
      </c>
      <c r="E75" s="10"/>
      <c r="F75" s="10"/>
    </row>
    <row r="76" spans="2:6" x14ac:dyDescent="0.25">
      <c r="B76" s="10" t="s">
        <v>199</v>
      </c>
      <c r="C76" s="68">
        <f>+SUM($AS$5:$AS$28)</f>
        <v>0</v>
      </c>
      <c r="E76" s="10"/>
      <c r="F76" s="10"/>
    </row>
    <row r="77" spans="2:6" x14ac:dyDescent="0.25">
      <c r="B77" s="10" t="s">
        <v>121</v>
      </c>
      <c r="C77" s="68">
        <f>+SUM($AT$5:$AT$28)</f>
        <v>0</v>
      </c>
      <c r="E77" s="10"/>
      <c r="F77" s="10"/>
    </row>
    <row r="78" spans="2:6" x14ac:dyDescent="0.25">
      <c r="B78" s="10" t="s">
        <v>123</v>
      </c>
      <c r="C78" s="68">
        <f>+SUM($AU$5:$AU$28)</f>
        <v>0</v>
      </c>
      <c r="E78" s="10"/>
      <c r="F78" s="10"/>
    </row>
    <row r="79" spans="2:6" x14ac:dyDescent="0.25">
      <c r="B79" s="10" t="s">
        <v>126</v>
      </c>
      <c r="C79" s="68">
        <f>+SUM($AV$5:$AV$28)</f>
        <v>0</v>
      </c>
      <c r="E79" s="10"/>
      <c r="F79" s="10"/>
    </row>
    <row r="80" spans="2:6" x14ac:dyDescent="0.25">
      <c r="B80" s="10" t="s">
        <v>127</v>
      </c>
      <c r="C80" s="68">
        <f>+SUM($AW$5:$AW$28)</f>
        <v>0</v>
      </c>
      <c r="E80" s="10"/>
      <c r="F80" s="10"/>
    </row>
    <row r="81" spans="2:6" x14ac:dyDescent="0.25">
      <c r="B81" s="10" t="s">
        <v>128</v>
      </c>
      <c r="C81" s="68">
        <f>+SUM($AX$5:$AX$28)</f>
        <v>0</v>
      </c>
      <c r="E81" s="10"/>
      <c r="F81" s="10"/>
    </row>
    <row r="82" spans="2:6" x14ac:dyDescent="0.25">
      <c r="B82" s="10" t="s">
        <v>129</v>
      </c>
      <c r="C82" s="68">
        <f>+SUM($AY$5:$AY$28)</f>
        <v>0</v>
      </c>
      <c r="E82" s="10"/>
      <c r="F82" s="10"/>
    </row>
    <row r="83" spans="2:6" x14ac:dyDescent="0.25">
      <c r="B83" s="10" t="s">
        <v>132</v>
      </c>
      <c r="C83" s="68">
        <f>+SUM($AZ$5:$AZ$28)</f>
        <v>0</v>
      </c>
      <c r="E83" s="10"/>
      <c r="F83" s="10"/>
    </row>
    <row r="84" spans="2:6" x14ac:dyDescent="0.25">
      <c r="B84" s="10" t="s">
        <v>133</v>
      </c>
      <c r="C84" s="68">
        <f>+SUM($BA$5:$BA$28)</f>
        <v>0</v>
      </c>
      <c r="E84" s="10"/>
      <c r="F84" s="10"/>
    </row>
    <row r="85" spans="2:6" x14ac:dyDescent="0.25">
      <c r="B85" s="10" t="s">
        <v>134</v>
      </c>
      <c r="C85" s="68">
        <f>+SUM($BB$5:$BB$28)</f>
        <v>0</v>
      </c>
      <c r="E85" s="10"/>
      <c r="F85" s="10"/>
    </row>
    <row r="86" spans="2:6" x14ac:dyDescent="0.25">
      <c r="B86" s="10" t="s">
        <v>135</v>
      </c>
      <c r="C86" s="68">
        <f>+SUM($BC$5:$BC$28)</f>
        <v>0</v>
      </c>
      <c r="E86" s="10"/>
      <c r="F86" s="10"/>
    </row>
    <row r="87" spans="2:6" x14ac:dyDescent="0.25">
      <c r="B87" s="10" t="s">
        <v>200</v>
      </c>
      <c r="C87" s="68">
        <f>+SUM($BD$5:$BD$28)</f>
        <v>0</v>
      </c>
      <c r="E87" s="10"/>
      <c r="F87" s="10"/>
    </row>
    <row r="88" spans="2:6" x14ac:dyDescent="0.25">
      <c r="B88" s="10" t="s">
        <v>137</v>
      </c>
      <c r="C88" s="68">
        <f>+SUM($BE$5:$BE$28)</f>
        <v>3</v>
      </c>
      <c r="E88" s="10"/>
      <c r="F88" s="10"/>
    </row>
    <row r="89" spans="2:6" x14ac:dyDescent="0.25">
      <c r="B89" s="10" t="s">
        <v>138</v>
      </c>
      <c r="C89" s="68">
        <f>+SUM($BF$5:$BF$28)</f>
        <v>0</v>
      </c>
      <c r="E89" s="10"/>
      <c r="F89" s="10"/>
    </row>
    <row r="90" spans="2:6" x14ac:dyDescent="0.25">
      <c r="B90" s="10" t="s">
        <v>139</v>
      </c>
      <c r="C90" s="68">
        <f>+SUM($BG$5:$BG$28)</f>
        <v>0</v>
      </c>
      <c r="E90" s="10"/>
      <c r="F90" s="10"/>
    </row>
    <row r="91" spans="2:6" x14ac:dyDescent="0.25">
      <c r="B91" s="10" t="s">
        <v>140</v>
      </c>
      <c r="C91" s="68">
        <f>+SUM($BH$5:$BH$28)</f>
        <v>0</v>
      </c>
      <c r="E91" s="10"/>
      <c r="F91" s="10"/>
    </row>
    <row r="92" spans="2:6" x14ac:dyDescent="0.25">
      <c r="B92" s="10" t="s">
        <v>144</v>
      </c>
      <c r="C92" s="68">
        <f>+SUM($BI$5:$BI$28)</f>
        <v>0</v>
      </c>
      <c r="E92" s="10"/>
      <c r="F92" s="10"/>
    </row>
    <row r="93" spans="2:6" x14ac:dyDescent="0.25">
      <c r="B93" s="10" t="s">
        <v>145</v>
      </c>
      <c r="C93" s="68">
        <f>+SUM($BJ$5:$BJ$28)</f>
        <v>0</v>
      </c>
      <c r="E93" s="10"/>
      <c r="F93" s="10"/>
    </row>
    <row r="94" spans="2:6" x14ac:dyDescent="0.25">
      <c r="B94" s="10" t="s">
        <v>146</v>
      </c>
      <c r="C94" s="68">
        <f>+SUM($BK$5:$BK$28)</f>
        <v>0</v>
      </c>
      <c r="E94" s="10"/>
      <c r="F94" s="10"/>
    </row>
    <row r="95" spans="2:6" x14ac:dyDescent="0.25">
      <c r="B95" s="10" t="s">
        <v>149</v>
      </c>
      <c r="C95" s="68">
        <f>+SUM($BL$5:$BL$28)</f>
        <v>0</v>
      </c>
      <c r="E95" s="10"/>
      <c r="F95" s="10"/>
    </row>
    <row r="96" spans="2:6" x14ac:dyDescent="0.25">
      <c r="B96" s="10" t="s">
        <v>158</v>
      </c>
      <c r="C96" s="68">
        <f>+SUM($BM$5:$BM$28)</f>
        <v>0</v>
      </c>
      <c r="E96" s="10"/>
      <c r="F96" s="10"/>
    </row>
    <row r="97" spans="2:6" x14ac:dyDescent="0.25">
      <c r="B97" s="10" t="s">
        <v>170</v>
      </c>
      <c r="C97" s="68">
        <f>+SUM($BN$5:$BN$28)</f>
        <v>0</v>
      </c>
      <c r="E97" s="10"/>
      <c r="F97" s="10"/>
    </row>
    <row r="98" spans="2:6" x14ac:dyDescent="0.25">
      <c r="B98" s="10" t="s">
        <v>174</v>
      </c>
      <c r="C98" s="68">
        <f>+SUM($BO$5:$BO$28)</f>
        <v>0</v>
      </c>
      <c r="E98" s="10"/>
      <c r="F98" s="10"/>
    </row>
    <row r="99" spans="2:6" x14ac:dyDescent="0.25">
      <c r="B99" s="10" t="s">
        <v>180</v>
      </c>
      <c r="C99" s="68">
        <f>+SUM($BP$5:$BP$28)</f>
        <v>0</v>
      </c>
      <c r="E99" s="10"/>
      <c r="F99" s="10"/>
    </row>
    <row r="100" spans="2:6" x14ac:dyDescent="0.25">
      <c r="B100" s="10" t="s">
        <v>181</v>
      </c>
      <c r="C100" s="68">
        <f>+SUM($BQ$5:$BQ$28)</f>
        <v>0</v>
      </c>
      <c r="E100" s="10"/>
      <c r="F100" s="10"/>
    </row>
    <row r="101" spans="2:6" x14ac:dyDescent="0.25">
      <c r="B101" s="10" t="s">
        <v>182</v>
      </c>
      <c r="C101" s="68">
        <f>+SUM($BR$5:$BR$28)</f>
        <v>0</v>
      </c>
      <c r="E101" s="10"/>
      <c r="F101" s="10"/>
    </row>
    <row r="102" spans="2:6" x14ac:dyDescent="0.25">
      <c r="B102" s="10" t="s">
        <v>184</v>
      </c>
      <c r="C102" s="68">
        <f>+SUM($BS$5:$BS$28)</f>
        <v>0</v>
      </c>
      <c r="E102" s="10"/>
      <c r="F102" s="10"/>
    </row>
    <row r="103" spans="2:6" x14ac:dyDescent="0.25">
      <c r="B103" s="10" t="s">
        <v>185</v>
      </c>
      <c r="C103" s="68">
        <f>+SUM($BT$5:$BT$28)</f>
        <v>0</v>
      </c>
      <c r="E103" s="10"/>
      <c r="F103" s="10"/>
    </row>
    <row r="104" spans="2:6" x14ac:dyDescent="0.25">
      <c r="B104" s="10" t="s">
        <v>191</v>
      </c>
      <c r="C104" s="68">
        <f>+SUM($BU$5:$BU$28)</f>
        <v>0</v>
      </c>
      <c r="E104" s="10"/>
      <c r="F104" s="10"/>
    </row>
    <row r="105" spans="2:6" x14ac:dyDescent="0.25">
      <c r="B105" s="10" t="s">
        <v>195</v>
      </c>
      <c r="C105" s="68">
        <f>+SUM($BV$5:$BV$28)</f>
        <v>0</v>
      </c>
      <c r="E105" s="10"/>
      <c r="F105" s="10"/>
    </row>
    <row r="106" spans="2:6" x14ac:dyDescent="0.25">
      <c r="B106" s="10" t="s">
        <v>196</v>
      </c>
      <c r="C106" s="68">
        <f>+SUM($BW$5:$BW$28)</f>
        <v>0</v>
      </c>
      <c r="E106" s="10"/>
      <c r="F106" s="10"/>
    </row>
    <row r="107" spans="2:6" x14ac:dyDescent="0.25">
      <c r="B107" s="10" t="s">
        <v>201</v>
      </c>
      <c r="C107" s="68">
        <f>+SUM($BX$5:$BX$28)</f>
        <v>0</v>
      </c>
      <c r="E107" s="10"/>
      <c r="F107" s="10"/>
    </row>
    <row r="108" spans="2:6" x14ac:dyDescent="0.25">
      <c r="B108" s="10" t="s">
        <v>202</v>
      </c>
      <c r="C108" s="68">
        <f>+SUM($BY$5:$BY$28)</f>
        <v>0</v>
      </c>
      <c r="E108" s="10"/>
      <c r="F108" s="10"/>
    </row>
    <row r="109" spans="2:6" x14ac:dyDescent="0.25">
      <c r="B109" s="10" t="s">
        <v>203</v>
      </c>
      <c r="C109" s="68">
        <f>+SUM($BZ$5:$BZ$28)</f>
        <v>0</v>
      </c>
      <c r="E109" s="10"/>
      <c r="F109" s="10"/>
    </row>
    <row r="110" spans="2:6" x14ac:dyDescent="0.25">
      <c r="B110" s="10" t="s">
        <v>204</v>
      </c>
      <c r="C110" s="68">
        <f>+SUM($CA$5:$CA$28)</f>
        <v>0</v>
      </c>
      <c r="E110" s="10"/>
      <c r="F110" s="10"/>
    </row>
    <row r="111" spans="2:6" x14ac:dyDescent="0.25">
      <c r="B111" s="10"/>
      <c r="C111" s="68">
        <f>+SUM($CB$5:$CB$28)</f>
        <v>0</v>
      </c>
      <c r="E111" s="10"/>
      <c r="F111" s="10"/>
    </row>
  </sheetData>
  <pageMargins left="0.7" right="0.7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008705-C170-4FB8-B599-7345403B193E}">
  <sheetPr filterMode="1"/>
  <dimension ref="A2:I95"/>
  <sheetViews>
    <sheetView workbookViewId="0">
      <selection activeCell="S13" sqref="S13"/>
    </sheetView>
  </sheetViews>
  <sheetFormatPr baseColWidth="10" defaultRowHeight="15" x14ac:dyDescent="0.25"/>
  <cols>
    <col min="1" max="1" width="28.28515625" customWidth="1"/>
    <col min="2" max="2" width="18.85546875" bestFit="1" customWidth="1"/>
    <col min="5" max="5" width="17.28515625" customWidth="1"/>
    <col min="7" max="7" width="16.5703125" bestFit="1" customWidth="1"/>
  </cols>
  <sheetData>
    <row r="2" spans="1:9" x14ac:dyDescent="0.25">
      <c r="A2" t="s">
        <v>233</v>
      </c>
    </row>
    <row r="4" spans="1:9" x14ac:dyDescent="0.25">
      <c r="A4" s="73">
        <v>43922</v>
      </c>
      <c r="D4" t="s">
        <v>234</v>
      </c>
    </row>
    <row r="5" spans="1:9" x14ac:dyDescent="0.25">
      <c r="A5" s="10" t="s">
        <v>239</v>
      </c>
      <c r="B5" s="10" t="s">
        <v>101</v>
      </c>
      <c r="D5" s="10" t="s">
        <v>236</v>
      </c>
      <c r="E5" s="10" t="s">
        <v>237</v>
      </c>
      <c r="F5" s="10" t="s">
        <v>238</v>
      </c>
      <c r="G5" s="10" t="s">
        <v>101</v>
      </c>
      <c r="H5" s="74" t="s">
        <v>240</v>
      </c>
      <c r="I5" s="74" t="s">
        <v>241</v>
      </c>
    </row>
    <row r="6" spans="1:9" x14ac:dyDescent="0.25">
      <c r="A6" s="10" t="s">
        <v>45</v>
      </c>
      <c r="B6" s="10">
        <v>2</v>
      </c>
      <c r="D6" s="10">
        <v>1</v>
      </c>
      <c r="E6" s="10" t="s">
        <v>45</v>
      </c>
      <c r="F6" s="10">
        <v>2</v>
      </c>
      <c r="G6" s="10">
        <f>+F6-D6</f>
        <v>1</v>
      </c>
      <c r="H6" s="75" t="s">
        <v>242</v>
      </c>
      <c r="I6" s="75"/>
    </row>
    <row r="7" spans="1:9" x14ac:dyDescent="0.25">
      <c r="A7" s="10" t="s">
        <v>103</v>
      </c>
      <c r="B7" s="10">
        <v>1</v>
      </c>
      <c r="D7" s="10">
        <v>0</v>
      </c>
      <c r="E7" s="10" t="s">
        <v>103</v>
      </c>
      <c r="F7" s="10">
        <v>2</v>
      </c>
      <c r="G7" s="10">
        <f t="shared" ref="G7:G11" si="0">+F7-D7</f>
        <v>2</v>
      </c>
      <c r="H7" s="75" t="s">
        <v>242</v>
      </c>
      <c r="I7" s="75"/>
    </row>
    <row r="8" spans="1:9" x14ac:dyDescent="0.25">
      <c r="A8" s="10" t="s">
        <v>46</v>
      </c>
      <c r="B8" s="10">
        <v>1</v>
      </c>
      <c r="D8" s="10">
        <v>1</v>
      </c>
      <c r="E8" s="10" t="s">
        <v>46</v>
      </c>
      <c r="F8" s="10">
        <v>2</v>
      </c>
      <c r="G8" s="10">
        <f t="shared" si="0"/>
        <v>1</v>
      </c>
      <c r="H8" s="75" t="s">
        <v>242</v>
      </c>
      <c r="I8" s="75"/>
    </row>
    <row r="9" spans="1:9" x14ac:dyDescent="0.25">
      <c r="A9" s="10" t="s">
        <v>47</v>
      </c>
      <c r="B9" s="10">
        <v>1</v>
      </c>
      <c r="D9" s="10">
        <v>0</v>
      </c>
      <c r="E9" s="10" t="s">
        <v>47</v>
      </c>
      <c r="F9" s="10">
        <v>2</v>
      </c>
      <c r="G9" s="10">
        <f t="shared" si="0"/>
        <v>2</v>
      </c>
      <c r="H9" s="75" t="s">
        <v>242</v>
      </c>
      <c r="I9" s="75"/>
    </row>
    <row r="10" spans="1:9" x14ac:dyDescent="0.25">
      <c r="A10" s="10" t="s">
        <v>48</v>
      </c>
      <c r="B10" s="10">
        <v>3</v>
      </c>
      <c r="D10" s="10">
        <v>1</v>
      </c>
      <c r="E10" s="10" t="s">
        <v>48</v>
      </c>
      <c r="F10" s="10">
        <v>4</v>
      </c>
      <c r="G10" s="10">
        <f t="shared" si="0"/>
        <v>3</v>
      </c>
      <c r="H10" s="75" t="s">
        <v>242</v>
      </c>
      <c r="I10" s="75"/>
    </row>
    <row r="11" spans="1:9" x14ac:dyDescent="0.25">
      <c r="A11" s="10" t="s">
        <v>49</v>
      </c>
      <c r="B11" s="10">
        <v>2</v>
      </c>
      <c r="D11" s="10">
        <v>0</v>
      </c>
      <c r="E11" s="10" t="s">
        <v>49</v>
      </c>
      <c r="F11" s="10">
        <v>3</v>
      </c>
      <c r="G11" s="10">
        <f t="shared" si="0"/>
        <v>3</v>
      </c>
      <c r="H11" s="75" t="s">
        <v>242</v>
      </c>
      <c r="I11" s="75"/>
    </row>
    <row r="12" spans="1:9" hidden="1" x14ac:dyDescent="0.25">
      <c r="A12" t="s">
        <v>189</v>
      </c>
      <c r="B12">
        <v>0</v>
      </c>
      <c r="D12">
        <v>3</v>
      </c>
      <c r="E12" t="s">
        <v>189</v>
      </c>
      <c r="F12">
        <v>0</v>
      </c>
    </row>
    <row r="13" spans="1:9" x14ac:dyDescent="0.25">
      <c r="A13" s="10" t="s">
        <v>50</v>
      </c>
      <c r="B13" s="10">
        <v>1</v>
      </c>
      <c r="D13" s="10">
        <v>3</v>
      </c>
      <c r="E13" s="10" t="s">
        <v>50</v>
      </c>
      <c r="F13" s="10">
        <v>1</v>
      </c>
      <c r="G13" s="10">
        <v>0</v>
      </c>
      <c r="H13" s="75"/>
      <c r="I13" s="75"/>
    </row>
    <row r="14" spans="1:9" x14ac:dyDescent="0.25">
      <c r="A14" s="10" t="s">
        <v>51</v>
      </c>
      <c r="B14" s="10">
        <v>1</v>
      </c>
      <c r="D14" s="10">
        <v>2</v>
      </c>
      <c r="E14" s="10" t="s">
        <v>51</v>
      </c>
      <c r="F14" s="10">
        <v>2</v>
      </c>
      <c r="G14" s="10">
        <f t="shared" ref="G14:G22" si="1">+F14-D14</f>
        <v>0</v>
      </c>
      <c r="H14" s="75"/>
      <c r="I14" s="75"/>
    </row>
    <row r="15" spans="1:9" x14ac:dyDescent="0.25">
      <c r="A15" s="10" t="s">
        <v>52</v>
      </c>
      <c r="B15" s="10">
        <v>1</v>
      </c>
      <c r="D15" s="10">
        <v>1</v>
      </c>
      <c r="E15" s="10" t="s">
        <v>52</v>
      </c>
      <c r="F15" s="10">
        <v>1</v>
      </c>
      <c r="G15" s="10">
        <f t="shared" si="1"/>
        <v>0</v>
      </c>
      <c r="H15" s="75"/>
      <c r="I15" s="75"/>
    </row>
    <row r="16" spans="1:9" x14ac:dyDescent="0.25">
      <c r="A16" s="10" t="s">
        <v>53</v>
      </c>
      <c r="B16" s="10">
        <v>1</v>
      </c>
      <c r="D16" s="10">
        <v>1</v>
      </c>
      <c r="E16" s="10" t="s">
        <v>53</v>
      </c>
      <c r="F16" s="10">
        <v>1</v>
      </c>
      <c r="G16" s="10">
        <f t="shared" si="1"/>
        <v>0</v>
      </c>
      <c r="H16" s="75"/>
      <c r="I16" s="75"/>
    </row>
    <row r="17" spans="1:9" x14ac:dyDescent="0.25">
      <c r="A17" s="10" t="s">
        <v>54</v>
      </c>
      <c r="B17" s="10">
        <v>1</v>
      </c>
      <c r="D17" s="10">
        <v>0</v>
      </c>
      <c r="E17" s="10" t="s">
        <v>54</v>
      </c>
      <c r="F17" s="10">
        <v>2</v>
      </c>
      <c r="G17" s="10">
        <f t="shared" si="1"/>
        <v>2</v>
      </c>
      <c r="H17" s="75" t="s">
        <v>242</v>
      </c>
      <c r="I17" s="75"/>
    </row>
    <row r="18" spans="1:9" x14ac:dyDescent="0.25">
      <c r="A18" s="10" t="s">
        <v>55</v>
      </c>
      <c r="B18" s="10">
        <v>1</v>
      </c>
      <c r="D18" s="10">
        <v>1</v>
      </c>
      <c r="E18" s="10" t="s">
        <v>55</v>
      </c>
      <c r="F18" s="10">
        <v>2</v>
      </c>
      <c r="G18" s="10">
        <f t="shared" si="1"/>
        <v>1</v>
      </c>
      <c r="H18" s="75" t="s">
        <v>242</v>
      </c>
      <c r="I18" s="75"/>
    </row>
    <row r="19" spans="1:9" x14ac:dyDescent="0.25">
      <c r="A19" s="10" t="s">
        <v>56</v>
      </c>
      <c r="B19" s="10">
        <v>3</v>
      </c>
      <c r="D19" s="10">
        <v>1</v>
      </c>
      <c r="E19" s="10" t="s">
        <v>56</v>
      </c>
      <c r="F19" s="10">
        <v>4</v>
      </c>
      <c r="G19" s="10">
        <f t="shared" si="1"/>
        <v>3</v>
      </c>
      <c r="H19" s="75" t="s">
        <v>242</v>
      </c>
      <c r="I19" s="75"/>
    </row>
    <row r="20" spans="1:9" x14ac:dyDescent="0.25">
      <c r="A20" s="10" t="s">
        <v>57</v>
      </c>
      <c r="B20" s="10">
        <v>1</v>
      </c>
      <c r="D20" s="10">
        <v>2</v>
      </c>
      <c r="E20" s="10" t="s">
        <v>57</v>
      </c>
      <c r="F20" s="10">
        <v>1</v>
      </c>
      <c r="G20" s="10">
        <v>0</v>
      </c>
      <c r="H20" s="75"/>
      <c r="I20" s="75"/>
    </row>
    <row r="21" spans="1:9" x14ac:dyDescent="0.25">
      <c r="A21" s="10" t="s">
        <v>58</v>
      </c>
      <c r="B21" s="10">
        <v>3</v>
      </c>
      <c r="D21" s="10">
        <v>2</v>
      </c>
      <c r="E21" s="10" t="s">
        <v>58</v>
      </c>
      <c r="F21" s="10">
        <v>3</v>
      </c>
      <c r="G21" s="10">
        <f t="shared" si="1"/>
        <v>1</v>
      </c>
      <c r="H21" s="75" t="s">
        <v>242</v>
      </c>
      <c r="I21" s="75"/>
    </row>
    <row r="22" spans="1:9" x14ac:dyDescent="0.25">
      <c r="A22" s="10" t="s">
        <v>59</v>
      </c>
      <c r="B22" s="10">
        <v>3</v>
      </c>
      <c r="D22" s="10">
        <v>0</v>
      </c>
      <c r="E22" s="10" t="s">
        <v>59</v>
      </c>
      <c r="F22" s="10">
        <v>3</v>
      </c>
      <c r="G22" s="10">
        <f t="shared" si="1"/>
        <v>3</v>
      </c>
      <c r="H22" s="75" t="s">
        <v>242</v>
      </c>
      <c r="I22" s="75"/>
    </row>
    <row r="23" spans="1:9" hidden="1" x14ac:dyDescent="0.25">
      <c r="A23" t="s">
        <v>198</v>
      </c>
      <c r="B23">
        <v>0</v>
      </c>
      <c r="D23">
        <v>2</v>
      </c>
      <c r="E23" t="s">
        <v>198</v>
      </c>
      <c r="F23">
        <v>0</v>
      </c>
    </row>
    <row r="24" spans="1:9" x14ac:dyDescent="0.25">
      <c r="A24" s="10" t="s">
        <v>60</v>
      </c>
      <c r="B24" s="10">
        <v>3</v>
      </c>
      <c r="D24" s="10">
        <v>0</v>
      </c>
      <c r="E24" s="10" t="s">
        <v>60</v>
      </c>
      <c r="F24" s="10">
        <v>3</v>
      </c>
      <c r="G24" s="10">
        <f t="shared" ref="G24:G27" si="2">+F24-D24</f>
        <v>3</v>
      </c>
      <c r="H24" s="75" t="s">
        <v>242</v>
      </c>
      <c r="I24" s="75"/>
    </row>
    <row r="25" spans="1:9" x14ac:dyDescent="0.25">
      <c r="A25" s="10" t="s">
        <v>61</v>
      </c>
      <c r="B25" s="10">
        <v>1</v>
      </c>
      <c r="D25" s="10">
        <v>2</v>
      </c>
      <c r="E25" s="10" t="s">
        <v>61</v>
      </c>
      <c r="F25" s="10">
        <v>1</v>
      </c>
      <c r="G25" s="10">
        <v>0</v>
      </c>
      <c r="H25" s="75"/>
      <c r="I25" s="75"/>
    </row>
    <row r="26" spans="1:9" x14ac:dyDescent="0.25">
      <c r="A26" s="10" t="s">
        <v>62</v>
      </c>
      <c r="B26" s="10">
        <v>1</v>
      </c>
      <c r="D26" s="10">
        <v>2</v>
      </c>
      <c r="E26" s="10" t="s">
        <v>62</v>
      </c>
      <c r="F26" s="10">
        <v>1</v>
      </c>
      <c r="G26" s="10">
        <v>0</v>
      </c>
      <c r="H26" s="75"/>
      <c r="I26" s="75"/>
    </row>
    <row r="27" spans="1:9" x14ac:dyDescent="0.25">
      <c r="A27" s="10" t="s">
        <v>63</v>
      </c>
      <c r="B27" s="10">
        <v>3</v>
      </c>
      <c r="D27" s="10">
        <v>3</v>
      </c>
      <c r="E27" s="10" t="s">
        <v>63</v>
      </c>
      <c r="F27" s="10">
        <v>3</v>
      </c>
      <c r="G27" s="10">
        <f t="shared" si="2"/>
        <v>0</v>
      </c>
      <c r="H27" s="75"/>
      <c r="I27" s="75"/>
    </row>
    <row r="28" spans="1:9" hidden="1" x14ac:dyDescent="0.25">
      <c r="A28" t="s">
        <v>197</v>
      </c>
      <c r="B28">
        <v>0</v>
      </c>
      <c r="D28">
        <v>3</v>
      </c>
      <c r="E28" t="s">
        <v>197</v>
      </c>
      <c r="F28">
        <v>0</v>
      </c>
    </row>
    <row r="29" spans="1:9" x14ac:dyDescent="0.25">
      <c r="A29" s="10" t="s">
        <v>64</v>
      </c>
      <c r="B29" s="10">
        <v>2</v>
      </c>
      <c r="D29" s="10">
        <v>2</v>
      </c>
      <c r="E29" s="10" t="s">
        <v>64</v>
      </c>
      <c r="F29" s="10">
        <v>2</v>
      </c>
      <c r="G29" s="10">
        <f t="shared" ref="G29:G38" si="3">+F29-D29</f>
        <v>0</v>
      </c>
      <c r="H29" s="75"/>
      <c r="I29" s="75"/>
    </row>
    <row r="30" spans="1:9" x14ac:dyDescent="0.25">
      <c r="A30" s="10" t="s">
        <v>65</v>
      </c>
      <c r="B30" s="10">
        <v>1</v>
      </c>
      <c r="D30" s="10">
        <v>4</v>
      </c>
      <c r="E30" s="10" t="s">
        <v>65</v>
      </c>
      <c r="F30" s="10">
        <v>1</v>
      </c>
      <c r="G30" s="10">
        <v>0</v>
      </c>
      <c r="H30" s="75"/>
      <c r="I30" s="75"/>
    </row>
    <row r="31" spans="1:9" x14ac:dyDescent="0.25">
      <c r="A31" s="10" t="s">
        <v>66</v>
      </c>
      <c r="B31" s="10">
        <v>1</v>
      </c>
      <c r="D31" s="10">
        <v>3</v>
      </c>
      <c r="E31" s="10" t="s">
        <v>66</v>
      </c>
      <c r="F31" s="10">
        <v>1</v>
      </c>
      <c r="G31" s="10">
        <v>0</v>
      </c>
      <c r="H31" s="75"/>
      <c r="I31" s="75"/>
    </row>
    <row r="32" spans="1:9" x14ac:dyDescent="0.25">
      <c r="A32" s="10" t="s">
        <v>67</v>
      </c>
      <c r="B32" s="10">
        <v>2</v>
      </c>
      <c r="D32" s="10">
        <v>0</v>
      </c>
      <c r="E32" s="10" t="s">
        <v>67</v>
      </c>
      <c r="F32" s="10">
        <v>2</v>
      </c>
      <c r="G32" s="10">
        <f t="shared" si="3"/>
        <v>2</v>
      </c>
      <c r="H32" s="75" t="s">
        <v>242</v>
      </c>
      <c r="I32" s="75"/>
    </row>
    <row r="33" spans="1:9" x14ac:dyDescent="0.25">
      <c r="A33" s="10" t="s">
        <v>68</v>
      </c>
      <c r="B33" s="10">
        <v>3</v>
      </c>
      <c r="D33" s="10">
        <v>2</v>
      </c>
      <c r="E33" s="10" t="s">
        <v>68</v>
      </c>
      <c r="F33" s="10">
        <v>3</v>
      </c>
      <c r="G33" s="10">
        <f t="shared" si="3"/>
        <v>1</v>
      </c>
      <c r="H33" s="75" t="s">
        <v>242</v>
      </c>
      <c r="I33" s="75"/>
    </row>
    <row r="34" spans="1:9" x14ac:dyDescent="0.25">
      <c r="A34" s="10" t="s">
        <v>69</v>
      </c>
      <c r="B34" s="10">
        <v>4</v>
      </c>
      <c r="D34" s="10">
        <v>1</v>
      </c>
      <c r="E34" s="10" t="s">
        <v>69</v>
      </c>
      <c r="F34" s="10">
        <v>4</v>
      </c>
      <c r="G34" s="10">
        <f t="shared" si="3"/>
        <v>3</v>
      </c>
      <c r="H34" s="75" t="s">
        <v>242</v>
      </c>
      <c r="I34" s="75"/>
    </row>
    <row r="35" spans="1:9" x14ac:dyDescent="0.25">
      <c r="A35" s="10" t="s">
        <v>102</v>
      </c>
      <c r="B35" s="10">
        <v>1</v>
      </c>
      <c r="D35" s="10">
        <v>2</v>
      </c>
      <c r="E35" s="10" t="s">
        <v>102</v>
      </c>
      <c r="F35" s="10">
        <v>2</v>
      </c>
      <c r="G35" s="10">
        <f t="shared" si="3"/>
        <v>0</v>
      </c>
      <c r="H35" s="75"/>
      <c r="I35" s="75"/>
    </row>
    <row r="36" spans="1:9" x14ac:dyDescent="0.25">
      <c r="A36" s="10" t="s">
        <v>70</v>
      </c>
      <c r="B36" s="10">
        <v>1</v>
      </c>
      <c r="D36" s="10">
        <v>0</v>
      </c>
      <c r="E36" s="10" t="s">
        <v>70</v>
      </c>
      <c r="F36" s="10">
        <v>2</v>
      </c>
      <c r="G36" s="10">
        <f t="shared" si="3"/>
        <v>2</v>
      </c>
      <c r="H36" s="75" t="s">
        <v>242</v>
      </c>
      <c r="I36" s="75"/>
    </row>
    <row r="37" spans="1:9" x14ac:dyDescent="0.25">
      <c r="A37" s="10" t="s">
        <v>71</v>
      </c>
      <c r="B37" s="10">
        <v>2</v>
      </c>
      <c r="D37" s="10">
        <v>1</v>
      </c>
      <c r="E37" s="10" t="s">
        <v>71</v>
      </c>
      <c r="F37" s="10">
        <v>3</v>
      </c>
      <c r="G37" s="10">
        <f t="shared" si="3"/>
        <v>2</v>
      </c>
      <c r="H37" s="75" t="s">
        <v>242</v>
      </c>
      <c r="I37" s="75"/>
    </row>
    <row r="38" spans="1:9" x14ac:dyDescent="0.25">
      <c r="A38" s="10" t="s">
        <v>72</v>
      </c>
      <c r="B38" s="10">
        <v>1</v>
      </c>
      <c r="D38" s="10">
        <v>0</v>
      </c>
      <c r="E38" s="10" t="s">
        <v>72</v>
      </c>
      <c r="F38" s="10">
        <v>2</v>
      </c>
      <c r="G38" s="10">
        <f t="shared" si="3"/>
        <v>2</v>
      </c>
      <c r="H38" s="75" t="s">
        <v>242</v>
      </c>
      <c r="I38" s="75"/>
    </row>
    <row r="39" spans="1:9" x14ac:dyDescent="0.25">
      <c r="A39" s="10" t="s">
        <v>73</v>
      </c>
      <c r="B39" s="10">
        <v>1</v>
      </c>
      <c r="D39" s="10">
        <v>10</v>
      </c>
      <c r="E39" s="10" t="s">
        <v>73</v>
      </c>
      <c r="F39" s="10">
        <v>1</v>
      </c>
      <c r="G39" s="10">
        <v>0</v>
      </c>
      <c r="H39" s="75"/>
      <c r="I39" s="75"/>
    </row>
    <row r="40" spans="1:9" hidden="1" x14ac:dyDescent="0.25">
      <c r="A40" t="s">
        <v>74</v>
      </c>
      <c r="B40">
        <v>0</v>
      </c>
      <c r="D40">
        <v>0</v>
      </c>
      <c r="E40" t="s">
        <v>74</v>
      </c>
      <c r="F40">
        <v>0</v>
      </c>
    </row>
    <row r="41" spans="1:9" x14ac:dyDescent="0.25">
      <c r="A41" s="10" t="s">
        <v>75</v>
      </c>
      <c r="B41" s="10">
        <v>1</v>
      </c>
      <c r="D41" s="10">
        <v>0</v>
      </c>
      <c r="E41" s="10" t="s">
        <v>75</v>
      </c>
      <c r="F41" s="10">
        <v>2</v>
      </c>
      <c r="G41" s="10">
        <f>+F41-D41</f>
        <v>2</v>
      </c>
      <c r="H41" s="75" t="s">
        <v>242</v>
      </c>
      <c r="I41" s="75"/>
    </row>
    <row r="42" spans="1:9" hidden="1" x14ac:dyDescent="0.25">
      <c r="A42" t="s">
        <v>157</v>
      </c>
      <c r="B42">
        <v>0</v>
      </c>
      <c r="D42">
        <v>1</v>
      </c>
      <c r="E42" t="s">
        <v>157</v>
      </c>
      <c r="F42">
        <v>0</v>
      </c>
    </row>
    <row r="43" spans="1:9" hidden="1" x14ac:dyDescent="0.25">
      <c r="A43" t="s">
        <v>160</v>
      </c>
      <c r="B43">
        <v>0</v>
      </c>
      <c r="D43">
        <v>0</v>
      </c>
      <c r="E43" t="s">
        <v>160</v>
      </c>
      <c r="F43">
        <v>0</v>
      </c>
    </row>
    <row r="44" spans="1:9" hidden="1" x14ac:dyDescent="0.25">
      <c r="A44" t="s">
        <v>117</v>
      </c>
      <c r="B44">
        <v>0</v>
      </c>
      <c r="D44">
        <v>2</v>
      </c>
      <c r="E44" t="s">
        <v>117</v>
      </c>
      <c r="F44">
        <v>0</v>
      </c>
    </row>
    <row r="45" spans="1:9" hidden="1" x14ac:dyDescent="0.25">
      <c r="A45" t="s">
        <v>124</v>
      </c>
      <c r="B45">
        <v>0</v>
      </c>
      <c r="D45">
        <v>3</v>
      </c>
      <c r="E45" t="s">
        <v>124</v>
      </c>
      <c r="F45">
        <v>0</v>
      </c>
    </row>
    <row r="46" spans="1:9" hidden="1" x14ac:dyDescent="0.25">
      <c r="A46" t="s">
        <v>91</v>
      </c>
      <c r="B46">
        <v>0</v>
      </c>
      <c r="D46">
        <v>0</v>
      </c>
      <c r="E46" t="s">
        <v>91</v>
      </c>
      <c r="F46">
        <v>0</v>
      </c>
    </row>
    <row r="47" spans="1:9" hidden="1" x14ac:dyDescent="0.25">
      <c r="A47" t="s">
        <v>118</v>
      </c>
      <c r="B47">
        <v>0</v>
      </c>
      <c r="D47">
        <v>0</v>
      </c>
      <c r="E47" t="s">
        <v>118</v>
      </c>
      <c r="F47">
        <v>0</v>
      </c>
    </row>
    <row r="48" spans="1:9" hidden="1" x14ac:dyDescent="0.25">
      <c r="A48" t="s">
        <v>199</v>
      </c>
      <c r="B48">
        <v>0</v>
      </c>
      <c r="D48">
        <v>0</v>
      </c>
      <c r="E48" t="s">
        <v>199</v>
      </c>
      <c r="F48">
        <v>0</v>
      </c>
    </row>
    <row r="49" spans="1:9" hidden="1" x14ac:dyDescent="0.25">
      <c r="A49" t="s">
        <v>121</v>
      </c>
      <c r="B49">
        <v>0</v>
      </c>
      <c r="D49">
        <v>0</v>
      </c>
      <c r="E49" t="s">
        <v>121</v>
      </c>
      <c r="F49">
        <v>0</v>
      </c>
    </row>
    <row r="50" spans="1:9" hidden="1" x14ac:dyDescent="0.25">
      <c r="A50" t="s">
        <v>123</v>
      </c>
      <c r="B50">
        <v>0</v>
      </c>
      <c r="D50" t="s">
        <v>235</v>
      </c>
      <c r="E50" t="s">
        <v>123</v>
      </c>
      <c r="F50">
        <v>0</v>
      </c>
    </row>
    <row r="51" spans="1:9" hidden="1" x14ac:dyDescent="0.25">
      <c r="A51" t="s">
        <v>126</v>
      </c>
      <c r="B51">
        <v>0</v>
      </c>
      <c r="D51">
        <v>0</v>
      </c>
      <c r="E51" t="s">
        <v>126</v>
      </c>
      <c r="F51">
        <v>0</v>
      </c>
    </row>
    <row r="52" spans="1:9" hidden="1" x14ac:dyDescent="0.25">
      <c r="A52" t="s">
        <v>127</v>
      </c>
      <c r="B52">
        <v>0</v>
      </c>
      <c r="E52" t="s">
        <v>127</v>
      </c>
      <c r="F52">
        <v>0</v>
      </c>
    </row>
    <row r="53" spans="1:9" hidden="1" x14ac:dyDescent="0.25">
      <c r="A53" t="s">
        <v>128</v>
      </c>
      <c r="B53">
        <v>0</v>
      </c>
      <c r="E53" t="s">
        <v>128</v>
      </c>
      <c r="F53">
        <v>0</v>
      </c>
    </row>
    <row r="54" spans="1:9" hidden="1" x14ac:dyDescent="0.25">
      <c r="A54" t="s">
        <v>129</v>
      </c>
      <c r="B54">
        <v>0</v>
      </c>
      <c r="E54" t="s">
        <v>129</v>
      </c>
      <c r="F54">
        <v>0</v>
      </c>
    </row>
    <row r="55" spans="1:9" hidden="1" x14ac:dyDescent="0.25">
      <c r="A55" t="s">
        <v>132</v>
      </c>
      <c r="B55">
        <v>0</v>
      </c>
      <c r="E55" t="s">
        <v>132</v>
      </c>
      <c r="F55">
        <v>0</v>
      </c>
    </row>
    <row r="56" spans="1:9" hidden="1" x14ac:dyDescent="0.25">
      <c r="A56" t="s">
        <v>133</v>
      </c>
      <c r="B56">
        <v>0</v>
      </c>
      <c r="E56" t="s">
        <v>133</v>
      </c>
      <c r="F56">
        <v>0</v>
      </c>
    </row>
    <row r="57" spans="1:9" hidden="1" x14ac:dyDescent="0.25">
      <c r="A57" t="s">
        <v>134</v>
      </c>
      <c r="B57">
        <v>0</v>
      </c>
      <c r="E57" t="s">
        <v>134</v>
      </c>
      <c r="F57">
        <v>0</v>
      </c>
    </row>
    <row r="58" spans="1:9" hidden="1" x14ac:dyDescent="0.25">
      <c r="A58" t="s">
        <v>135</v>
      </c>
      <c r="B58">
        <v>0</v>
      </c>
      <c r="E58" t="s">
        <v>135</v>
      </c>
      <c r="F58">
        <v>0</v>
      </c>
    </row>
    <row r="59" spans="1:9" hidden="1" x14ac:dyDescent="0.25">
      <c r="A59" t="s">
        <v>200</v>
      </c>
      <c r="B59">
        <v>0</v>
      </c>
      <c r="E59" t="s">
        <v>200</v>
      </c>
      <c r="F59">
        <v>0</v>
      </c>
    </row>
    <row r="60" spans="1:9" x14ac:dyDescent="0.25">
      <c r="A60" s="10" t="s">
        <v>137</v>
      </c>
      <c r="B60" s="10">
        <v>3</v>
      </c>
      <c r="D60" s="10">
        <v>0</v>
      </c>
      <c r="E60" s="10" t="s">
        <v>137</v>
      </c>
      <c r="F60" s="10">
        <v>3</v>
      </c>
      <c r="G60" s="10">
        <f>+F60-D60</f>
        <v>3</v>
      </c>
      <c r="H60" s="75"/>
      <c r="I60" s="75" t="s">
        <v>242</v>
      </c>
    </row>
    <row r="61" spans="1:9" hidden="1" x14ac:dyDescent="0.25">
      <c r="A61" t="s">
        <v>138</v>
      </c>
      <c r="B61">
        <v>0</v>
      </c>
      <c r="E61" t="s">
        <v>138</v>
      </c>
      <c r="F61">
        <v>0</v>
      </c>
    </row>
    <row r="62" spans="1:9" hidden="1" x14ac:dyDescent="0.25">
      <c r="A62" t="s">
        <v>139</v>
      </c>
      <c r="B62">
        <v>0</v>
      </c>
      <c r="E62" t="s">
        <v>139</v>
      </c>
      <c r="F62">
        <v>0</v>
      </c>
    </row>
    <row r="63" spans="1:9" hidden="1" x14ac:dyDescent="0.25">
      <c r="A63" t="s">
        <v>140</v>
      </c>
      <c r="B63">
        <v>0</v>
      </c>
      <c r="E63" t="s">
        <v>140</v>
      </c>
      <c r="F63">
        <v>0</v>
      </c>
    </row>
    <row r="64" spans="1:9" hidden="1" x14ac:dyDescent="0.25">
      <c r="A64" t="s">
        <v>144</v>
      </c>
      <c r="B64">
        <v>0</v>
      </c>
      <c r="E64" t="s">
        <v>144</v>
      </c>
      <c r="F64">
        <v>0</v>
      </c>
    </row>
    <row r="65" spans="1:6" hidden="1" x14ac:dyDescent="0.25">
      <c r="A65" t="s">
        <v>145</v>
      </c>
      <c r="B65">
        <v>0</v>
      </c>
      <c r="E65" t="s">
        <v>145</v>
      </c>
      <c r="F65">
        <v>0</v>
      </c>
    </row>
    <row r="66" spans="1:6" hidden="1" x14ac:dyDescent="0.25">
      <c r="A66" t="s">
        <v>146</v>
      </c>
      <c r="B66">
        <v>0</v>
      </c>
      <c r="E66" t="s">
        <v>146</v>
      </c>
      <c r="F66">
        <v>0</v>
      </c>
    </row>
    <row r="67" spans="1:6" hidden="1" x14ac:dyDescent="0.25">
      <c r="A67" t="s">
        <v>149</v>
      </c>
      <c r="B67">
        <v>0</v>
      </c>
      <c r="E67" t="s">
        <v>149</v>
      </c>
      <c r="F67">
        <v>0</v>
      </c>
    </row>
    <row r="68" spans="1:6" hidden="1" x14ac:dyDescent="0.25">
      <c r="A68" t="s">
        <v>158</v>
      </c>
      <c r="B68">
        <v>0</v>
      </c>
      <c r="E68" t="s">
        <v>158</v>
      </c>
      <c r="F68">
        <v>0</v>
      </c>
    </row>
    <row r="69" spans="1:6" hidden="1" x14ac:dyDescent="0.25">
      <c r="A69" t="s">
        <v>170</v>
      </c>
      <c r="B69">
        <v>0</v>
      </c>
      <c r="E69" t="s">
        <v>170</v>
      </c>
      <c r="F69">
        <v>0</v>
      </c>
    </row>
    <row r="70" spans="1:6" hidden="1" x14ac:dyDescent="0.25">
      <c r="A70" t="s">
        <v>174</v>
      </c>
      <c r="B70">
        <v>0</v>
      </c>
      <c r="E70" t="s">
        <v>174</v>
      </c>
      <c r="F70">
        <v>0</v>
      </c>
    </row>
    <row r="71" spans="1:6" hidden="1" x14ac:dyDescent="0.25">
      <c r="A71" t="s">
        <v>180</v>
      </c>
      <c r="B71">
        <v>0</v>
      </c>
      <c r="E71" t="s">
        <v>180</v>
      </c>
      <c r="F71">
        <v>0</v>
      </c>
    </row>
    <row r="72" spans="1:6" hidden="1" x14ac:dyDescent="0.25">
      <c r="A72" t="s">
        <v>181</v>
      </c>
      <c r="B72">
        <v>0</v>
      </c>
      <c r="E72" t="s">
        <v>181</v>
      </c>
      <c r="F72">
        <v>0</v>
      </c>
    </row>
    <row r="73" spans="1:6" hidden="1" x14ac:dyDescent="0.25">
      <c r="A73" t="s">
        <v>182</v>
      </c>
      <c r="B73">
        <v>0</v>
      </c>
      <c r="E73" t="s">
        <v>182</v>
      </c>
      <c r="F73">
        <v>0</v>
      </c>
    </row>
    <row r="74" spans="1:6" hidden="1" x14ac:dyDescent="0.25">
      <c r="A74" t="s">
        <v>184</v>
      </c>
      <c r="B74">
        <v>0</v>
      </c>
      <c r="E74" t="s">
        <v>184</v>
      </c>
      <c r="F74">
        <v>0</v>
      </c>
    </row>
    <row r="75" spans="1:6" hidden="1" x14ac:dyDescent="0.25">
      <c r="A75" t="s">
        <v>185</v>
      </c>
      <c r="B75">
        <v>0</v>
      </c>
      <c r="E75" t="s">
        <v>185</v>
      </c>
      <c r="F75">
        <v>0</v>
      </c>
    </row>
    <row r="76" spans="1:6" hidden="1" x14ac:dyDescent="0.25">
      <c r="A76" t="s">
        <v>191</v>
      </c>
      <c r="B76">
        <v>0</v>
      </c>
      <c r="E76" t="s">
        <v>191</v>
      </c>
      <c r="F76">
        <v>0</v>
      </c>
    </row>
    <row r="77" spans="1:6" hidden="1" x14ac:dyDescent="0.25">
      <c r="A77" t="s">
        <v>195</v>
      </c>
      <c r="B77">
        <v>0</v>
      </c>
      <c r="E77" t="s">
        <v>195</v>
      </c>
      <c r="F77">
        <v>0</v>
      </c>
    </row>
    <row r="78" spans="1:6" hidden="1" x14ac:dyDescent="0.25">
      <c r="A78" t="s">
        <v>196</v>
      </c>
      <c r="B78">
        <v>0</v>
      </c>
      <c r="E78" t="s">
        <v>196</v>
      </c>
      <c r="F78">
        <v>0</v>
      </c>
    </row>
    <row r="79" spans="1:6" hidden="1" x14ac:dyDescent="0.25">
      <c r="A79" t="s">
        <v>201</v>
      </c>
      <c r="B79">
        <v>0</v>
      </c>
      <c r="E79" t="s">
        <v>201</v>
      </c>
      <c r="F79">
        <v>0</v>
      </c>
    </row>
    <row r="80" spans="1:6" hidden="1" x14ac:dyDescent="0.25">
      <c r="A80" t="s">
        <v>202</v>
      </c>
      <c r="B80">
        <v>0</v>
      </c>
      <c r="E80" t="s">
        <v>202</v>
      </c>
      <c r="F80">
        <v>0</v>
      </c>
    </row>
    <row r="81" spans="1:9" hidden="1" x14ac:dyDescent="0.25">
      <c r="A81" t="s">
        <v>203</v>
      </c>
      <c r="B81">
        <v>0</v>
      </c>
      <c r="E81" t="s">
        <v>203</v>
      </c>
      <c r="F81">
        <v>0</v>
      </c>
    </row>
    <row r="82" spans="1:9" hidden="1" x14ac:dyDescent="0.25">
      <c r="A82" t="s">
        <v>204</v>
      </c>
      <c r="B82">
        <v>0</v>
      </c>
      <c r="E82" t="s">
        <v>204</v>
      </c>
      <c r="F82">
        <v>0</v>
      </c>
    </row>
    <row r="83" spans="1:9" x14ac:dyDescent="0.25">
      <c r="A83" s="10" t="s">
        <v>243</v>
      </c>
      <c r="B83" s="10">
        <v>1</v>
      </c>
      <c r="D83" s="10">
        <v>1</v>
      </c>
      <c r="E83" s="10" t="s">
        <v>243</v>
      </c>
      <c r="F83" s="10">
        <v>1</v>
      </c>
      <c r="G83" s="10">
        <f t="shared" ref="G83:G95" si="4">+F83-D83</f>
        <v>0</v>
      </c>
      <c r="H83" s="75"/>
      <c r="I83" s="75"/>
    </row>
    <row r="84" spans="1:9" x14ac:dyDescent="0.25">
      <c r="A84" s="10" t="s">
        <v>91</v>
      </c>
      <c r="B84" s="10">
        <v>1</v>
      </c>
      <c r="D84" s="10">
        <v>0</v>
      </c>
      <c r="E84" s="10" t="s">
        <v>91</v>
      </c>
      <c r="F84" s="10">
        <v>1</v>
      </c>
      <c r="G84" s="10">
        <f t="shared" si="4"/>
        <v>1</v>
      </c>
      <c r="H84" s="75" t="s">
        <v>242</v>
      </c>
      <c r="I84" s="75"/>
    </row>
    <row r="85" spans="1:9" x14ac:dyDescent="0.25">
      <c r="A85" s="10" t="s">
        <v>132</v>
      </c>
      <c r="B85" s="10">
        <v>1</v>
      </c>
      <c r="D85" s="10">
        <v>0</v>
      </c>
      <c r="E85" s="10" t="s">
        <v>132</v>
      </c>
      <c r="F85" s="10">
        <v>1</v>
      </c>
      <c r="G85" s="10">
        <f t="shared" si="4"/>
        <v>1</v>
      </c>
      <c r="H85" s="75" t="s">
        <v>242</v>
      </c>
      <c r="I85" s="75"/>
    </row>
    <row r="86" spans="1:9" x14ac:dyDescent="0.25">
      <c r="A86" s="10" t="s">
        <v>135</v>
      </c>
      <c r="B86" s="10">
        <v>1</v>
      </c>
      <c r="D86" s="10">
        <v>1</v>
      </c>
      <c r="E86" s="10" t="s">
        <v>135</v>
      </c>
      <c r="F86" s="10">
        <v>1</v>
      </c>
      <c r="G86" s="10">
        <f t="shared" si="4"/>
        <v>0</v>
      </c>
      <c r="H86" s="75"/>
      <c r="I86" s="75"/>
    </row>
    <row r="87" spans="1:9" x14ac:dyDescent="0.25">
      <c r="A87" s="10" t="s">
        <v>228</v>
      </c>
      <c r="B87" s="10">
        <v>1</v>
      </c>
      <c r="D87" s="10">
        <v>0</v>
      </c>
      <c r="E87" s="10" t="s">
        <v>228</v>
      </c>
      <c r="F87" s="10">
        <v>1</v>
      </c>
      <c r="G87" s="10">
        <f t="shared" si="4"/>
        <v>1</v>
      </c>
      <c r="H87" s="75"/>
      <c r="I87" s="75" t="s">
        <v>242</v>
      </c>
    </row>
    <row r="88" spans="1:9" x14ac:dyDescent="0.25">
      <c r="A88" s="10" t="s">
        <v>229</v>
      </c>
      <c r="B88" s="10">
        <v>2</v>
      </c>
      <c r="D88" s="10">
        <v>2</v>
      </c>
      <c r="E88" s="10" t="s">
        <v>229</v>
      </c>
      <c r="F88" s="10">
        <v>2</v>
      </c>
      <c r="G88" s="10">
        <f t="shared" si="4"/>
        <v>0</v>
      </c>
      <c r="H88" s="75"/>
      <c r="I88" s="75"/>
    </row>
    <row r="89" spans="1:9" x14ac:dyDescent="0.25">
      <c r="A89" s="10" t="s">
        <v>181</v>
      </c>
      <c r="B89" s="10">
        <v>1</v>
      </c>
      <c r="D89" s="10">
        <v>3</v>
      </c>
      <c r="E89" s="10" t="s">
        <v>181</v>
      </c>
      <c r="F89" s="10">
        <v>1</v>
      </c>
      <c r="G89" s="10">
        <v>0</v>
      </c>
      <c r="H89" s="75"/>
      <c r="I89" s="75"/>
    </row>
    <row r="90" spans="1:9" x14ac:dyDescent="0.25">
      <c r="A90" s="10" t="s">
        <v>184</v>
      </c>
      <c r="B90" s="10">
        <v>1</v>
      </c>
      <c r="D90" s="10">
        <v>0</v>
      </c>
      <c r="E90" s="10" t="s">
        <v>184</v>
      </c>
      <c r="F90" s="10">
        <v>1</v>
      </c>
      <c r="G90" s="10">
        <f t="shared" si="4"/>
        <v>1</v>
      </c>
      <c r="H90" s="75"/>
      <c r="I90" s="75" t="s">
        <v>242</v>
      </c>
    </row>
    <row r="91" spans="1:9" x14ac:dyDescent="0.25">
      <c r="A91" s="10" t="s">
        <v>230</v>
      </c>
      <c r="B91" s="10">
        <v>1</v>
      </c>
      <c r="D91" s="10">
        <v>0</v>
      </c>
      <c r="E91" s="10" t="s">
        <v>230</v>
      </c>
      <c r="F91" s="10">
        <v>1</v>
      </c>
      <c r="G91" s="10">
        <f t="shared" si="4"/>
        <v>1</v>
      </c>
      <c r="H91" s="75"/>
      <c r="I91" s="75" t="s">
        <v>242</v>
      </c>
    </row>
    <row r="92" spans="1:9" x14ac:dyDescent="0.25">
      <c r="A92" s="10" t="s">
        <v>195</v>
      </c>
      <c r="B92" s="10">
        <v>1</v>
      </c>
      <c r="D92" s="10">
        <v>0</v>
      </c>
      <c r="E92" s="10" t="s">
        <v>195</v>
      </c>
      <c r="F92" s="10">
        <v>1</v>
      </c>
      <c r="G92" s="10">
        <f t="shared" si="4"/>
        <v>1</v>
      </c>
      <c r="H92" s="75"/>
      <c r="I92" s="75" t="s">
        <v>242</v>
      </c>
    </row>
    <row r="93" spans="1:9" x14ac:dyDescent="0.25">
      <c r="A93" s="10" t="s">
        <v>202</v>
      </c>
      <c r="B93" s="10">
        <v>1</v>
      </c>
      <c r="D93" s="10">
        <v>0</v>
      </c>
      <c r="E93" s="10" t="s">
        <v>202</v>
      </c>
      <c r="F93" s="10">
        <v>1</v>
      </c>
      <c r="G93" s="10">
        <f t="shared" si="4"/>
        <v>1</v>
      </c>
      <c r="H93" s="75" t="s">
        <v>242</v>
      </c>
      <c r="I93" s="75"/>
    </row>
    <row r="94" spans="1:9" x14ac:dyDescent="0.25">
      <c r="A94" s="10" t="s">
        <v>231</v>
      </c>
      <c r="B94" s="10">
        <v>1</v>
      </c>
      <c r="D94" s="10">
        <v>0</v>
      </c>
      <c r="E94" s="10" t="s">
        <v>231</v>
      </c>
      <c r="F94" s="10">
        <v>1</v>
      </c>
      <c r="G94" s="10">
        <f t="shared" si="4"/>
        <v>1</v>
      </c>
      <c r="H94" s="75"/>
      <c r="I94" s="75"/>
    </row>
    <row r="95" spans="1:9" x14ac:dyDescent="0.25">
      <c r="A95" s="10" t="s">
        <v>232</v>
      </c>
      <c r="B95" s="10">
        <v>3</v>
      </c>
      <c r="D95" s="10">
        <v>0</v>
      </c>
      <c r="E95" s="10" t="s">
        <v>232</v>
      </c>
      <c r="F95" s="10">
        <v>3</v>
      </c>
      <c r="G95" s="10">
        <f t="shared" si="4"/>
        <v>3</v>
      </c>
      <c r="H95" s="75" t="s">
        <v>242</v>
      </c>
      <c r="I95" s="75"/>
    </row>
  </sheetData>
  <autoFilter ref="A5:B82" xr:uid="{1F795A2B-D188-488D-B10F-65A143E0B747}">
    <filterColumn colId="1">
      <filters>
        <filter val="1"/>
        <filter val="2"/>
        <filter val="3"/>
        <filter val="4"/>
      </filters>
    </filterColumn>
  </autoFilter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1B4AD-86F7-46E3-A687-70B9BF9A9759}">
  <dimension ref="A1:BQ27"/>
  <sheetViews>
    <sheetView zoomScaleNormal="100" workbookViewId="0">
      <pane xSplit="2" ySplit="2" topLeftCell="AN3" activePane="bottomRight" state="frozen"/>
      <selection activeCell="S13" sqref="S13"/>
      <selection pane="topRight" activeCell="S13" sqref="S13"/>
      <selection pane="bottomLeft" activeCell="S13" sqref="S13"/>
      <selection pane="bottomRight" activeCell="S13" sqref="S13"/>
    </sheetView>
  </sheetViews>
  <sheetFormatPr baseColWidth="10" defaultColWidth="11.5703125" defaultRowHeight="15" x14ac:dyDescent="0.25"/>
  <cols>
    <col min="1" max="1" width="15.5703125" bestFit="1" customWidth="1"/>
    <col min="2" max="2" width="18.28515625" customWidth="1"/>
    <col min="3" max="39" width="15.42578125" style="6" customWidth="1"/>
    <col min="40" max="40" width="15.42578125" style="6" bestFit="1" customWidth="1"/>
  </cols>
  <sheetData>
    <row r="1" spans="1:69" x14ac:dyDescent="0.25">
      <c r="A1" s="9" t="s">
        <v>104</v>
      </c>
    </row>
    <row r="2" spans="1:69" ht="15.75" thickBot="1" x14ac:dyDescent="0.3"/>
    <row r="3" spans="1:69" s="2" customFormat="1" ht="90.75" thickBot="1" x14ac:dyDescent="0.3">
      <c r="A3" s="1" t="s">
        <v>0</v>
      </c>
      <c r="B3" s="1" t="s">
        <v>1</v>
      </c>
      <c r="C3" s="1" t="str">
        <f>+'à commander 2019'!A4</f>
        <v>Cadenas</v>
      </c>
      <c r="D3" s="1" t="str">
        <f>+'à commander 2019'!A5</f>
        <v>Coffre 026-001</v>
      </c>
      <c r="E3" s="1" t="str">
        <f>+'à commander 2019'!A6</f>
        <v>Clef à molette 493-250</v>
      </c>
      <c r="F3" s="1" t="str">
        <f>+'à commander 2019'!A7</f>
        <v>Pince à dénuder 257-160</v>
      </c>
      <c r="G3" s="1" t="str">
        <f>+'à commander 2019'!A8</f>
        <v>Lime demi ronde 805-209</v>
      </c>
      <c r="H3" s="1" t="str">
        <f>+'à commander 2019'!A9</f>
        <v>Pince coupante 1000v 256-160</v>
      </c>
      <c r="I3" s="1" t="str">
        <f>+'à commander 2019'!A10</f>
        <v>Coupe câble</v>
      </c>
      <c r="J3" s="1" t="str">
        <f>+'à commander 2019'!A11</f>
        <v>Scie à métaux 840-001</v>
      </c>
      <c r="K3" s="1" t="str">
        <f>+'à commander 2019'!A12</f>
        <v>Mètre pliant</v>
      </c>
      <c r="L3" s="1" t="str">
        <f>+'à commander 2019'!A13</f>
        <v>Burin plat 753-22-16-300</v>
      </c>
      <c r="M3" s="1" t="str">
        <f>+'à commander 2019'!A14</f>
        <v>Burin pointe 754-04-16-300</v>
      </c>
      <c r="N3" s="1" t="str">
        <f>+'à commander 2019'!A15</f>
        <v>Massette 704-1250</v>
      </c>
      <c r="O3" s="1" t="str">
        <f>+'à commander 2019'!A16</f>
        <v>Niveau</v>
      </c>
      <c r="P3" s="1" t="str">
        <f>+'à commander 2019'!A17</f>
        <v>Jeu tournevis</v>
      </c>
      <c r="Q3" s="1" t="str">
        <f>+'à commander 2019'!A18</f>
        <v>Pince étau 275-175</v>
      </c>
      <c r="R3" s="1" t="str">
        <f>+'à commander 2019'!A19</f>
        <v>Coffret douilles 531-002</v>
      </c>
      <c r="S3" s="1" t="s">
        <v>224</v>
      </c>
      <c r="T3" s="1" t="str">
        <f>+'à commander 2019'!A20</f>
        <v>Clef à pipe 10/462-10</v>
      </c>
      <c r="U3" s="1" t="s">
        <v>244</v>
      </c>
      <c r="V3" s="1" t="str">
        <f>+'à commander 2019'!A21</f>
        <v>Clef à pipe 13/462-13</v>
      </c>
      <c r="W3" s="1" t="s">
        <v>222</v>
      </c>
      <c r="X3" s="1" t="str">
        <f>+'à commander 2019'!A22</f>
        <v>Clef à pipe 17/462-17</v>
      </c>
      <c r="Y3" s="1" t="str">
        <f>+'à commander 2019'!A23</f>
        <v>Clef à pipe 19/462-19</v>
      </c>
      <c r="Z3" s="1" t="str">
        <f>+'à commander 2019'!A24</f>
        <v>Clef plate 10/451-10</v>
      </c>
      <c r="AA3" s="1" t="s">
        <v>245</v>
      </c>
      <c r="AB3" s="1" t="str">
        <f>+'à commander 2019'!A25</f>
        <v>Clef plate 13/451-13</v>
      </c>
      <c r="AC3" s="1" t="str">
        <f>+'à commander 2019'!A26</f>
        <v>Clef plate 17/451-17</v>
      </c>
      <c r="AD3" s="1" t="str">
        <f>+'à commander 2019'!A27</f>
        <v>Clef plate 19/451-19</v>
      </c>
      <c r="AE3" s="1" t="str">
        <f>+'à commander 2019'!A28</f>
        <v>Cutter</v>
      </c>
      <c r="AF3" s="1" t="str">
        <f>+'à commander 2019'!A29</f>
        <v>Clef allen 602-009</v>
      </c>
      <c r="AG3" s="1" t="str">
        <f>+'à commander 2019'!A30</f>
        <v>Outil à dégainer 296-032</v>
      </c>
      <c r="AH3" s="1" t="str">
        <f>+'à commander 2019'!A31</f>
        <v>Pince à Sertir</v>
      </c>
      <c r="AI3" s="1" t="str">
        <f>+'à commander 2019'!A32</f>
        <v>Testeur Fluke</v>
      </c>
      <c r="AJ3" s="1" t="str">
        <f>+'à commander 2019'!A33</f>
        <v xml:space="preserve">Boite embouts </v>
      </c>
      <c r="AK3" s="1" t="str">
        <f>+'à commander 2019'!A34</f>
        <v>Pince colson</v>
      </c>
      <c r="AL3" s="1" t="str">
        <f>+'à commander 2019'!A35</f>
        <v>Lunette de protection</v>
      </c>
      <c r="AM3" s="1" t="str">
        <f>+'à commander 2019'!A36</f>
        <v>Casque chantier</v>
      </c>
      <c r="AN3" s="47" t="str">
        <f>+'à commander 2019'!A37</f>
        <v>Lampe frontale</v>
      </c>
      <c r="AO3" s="47" t="s">
        <v>117</v>
      </c>
      <c r="AP3" s="47" t="s">
        <v>124</v>
      </c>
      <c r="AQ3" s="47" t="s">
        <v>91</v>
      </c>
      <c r="AR3" s="47" t="s">
        <v>118</v>
      </c>
      <c r="AS3" s="47" t="s">
        <v>199</v>
      </c>
      <c r="AT3" s="47" t="s">
        <v>119</v>
      </c>
      <c r="AU3" s="47" t="s">
        <v>121</v>
      </c>
      <c r="AV3" s="47" t="s">
        <v>123</v>
      </c>
      <c r="AW3" s="47" t="s">
        <v>126</v>
      </c>
      <c r="AX3" s="47" t="s">
        <v>127</v>
      </c>
      <c r="AY3" s="47" t="s">
        <v>128</v>
      </c>
      <c r="AZ3" s="47" t="s">
        <v>132</v>
      </c>
      <c r="BA3" s="1" t="s">
        <v>133</v>
      </c>
      <c r="BB3" s="1" t="s">
        <v>134</v>
      </c>
      <c r="BC3" s="1" t="s">
        <v>135</v>
      </c>
      <c r="BD3" s="1" t="s">
        <v>137</v>
      </c>
      <c r="BE3" s="1" t="s">
        <v>138</v>
      </c>
      <c r="BF3" s="1" t="s">
        <v>139</v>
      </c>
      <c r="BG3" s="1" t="s">
        <v>140</v>
      </c>
      <c r="BH3" s="1" t="s">
        <v>144</v>
      </c>
      <c r="BI3" s="1" t="s">
        <v>145</v>
      </c>
      <c r="BJ3" s="1" t="s">
        <v>146</v>
      </c>
      <c r="BK3" s="1" t="s">
        <v>149</v>
      </c>
      <c r="BL3" s="1" t="s">
        <v>158</v>
      </c>
      <c r="BM3" s="1" t="s">
        <v>170</v>
      </c>
      <c r="BN3" s="1" t="s">
        <v>174</v>
      </c>
      <c r="BO3" s="1" t="s">
        <v>183</v>
      </c>
      <c r="BP3" s="1" t="s">
        <v>226</v>
      </c>
      <c r="BQ3" s="2" t="s">
        <v>196</v>
      </c>
    </row>
    <row r="4" spans="1:69" s="2" customFormat="1" ht="75" x14ac:dyDescent="0.25">
      <c r="A4" s="19" t="s">
        <v>80</v>
      </c>
      <c r="B4" s="19" t="s">
        <v>81</v>
      </c>
      <c r="C4" s="44" t="s">
        <v>77</v>
      </c>
      <c r="D4" s="44" t="s">
        <v>77</v>
      </c>
      <c r="E4" s="44">
        <v>43510</v>
      </c>
      <c r="F4" s="44">
        <v>43889</v>
      </c>
      <c r="G4" s="44">
        <v>43510</v>
      </c>
      <c r="H4" s="44" t="s">
        <v>77</v>
      </c>
      <c r="I4" s="44" t="s">
        <v>77</v>
      </c>
      <c r="J4" s="44">
        <v>43889</v>
      </c>
      <c r="K4" s="44" t="s">
        <v>77</v>
      </c>
      <c r="L4" s="44">
        <v>43889</v>
      </c>
      <c r="M4" s="44">
        <v>43889</v>
      </c>
      <c r="N4" s="44" t="s">
        <v>77</v>
      </c>
      <c r="O4" s="44">
        <v>43510</v>
      </c>
      <c r="P4" s="44">
        <v>43479</v>
      </c>
      <c r="Q4" s="44" t="s">
        <v>76</v>
      </c>
      <c r="R4" s="44" t="s">
        <v>225</v>
      </c>
      <c r="S4" s="44">
        <v>43889</v>
      </c>
      <c r="T4" s="44" t="s">
        <v>77</v>
      </c>
      <c r="U4" s="44"/>
      <c r="V4" s="44" t="s">
        <v>77</v>
      </c>
      <c r="W4" s="44"/>
      <c r="X4" s="44" t="s">
        <v>77</v>
      </c>
      <c r="Y4" s="44">
        <v>43510</v>
      </c>
      <c r="Z4" s="44" t="s">
        <v>77</v>
      </c>
      <c r="AA4" s="44"/>
      <c r="AB4" s="44">
        <v>43510</v>
      </c>
      <c r="AC4" s="44" t="s">
        <v>77</v>
      </c>
      <c r="AD4" s="44" t="s">
        <v>77</v>
      </c>
      <c r="AE4" s="44">
        <v>43889</v>
      </c>
      <c r="AF4" s="44">
        <v>43510</v>
      </c>
      <c r="AG4" s="44">
        <v>43889</v>
      </c>
      <c r="AH4" s="44" t="s">
        <v>77</v>
      </c>
      <c r="AI4" s="44" t="s">
        <v>179</v>
      </c>
      <c r="AJ4" s="44">
        <v>43510</v>
      </c>
      <c r="AK4" s="44" t="s">
        <v>77</v>
      </c>
      <c r="AL4" s="51" t="s">
        <v>76</v>
      </c>
      <c r="AM4" s="51" t="s">
        <v>76</v>
      </c>
      <c r="AN4" s="48" t="s">
        <v>77</v>
      </c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70" t="s">
        <v>77</v>
      </c>
      <c r="BP4" s="70"/>
    </row>
    <row r="5" spans="1:69" s="3" customFormat="1" x14ac:dyDescent="0.25">
      <c r="A5" s="19" t="s">
        <v>2</v>
      </c>
      <c r="B5" s="19" t="s">
        <v>3</v>
      </c>
      <c r="C5" s="44"/>
      <c r="D5" s="44" t="s">
        <v>77</v>
      </c>
      <c r="E5" s="44" t="s">
        <v>77</v>
      </c>
      <c r="F5" s="44" t="s">
        <v>77</v>
      </c>
      <c r="G5" s="44" t="s">
        <v>77</v>
      </c>
      <c r="H5" s="44">
        <v>43510</v>
      </c>
      <c r="I5" s="44" t="s">
        <v>77</v>
      </c>
      <c r="J5" s="44">
        <v>43510</v>
      </c>
      <c r="K5" s="44">
        <v>43510</v>
      </c>
      <c r="L5" s="44">
        <v>43510</v>
      </c>
      <c r="M5" s="44">
        <v>43510</v>
      </c>
      <c r="N5" s="44">
        <v>43510</v>
      </c>
      <c r="O5" s="44" t="s">
        <v>77</v>
      </c>
      <c r="P5" s="44">
        <v>43889</v>
      </c>
      <c r="Q5" s="44">
        <v>43510</v>
      </c>
      <c r="R5" s="44" t="s">
        <v>77</v>
      </c>
      <c r="S5" s="44"/>
      <c r="T5" s="44">
        <v>43510</v>
      </c>
      <c r="U5" s="44"/>
      <c r="V5" s="44">
        <v>43510</v>
      </c>
      <c r="W5" s="44"/>
      <c r="X5" s="44">
        <v>43510</v>
      </c>
      <c r="Y5" s="44">
        <v>43510</v>
      </c>
      <c r="Z5" s="44" t="s">
        <v>77</v>
      </c>
      <c r="AA5" s="44"/>
      <c r="AB5" s="44" t="s">
        <v>77</v>
      </c>
      <c r="AC5" s="44" t="s">
        <v>77</v>
      </c>
      <c r="AD5" s="44" t="s">
        <v>77</v>
      </c>
      <c r="AE5" s="44">
        <v>43510</v>
      </c>
      <c r="AF5" s="44">
        <v>43510</v>
      </c>
      <c r="AG5" s="44">
        <v>43510</v>
      </c>
      <c r="AH5" s="44" t="s">
        <v>77</v>
      </c>
      <c r="AI5" s="44" t="s">
        <v>150</v>
      </c>
      <c r="AJ5" s="44">
        <v>43510</v>
      </c>
      <c r="AK5" s="44"/>
      <c r="AL5" s="51" t="s">
        <v>76</v>
      </c>
      <c r="AM5" s="51" t="s">
        <v>77</v>
      </c>
      <c r="AN5" s="48">
        <v>43817</v>
      </c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4"/>
      <c r="BB5" s="44"/>
      <c r="BC5" s="44"/>
      <c r="BD5" s="44">
        <v>43746</v>
      </c>
      <c r="BE5" s="44"/>
      <c r="BF5" s="44"/>
      <c r="BG5" s="44"/>
      <c r="BH5" s="44"/>
      <c r="BI5" s="44"/>
      <c r="BJ5" s="44"/>
      <c r="BK5" s="44"/>
      <c r="BL5" s="44"/>
      <c r="BM5" s="44"/>
      <c r="BN5" s="44">
        <v>43871</v>
      </c>
      <c r="BO5" s="44"/>
      <c r="BP5" s="44">
        <v>43892</v>
      </c>
    </row>
    <row r="6" spans="1:69" s="3" customFormat="1" x14ac:dyDescent="0.25">
      <c r="A6" s="19" t="s">
        <v>4</v>
      </c>
      <c r="B6" s="19" t="s">
        <v>5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>
        <v>43892</v>
      </c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9" t="s">
        <v>77</v>
      </c>
      <c r="AO6" s="49">
        <v>43511</v>
      </c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</row>
    <row r="7" spans="1:69" s="3" customFormat="1" x14ac:dyDescent="0.25">
      <c r="A7" s="19" t="s">
        <v>4</v>
      </c>
      <c r="B7" s="19" t="s">
        <v>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>
        <v>43674</v>
      </c>
      <c r="AN7" s="49">
        <v>43476</v>
      </c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</row>
    <row r="8" spans="1:69" s="3" customFormat="1" x14ac:dyDescent="0.25">
      <c r="A8" s="19" t="s">
        <v>7</v>
      </c>
      <c r="B8" s="19" t="s">
        <v>8</v>
      </c>
      <c r="C8" s="44"/>
      <c r="D8" s="44" t="s">
        <v>76</v>
      </c>
      <c r="E8" s="44">
        <v>43511</v>
      </c>
      <c r="F8" s="44">
        <v>43511</v>
      </c>
      <c r="G8" s="44">
        <v>43511</v>
      </c>
      <c r="H8" s="44">
        <v>43511</v>
      </c>
      <c r="I8" s="44" t="s">
        <v>77</v>
      </c>
      <c r="J8" s="44">
        <v>43511</v>
      </c>
      <c r="K8" s="44">
        <v>43511</v>
      </c>
      <c r="L8" s="44">
        <v>43511</v>
      </c>
      <c r="M8" s="44">
        <v>43511</v>
      </c>
      <c r="N8" s="44">
        <v>43511</v>
      </c>
      <c r="O8" s="44">
        <v>43511</v>
      </c>
      <c r="P8" s="44">
        <v>43511</v>
      </c>
      <c r="Q8" s="44">
        <v>43511</v>
      </c>
      <c r="R8" s="44">
        <v>43511</v>
      </c>
      <c r="S8" s="44"/>
      <c r="T8" s="44">
        <v>43511</v>
      </c>
      <c r="U8" s="44"/>
      <c r="V8" s="44">
        <v>43511</v>
      </c>
      <c r="W8" s="44"/>
      <c r="X8" s="44">
        <v>43511</v>
      </c>
      <c r="Y8" s="44">
        <v>43511</v>
      </c>
      <c r="Z8" s="44" t="s">
        <v>77</v>
      </c>
      <c r="AA8" s="44"/>
      <c r="AB8" s="44">
        <v>43511</v>
      </c>
      <c r="AC8" s="44">
        <v>43511</v>
      </c>
      <c r="AD8" s="44">
        <v>43511</v>
      </c>
      <c r="AE8" s="44" t="s">
        <v>77</v>
      </c>
      <c r="AF8" s="44" t="s">
        <v>77</v>
      </c>
      <c r="AG8" s="44" t="s">
        <v>77</v>
      </c>
      <c r="AH8" s="44" t="s">
        <v>77</v>
      </c>
      <c r="AI8" s="44" t="s">
        <v>151</v>
      </c>
      <c r="AJ8" s="44">
        <v>43511</v>
      </c>
      <c r="AK8" s="44"/>
      <c r="AL8" s="44" t="s">
        <v>76</v>
      </c>
      <c r="AM8" s="44">
        <v>43674</v>
      </c>
      <c r="AN8" s="48">
        <v>43511</v>
      </c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</row>
    <row r="9" spans="1:69" s="3" customFormat="1" ht="30" x14ac:dyDescent="0.25">
      <c r="A9" s="19" t="s">
        <v>105</v>
      </c>
      <c r="B9" s="19" t="s">
        <v>106</v>
      </c>
      <c r="C9" s="44" t="s">
        <v>77</v>
      </c>
      <c r="D9" s="44" t="s">
        <v>77</v>
      </c>
      <c r="E9" s="44" t="s">
        <v>77</v>
      </c>
      <c r="F9" s="44" t="s">
        <v>77</v>
      </c>
      <c r="G9" s="54">
        <v>43634</v>
      </c>
      <c r="H9" s="44" t="s">
        <v>77</v>
      </c>
      <c r="I9" s="44" t="s">
        <v>143</v>
      </c>
      <c r="J9" s="44" t="s">
        <v>77</v>
      </c>
      <c r="K9" s="44" t="s">
        <v>77</v>
      </c>
      <c r="L9" s="44" t="s">
        <v>77</v>
      </c>
      <c r="M9" s="44" t="s">
        <v>77</v>
      </c>
      <c r="N9" s="44" t="s">
        <v>77</v>
      </c>
      <c r="O9" s="44">
        <v>43510</v>
      </c>
      <c r="P9" s="44">
        <v>43727</v>
      </c>
      <c r="Q9" s="44">
        <v>43510</v>
      </c>
      <c r="R9" s="44">
        <v>43510</v>
      </c>
      <c r="S9" s="44"/>
      <c r="T9" s="44" t="s">
        <v>77</v>
      </c>
      <c r="U9" s="44"/>
      <c r="V9" s="44" t="s">
        <v>77</v>
      </c>
      <c r="W9" s="44"/>
      <c r="X9" s="44" t="s">
        <v>77</v>
      </c>
      <c r="Y9" s="44" t="s">
        <v>77</v>
      </c>
      <c r="Z9" s="44" t="s">
        <v>77</v>
      </c>
      <c r="AA9" s="44"/>
      <c r="AB9" s="44" t="s">
        <v>77</v>
      </c>
      <c r="AC9" s="44" t="s">
        <v>77</v>
      </c>
      <c r="AD9" s="44" t="s">
        <v>77</v>
      </c>
      <c r="AE9" s="44" t="s">
        <v>77</v>
      </c>
      <c r="AF9" s="44" t="s">
        <v>77</v>
      </c>
      <c r="AG9" s="44">
        <v>43510</v>
      </c>
      <c r="AH9" s="44" t="s">
        <v>77</v>
      </c>
      <c r="AI9" s="44" t="s">
        <v>152</v>
      </c>
      <c r="AJ9" s="44">
        <v>43510</v>
      </c>
      <c r="AK9" s="44">
        <v>43510</v>
      </c>
      <c r="AL9" s="44" t="s">
        <v>77</v>
      </c>
      <c r="AM9" s="44">
        <v>43634</v>
      </c>
      <c r="AN9" s="48">
        <v>43510</v>
      </c>
      <c r="AO9" s="48"/>
      <c r="AP9" s="48">
        <v>43521</v>
      </c>
      <c r="AQ9" s="48">
        <v>43510</v>
      </c>
      <c r="AR9" s="48"/>
      <c r="AS9" s="48"/>
      <c r="AT9" s="48"/>
      <c r="AU9" s="48"/>
      <c r="AV9" s="48"/>
      <c r="AW9" s="48"/>
      <c r="AX9" s="48"/>
      <c r="AY9" s="48"/>
      <c r="AZ9" s="48"/>
      <c r="BA9" s="44"/>
      <c r="BB9" s="44"/>
      <c r="BC9" s="44"/>
      <c r="BD9" s="44" t="s">
        <v>172</v>
      </c>
      <c r="BE9" s="44">
        <v>43634</v>
      </c>
      <c r="BF9" s="44">
        <v>43634</v>
      </c>
      <c r="BG9" s="44"/>
      <c r="BH9" s="44"/>
      <c r="BI9" s="44"/>
      <c r="BJ9" s="44"/>
      <c r="BK9" s="44"/>
      <c r="BL9" s="44"/>
      <c r="BM9" s="44" t="s">
        <v>171</v>
      </c>
      <c r="BN9" s="44"/>
      <c r="BO9" s="44"/>
      <c r="BP9" s="44"/>
    </row>
    <row r="10" spans="1:69" s="3" customFormat="1" x14ac:dyDescent="0.25">
      <c r="A10" s="19" t="s">
        <v>13</v>
      </c>
      <c r="B10" s="19" t="s">
        <v>14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8" t="s">
        <v>77</v>
      </c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</row>
    <row r="11" spans="1:69" s="3" customFormat="1" x14ac:dyDescent="0.25">
      <c r="A11" s="19" t="s">
        <v>15</v>
      </c>
      <c r="B11" s="19" t="s">
        <v>16</v>
      </c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>
        <v>43674</v>
      </c>
      <c r="AN11" s="49" t="s">
        <v>77</v>
      </c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49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</row>
    <row r="12" spans="1:69" s="3" customFormat="1" x14ac:dyDescent="0.25">
      <c r="A12" s="19" t="s">
        <v>17</v>
      </c>
      <c r="B12" s="19" t="s">
        <v>18</v>
      </c>
      <c r="C12" s="45"/>
      <c r="D12" s="45"/>
      <c r="E12" s="45"/>
      <c r="F12" s="45"/>
      <c r="G12" s="45"/>
      <c r="H12" s="45"/>
      <c r="I12" s="45"/>
      <c r="J12" s="45">
        <v>43511</v>
      </c>
      <c r="K12" s="45">
        <v>43511</v>
      </c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>
        <v>43511</v>
      </c>
      <c r="AM12" s="45">
        <v>43674</v>
      </c>
      <c r="AN12" s="49">
        <v>43511</v>
      </c>
      <c r="AO12" s="49"/>
      <c r="AP12" s="49"/>
      <c r="AQ12" s="49"/>
      <c r="AR12" s="49">
        <v>43473</v>
      </c>
      <c r="AS12" s="49"/>
      <c r="AT12" s="49"/>
      <c r="AU12" s="49"/>
      <c r="AV12" s="49"/>
      <c r="AW12" s="49"/>
      <c r="AX12" s="49"/>
      <c r="AY12" s="49"/>
      <c r="AZ12" s="49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</row>
    <row r="13" spans="1:69" s="3" customFormat="1" x14ac:dyDescent="0.25">
      <c r="A13" s="19" t="s">
        <v>19</v>
      </c>
      <c r="B13" s="19" t="s">
        <v>20</v>
      </c>
      <c r="C13" s="45"/>
      <c r="D13" s="45">
        <v>43546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>
        <v>43511</v>
      </c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>
        <v>43573</v>
      </c>
      <c r="AI13" s="45"/>
      <c r="AJ13" s="45"/>
      <c r="AK13" s="45"/>
      <c r="AL13" s="45">
        <v>43511</v>
      </c>
      <c r="AM13" s="45"/>
      <c r="AN13" s="49" t="s">
        <v>77</v>
      </c>
      <c r="AO13" s="49"/>
      <c r="AP13" s="49"/>
      <c r="AQ13" s="49">
        <v>43511</v>
      </c>
      <c r="AR13" s="49"/>
      <c r="AS13" s="49"/>
      <c r="AT13" s="49">
        <v>43511</v>
      </c>
      <c r="AU13" s="49"/>
      <c r="AV13" s="49"/>
      <c r="AW13" s="49"/>
      <c r="AX13" s="49"/>
      <c r="AY13" s="49"/>
      <c r="AZ13" s="49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71">
        <v>43892</v>
      </c>
    </row>
    <row r="14" spans="1:69" s="3" customFormat="1" ht="60" x14ac:dyDescent="0.25">
      <c r="A14" s="19" t="s">
        <v>21</v>
      </c>
      <c r="B14" s="19" t="s">
        <v>22</v>
      </c>
      <c r="C14" s="44">
        <v>43510</v>
      </c>
      <c r="D14" s="51" t="s">
        <v>77</v>
      </c>
      <c r="E14" s="44" t="s">
        <v>77</v>
      </c>
      <c r="F14" s="44" t="s">
        <v>77</v>
      </c>
      <c r="G14" s="55">
        <v>43644</v>
      </c>
      <c r="H14" s="44" t="s">
        <v>77</v>
      </c>
      <c r="I14" s="44">
        <v>43510</v>
      </c>
      <c r="J14" s="44" t="s">
        <v>77</v>
      </c>
      <c r="K14" s="44" t="s">
        <v>77</v>
      </c>
      <c r="L14" s="44">
        <v>43510</v>
      </c>
      <c r="M14" s="44">
        <v>43510</v>
      </c>
      <c r="N14" s="44">
        <v>43510</v>
      </c>
      <c r="O14" s="44">
        <v>43510</v>
      </c>
      <c r="P14" s="44">
        <v>43501</v>
      </c>
      <c r="Q14" s="44">
        <v>43510</v>
      </c>
      <c r="R14" s="44" t="s">
        <v>77</v>
      </c>
      <c r="S14" s="44"/>
      <c r="T14" s="44">
        <v>43510</v>
      </c>
      <c r="U14" s="44"/>
      <c r="V14" s="44">
        <v>43510</v>
      </c>
      <c r="W14" s="44"/>
      <c r="X14" s="44">
        <v>43510</v>
      </c>
      <c r="Y14" s="44">
        <v>43510</v>
      </c>
      <c r="Z14" s="44" t="s">
        <v>77</v>
      </c>
      <c r="AA14" s="44"/>
      <c r="AB14" s="44" t="s">
        <v>77</v>
      </c>
      <c r="AC14" s="44" t="s">
        <v>77</v>
      </c>
      <c r="AD14" s="44" t="s">
        <v>77</v>
      </c>
      <c r="AE14" s="44">
        <v>43510</v>
      </c>
      <c r="AF14" s="44" t="s">
        <v>77</v>
      </c>
      <c r="AG14" s="44">
        <v>43510</v>
      </c>
      <c r="AH14" s="44" t="s">
        <v>77</v>
      </c>
      <c r="AI14" s="44" t="s">
        <v>192</v>
      </c>
      <c r="AJ14" s="44" t="s">
        <v>77</v>
      </c>
      <c r="AK14" s="44" t="s">
        <v>141</v>
      </c>
      <c r="AL14" s="44" t="s">
        <v>77</v>
      </c>
      <c r="AM14" s="44">
        <v>43567</v>
      </c>
      <c r="AN14" s="48">
        <v>43619</v>
      </c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  <c r="BM14" s="44"/>
      <c r="BN14" s="44"/>
      <c r="BO14" s="44"/>
      <c r="BP14" s="44"/>
    </row>
    <row r="15" spans="1:69" s="3" customFormat="1" ht="18.75" customHeight="1" x14ac:dyDescent="0.25">
      <c r="A15" s="19" t="s">
        <v>23</v>
      </c>
      <c r="B15" s="19" t="s">
        <v>24</v>
      </c>
      <c r="C15" s="44">
        <v>43517</v>
      </c>
      <c r="D15" s="44" t="s">
        <v>77</v>
      </c>
      <c r="E15" s="44" t="s">
        <v>77</v>
      </c>
      <c r="F15" s="44" t="s">
        <v>77</v>
      </c>
      <c r="G15" s="44" t="s">
        <v>120</v>
      </c>
      <c r="H15" s="44">
        <v>43517</v>
      </c>
      <c r="I15" s="44" t="s">
        <v>143</v>
      </c>
      <c r="J15" s="44">
        <v>43517</v>
      </c>
      <c r="K15" s="44">
        <v>43517</v>
      </c>
      <c r="L15" s="44">
        <v>43517</v>
      </c>
      <c r="M15" s="44">
        <v>43517</v>
      </c>
      <c r="N15" s="44">
        <v>43517</v>
      </c>
      <c r="O15" s="44" t="s">
        <v>77</v>
      </c>
      <c r="P15" s="44">
        <v>43517</v>
      </c>
      <c r="Q15" s="44" t="s">
        <v>77</v>
      </c>
      <c r="R15" s="44">
        <v>43517</v>
      </c>
      <c r="S15" s="44"/>
      <c r="T15" s="44">
        <v>43517</v>
      </c>
      <c r="U15" s="44"/>
      <c r="V15" s="44">
        <v>43517</v>
      </c>
      <c r="W15" s="44"/>
      <c r="X15" s="44">
        <v>43517</v>
      </c>
      <c r="Y15" s="44">
        <v>43517</v>
      </c>
      <c r="Z15" s="44" t="s">
        <v>77</v>
      </c>
      <c r="AA15" s="44"/>
      <c r="AB15" s="44" t="s">
        <v>77</v>
      </c>
      <c r="AC15" s="44" t="s">
        <v>77</v>
      </c>
      <c r="AD15" s="44" t="s">
        <v>77</v>
      </c>
      <c r="AE15" s="44" t="s">
        <v>77</v>
      </c>
      <c r="AF15" s="44" t="s">
        <v>77</v>
      </c>
      <c r="AG15" s="44" t="s">
        <v>77</v>
      </c>
      <c r="AH15" s="51">
        <v>43522</v>
      </c>
      <c r="AI15" s="44" t="s">
        <v>169</v>
      </c>
      <c r="AJ15" s="44" t="s">
        <v>77</v>
      </c>
      <c r="AK15" s="44">
        <v>43517</v>
      </c>
      <c r="AL15" s="44">
        <v>43517</v>
      </c>
      <c r="AM15" s="44">
        <v>43674</v>
      </c>
      <c r="AN15" s="48" t="s">
        <v>77</v>
      </c>
      <c r="AO15" s="48"/>
      <c r="AP15" s="48">
        <v>43522</v>
      </c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</row>
    <row r="16" spans="1:69" s="3" customFormat="1" x14ac:dyDescent="0.25">
      <c r="A16" s="19" t="s">
        <v>25</v>
      </c>
      <c r="B16" s="19" t="s">
        <v>26</v>
      </c>
      <c r="C16" s="44" t="s">
        <v>77</v>
      </c>
      <c r="D16" s="44" t="s">
        <v>77</v>
      </c>
      <c r="E16" s="44">
        <v>43510</v>
      </c>
      <c r="F16" s="44" t="s">
        <v>77</v>
      </c>
      <c r="G16" s="44" t="s">
        <v>77</v>
      </c>
      <c r="H16" s="44" t="s">
        <v>77</v>
      </c>
      <c r="I16" s="44" t="s">
        <v>77</v>
      </c>
      <c r="J16" s="44" t="s">
        <v>77</v>
      </c>
      <c r="K16" s="44">
        <v>43510</v>
      </c>
      <c r="L16" s="44" t="s">
        <v>77</v>
      </c>
      <c r="M16" s="44" t="s">
        <v>77</v>
      </c>
      <c r="N16" s="44" t="s">
        <v>77</v>
      </c>
      <c r="O16" s="44">
        <v>43510</v>
      </c>
      <c r="P16" s="44">
        <v>43510</v>
      </c>
      <c r="Q16" s="44" t="s">
        <v>77</v>
      </c>
      <c r="R16" s="44" t="s">
        <v>77</v>
      </c>
      <c r="S16" s="44"/>
      <c r="T16" s="44">
        <v>43510</v>
      </c>
      <c r="U16" s="44"/>
      <c r="V16" s="44" t="s">
        <v>77</v>
      </c>
      <c r="W16" s="44"/>
      <c r="X16" s="44" t="s">
        <v>77</v>
      </c>
      <c r="Y16" s="44" t="s">
        <v>77</v>
      </c>
      <c r="Z16" s="44" t="s">
        <v>77</v>
      </c>
      <c r="AA16" s="44"/>
      <c r="AB16" s="44" t="s">
        <v>77</v>
      </c>
      <c r="AC16" s="44" t="s">
        <v>77</v>
      </c>
      <c r="AD16" s="44" t="s">
        <v>77</v>
      </c>
      <c r="AE16" s="44" t="s">
        <v>77</v>
      </c>
      <c r="AF16" s="44" t="s">
        <v>77</v>
      </c>
      <c r="AG16" s="44" t="s">
        <v>77</v>
      </c>
      <c r="AH16" s="44" t="s">
        <v>77</v>
      </c>
      <c r="AI16" s="44" t="s">
        <v>153</v>
      </c>
      <c r="AJ16" s="44" t="s">
        <v>77</v>
      </c>
      <c r="AK16" s="44" t="s">
        <v>77</v>
      </c>
      <c r="AL16" s="44" t="s">
        <v>77</v>
      </c>
      <c r="AM16" s="44">
        <v>43674</v>
      </c>
      <c r="AN16" s="48" t="s">
        <v>77</v>
      </c>
      <c r="AO16" s="48"/>
      <c r="AP16" s="48"/>
      <c r="AQ16" s="48"/>
      <c r="AR16" s="48"/>
      <c r="AS16" s="48"/>
      <c r="AT16" s="48"/>
      <c r="AU16" s="48">
        <v>43510</v>
      </c>
      <c r="AV16" s="48"/>
      <c r="AW16" s="48"/>
      <c r="AX16" s="48"/>
      <c r="AY16" s="48"/>
      <c r="AZ16" s="48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</row>
    <row r="17" spans="1:69" s="3" customFormat="1" x14ac:dyDescent="0.25">
      <c r="A17" s="19" t="s">
        <v>162</v>
      </c>
      <c r="B17" s="19" t="s">
        <v>163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 t="s">
        <v>164</v>
      </c>
      <c r="AJ17" s="44"/>
      <c r="AK17" s="44"/>
      <c r="AL17" s="44"/>
      <c r="AM17" s="44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</row>
    <row r="18" spans="1:69" s="5" customFormat="1" ht="18" customHeight="1" x14ac:dyDescent="0.25">
      <c r="A18" s="19" t="s">
        <v>29</v>
      </c>
      <c r="B18" s="19" t="s">
        <v>30</v>
      </c>
      <c r="C18" s="45"/>
      <c r="D18" s="45"/>
      <c r="E18" s="45"/>
      <c r="F18" s="45"/>
      <c r="G18" s="45" t="s">
        <v>122</v>
      </c>
      <c r="H18" s="45"/>
      <c r="I18" s="45">
        <v>43572</v>
      </c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>
        <v>43514</v>
      </c>
      <c r="AI18" s="45" t="s">
        <v>154</v>
      </c>
      <c r="AJ18" s="45"/>
      <c r="AK18" s="45"/>
      <c r="AL18" s="45"/>
      <c r="AM18" s="45">
        <v>43674</v>
      </c>
      <c r="AN18" s="49">
        <v>43733</v>
      </c>
      <c r="AO18" s="49"/>
      <c r="AP18" s="49"/>
      <c r="AQ18" s="49"/>
      <c r="AR18" s="49"/>
      <c r="AS18" s="49"/>
      <c r="AT18" s="49"/>
      <c r="AU18" s="49"/>
      <c r="AV18" s="49">
        <v>43514</v>
      </c>
      <c r="AW18" s="49"/>
      <c r="AX18" s="49"/>
      <c r="AY18" s="49"/>
      <c r="AZ18" s="49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</row>
    <row r="19" spans="1:69" s="5" customFormat="1" ht="18" customHeight="1" x14ac:dyDescent="0.25">
      <c r="A19" s="19" t="s">
        <v>29</v>
      </c>
      <c r="B19" s="19" t="s">
        <v>142</v>
      </c>
      <c r="C19" s="45">
        <v>43669</v>
      </c>
      <c r="D19" s="45">
        <v>43669</v>
      </c>
      <c r="E19" s="45">
        <v>43669</v>
      </c>
      <c r="F19" s="45"/>
      <c r="G19" s="45">
        <v>43669</v>
      </c>
      <c r="H19" s="45">
        <v>43669</v>
      </c>
      <c r="I19" s="45"/>
      <c r="J19" s="45">
        <v>43669</v>
      </c>
      <c r="K19" s="45">
        <v>43669</v>
      </c>
      <c r="L19" s="45">
        <v>43991</v>
      </c>
      <c r="M19" s="45">
        <v>43991</v>
      </c>
      <c r="N19" s="45">
        <v>43991</v>
      </c>
      <c r="O19" s="45">
        <v>43669</v>
      </c>
      <c r="P19" s="45">
        <v>43991</v>
      </c>
      <c r="Q19" s="45">
        <v>43669</v>
      </c>
      <c r="R19" s="45">
        <v>43669</v>
      </c>
      <c r="S19" s="45"/>
      <c r="T19" s="45">
        <v>43669</v>
      </c>
      <c r="U19" s="45"/>
      <c r="V19" s="45">
        <v>43669</v>
      </c>
      <c r="W19" s="45"/>
      <c r="X19" s="45">
        <v>43669</v>
      </c>
      <c r="Y19" s="45">
        <v>43669</v>
      </c>
      <c r="Z19" s="45">
        <v>43669</v>
      </c>
      <c r="AA19" s="45"/>
      <c r="AB19" s="45">
        <v>43669</v>
      </c>
      <c r="AC19" s="45">
        <v>43669</v>
      </c>
      <c r="AD19" s="45">
        <v>43669</v>
      </c>
      <c r="AE19" s="45">
        <v>43991</v>
      </c>
      <c r="AF19" s="45">
        <v>43669</v>
      </c>
      <c r="AG19" s="45"/>
      <c r="AH19" s="45"/>
      <c r="AI19" s="45"/>
      <c r="AJ19" s="45"/>
      <c r="AK19" s="45"/>
      <c r="AL19" s="45"/>
      <c r="AM19" s="45"/>
      <c r="AN19" s="49">
        <v>43732</v>
      </c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5"/>
      <c r="BB19" s="45" t="s">
        <v>147</v>
      </c>
      <c r="BC19" s="45"/>
      <c r="BD19" s="45"/>
      <c r="BE19" s="45" t="s">
        <v>148</v>
      </c>
      <c r="BF19" s="45"/>
      <c r="BG19" s="45"/>
      <c r="BH19" s="45"/>
      <c r="BI19" s="45">
        <v>43669</v>
      </c>
      <c r="BJ19" s="45">
        <v>43669</v>
      </c>
      <c r="BK19" s="45">
        <v>43669</v>
      </c>
      <c r="BL19" s="45"/>
      <c r="BM19" s="45"/>
      <c r="BN19" s="45"/>
      <c r="BO19" s="45"/>
      <c r="BP19" s="45"/>
      <c r="BQ19" s="76">
        <v>43991</v>
      </c>
    </row>
    <row r="20" spans="1:69" s="5" customFormat="1" ht="18" customHeight="1" x14ac:dyDescent="0.25">
      <c r="A20" s="19" t="s">
        <v>165</v>
      </c>
      <c r="B20" s="19" t="s">
        <v>166</v>
      </c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 t="s">
        <v>167</v>
      </c>
      <c r="AJ20" s="45"/>
      <c r="AK20" s="45"/>
      <c r="AL20" s="45"/>
      <c r="AM20" s="45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5"/>
      <c r="BB20" s="45"/>
      <c r="BC20" s="45"/>
      <c r="BD20" s="45"/>
      <c r="BE20" s="45"/>
      <c r="BF20" s="45"/>
      <c r="BG20" s="45"/>
      <c r="BH20" s="45"/>
      <c r="BI20" s="45"/>
      <c r="BJ20" s="45"/>
      <c r="BK20" s="45"/>
      <c r="BL20" s="45"/>
      <c r="BM20" s="45"/>
      <c r="BN20" s="45"/>
      <c r="BO20" s="45"/>
      <c r="BP20" s="45"/>
    </row>
    <row r="21" spans="1:69" s="3" customFormat="1" x14ac:dyDescent="0.25">
      <c r="A21" s="19" t="s">
        <v>31</v>
      </c>
      <c r="B21" s="19" t="s">
        <v>32</v>
      </c>
      <c r="C21" s="45"/>
      <c r="D21" s="45"/>
      <c r="E21" s="45"/>
      <c r="F21" s="45"/>
      <c r="G21" s="45"/>
      <c r="H21" s="45"/>
      <c r="I21" s="45" t="s">
        <v>155</v>
      </c>
      <c r="J21" s="45">
        <v>43991</v>
      </c>
      <c r="K21" s="45"/>
      <c r="L21" s="45"/>
      <c r="M21" s="45"/>
      <c r="N21" s="45">
        <v>43991</v>
      </c>
      <c r="O21" s="45">
        <v>43991</v>
      </c>
      <c r="P21" s="45">
        <v>43991</v>
      </c>
      <c r="Q21" s="45"/>
      <c r="R21" s="45"/>
      <c r="S21" s="45"/>
      <c r="T21" s="45">
        <v>43991</v>
      </c>
      <c r="U21" s="45">
        <v>43991</v>
      </c>
      <c r="V21" s="45"/>
      <c r="W21" s="45"/>
      <c r="X21" s="45"/>
      <c r="Y21" s="45"/>
      <c r="Z21" s="45">
        <v>43991</v>
      </c>
      <c r="AA21" s="45">
        <v>43991</v>
      </c>
      <c r="AB21" s="45"/>
      <c r="AC21" s="45"/>
      <c r="AD21" s="45"/>
      <c r="AE21" s="45"/>
      <c r="AF21" s="45"/>
      <c r="AG21" s="45"/>
      <c r="AH21" s="45"/>
      <c r="AI21" s="45" t="s">
        <v>155</v>
      </c>
      <c r="AJ21" s="45"/>
      <c r="AK21" s="51"/>
      <c r="AL21" s="51"/>
      <c r="AM21" s="51">
        <v>43674</v>
      </c>
      <c r="AN21" s="56" t="s">
        <v>77</v>
      </c>
      <c r="AO21" s="56"/>
      <c r="AP21" s="56"/>
      <c r="AQ21" s="56"/>
      <c r="AR21" s="56"/>
      <c r="AS21" s="56">
        <v>43991</v>
      </c>
      <c r="AT21" s="56"/>
      <c r="AU21" s="56"/>
      <c r="AV21" s="56"/>
      <c r="AW21" s="56"/>
      <c r="AX21" s="56"/>
      <c r="AY21" s="56"/>
      <c r="AZ21" s="56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</row>
    <row r="22" spans="1:69" s="3" customFormat="1" ht="30" x14ac:dyDescent="0.25">
      <c r="A22" s="19" t="s">
        <v>33</v>
      </c>
      <c r="B22" s="19" t="s">
        <v>5</v>
      </c>
      <c r="C22" s="44" t="s">
        <v>77</v>
      </c>
      <c r="D22" s="44" t="s">
        <v>77</v>
      </c>
      <c r="E22" s="44" t="s">
        <v>77</v>
      </c>
      <c r="F22" s="44" t="s">
        <v>77</v>
      </c>
      <c r="G22" s="44" t="s">
        <v>77</v>
      </c>
      <c r="H22" s="51">
        <v>43531</v>
      </c>
      <c r="I22" s="51">
        <v>43571</v>
      </c>
      <c r="J22" s="44">
        <v>43514</v>
      </c>
      <c r="K22" s="44" t="s">
        <v>77</v>
      </c>
      <c r="L22" s="44">
        <v>43514</v>
      </c>
      <c r="M22" s="44" t="s">
        <v>77</v>
      </c>
      <c r="N22" s="44" t="s">
        <v>223</v>
      </c>
      <c r="O22" s="44" t="s">
        <v>77</v>
      </c>
      <c r="P22" s="44">
        <v>43889</v>
      </c>
      <c r="Q22" s="44" t="s">
        <v>77</v>
      </c>
      <c r="R22" s="44" t="s">
        <v>77</v>
      </c>
      <c r="S22" s="44">
        <v>43889</v>
      </c>
      <c r="T22" s="44" t="s">
        <v>77</v>
      </c>
      <c r="U22" s="44"/>
      <c r="V22" s="44" t="s">
        <v>77</v>
      </c>
      <c r="W22" s="44">
        <v>43889</v>
      </c>
      <c r="X22" s="44">
        <v>43889</v>
      </c>
      <c r="Y22" s="44">
        <v>43514</v>
      </c>
      <c r="Z22" s="44">
        <v>43480</v>
      </c>
      <c r="AA22" s="44"/>
      <c r="AB22" s="44">
        <v>43480</v>
      </c>
      <c r="AC22" s="44" t="s">
        <v>77</v>
      </c>
      <c r="AD22" s="44" t="s">
        <v>77</v>
      </c>
      <c r="AE22" s="44">
        <v>43889</v>
      </c>
      <c r="AF22" s="44" t="s">
        <v>77</v>
      </c>
      <c r="AG22" s="44">
        <v>43514</v>
      </c>
      <c r="AH22" s="51" t="s">
        <v>77</v>
      </c>
      <c r="AI22" s="44" t="s">
        <v>193</v>
      </c>
      <c r="AJ22" s="44" t="s">
        <v>125</v>
      </c>
      <c r="AK22" s="44" t="s">
        <v>77</v>
      </c>
      <c r="AL22" s="44">
        <v>43514</v>
      </c>
      <c r="AM22" s="44" t="s">
        <v>77</v>
      </c>
      <c r="AN22" s="48" t="s">
        <v>77</v>
      </c>
      <c r="AO22" s="48">
        <v>43889</v>
      </c>
      <c r="AP22" s="48">
        <v>43522</v>
      </c>
      <c r="AQ22" s="48"/>
      <c r="AR22" s="48"/>
      <c r="AS22" s="48"/>
      <c r="AT22" s="48"/>
      <c r="AU22" s="48"/>
      <c r="AV22" s="48"/>
      <c r="AW22" s="48">
        <v>43432</v>
      </c>
      <c r="AX22" s="48"/>
      <c r="AY22" s="48"/>
      <c r="AZ22" s="48"/>
      <c r="BA22" s="44"/>
      <c r="BB22" s="44"/>
      <c r="BC22" s="44"/>
      <c r="BD22" s="44"/>
      <c r="BE22" s="44">
        <v>43889</v>
      </c>
      <c r="BF22" s="44"/>
      <c r="BG22" s="44">
        <v>43640</v>
      </c>
      <c r="BH22" s="44"/>
      <c r="BI22" s="44"/>
      <c r="BJ22" s="44"/>
      <c r="BK22" s="44"/>
      <c r="BL22" s="44"/>
      <c r="BM22" s="44"/>
      <c r="BN22" s="44"/>
      <c r="BO22" s="44"/>
      <c r="BP22" s="44"/>
    </row>
    <row r="23" spans="1:69" s="3" customFormat="1" ht="30" x14ac:dyDescent="0.25">
      <c r="A23" s="19" t="s">
        <v>33</v>
      </c>
      <c r="B23" s="19" t="s">
        <v>34</v>
      </c>
      <c r="C23" s="44">
        <v>43510</v>
      </c>
      <c r="D23" s="44" t="s">
        <v>77</v>
      </c>
      <c r="E23" s="44" t="s">
        <v>77</v>
      </c>
      <c r="F23" s="44" t="s">
        <v>77</v>
      </c>
      <c r="G23" s="44" t="s">
        <v>77</v>
      </c>
      <c r="H23" s="44" t="s">
        <v>77</v>
      </c>
      <c r="I23" s="44">
        <v>43511</v>
      </c>
      <c r="J23" s="44" t="s">
        <v>77</v>
      </c>
      <c r="K23" s="44" t="s">
        <v>77</v>
      </c>
      <c r="L23" s="44">
        <v>43510</v>
      </c>
      <c r="M23" s="44">
        <v>43510</v>
      </c>
      <c r="N23" s="44" t="s">
        <v>77</v>
      </c>
      <c r="O23" s="44" t="s">
        <v>77</v>
      </c>
      <c r="P23" s="44" t="s">
        <v>77</v>
      </c>
      <c r="Q23" s="44" t="s">
        <v>77</v>
      </c>
      <c r="R23" s="44" t="s">
        <v>77</v>
      </c>
      <c r="S23" s="44"/>
      <c r="T23" s="44" t="s">
        <v>77</v>
      </c>
      <c r="U23" s="44"/>
      <c r="V23" s="44" t="s">
        <v>77</v>
      </c>
      <c r="W23" s="44"/>
      <c r="X23" s="44" t="s">
        <v>77</v>
      </c>
      <c r="Y23" s="44" t="s">
        <v>77</v>
      </c>
      <c r="Z23" s="44" t="s">
        <v>77</v>
      </c>
      <c r="AA23" s="44"/>
      <c r="AB23" s="44" t="s">
        <v>77</v>
      </c>
      <c r="AC23" s="44" t="s">
        <v>77</v>
      </c>
      <c r="AD23" s="44" t="s">
        <v>77</v>
      </c>
      <c r="AE23" s="44">
        <v>43510</v>
      </c>
      <c r="AF23" s="44" t="s">
        <v>77</v>
      </c>
      <c r="AG23" s="44">
        <v>43510</v>
      </c>
      <c r="AH23" s="44">
        <v>43510</v>
      </c>
      <c r="AI23" s="44" t="s">
        <v>194</v>
      </c>
      <c r="AJ23" s="44" t="s">
        <v>77</v>
      </c>
      <c r="AK23" s="44" t="s">
        <v>77</v>
      </c>
      <c r="AL23" s="44">
        <v>43510</v>
      </c>
      <c r="AM23" s="44" t="s">
        <v>76</v>
      </c>
      <c r="AN23" s="48">
        <v>43510</v>
      </c>
      <c r="AO23" s="48"/>
      <c r="AP23" s="48">
        <v>43521</v>
      </c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 t="s">
        <v>159</v>
      </c>
      <c r="BM23" s="44"/>
      <c r="BN23" s="44"/>
      <c r="BO23" s="44"/>
      <c r="BP23" s="44"/>
    </row>
    <row r="24" spans="1:69" s="3" customFormat="1" x14ac:dyDescent="0.25">
      <c r="A24" s="19" t="s">
        <v>37</v>
      </c>
      <c r="B24" s="19" t="s">
        <v>38</v>
      </c>
      <c r="C24" s="44" t="s">
        <v>77</v>
      </c>
      <c r="D24" s="44" t="s">
        <v>77</v>
      </c>
      <c r="E24" s="44" t="s">
        <v>77</v>
      </c>
      <c r="F24" s="44" t="s">
        <v>77</v>
      </c>
      <c r="G24" s="44" t="s">
        <v>77</v>
      </c>
      <c r="H24" s="44" t="s">
        <v>77</v>
      </c>
      <c r="I24" s="44" t="s">
        <v>77</v>
      </c>
      <c r="J24" s="44" t="s">
        <v>77</v>
      </c>
      <c r="K24" s="44" t="s">
        <v>77</v>
      </c>
      <c r="L24" s="44" t="s">
        <v>77</v>
      </c>
      <c r="M24" s="44" t="s">
        <v>77</v>
      </c>
      <c r="N24" s="44" t="s">
        <v>77</v>
      </c>
      <c r="O24" s="44" t="s">
        <v>77</v>
      </c>
      <c r="P24" s="44" t="s">
        <v>77</v>
      </c>
      <c r="Q24" s="44" t="s">
        <v>77</v>
      </c>
      <c r="R24" s="44" t="s">
        <v>77</v>
      </c>
      <c r="S24" s="44"/>
      <c r="T24" s="44" t="s">
        <v>77</v>
      </c>
      <c r="U24" s="44"/>
      <c r="V24" s="44" t="s">
        <v>77</v>
      </c>
      <c r="W24" s="44"/>
      <c r="X24" s="44" t="s">
        <v>77</v>
      </c>
      <c r="Y24" s="44">
        <v>43511</v>
      </c>
      <c r="Z24" s="44">
        <v>43511</v>
      </c>
      <c r="AA24" s="44"/>
      <c r="AB24" s="44" t="s">
        <v>77</v>
      </c>
      <c r="AC24" s="44" t="s">
        <v>77</v>
      </c>
      <c r="AD24" s="44" t="s">
        <v>77</v>
      </c>
      <c r="AE24" s="44" t="s">
        <v>77</v>
      </c>
      <c r="AF24" s="44" t="s">
        <v>77</v>
      </c>
      <c r="AG24" s="44" t="s">
        <v>77</v>
      </c>
      <c r="AH24" s="44" t="s">
        <v>77</v>
      </c>
      <c r="AI24" s="57">
        <v>26081498</v>
      </c>
      <c r="AJ24" s="44" t="s">
        <v>77</v>
      </c>
      <c r="AK24" s="44">
        <v>43511</v>
      </c>
      <c r="AL24" s="44">
        <v>43511</v>
      </c>
      <c r="AM24" s="44" t="s">
        <v>77</v>
      </c>
      <c r="AN24" s="48">
        <v>43447</v>
      </c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</row>
    <row r="25" spans="1:69" s="3" customFormat="1" x14ac:dyDescent="0.25">
      <c r="A25" s="19" t="s">
        <v>39</v>
      </c>
      <c r="B25" s="19" t="s">
        <v>40</v>
      </c>
      <c r="C25" s="44">
        <v>43511</v>
      </c>
      <c r="D25" s="44">
        <v>43511</v>
      </c>
      <c r="E25" s="44">
        <v>43511</v>
      </c>
      <c r="F25" s="44">
        <v>43511</v>
      </c>
      <c r="G25" s="51">
        <v>43636</v>
      </c>
      <c r="H25" s="44" t="s">
        <v>77</v>
      </c>
      <c r="I25" s="44" t="s">
        <v>156</v>
      </c>
      <c r="J25" s="44">
        <v>43511</v>
      </c>
      <c r="K25" s="44">
        <v>43511</v>
      </c>
      <c r="L25" s="44">
        <v>43511</v>
      </c>
      <c r="M25" s="44">
        <v>43511</v>
      </c>
      <c r="N25" s="44">
        <v>43511</v>
      </c>
      <c r="O25" s="44">
        <v>43511</v>
      </c>
      <c r="P25" s="44">
        <v>43511</v>
      </c>
      <c r="Q25" s="44">
        <v>43511</v>
      </c>
      <c r="R25" s="44">
        <v>43511</v>
      </c>
      <c r="S25" s="44"/>
      <c r="T25" s="44">
        <v>43511</v>
      </c>
      <c r="U25" s="44"/>
      <c r="V25" s="44" t="s">
        <v>77</v>
      </c>
      <c r="W25" s="44"/>
      <c r="X25" s="44">
        <v>43511</v>
      </c>
      <c r="Y25" s="44">
        <v>43511</v>
      </c>
      <c r="Z25" s="44">
        <v>43511</v>
      </c>
      <c r="AA25" s="44"/>
      <c r="AB25" s="44">
        <v>43511</v>
      </c>
      <c r="AC25" s="44">
        <v>43511</v>
      </c>
      <c r="AD25" s="44">
        <v>43511</v>
      </c>
      <c r="AE25" s="44">
        <v>43511</v>
      </c>
      <c r="AF25" s="44">
        <v>43511</v>
      </c>
      <c r="AG25" s="44">
        <v>43511</v>
      </c>
      <c r="AH25" s="44">
        <v>43511</v>
      </c>
      <c r="AI25" s="44">
        <v>43732</v>
      </c>
      <c r="AJ25" s="44">
        <v>43636</v>
      </c>
      <c r="AK25" s="44">
        <v>43511</v>
      </c>
      <c r="AL25" s="44">
        <v>43511</v>
      </c>
      <c r="AM25" s="44" t="s">
        <v>77</v>
      </c>
      <c r="AN25" s="48">
        <v>43564</v>
      </c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  <c r="BO25" s="44"/>
      <c r="BP25" s="44"/>
    </row>
    <row r="26" spans="1:69" s="3" customFormat="1" ht="75" x14ac:dyDescent="0.25">
      <c r="A26" s="19" t="s">
        <v>41</v>
      </c>
      <c r="B26" s="19" t="s">
        <v>42</v>
      </c>
      <c r="C26" s="44" t="s">
        <v>77</v>
      </c>
      <c r="D26" s="44" t="s">
        <v>77</v>
      </c>
      <c r="E26" s="44" t="s">
        <v>77</v>
      </c>
      <c r="F26" s="44" t="s">
        <v>77</v>
      </c>
      <c r="G26" s="51">
        <v>43510</v>
      </c>
      <c r="H26" s="44">
        <v>43510</v>
      </c>
      <c r="I26" s="44" t="s">
        <v>77</v>
      </c>
      <c r="J26" s="44">
        <v>43510</v>
      </c>
      <c r="K26" s="44" t="s">
        <v>186</v>
      </c>
      <c r="L26" s="44" t="s">
        <v>77</v>
      </c>
      <c r="M26" s="44" t="s">
        <v>77</v>
      </c>
      <c r="N26" s="44" t="s">
        <v>77</v>
      </c>
      <c r="O26" s="44" t="s">
        <v>77</v>
      </c>
      <c r="P26" s="44">
        <v>43510</v>
      </c>
      <c r="Q26" s="44" t="s">
        <v>186</v>
      </c>
      <c r="R26" s="44">
        <v>43510</v>
      </c>
      <c r="S26" s="44"/>
      <c r="T26" s="44" t="s">
        <v>77</v>
      </c>
      <c r="U26" s="44"/>
      <c r="V26" s="44" t="s">
        <v>77</v>
      </c>
      <c r="W26" s="44"/>
      <c r="X26" s="44" t="s">
        <v>77</v>
      </c>
      <c r="Y26" s="44" t="s">
        <v>77</v>
      </c>
      <c r="Z26" s="44" t="s">
        <v>77</v>
      </c>
      <c r="AA26" s="44"/>
      <c r="AB26" s="44" t="s">
        <v>77</v>
      </c>
      <c r="AC26" s="44" t="s">
        <v>77</v>
      </c>
      <c r="AD26" s="44" t="s">
        <v>77</v>
      </c>
      <c r="AE26" s="44">
        <v>43510</v>
      </c>
      <c r="AF26" s="44" t="s">
        <v>77</v>
      </c>
      <c r="AG26" s="44" t="s">
        <v>77</v>
      </c>
      <c r="AH26" s="44">
        <v>43510</v>
      </c>
      <c r="AI26" s="44" t="s">
        <v>187</v>
      </c>
      <c r="AJ26" s="44" t="s">
        <v>77</v>
      </c>
      <c r="AK26" s="44" t="s">
        <v>77</v>
      </c>
      <c r="AL26" s="44">
        <v>43510</v>
      </c>
      <c r="AM26" s="44" t="s">
        <v>77</v>
      </c>
      <c r="AN26" s="48" t="s">
        <v>77</v>
      </c>
      <c r="AO26" s="48"/>
      <c r="AP26" s="48">
        <v>43521</v>
      </c>
      <c r="AQ26" s="48"/>
      <c r="AR26" s="48"/>
      <c r="AS26" s="48"/>
      <c r="AT26" s="48"/>
      <c r="AU26" s="48"/>
      <c r="AV26" s="48"/>
      <c r="AW26" s="48"/>
      <c r="AX26" s="48">
        <v>43516</v>
      </c>
      <c r="AY26" s="48">
        <v>43510</v>
      </c>
      <c r="AZ26" s="48"/>
      <c r="BA26" s="44"/>
      <c r="BB26" s="44"/>
      <c r="BC26" s="44" t="s">
        <v>177</v>
      </c>
      <c r="BD26" s="44" t="s">
        <v>188</v>
      </c>
      <c r="BE26" s="44"/>
      <c r="BF26" s="44"/>
      <c r="BG26" s="44">
        <v>43745</v>
      </c>
      <c r="BH26" s="44"/>
      <c r="BI26" s="44"/>
      <c r="BJ26" s="44"/>
      <c r="BK26" s="44"/>
      <c r="BL26" s="44" t="s">
        <v>173</v>
      </c>
      <c r="BM26" s="44"/>
      <c r="BN26" s="44" t="s">
        <v>175</v>
      </c>
      <c r="BO26" s="44">
        <v>43810</v>
      </c>
      <c r="BP26" s="44"/>
    </row>
    <row r="27" spans="1:69" s="3" customFormat="1" ht="15.75" thickBot="1" x14ac:dyDescent="0.3">
      <c r="A27" s="15" t="s">
        <v>130</v>
      </c>
      <c r="B27" s="15" t="s">
        <v>131</v>
      </c>
      <c r="C27" s="46"/>
      <c r="D27" s="46">
        <v>43892</v>
      </c>
      <c r="E27" s="46" t="s">
        <v>77</v>
      </c>
      <c r="F27" s="46" t="s">
        <v>77</v>
      </c>
      <c r="G27" s="46" t="s">
        <v>77</v>
      </c>
      <c r="H27" s="46" t="s">
        <v>77</v>
      </c>
      <c r="I27" s="46" t="s">
        <v>77</v>
      </c>
      <c r="J27" s="46" t="s">
        <v>77</v>
      </c>
      <c r="K27" s="46" t="s">
        <v>77</v>
      </c>
      <c r="L27" s="46" t="s">
        <v>77</v>
      </c>
      <c r="M27" s="46" t="s">
        <v>77</v>
      </c>
      <c r="N27" s="46" t="s">
        <v>77</v>
      </c>
      <c r="O27" s="46" t="s">
        <v>77</v>
      </c>
      <c r="P27" s="46" t="s">
        <v>77</v>
      </c>
      <c r="Q27" s="46" t="s">
        <v>77</v>
      </c>
      <c r="R27" s="46" t="s">
        <v>136</v>
      </c>
      <c r="S27" s="46"/>
      <c r="T27" s="46" t="s">
        <v>77</v>
      </c>
      <c r="U27" s="46"/>
      <c r="V27" s="46" t="s">
        <v>77</v>
      </c>
      <c r="W27" s="46"/>
      <c r="X27" s="46" t="s">
        <v>77</v>
      </c>
      <c r="Y27" s="46" t="s">
        <v>77</v>
      </c>
      <c r="Z27" s="46" t="s">
        <v>77</v>
      </c>
      <c r="AA27" s="46"/>
      <c r="AB27" s="46" t="s">
        <v>77</v>
      </c>
      <c r="AC27" s="46" t="s">
        <v>77</v>
      </c>
      <c r="AD27" s="46" t="s">
        <v>77</v>
      </c>
      <c r="AE27" s="46" t="s">
        <v>77</v>
      </c>
      <c r="AF27" s="53">
        <v>2</v>
      </c>
      <c r="AG27" s="46" t="s">
        <v>76</v>
      </c>
      <c r="AH27" s="46" t="s">
        <v>77</v>
      </c>
      <c r="AI27" s="46" t="s">
        <v>161</v>
      </c>
      <c r="AJ27" s="46" t="s">
        <v>77</v>
      </c>
      <c r="AK27" s="46" t="s">
        <v>77</v>
      </c>
      <c r="AL27" s="46" t="s">
        <v>77</v>
      </c>
      <c r="AM27" s="46" t="s">
        <v>76</v>
      </c>
      <c r="AN27" s="50" t="s">
        <v>77</v>
      </c>
      <c r="AO27" s="50"/>
      <c r="AP27" s="50"/>
      <c r="AQ27" s="50" t="s">
        <v>77</v>
      </c>
      <c r="AR27" s="50"/>
      <c r="AS27" s="50"/>
      <c r="AT27" s="50"/>
      <c r="AU27" s="50"/>
      <c r="AV27" s="50"/>
      <c r="AW27" s="50"/>
      <c r="AX27" s="50"/>
      <c r="AY27" s="50"/>
      <c r="AZ27" s="52">
        <v>2</v>
      </c>
      <c r="BA27" s="53">
        <v>4</v>
      </c>
      <c r="BB27" s="53">
        <v>1</v>
      </c>
      <c r="BC27" s="53">
        <v>1</v>
      </c>
      <c r="BD27" s="53"/>
      <c r="BE27" s="53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</row>
  </sheetData>
  <printOptions horizontalCentered="1" verticalCentered="1"/>
  <pageMargins left="0.23622047244094491" right="0.23622047244094491" top="0.74803149606299213" bottom="0.74803149606299213" header="0.31496062992125984" footer="0.31496062992125984"/>
  <pageSetup paperSize="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686A8-B6DE-4D7D-BDAE-15C44FEB192D}">
  <sheetPr>
    <pageSetUpPr fitToPage="1"/>
  </sheetPr>
  <dimension ref="A1:X1048572"/>
  <sheetViews>
    <sheetView workbookViewId="0">
      <pane xSplit="1" ySplit="1" topLeftCell="B2" activePane="bottomRight" state="frozen"/>
      <selection activeCell="S13" sqref="S13"/>
      <selection pane="topRight" activeCell="S13" sqref="S13"/>
      <selection pane="bottomLeft" activeCell="S13" sqref="S13"/>
      <selection pane="bottomRight" activeCell="S13" sqref="S13"/>
    </sheetView>
  </sheetViews>
  <sheetFormatPr baseColWidth="10" defaultRowHeight="15" x14ac:dyDescent="0.25"/>
  <cols>
    <col min="1" max="1" width="29" customWidth="1"/>
    <col min="3" max="3" width="12.7109375" style="13" customWidth="1"/>
    <col min="4" max="4" width="15.5703125" style="13" customWidth="1"/>
    <col min="5" max="23" width="12.7109375" style="13" customWidth="1"/>
    <col min="24" max="24" width="12.5703125" bestFit="1" customWidth="1"/>
  </cols>
  <sheetData>
    <row r="1" spans="1:24" x14ac:dyDescent="0.25">
      <c r="A1" s="81" t="s">
        <v>246</v>
      </c>
      <c r="B1" s="81" t="s">
        <v>247</v>
      </c>
      <c r="C1" s="81" t="s">
        <v>80</v>
      </c>
      <c r="D1" s="81" t="s">
        <v>2</v>
      </c>
      <c r="E1" s="81" t="s">
        <v>256</v>
      </c>
      <c r="F1" s="81" t="s">
        <v>255</v>
      </c>
      <c r="G1" s="81" t="s">
        <v>7</v>
      </c>
      <c r="H1" s="81" t="s">
        <v>105</v>
      </c>
      <c r="I1" s="81" t="s">
        <v>13</v>
      </c>
      <c r="J1" s="81" t="s">
        <v>291</v>
      </c>
      <c r="K1" s="81" t="s">
        <v>19</v>
      </c>
      <c r="L1" s="81" t="s">
        <v>21</v>
      </c>
      <c r="M1" s="81" t="s">
        <v>25</v>
      </c>
      <c r="N1" s="81" t="s">
        <v>162</v>
      </c>
      <c r="O1" s="81" t="s">
        <v>257</v>
      </c>
      <c r="P1" s="81" t="s">
        <v>258</v>
      </c>
      <c r="Q1" s="81" t="s">
        <v>165</v>
      </c>
      <c r="R1" s="81" t="s">
        <v>31</v>
      </c>
      <c r="S1" s="81" t="s">
        <v>33</v>
      </c>
      <c r="T1" s="81" t="s">
        <v>37</v>
      </c>
      <c r="U1" s="81" t="s">
        <v>39</v>
      </c>
      <c r="V1" s="81" t="s">
        <v>41</v>
      </c>
      <c r="W1" s="81" t="s">
        <v>130</v>
      </c>
    </row>
    <row r="2" spans="1:24" ht="25.5" x14ac:dyDescent="0.45">
      <c r="A2" s="82" t="s">
        <v>44</v>
      </c>
      <c r="B2" s="77"/>
      <c r="C2" s="11">
        <v>1</v>
      </c>
      <c r="D2" s="78"/>
      <c r="E2" s="11"/>
      <c r="F2" s="11"/>
      <c r="G2" s="11"/>
      <c r="H2" s="11">
        <v>1</v>
      </c>
      <c r="I2" s="11">
        <v>1</v>
      </c>
      <c r="J2" s="78"/>
      <c r="K2" s="11"/>
      <c r="L2" s="79">
        <v>43510</v>
      </c>
      <c r="M2" s="11">
        <v>1</v>
      </c>
      <c r="N2" s="11"/>
      <c r="O2" s="11"/>
      <c r="P2" s="79">
        <v>43669</v>
      </c>
      <c r="Q2" s="11"/>
      <c r="R2" s="11"/>
      <c r="S2" s="11">
        <v>1</v>
      </c>
      <c r="T2" s="11">
        <v>1</v>
      </c>
      <c r="U2" s="79">
        <v>43511</v>
      </c>
      <c r="V2" s="11">
        <v>1</v>
      </c>
      <c r="W2" s="11"/>
      <c r="X2" s="101">
        <f>COUNTA(C2:W2)</f>
        <v>10</v>
      </c>
    </row>
    <row r="3" spans="1:24" ht="25.5" x14ac:dyDescent="0.45">
      <c r="A3" s="82" t="s">
        <v>277</v>
      </c>
      <c r="B3" s="77"/>
      <c r="C3" s="79">
        <v>43769</v>
      </c>
      <c r="D3" s="78">
        <v>1</v>
      </c>
      <c r="E3" s="11"/>
      <c r="F3" s="11"/>
      <c r="G3" s="78">
        <v>1</v>
      </c>
      <c r="H3" s="78">
        <v>1</v>
      </c>
      <c r="I3" s="11">
        <v>1</v>
      </c>
      <c r="J3" s="78"/>
      <c r="K3" s="79">
        <v>43546</v>
      </c>
      <c r="L3" s="11">
        <v>1</v>
      </c>
      <c r="M3" s="11">
        <v>1</v>
      </c>
      <c r="N3" s="11"/>
      <c r="O3" s="11"/>
      <c r="P3" s="79">
        <v>43669</v>
      </c>
      <c r="Q3" s="79">
        <v>43866</v>
      </c>
      <c r="R3" s="11"/>
      <c r="S3" s="11">
        <v>1</v>
      </c>
      <c r="T3" s="11">
        <v>1</v>
      </c>
      <c r="U3" s="79">
        <v>43511</v>
      </c>
      <c r="V3" s="11">
        <v>1</v>
      </c>
      <c r="W3" s="79"/>
      <c r="X3" s="101">
        <f t="shared" ref="X3:X66" si="0">COUNTA(C3:W3)</f>
        <v>14</v>
      </c>
    </row>
    <row r="4" spans="1:24" ht="25.5" x14ac:dyDescent="0.45">
      <c r="A4" s="82" t="s">
        <v>435</v>
      </c>
      <c r="B4" s="77"/>
      <c r="C4" s="79">
        <v>43510</v>
      </c>
      <c r="D4" s="11">
        <v>1</v>
      </c>
      <c r="E4" s="11"/>
      <c r="F4" s="11"/>
      <c r="G4" s="79">
        <v>43511</v>
      </c>
      <c r="H4" s="11">
        <v>1</v>
      </c>
      <c r="I4" s="11" t="s">
        <v>248</v>
      </c>
      <c r="J4" s="78"/>
      <c r="K4" s="11"/>
      <c r="L4" s="11">
        <v>1</v>
      </c>
      <c r="M4" s="79">
        <v>43510</v>
      </c>
      <c r="N4" s="79"/>
      <c r="O4" s="78"/>
      <c r="P4" s="79">
        <v>43669</v>
      </c>
      <c r="Q4" s="79">
        <v>43866</v>
      </c>
      <c r="R4" s="11"/>
      <c r="S4" s="11">
        <v>1</v>
      </c>
      <c r="T4" s="11">
        <v>1</v>
      </c>
      <c r="U4" s="79">
        <v>43511</v>
      </c>
      <c r="V4" s="11">
        <v>1</v>
      </c>
      <c r="W4" s="11"/>
      <c r="X4" s="101">
        <f t="shared" si="0"/>
        <v>13</v>
      </c>
    </row>
    <row r="5" spans="1:24" ht="25.5" x14ac:dyDescent="0.45">
      <c r="A5" s="82" t="s">
        <v>278</v>
      </c>
      <c r="B5" s="77"/>
      <c r="C5" s="79">
        <v>43889</v>
      </c>
      <c r="D5" s="78">
        <v>1</v>
      </c>
      <c r="E5" s="11"/>
      <c r="F5" s="11"/>
      <c r="G5" s="79">
        <v>43511</v>
      </c>
      <c r="H5" s="11">
        <v>1</v>
      </c>
      <c r="I5" s="11" t="s">
        <v>248</v>
      </c>
      <c r="J5" s="78"/>
      <c r="K5" s="11"/>
      <c r="L5" s="78">
        <v>1</v>
      </c>
      <c r="M5" s="78">
        <v>1</v>
      </c>
      <c r="N5" s="11"/>
      <c r="O5" s="11"/>
      <c r="P5" s="78"/>
      <c r="Q5" s="79">
        <v>43866</v>
      </c>
      <c r="R5" s="11"/>
      <c r="S5" s="78">
        <v>1</v>
      </c>
      <c r="T5" s="11">
        <v>1</v>
      </c>
      <c r="U5" s="79">
        <v>43511</v>
      </c>
      <c r="V5" s="11">
        <v>1</v>
      </c>
      <c r="W5" s="11"/>
      <c r="X5" s="101">
        <f t="shared" si="0"/>
        <v>12</v>
      </c>
    </row>
    <row r="6" spans="1:24" ht="25.5" x14ac:dyDescent="0.45">
      <c r="A6" s="82" t="s">
        <v>279</v>
      </c>
      <c r="B6" s="77"/>
      <c r="C6" s="79">
        <v>43510</v>
      </c>
      <c r="D6" s="78">
        <v>1</v>
      </c>
      <c r="E6" s="11"/>
      <c r="F6" s="11"/>
      <c r="G6" s="79">
        <v>43511</v>
      </c>
      <c r="H6" s="79">
        <v>43634</v>
      </c>
      <c r="I6" s="11" t="s">
        <v>248</v>
      </c>
      <c r="J6" s="78"/>
      <c r="K6" s="11"/>
      <c r="L6" s="79">
        <v>43644</v>
      </c>
      <c r="M6" s="11">
        <v>1</v>
      </c>
      <c r="N6" s="11"/>
      <c r="O6" s="11" t="s">
        <v>265</v>
      </c>
      <c r="P6" s="79">
        <v>43669</v>
      </c>
      <c r="Q6" s="79">
        <v>43866</v>
      </c>
      <c r="R6" s="11"/>
      <c r="S6" s="78">
        <v>1</v>
      </c>
      <c r="T6" s="11">
        <v>1</v>
      </c>
      <c r="U6" s="79">
        <v>43636</v>
      </c>
      <c r="V6" s="79">
        <v>43510</v>
      </c>
      <c r="W6" s="11"/>
      <c r="X6" s="101">
        <f t="shared" si="0"/>
        <v>14</v>
      </c>
    </row>
    <row r="7" spans="1:24" ht="25.5" x14ac:dyDescent="0.45">
      <c r="A7" s="82" t="s">
        <v>280</v>
      </c>
      <c r="B7" s="77"/>
      <c r="C7" s="11">
        <v>1</v>
      </c>
      <c r="D7" s="79">
        <v>43510</v>
      </c>
      <c r="E7" s="11"/>
      <c r="F7" s="11"/>
      <c r="G7" s="79">
        <v>43511</v>
      </c>
      <c r="H7" s="11">
        <v>1</v>
      </c>
      <c r="I7" s="11" t="s">
        <v>248</v>
      </c>
      <c r="J7" s="78"/>
      <c r="K7" s="11"/>
      <c r="L7" s="78">
        <v>1</v>
      </c>
      <c r="M7" s="11">
        <v>1</v>
      </c>
      <c r="N7" s="11"/>
      <c r="O7" s="11"/>
      <c r="P7" s="79">
        <v>43669</v>
      </c>
      <c r="Q7" s="79">
        <v>43866</v>
      </c>
      <c r="R7" s="11"/>
      <c r="S7" s="79">
        <v>43531</v>
      </c>
      <c r="T7" s="11">
        <v>1</v>
      </c>
      <c r="U7" s="78">
        <v>1</v>
      </c>
      <c r="V7" s="79">
        <v>43510</v>
      </c>
      <c r="W7" s="11"/>
      <c r="X7" s="101">
        <f t="shared" si="0"/>
        <v>13</v>
      </c>
    </row>
    <row r="8" spans="1:24" ht="25.5" x14ac:dyDescent="0.45">
      <c r="A8" s="82" t="s">
        <v>49</v>
      </c>
      <c r="B8" s="77"/>
      <c r="C8" s="11">
        <v>1</v>
      </c>
      <c r="D8" s="11">
        <v>1</v>
      </c>
      <c r="E8" s="78"/>
      <c r="F8" s="78"/>
      <c r="G8" s="78">
        <v>1</v>
      </c>
      <c r="H8" s="78">
        <v>2</v>
      </c>
      <c r="I8" s="11" t="s">
        <v>248</v>
      </c>
      <c r="J8" s="78"/>
      <c r="K8" s="11"/>
      <c r="L8" s="79">
        <v>43510</v>
      </c>
      <c r="M8" s="78">
        <v>1</v>
      </c>
      <c r="N8" s="11"/>
      <c r="O8" s="79">
        <v>43572</v>
      </c>
      <c r="P8" s="11"/>
      <c r="Q8" s="79">
        <v>43866</v>
      </c>
      <c r="R8" s="78">
        <v>1</v>
      </c>
      <c r="S8" s="79">
        <v>43571</v>
      </c>
      <c r="T8" s="11">
        <v>1</v>
      </c>
      <c r="U8" s="11">
        <v>1</v>
      </c>
      <c r="V8" s="11">
        <v>1</v>
      </c>
      <c r="W8" s="11"/>
      <c r="X8" s="101">
        <f t="shared" si="0"/>
        <v>14</v>
      </c>
    </row>
    <row r="9" spans="1:24" ht="25.5" x14ac:dyDescent="0.45">
      <c r="A9" s="82" t="s">
        <v>281</v>
      </c>
      <c r="B9" s="77"/>
      <c r="C9" s="79">
        <v>43889</v>
      </c>
      <c r="D9" s="79">
        <v>43510</v>
      </c>
      <c r="E9" s="11"/>
      <c r="F9" s="78"/>
      <c r="G9" s="79">
        <v>43511</v>
      </c>
      <c r="H9" s="11">
        <v>1</v>
      </c>
      <c r="I9" s="11">
        <v>1</v>
      </c>
      <c r="J9" s="78"/>
      <c r="K9" s="11"/>
      <c r="L9" s="11">
        <v>1</v>
      </c>
      <c r="M9" s="11">
        <v>1</v>
      </c>
      <c r="N9" s="11"/>
      <c r="O9" s="11"/>
      <c r="P9" s="79">
        <v>43669</v>
      </c>
      <c r="Q9" s="79">
        <v>43866</v>
      </c>
      <c r="R9" s="79">
        <v>43991</v>
      </c>
      <c r="S9" s="79">
        <v>43514</v>
      </c>
      <c r="T9" s="11">
        <v>1</v>
      </c>
      <c r="U9" s="79">
        <v>43511</v>
      </c>
      <c r="V9" s="79">
        <v>43510</v>
      </c>
      <c r="W9" s="11"/>
      <c r="X9" s="101">
        <f t="shared" si="0"/>
        <v>14</v>
      </c>
    </row>
    <row r="10" spans="1:24" ht="25.5" x14ac:dyDescent="0.45">
      <c r="A10" s="82" t="s">
        <v>51</v>
      </c>
      <c r="B10" s="77"/>
      <c r="C10" s="11">
        <v>1</v>
      </c>
      <c r="D10" s="79">
        <v>43510</v>
      </c>
      <c r="E10" s="11"/>
      <c r="F10" s="11"/>
      <c r="G10" s="79">
        <v>43511</v>
      </c>
      <c r="H10" s="11">
        <v>1</v>
      </c>
      <c r="I10" s="11" t="s">
        <v>248</v>
      </c>
      <c r="J10" s="78"/>
      <c r="K10" s="11"/>
      <c r="L10" s="11">
        <v>1</v>
      </c>
      <c r="M10" s="79">
        <v>43510</v>
      </c>
      <c r="N10" s="11"/>
      <c r="O10" s="11"/>
      <c r="P10" s="79">
        <v>43669</v>
      </c>
      <c r="Q10" s="79">
        <v>43866</v>
      </c>
      <c r="R10" s="11"/>
      <c r="S10" s="11">
        <v>1</v>
      </c>
      <c r="T10" s="11">
        <v>1</v>
      </c>
      <c r="U10" s="79">
        <v>43511</v>
      </c>
      <c r="V10" s="11" t="s">
        <v>186</v>
      </c>
      <c r="W10" s="11">
        <v>1</v>
      </c>
      <c r="X10" s="101">
        <f t="shared" si="0"/>
        <v>14</v>
      </c>
    </row>
    <row r="11" spans="1:24" ht="25.5" x14ac:dyDescent="0.45">
      <c r="A11" s="82" t="s">
        <v>282</v>
      </c>
      <c r="B11" s="77"/>
      <c r="C11" s="79">
        <v>43889</v>
      </c>
      <c r="D11" s="79">
        <v>43510</v>
      </c>
      <c r="E11" s="11"/>
      <c r="F11" s="11"/>
      <c r="G11" s="79">
        <v>43511</v>
      </c>
      <c r="H11" s="78">
        <v>1</v>
      </c>
      <c r="I11" s="11">
        <v>1</v>
      </c>
      <c r="J11" s="78"/>
      <c r="K11" s="11"/>
      <c r="L11" s="79">
        <v>43510</v>
      </c>
      <c r="M11" s="11">
        <v>1</v>
      </c>
      <c r="N11" s="11"/>
      <c r="O11" s="11"/>
      <c r="P11" s="79">
        <v>43991</v>
      </c>
      <c r="Q11" s="79">
        <v>43866</v>
      </c>
      <c r="R11" s="11"/>
      <c r="S11" s="79">
        <v>43514</v>
      </c>
      <c r="T11" s="11">
        <v>1</v>
      </c>
      <c r="U11" s="79">
        <v>43511</v>
      </c>
      <c r="V11" s="11">
        <v>1</v>
      </c>
      <c r="W11" s="11"/>
      <c r="X11" s="101">
        <f t="shared" si="0"/>
        <v>13</v>
      </c>
    </row>
    <row r="12" spans="1:24" ht="25.5" x14ac:dyDescent="0.45">
      <c r="A12" s="82" t="s">
        <v>283</v>
      </c>
      <c r="B12" s="77"/>
      <c r="C12" s="79">
        <v>43889</v>
      </c>
      <c r="D12" s="79">
        <v>43510</v>
      </c>
      <c r="E12" s="11"/>
      <c r="F12" s="11"/>
      <c r="G12" s="79">
        <v>43511</v>
      </c>
      <c r="H12" s="11">
        <v>1</v>
      </c>
      <c r="I12" s="11">
        <v>1</v>
      </c>
      <c r="J12" s="78"/>
      <c r="K12" s="11"/>
      <c r="L12" s="79">
        <v>43510</v>
      </c>
      <c r="M12" s="11">
        <v>1</v>
      </c>
      <c r="N12" s="11"/>
      <c r="O12" s="11"/>
      <c r="P12" s="79">
        <v>43991</v>
      </c>
      <c r="Q12" s="79">
        <v>43866</v>
      </c>
      <c r="R12" s="11"/>
      <c r="S12" s="78">
        <v>1</v>
      </c>
      <c r="T12" s="11">
        <v>1</v>
      </c>
      <c r="U12" s="79">
        <v>43511</v>
      </c>
      <c r="V12" s="11">
        <v>1</v>
      </c>
      <c r="W12" s="11"/>
      <c r="X12" s="101">
        <f t="shared" si="0"/>
        <v>13</v>
      </c>
    </row>
    <row r="13" spans="1:24" ht="25.5" x14ac:dyDescent="0.45">
      <c r="A13" s="82" t="s">
        <v>284</v>
      </c>
      <c r="B13" s="77"/>
      <c r="C13" s="11">
        <v>1</v>
      </c>
      <c r="D13" s="79">
        <v>43510</v>
      </c>
      <c r="E13" s="11"/>
      <c r="F13" s="11"/>
      <c r="G13" s="79">
        <v>43511</v>
      </c>
      <c r="H13" s="11">
        <v>1</v>
      </c>
      <c r="I13" s="11" t="s">
        <v>248</v>
      </c>
      <c r="J13" s="78"/>
      <c r="K13" s="11"/>
      <c r="L13" s="79">
        <v>43510</v>
      </c>
      <c r="M13" s="78">
        <v>1</v>
      </c>
      <c r="N13" s="11"/>
      <c r="O13" s="11"/>
      <c r="P13" s="79">
        <v>43991</v>
      </c>
      <c r="Q13" s="79">
        <v>43866</v>
      </c>
      <c r="R13" s="79">
        <v>43991</v>
      </c>
      <c r="S13" s="11" t="s">
        <v>269</v>
      </c>
      <c r="T13" s="11">
        <v>1</v>
      </c>
      <c r="U13" s="79">
        <v>43511</v>
      </c>
      <c r="V13" s="11">
        <v>1</v>
      </c>
      <c r="W13" s="11"/>
      <c r="X13" s="101">
        <f t="shared" si="0"/>
        <v>14</v>
      </c>
    </row>
    <row r="14" spans="1:24" ht="25.5" x14ac:dyDescent="0.45">
      <c r="A14" s="82" t="s">
        <v>55</v>
      </c>
      <c r="B14" s="77"/>
      <c r="C14" s="79">
        <v>43875</v>
      </c>
      <c r="D14" s="11">
        <v>1</v>
      </c>
      <c r="E14" s="11"/>
      <c r="F14" s="11"/>
      <c r="G14" s="79">
        <v>43511</v>
      </c>
      <c r="H14" s="79">
        <v>43510</v>
      </c>
      <c r="I14" s="11" t="s">
        <v>248</v>
      </c>
      <c r="J14" s="78"/>
      <c r="K14" s="79">
        <v>43511</v>
      </c>
      <c r="L14" s="79">
        <v>43510</v>
      </c>
      <c r="M14" s="79">
        <v>43510</v>
      </c>
      <c r="N14" s="11"/>
      <c r="O14" s="11"/>
      <c r="P14" s="79">
        <v>43669</v>
      </c>
      <c r="Q14" s="79">
        <v>43866</v>
      </c>
      <c r="R14" s="79">
        <v>43991</v>
      </c>
      <c r="S14" s="11">
        <v>1</v>
      </c>
      <c r="T14" s="11">
        <v>1</v>
      </c>
      <c r="U14" s="79">
        <v>43511</v>
      </c>
      <c r="V14" s="78">
        <v>1</v>
      </c>
      <c r="W14" s="11"/>
      <c r="X14" s="101">
        <f t="shared" si="0"/>
        <v>15</v>
      </c>
    </row>
    <row r="15" spans="1:24" ht="25.5" x14ac:dyDescent="0.45">
      <c r="A15" s="82" t="s">
        <v>56</v>
      </c>
      <c r="B15" s="77"/>
      <c r="C15" s="79">
        <v>43479</v>
      </c>
      <c r="D15" s="79">
        <v>43885</v>
      </c>
      <c r="E15" s="11"/>
      <c r="F15" s="79">
        <v>43892</v>
      </c>
      <c r="G15" s="79">
        <v>43511</v>
      </c>
      <c r="H15" s="79">
        <v>43727</v>
      </c>
      <c r="I15" s="11" t="s">
        <v>248</v>
      </c>
      <c r="J15" s="78"/>
      <c r="K15" s="11"/>
      <c r="L15" s="79">
        <v>43501</v>
      </c>
      <c r="M15" s="79">
        <v>43510</v>
      </c>
      <c r="N15" s="11"/>
      <c r="O15" s="11"/>
      <c r="P15" s="79">
        <v>43991</v>
      </c>
      <c r="Q15" s="79">
        <v>43866</v>
      </c>
      <c r="R15" s="79">
        <v>43991</v>
      </c>
      <c r="S15" s="79">
        <v>43889</v>
      </c>
      <c r="T15" s="11">
        <v>1</v>
      </c>
      <c r="U15" s="79">
        <v>43511</v>
      </c>
      <c r="V15" s="79">
        <v>43510</v>
      </c>
      <c r="W15" s="11"/>
      <c r="X15" s="101">
        <f t="shared" si="0"/>
        <v>15</v>
      </c>
    </row>
    <row r="16" spans="1:24" ht="25.5" x14ac:dyDescent="0.45">
      <c r="A16" s="82" t="s">
        <v>285</v>
      </c>
      <c r="B16" s="77"/>
      <c r="C16" s="78" t="s">
        <v>248</v>
      </c>
      <c r="D16" s="79">
        <v>43510</v>
      </c>
      <c r="E16" s="11"/>
      <c r="F16" s="11"/>
      <c r="G16" s="79">
        <v>43511</v>
      </c>
      <c r="H16" s="79">
        <v>43510</v>
      </c>
      <c r="I16" s="11">
        <v>1</v>
      </c>
      <c r="J16" s="78"/>
      <c r="K16" s="11"/>
      <c r="L16" s="79">
        <v>43510</v>
      </c>
      <c r="M16" s="78">
        <v>1</v>
      </c>
      <c r="N16" s="78"/>
      <c r="O16" s="11"/>
      <c r="P16" s="79">
        <v>43669</v>
      </c>
      <c r="Q16" s="79">
        <v>43866</v>
      </c>
      <c r="R16" s="11"/>
      <c r="S16" s="11">
        <v>1</v>
      </c>
      <c r="T16" s="11">
        <v>1</v>
      </c>
      <c r="U16" s="79">
        <v>43511</v>
      </c>
      <c r="V16" s="11" t="s">
        <v>186</v>
      </c>
      <c r="W16" s="11"/>
      <c r="X16" s="101">
        <f t="shared" si="0"/>
        <v>13</v>
      </c>
    </row>
    <row r="17" spans="1:24" ht="25.5" x14ac:dyDescent="0.45">
      <c r="A17" s="82" t="s">
        <v>286</v>
      </c>
      <c r="B17" s="77"/>
      <c r="C17" s="11" t="s">
        <v>249</v>
      </c>
      <c r="D17" s="78">
        <v>1</v>
      </c>
      <c r="E17" s="11"/>
      <c r="F17" s="11"/>
      <c r="G17" s="79">
        <v>43511</v>
      </c>
      <c r="H17" s="79">
        <v>43510</v>
      </c>
      <c r="I17" s="11">
        <v>1</v>
      </c>
      <c r="J17" s="78"/>
      <c r="K17" s="11"/>
      <c r="L17" s="78">
        <v>1</v>
      </c>
      <c r="M17" s="78">
        <v>1</v>
      </c>
      <c r="N17" s="11"/>
      <c r="O17" s="11"/>
      <c r="P17" s="79">
        <v>43669</v>
      </c>
      <c r="Q17" s="79">
        <v>43866</v>
      </c>
      <c r="R17" s="78"/>
      <c r="S17" s="11">
        <v>1</v>
      </c>
      <c r="T17" s="11">
        <v>1</v>
      </c>
      <c r="U17" s="79">
        <v>43511</v>
      </c>
      <c r="V17" s="79">
        <v>43510</v>
      </c>
      <c r="W17" s="11"/>
      <c r="X17" s="101">
        <f t="shared" si="0"/>
        <v>13</v>
      </c>
    </row>
    <row r="18" spans="1:24" ht="25.5" x14ac:dyDescent="0.45">
      <c r="A18" s="80" t="s">
        <v>117</v>
      </c>
      <c r="B18" s="77"/>
      <c r="C18" s="11"/>
      <c r="D18" s="78"/>
      <c r="E18" s="11"/>
      <c r="F18" s="79">
        <v>43511</v>
      </c>
      <c r="G18" s="78"/>
      <c r="H18" s="11"/>
      <c r="I18" s="11"/>
      <c r="J18" s="78"/>
      <c r="K18" s="11"/>
      <c r="L18" s="78"/>
      <c r="M18" s="11"/>
      <c r="N18" s="11"/>
      <c r="O18" s="11"/>
      <c r="P18" s="78"/>
      <c r="Q18" s="11"/>
      <c r="R18" s="11"/>
      <c r="S18" s="79">
        <v>43889</v>
      </c>
      <c r="T18" s="11"/>
      <c r="U18" s="11"/>
      <c r="V18" s="11"/>
      <c r="W18" s="11"/>
      <c r="X18" s="101">
        <f t="shared" si="0"/>
        <v>2</v>
      </c>
    </row>
    <row r="19" spans="1:24" ht="25.5" x14ac:dyDescent="0.45">
      <c r="A19" s="80" t="s">
        <v>253</v>
      </c>
      <c r="B19" s="77"/>
      <c r="C19" s="78"/>
      <c r="D19" s="79"/>
      <c r="E19" s="78"/>
      <c r="F19" s="78"/>
      <c r="G19" s="78"/>
      <c r="H19" s="79">
        <v>43634</v>
      </c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9">
        <v>43889</v>
      </c>
      <c r="T19" s="78"/>
      <c r="U19" s="78"/>
      <c r="V19" s="78"/>
      <c r="W19" s="78"/>
      <c r="X19" s="101">
        <f t="shared" si="0"/>
        <v>2</v>
      </c>
    </row>
    <row r="20" spans="1:24" ht="25.5" x14ac:dyDescent="0.45">
      <c r="A20" s="80" t="s">
        <v>402</v>
      </c>
      <c r="B20" s="77"/>
      <c r="C20" s="11"/>
      <c r="D20" s="78"/>
      <c r="E20" s="11"/>
      <c r="F20" s="11"/>
      <c r="G20" s="78"/>
      <c r="H20" s="79">
        <v>43634</v>
      </c>
      <c r="I20" s="11"/>
      <c r="J20" s="78"/>
      <c r="K20" s="11"/>
      <c r="L20" s="78"/>
      <c r="M20" s="11"/>
      <c r="N20" s="11"/>
      <c r="O20" s="11"/>
      <c r="P20" s="79">
        <v>43669</v>
      </c>
      <c r="Q20" s="11"/>
      <c r="R20" s="11"/>
      <c r="S20" s="79">
        <v>43889</v>
      </c>
      <c r="T20" s="78"/>
      <c r="U20" s="78"/>
      <c r="V20" s="11"/>
      <c r="W20" s="11"/>
      <c r="X20" s="101">
        <f t="shared" si="0"/>
        <v>3</v>
      </c>
    </row>
    <row r="21" spans="1:24" ht="25.5" x14ac:dyDescent="0.45">
      <c r="A21" s="82" t="s">
        <v>403</v>
      </c>
      <c r="B21" s="77"/>
      <c r="C21" s="78">
        <v>1</v>
      </c>
      <c r="D21" s="79">
        <v>43510</v>
      </c>
      <c r="E21" s="11"/>
      <c r="F21" s="11"/>
      <c r="G21" s="79">
        <v>43511</v>
      </c>
      <c r="H21" s="11">
        <v>1</v>
      </c>
      <c r="I21" s="11">
        <v>1</v>
      </c>
      <c r="J21" s="78"/>
      <c r="K21" s="11"/>
      <c r="L21" s="79">
        <v>43510</v>
      </c>
      <c r="M21" s="79">
        <v>43510</v>
      </c>
      <c r="N21" s="11"/>
      <c r="O21" s="11"/>
      <c r="P21" s="79">
        <v>43669</v>
      </c>
      <c r="Q21" s="79">
        <v>43866</v>
      </c>
      <c r="R21" s="79">
        <v>43991</v>
      </c>
      <c r="S21" s="78">
        <v>1</v>
      </c>
      <c r="T21" s="78">
        <v>1</v>
      </c>
      <c r="U21" s="79">
        <v>43511</v>
      </c>
      <c r="V21" s="11">
        <v>1</v>
      </c>
      <c r="W21" s="11"/>
      <c r="X21" s="101">
        <f t="shared" si="0"/>
        <v>14</v>
      </c>
    </row>
    <row r="22" spans="1:24" ht="25.5" x14ac:dyDescent="0.45">
      <c r="A22" s="80" t="s">
        <v>404</v>
      </c>
      <c r="B22" s="77"/>
      <c r="C22" s="11"/>
      <c r="D22" s="11"/>
      <c r="E22" s="11"/>
      <c r="F22" s="11"/>
      <c r="G22" s="11"/>
      <c r="H22" s="78"/>
      <c r="I22" s="11"/>
      <c r="J22" s="78"/>
      <c r="K22" s="11"/>
      <c r="L22" s="11"/>
      <c r="M22" s="11"/>
      <c r="N22" s="11"/>
      <c r="O22" s="11"/>
      <c r="P22" s="78"/>
      <c r="Q22" s="11"/>
      <c r="R22" s="79">
        <v>43991</v>
      </c>
      <c r="S22" s="78"/>
      <c r="T22" s="11"/>
      <c r="U22" s="11"/>
      <c r="V22" s="11"/>
      <c r="W22" s="11"/>
      <c r="X22" s="101">
        <f t="shared" si="0"/>
        <v>1</v>
      </c>
    </row>
    <row r="23" spans="1:24" ht="25.5" x14ac:dyDescent="0.45">
      <c r="A23" s="82" t="s">
        <v>405</v>
      </c>
      <c r="B23" s="77"/>
      <c r="C23" s="78">
        <v>1</v>
      </c>
      <c r="D23" s="79">
        <v>43510</v>
      </c>
      <c r="E23" s="11"/>
      <c r="F23" s="11"/>
      <c r="G23" s="79">
        <v>43511</v>
      </c>
      <c r="H23" s="11">
        <v>1</v>
      </c>
      <c r="I23" s="11">
        <v>1</v>
      </c>
      <c r="J23" s="78"/>
      <c r="K23" s="11"/>
      <c r="L23" s="79">
        <v>43510</v>
      </c>
      <c r="M23" s="78">
        <v>1</v>
      </c>
      <c r="N23" s="11"/>
      <c r="O23" s="11"/>
      <c r="P23" s="79">
        <v>43669</v>
      </c>
      <c r="Q23" s="79">
        <v>43866</v>
      </c>
      <c r="R23" s="11"/>
      <c r="S23" s="11">
        <v>1</v>
      </c>
      <c r="T23" s="11">
        <v>1</v>
      </c>
      <c r="U23" s="78">
        <v>1</v>
      </c>
      <c r="V23" s="11">
        <v>1</v>
      </c>
      <c r="W23" s="11"/>
      <c r="X23" s="101">
        <f t="shared" si="0"/>
        <v>13</v>
      </c>
    </row>
    <row r="24" spans="1:24" ht="25.5" x14ac:dyDescent="0.45">
      <c r="A24" s="80" t="s">
        <v>406</v>
      </c>
      <c r="B24" s="77"/>
      <c r="C24" s="78"/>
      <c r="D24" s="79"/>
      <c r="E24" s="78"/>
      <c r="F24" s="78"/>
      <c r="G24" s="79"/>
      <c r="H24" s="78"/>
      <c r="I24" s="78"/>
      <c r="J24" s="78"/>
      <c r="K24" s="78"/>
      <c r="L24" s="79"/>
      <c r="M24" s="78"/>
      <c r="N24" s="78"/>
      <c r="O24" s="78"/>
      <c r="P24" s="79">
        <v>43669</v>
      </c>
      <c r="Q24" s="78"/>
      <c r="R24" s="78"/>
      <c r="S24" s="78"/>
      <c r="T24" s="78"/>
      <c r="U24" s="78"/>
      <c r="V24" s="78"/>
      <c r="W24" s="78"/>
      <c r="X24" s="101">
        <f t="shared" si="0"/>
        <v>1</v>
      </c>
    </row>
    <row r="25" spans="1:24" ht="25.5" x14ac:dyDescent="0.45">
      <c r="A25" s="80" t="s">
        <v>407</v>
      </c>
      <c r="B25" s="77"/>
      <c r="C25" s="11"/>
      <c r="D25" s="11"/>
      <c r="E25" s="11"/>
      <c r="F25" s="11"/>
      <c r="G25" s="11"/>
      <c r="H25" s="11"/>
      <c r="I25" s="11"/>
      <c r="J25" s="78"/>
      <c r="K25" s="11"/>
      <c r="L25" s="11"/>
      <c r="M25" s="11"/>
      <c r="N25" s="11"/>
      <c r="O25" s="11"/>
      <c r="P25" s="11"/>
      <c r="Q25" s="11"/>
      <c r="R25" s="78"/>
      <c r="S25" s="79">
        <v>43889</v>
      </c>
      <c r="T25" s="11"/>
      <c r="U25" s="11"/>
      <c r="V25" s="11"/>
      <c r="W25" s="11"/>
      <c r="X25" s="101">
        <f t="shared" si="0"/>
        <v>1</v>
      </c>
    </row>
    <row r="26" spans="1:24" ht="25.5" x14ac:dyDescent="0.45">
      <c r="A26" s="82" t="s">
        <v>408</v>
      </c>
      <c r="B26" s="77"/>
      <c r="C26" s="78">
        <v>1</v>
      </c>
      <c r="D26" s="79">
        <v>43510</v>
      </c>
      <c r="E26" s="11"/>
      <c r="F26" s="11"/>
      <c r="G26" s="79">
        <v>43511</v>
      </c>
      <c r="H26" s="11">
        <v>1</v>
      </c>
      <c r="I26" s="11">
        <v>1</v>
      </c>
      <c r="J26" s="78"/>
      <c r="K26" s="11"/>
      <c r="L26" s="79">
        <v>43510</v>
      </c>
      <c r="M26" s="78">
        <v>1</v>
      </c>
      <c r="N26" s="11"/>
      <c r="O26" s="11"/>
      <c r="P26" s="79">
        <v>43669</v>
      </c>
      <c r="Q26" s="79">
        <v>43866</v>
      </c>
      <c r="R26" s="11"/>
      <c r="S26" s="79">
        <v>43889</v>
      </c>
      <c r="T26" s="79">
        <v>43511</v>
      </c>
      <c r="U26" s="79">
        <v>43511</v>
      </c>
      <c r="V26" s="11">
        <v>1</v>
      </c>
      <c r="W26" s="11"/>
      <c r="X26" s="101">
        <f t="shared" si="0"/>
        <v>13</v>
      </c>
    </row>
    <row r="27" spans="1:24" ht="25.5" x14ac:dyDescent="0.45">
      <c r="A27" s="82" t="s">
        <v>409</v>
      </c>
      <c r="B27" s="77"/>
      <c r="C27" s="79">
        <v>43510</v>
      </c>
      <c r="D27" s="79">
        <v>43510</v>
      </c>
      <c r="E27" s="11"/>
      <c r="F27" s="11"/>
      <c r="G27" s="79">
        <v>43511</v>
      </c>
      <c r="H27" s="11">
        <v>1</v>
      </c>
      <c r="I27" s="11">
        <v>1</v>
      </c>
      <c r="J27" s="78"/>
      <c r="K27" s="11"/>
      <c r="L27" s="79">
        <v>43510</v>
      </c>
      <c r="M27" s="78">
        <v>1</v>
      </c>
      <c r="N27" s="11"/>
      <c r="O27" s="11"/>
      <c r="P27" s="79">
        <v>43669</v>
      </c>
      <c r="Q27" s="79">
        <v>43866</v>
      </c>
      <c r="R27" s="11"/>
      <c r="S27" s="79">
        <v>43514</v>
      </c>
      <c r="T27" s="79">
        <v>43511</v>
      </c>
      <c r="U27" s="79">
        <v>43511</v>
      </c>
      <c r="V27" s="11">
        <v>1</v>
      </c>
      <c r="W27" s="11"/>
      <c r="X27" s="101">
        <f t="shared" si="0"/>
        <v>13</v>
      </c>
    </row>
    <row r="28" spans="1:24" ht="25.5" x14ac:dyDescent="0.45">
      <c r="A28" s="82" t="s">
        <v>410</v>
      </c>
      <c r="B28" s="77"/>
      <c r="C28" s="11">
        <v>1</v>
      </c>
      <c r="D28" s="11">
        <v>1</v>
      </c>
      <c r="E28" s="11"/>
      <c r="F28" s="11"/>
      <c r="G28" s="78">
        <v>1</v>
      </c>
      <c r="H28" s="11">
        <v>1</v>
      </c>
      <c r="I28" s="11">
        <v>1</v>
      </c>
      <c r="J28" s="78"/>
      <c r="K28" s="11"/>
      <c r="L28" s="11">
        <v>1</v>
      </c>
      <c r="M28" s="11">
        <v>1</v>
      </c>
      <c r="N28" s="11"/>
      <c r="O28" s="11"/>
      <c r="P28" s="79">
        <v>43669</v>
      </c>
      <c r="Q28" s="79">
        <v>43866</v>
      </c>
      <c r="R28" s="79">
        <v>43991</v>
      </c>
      <c r="S28" s="79">
        <v>43480</v>
      </c>
      <c r="T28" s="79">
        <v>43511</v>
      </c>
      <c r="U28" s="79">
        <v>43511</v>
      </c>
      <c r="V28" s="11">
        <v>1</v>
      </c>
      <c r="W28" s="11"/>
      <c r="X28" s="101">
        <f t="shared" si="0"/>
        <v>14</v>
      </c>
    </row>
    <row r="29" spans="1:24" ht="25.5" x14ac:dyDescent="0.45">
      <c r="A29" s="83" t="s">
        <v>411</v>
      </c>
      <c r="B29" s="77"/>
      <c r="C29" s="11"/>
      <c r="D29" s="11"/>
      <c r="E29" s="11"/>
      <c r="F29" s="11"/>
      <c r="G29" s="78"/>
      <c r="H29" s="11"/>
      <c r="I29" s="11"/>
      <c r="J29" s="78"/>
      <c r="K29" s="11"/>
      <c r="L29" s="11"/>
      <c r="M29" s="11"/>
      <c r="N29" s="11"/>
      <c r="O29" s="11"/>
      <c r="P29" s="78"/>
      <c r="Q29" s="11"/>
      <c r="R29" s="79">
        <v>43991</v>
      </c>
      <c r="S29" s="11"/>
      <c r="T29" s="11"/>
      <c r="U29" s="78"/>
      <c r="V29" s="11"/>
      <c r="W29" s="11"/>
      <c r="X29" s="101">
        <f t="shared" si="0"/>
        <v>1</v>
      </c>
    </row>
    <row r="30" spans="1:24" ht="25.5" x14ac:dyDescent="0.45">
      <c r="A30" s="82" t="s">
        <v>412</v>
      </c>
      <c r="B30" s="77"/>
      <c r="C30" s="79">
        <v>43510</v>
      </c>
      <c r="D30" s="11">
        <v>1</v>
      </c>
      <c r="E30" s="11"/>
      <c r="F30" s="11"/>
      <c r="G30" s="79">
        <v>43511</v>
      </c>
      <c r="H30" s="11">
        <v>1</v>
      </c>
      <c r="I30" s="11">
        <v>1</v>
      </c>
      <c r="J30" s="78"/>
      <c r="K30" s="11"/>
      <c r="L30" s="11">
        <v>1</v>
      </c>
      <c r="M30" s="11">
        <v>1</v>
      </c>
      <c r="N30" s="11"/>
      <c r="O30" s="11"/>
      <c r="P30" s="79">
        <v>43669</v>
      </c>
      <c r="Q30" s="79">
        <v>43866</v>
      </c>
      <c r="R30" s="11"/>
      <c r="S30" s="79">
        <v>43480</v>
      </c>
      <c r="T30" s="11">
        <v>1</v>
      </c>
      <c r="U30" s="79">
        <v>43511</v>
      </c>
      <c r="V30" s="78">
        <v>1</v>
      </c>
      <c r="W30" s="11"/>
      <c r="X30" s="101">
        <f t="shared" si="0"/>
        <v>13</v>
      </c>
    </row>
    <row r="31" spans="1:24" ht="25.5" x14ac:dyDescent="0.45">
      <c r="A31" s="80" t="s">
        <v>413</v>
      </c>
      <c r="B31" s="77"/>
      <c r="C31" s="79"/>
      <c r="D31" s="78"/>
      <c r="E31" s="78"/>
      <c r="F31" s="78"/>
      <c r="G31" s="79"/>
      <c r="H31" s="78"/>
      <c r="I31" s="78"/>
      <c r="J31" s="78"/>
      <c r="K31" s="78"/>
      <c r="L31" s="78"/>
      <c r="M31" s="78"/>
      <c r="N31" s="78"/>
      <c r="O31" s="78"/>
      <c r="P31" s="79">
        <v>43669</v>
      </c>
      <c r="Q31" s="78"/>
      <c r="R31" s="78"/>
      <c r="S31" s="78"/>
      <c r="T31" s="78"/>
      <c r="U31" s="78"/>
      <c r="V31" s="78"/>
      <c r="W31" s="78"/>
      <c r="X31" s="101">
        <f t="shared" si="0"/>
        <v>1</v>
      </c>
    </row>
    <row r="32" spans="1:24" ht="25.5" x14ac:dyDescent="0.45">
      <c r="A32" s="82" t="s">
        <v>414</v>
      </c>
      <c r="B32" s="77"/>
      <c r="C32" s="11">
        <v>1</v>
      </c>
      <c r="D32" s="11">
        <v>1</v>
      </c>
      <c r="E32" s="11"/>
      <c r="F32" s="11"/>
      <c r="G32" s="79">
        <v>43511</v>
      </c>
      <c r="H32" s="78">
        <v>1</v>
      </c>
      <c r="I32" s="11">
        <v>1</v>
      </c>
      <c r="J32" s="78"/>
      <c r="K32" s="11"/>
      <c r="L32" s="11">
        <v>1</v>
      </c>
      <c r="M32" s="11">
        <v>1</v>
      </c>
      <c r="N32" s="11"/>
      <c r="O32" s="11"/>
      <c r="P32" s="79">
        <v>43669</v>
      </c>
      <c r="Q32" s="79">
        <v>43866</v>
      </c>
      <c r="R32" s="11"/>
      <c r="S32" s="11">
        <v>1</v>
      </c>
      <c r="T32" s="11">
        <v>1</v>
      </c>
      <c r="U32" s="79">
        <v>43511</v>
      </c>
      <c r="V32" s="78">
        <v>1</v>
      </c>
      <c r="W32" s="11"/>
      <c r="X32" s="101">
        <f t="shared" si="0"/>
        <v>13</v>
      </c>
    </row>
    <row r="33" spans="1:24" ht="25.5" x14ac:dyDescent="0.45">
      <c r="A33" s="82" t="s">
        <v>415</v>
      </c>
      <c r="B33" s="77"/>
      <c r="C33" s="11">
        <v>1</v>
      </c>
      <c r="D33" s="11">
        <v>1</v>
      </c>
      <c r="E33" s="11"/>
      <c r="F33" s="11"/>
      <c r="G33" s="79">
        <v>43511</v>
      </c>
      <c r="H33" s="11">
        <v>1</v>
      </c>
      <c r="I33" s="11">
        <v>1</v>
      </c>
      <c r="J33" s="78"/>
      <c r="K33" s="11"/>
      <c r="L33" s="78">
        <v>1</v>
      </c>
      <c r="M33" s="11">
        <v>1</v>
      </c>
      <c r="N33" s="11"/>
      <c r="O33" s="78"/>
      <c r="P33" s="79">
        <v>43669</v>
      </c>
      <c r="Q33" s="79">
        <v>43866</v>
      </c>
      <c r="R33" s="11"/>
      <c r="S33" s="78">
        <v>1</v>
      </c>
      <c r="T33" s="11">
        <v>1</v>
      </c>
      <c r="U33" s="79">
        <v>43511</v>
      </c>
      <c r="V33" s="11">
        <v>1</v>
      </c>
      <c r="W33" s="11"/>
      <c r="X33" s="101">
        <f t="shared" si="0"/>
        <v>13</v>
      </c>
    </row>
    <row r="34" spans="1:24" ht="25.5" x14ac:dyDescent="0.45">
      <c r="A34" s="80" t="s">
        <v>416</v>
      </c>
      <c r="B34" s="77"/>
      <c r="C34" s="11"/>
      <c r="D34" s="78"/>
      <c r="E34" s="11"/>
      <c r="F34" s="11"/>
      <c r="G34" s="11"/>
      <c r="H34" s="78"/>
      <c r="I34" s="11"/>
      <c r="J34" s="78"/>
      <c r="K34" s="11"/>
      <c r="L34" s="11"/>
      <c r="M34" s="11"/>
      <c r="N34" s="11"/>
      <c r="O34" s="11"/>
      <c r="P34" s="11"/>
      <c r="Q34" s="11" t="s">
        <v>292</v>
      </c>
      <c r="R34" s="11"/>
      <c r="S34" s="79"/>
      <c r="T34" s="11"/>
      <c r="U34" s="11"/>
      <c r="V34" s="78"/>
      <c r="W34" s="11"/>
      <c r="X34" s="101">
        <f t="shared" si="0"/>
        <v>1</v>
      </c>
    </row>
    <row r="35" spans="1:24" ht="25.5" x14ac:dyDescent="0.45">
      <c r="A35" s="80" t="s">
        <v>417</v>
      </c>
      <c r="B35" s="77"/>
      <c r="C35" s="78"/>
      <c r="D35" s="78"/>
      <c r="E35" s="11"/>
      <c r="F35" s="11"/>
      <c r="G35" s="11"/>
      <c r="H35" s="11"/>
      <c r="I35" s="11"/>
      <c r="J35" s="78"/>
      <c r="K35" s="11"/>
      <c r="L35" s="78"/>
      <c r="M35" s="11"/>
      <c r="N35" s="11"/>
      <c r="O35" s="11"/>
      <c r="P35" s="78"/>
      <c r="Q35" s="11"/>
      <c r="R35" s="11"/>
      <c r="S35" s="78"/>
      <c r="T35" s="11"/>
      <c r="U35" s="78"/>
      <c r="V35" s="78"/>
      <c r="W35" s="11"/>
      <c r="X35" s="101">
        <f t="shared" si="0"/>
        <v>0</v>
      </c>
    </row>
    <row r="36" spans="1:24" ht="25.5" x14ac:dyDescent="0.45">
      <c r="A36" s="80" t="s">
        <v>418</v>
      </c>
      <c r="B36" s="77"/>
      <c r="C36" s="11"/>
      <c r="D36" s="79">
        <v>43889</v>
      </c>
      <c r="E36" s="11"/>
      <c r="F36" s="11"/>
      <c r="G36" s="11"/>
      <c r="H36" s="11"/>
      <c r="I36" s="11"/>
      <c r="J36" s="78"/>
      <c r="K36" s="11"/>
      <c r="L36" s="11"/>
      <c r="M36" s="11"/>
      <c r="N36" s="11"/>
      <c r="O36" s="11"/>
      <c r="P36" s="11"/>
      <c r="Q36" s="11"/>
      <c r="R36" s="78"/>
      <c r="S36" s="11"/>
      <c r="T36" s="11"/>
      <c r="U36" s="11"/>
      <c r="V36" s="11"/>
      <c r="W36" s="11"/>
      <c r="X36" s="101">
        <f t="shared" si="0"/>
        <v>1</v>
      </c>
    </row>
    <row r="37" spans="1:24" ht="25.5" x14ac:dyDescent="0.45">
      <c r="A37" s="80" t="s">
        <v>419</v>
      </c>
      <c r="B37" s="77"/>
      <c r="C37" s="11"/>
      <c r="D37" s="11"/>
      <c r="E37" s="11"/>
      <c r="F37" s="11"/>
      <c r="G37" s="11"/>
      <c r="H37" s="11"/>
      <c r="I37" s="11"/>
      <c r="J37" s="78"/>
      <c r="K37" s="79">
        <v>43892</v>
      </c>
      <c r="L37" s="11"/>
      <c r="M37" s="11"/>
      <c r="N37" s="11"/>
      <c r="O37" s="11"/>
      <c r="P37" s="79">
        <v>43991</v>
      </c>
      <c r="Q37" s="11"/>
      <c r="R37" s="11"/>
      <c r="S37" s="11"/>
      <c r="T37" s="11"/>
      <c r="U37" s="11"/>
      <c r="V37" s="11"/>
      <c r="W37" s="11"/>
      <c r="X37" s="101">
        <f t="shared" si="0"/>
        <v>2</v>
      </c>
    </row>
    <row r="38" spans="1:24" ht="25.5" x14ac:dyDescent="0.45">
      <c r="A38" s="82" t="s">
        <v>67</v>
      </c>
      <c r="B38" s="77"/>
      <c r="C38" s="79">
        <v>43889</v>
      </c>
      <c r="D38" s="79">
        <v>43510</v>
      </c>
      <c r="E38" s="11"/>
      <c r="F38" s="11"/>
      <c r="G38" s="11">
        <v>1</v>
      </c>
      <c r="H38" s="11">
        <v>1</v>
      </c>
      <c r="I38" s="11">
        <v>1</v>
      </c>
      <c r="J38" s="78"/>
      <c r="K38" s="11"/>
      <c r="L38" s="79">
        <v>43510</v>
      </c>
      <c r="M38" s="11">
        <v>1</v>
      </c>
      <c r="N38" s="11"/>
      <c r="O38" s="11"/>
      <c r="P38" s="79">
        <v>43991</v>
      </c>
      <c r="Q38" s="79">
        <v>43866</v>
      </c>
      <c r="R38" s="11"/>
      <c r="S38" s="79">
        <v>43889</v>
      </c>
      <c r="T38" s="11">
        <v>1</v>
      </c>
      <c r="U38" s="79">
        <v>43511</v>
      </c>
      <c r="V38" s="79">
        <v>43510</v>
      </c>
      <c r="W38" s="11"/>
      <c r="X38" s="101">
        <f t="shared" si="0"/>
        <v>13</v>
      </c>
    </row>
    <row r="39" spans="1:24" ht="25.5" x14ac:dyDescent="0.45">
      <c r="A39" s="82" t="s">
        <v>436</v>
      </c>
      <c r="B39" s="77"/>
      <c r="C39" s="79">
        <v>43510</v>
      </c>
      <c r="D39" s="79">
        <v>43510</v>
      </c>
      <c r="E39" s="11"/>
      <c r="F39" s="11"/>
      <c r="G39" s="11">
        <v>1</v>
      </c>
      <c r="H39" s="11">
        <v>1</v>
      </c>
      <c r="I39" s="11" t="s">
        <v>248</v>
      </c>
      <c r="J39" s="78"/>
      <c r="K39" s="11"/>
      <c r="L39" s="11">
        <v>1</v>
      </c>
      <c r="M39" s="11">
        <v>1</v>
      </c>
      <c r="N39" s="11"/>
      <c r="O39" s="11"/>
      <c r="P39" s="79">
        <v>43669</v>
      </c>
      <c r="Q39" s="79">
        <v>43866</v>
      </c>
      <c r="R39" s="11"/>
      <c r="S39" s="11">
        <v>1</v>
      </c>
      <c r="T39" s="11"/>
      <c r="U39" s="79">
        <v>43511</v>
      </c>
      <c r="V39" s="11">
        <v>1</v>
      </c>
      <c r="W39" s="11"/>
      <c r="X39" s="101">
        <f t="shared" si="0"/>
        <v>12</v>
      </c>
    </row>
    <row r="40" spans="1:24" ht="25.5" x14ac:dyDescent="0.45">
      <c r="A40" s="82" t="s">
        <v>287</v>
      </c>
      <c r="B40" s="77"/>
      <c r="C40" s="79">
        <v>43889</v>
      </c>
      <c r="D40" s="79">
        <v>43510</v>
      </c>
      <c r="E40" s="11"/>
      <c r="F40" s="11"/>
      <c r="G40" s="11">
        <v>1</v>
      </c>
      <c r="H40" s="79">
        <v>43510</v>
      </c>
      <c r="I40" s="11">
        <v>1</v>
      </c>
      <c r="J40" s="78"/>
      <c r="K40" s="11"/>
      <c r="L40" s="79">
        <v>43510</v>
      </c>
      <c r="M40" s="11">
        <v>1</v>
      </c>
      <c r="N40" s="11"/>
      <c r="O40" s="11"/>
      <c r="P40" s="11"/>
      <c r="Q40" s="79">
        <v>43866</v>
      </c>
      <c r="R40" s="11"/>
      <c r="S40" s="79">
        <v>43514</v>
      </c>
      <c r="T40" s="11">
        <v>1</v>
      </c>
      <c r="U40" s="79">
        <v>43511</v>
      </c>
      <c r="V40" s="78">
        <v>1</v>
      </c>
      <c r="W40" s="11"/>
      <c r="X40" s="101">
        <f t="shared" si="0"/>
        <v>12</v>
      </c>
    </row>
    <row r="41" spans="1:24" ht="25.5" x14ac:dyDescent="0.45">
      <c r="A41" s="82" t="s">
        <v>102</v>
      </c>
      <c r="B41" s="77"/>
      <c r="C41" s="11">
        <v>1</v>
      </c>
      <c r="D41" s="78">
        <v>1</v>
      </c>
      <c r="E41" s="11"/>
      <c r="F41" s="11"/>
      <c r="G41" s="11">
        <v>1</v>
      </c>
      <c r="H41" s="11">
        <v>1</v>
      </c>
      <c r="I41" s="11" t="s">
        <v>248</v>
      </c>
      <c r="J41" s="78"/>
      <c r="K41" s="79">
        <v>43573</v>
      </c>
      <c r="L41" s="11">
        <v>1</v>
      </c>
      <c r="M41" s="78">
        <v>1</v>
      </c>
      <c r="N41" s="11"/>
      <c r="O41" s="79">
        <v>43514</v>
      </c>
      <c r="P41" s="11"/>
      <c r="Q41" s="79">
        <v>43866</v>
      </c>
      <c r="R41" s="11"/>
      <c r="S41" s="11">
        <v>1</v>
      </c>
      <c r="T41" s="11">
        <v>1</v>
      </c>
      <c r="U41" s="79">
        <v>43511</v>
      </c>
      <c r="V41" s="79">
        <v>43510</v>
      </c>
      <c r="W41" s="11"/>
      <c r="X41" s="101">
        <f t="shared" si="0"/>
        <v>14</v>
      </c>
    </row>
    <row r="42" spans="1:24" ht="25.5" x14ac:dyDescent="0.45">
      <c r="A42" s="82" t="s">
        <v>70</v>
      </c>
      <c r="B42" s="77"/>
      <c r="C42" s="11" t="s">
        <v>252</v>
      </c>
      <c r="D42" s="11" t="s">
        <v>254</v>
      </c>
      <c r="E42" s="11"/>
      <c r="F42" s="11"/>
      <c r="G42" s="11" t="s">
        <v>259</v>
      </c>
      <c r="H42" s="11" t="s">
        <v>260</v>
      </c>
      <c r="I42" s="11" t="s">
        <v>248</v>
      </c>
      <c r="J42" s="78"/>
      <c r="K42" s="78"/>
      <c r="L42" s="11" t="s">
        <v>262</v>
      </c>
      <c r="M42" s="11" t="s">
        <v>263</v>
      </c>
      <c r="N42" s="11" t="s">
        <v>264</v>
      </c>
      <c r="O42" s="11" t="s">
        <v>266</v>
      </c>
      <c r="P42" s="78"/>
      <c r="Q42" s="11" t="s">
        <v>268</v>
      </c>
      <c r="R42" s="11" t="s">
        <v>267</v>
      </c>
      <c r="S42" s="11" t="s">
        <v>270</v>
      </c>
      <c r="T42" s="11" t="s">
        <v>272</v>
      </c>
      <c r="U42" s="79" t="s">
        <v>273</v>
      </c>
      <c r="V42" s="11" t="s">
        <v>274</v>
      </c>
      <c r="W42" s="11" t="s">
        <v>276</v>
      </c>
      <c r="X42" s="101">
        <f t="shared" si="0"/>
        <v>16</v>
      </c>
    </row>
    <row r="43" spans="1:24" ht="25.5" x14ac:dyDescent="0.45">
      <c r="A43" s="82" t="s">
        <v>71</v>
      </c>
      <c r="B43" s="77"/>
      <c r="C43" s="79">
        <v>43510</v>
      </c>
      <c r="D43" s="79">
        <v>43510</v>
      </c>
      <c r="E43" s="11"/>
      <c r="F43" s="11"/>
      <c r="G43" s="79">
        <v>43511</v>
      </c>
      <c r="H43" s="79">
        <v>43510</v>
      </c>
      <c r="I43" s="11" t="s">
        <v>248</v>
      </c>
      <c r="J43" s="78"/>
      <c r="K43" s="11"/>
      <c r="L43" s="11">
        <v>1</v>
      </c>
      <c r="M43" s="11">
        <v>1</v>
      </c>
      <c r="N43" s="11"/>
      <c r="O43" s="11"/>
      <c r="P43" s="11"/>
      <c r="Q43" s="79">
        <v>43866</v>
      </c>
      <c r="R43" s="11"/>
      <c r="S43" s="78" t="s">
        <v>271</v>
      </c>
      <c r="T43" s="78">
        <v>1</v>
      </c>
      <c r="U43" s="79">
        <v>43636</v>
      </c>
      <c r="V43" s="78">
        <v>1</v>
      </c>
      <c r="W43" s="11"/>
      <c r="X43" s="101">
        <f t="shared" si="0"/>
        <v>12</v>
      </c>
    </row>
    <row r="44" spans="1:24" ht="25.5" x14ac:dyDescent="0.45">
      <c r="A44" s="82" t="s">
        <v>72</v>
      </c>
      <c r="B44" s="77"/>
      <c r="C44" s="78">
        <v>1</v>
      </c>
      <c r="D44" s="78"/>
      <c r="E44" s="11"/>
      <c r="F44" s="78"/>
      <c r="G44" s="78"/>
      <c r="H44" s="79">
        <v>43510</v>
      </c>
      <c r="I44" s="11" t="s">
        <v>248</v>
      </c>
      <c r="J44" s="78"/>
      <c r="K44" s="11"/>
      <c r="L44" s="79">
        <v>43644</v>
      </c>
      <c r="M44" s="78">
        <v>1</v>
      </c>
      <c r="N44" s="11"/>
      <c r="O44" s="11"/>
      <c r="P44" s="78"/>
      <c r="Q44" s="11"/>
      <c r="R44" s="78"/>
      <c r="S44" s="78">
        <v>1</v>
      </c>
      <c r="T44" s="79">
        <v>43511</v>
      </c>
      <c r="U44" s="79">
        <v>43511</v>
      </c>
      <c r="V44" s="78">
        <v>1</v>
      </c>
      <c r="W44" s="11"/>
      <c r="X44" s="101">
        <f t="shared" si="0"/>
        <v>9</v>
      </c>
    </row>
    <row r="45" spans="1:24" ht="25.5" x14ac:dyDescent="0.45">
      <c r="A45" s="82" t="s">
        <v>73</v>
      </c>
      <c r="B45" s="77"/>
      <c r="C45" s="11" t="s">
        <v>248</v>
      </c>
      <c r="D45" s="79">
        <v>44020</v>
      </c>
      <c r="E45" s="78"/>
      <c r="F45" s="11"/>
      <c r="G45" s="78" t="s">
        <v>248</v>
      </c>
      <c r="H45" s="78">
        <v>1</v>
      </c>
      <c r="I45" s="11"/>
      <c r="J45" s="78"/>
      <c r="K45" s="79">
        <v>43511</v>
      </c>
      <c r="L45" s="78">
        <v>1</v>
      </c>
      <c r="M45" s="78">
        <v>1</v>
      </c>
      <c r="N45" s="11"/>
      <c r="O45" s="78"/>
      <c r="P45" s="78"/>
      <c r="Q45" s="11"/>
      <c r="R45" s="11"/>
      <c r="S45" s="79">
        <v>43514</v>
      </c>
      <c r="T45" s="79">
        <v>43511</v>
      </c>
      <c r="U45" s="79">
        <v>43511</v>
      </c>
      <c r="V45" s="79">
        <v>43510</v>
      </c>
      <c r="W45" s="11"/>
      <c r="X45" s="101">
        <f t="shared" si="0"/>
        <v>11</v>
      </c>
    </row>
    <row r="46" spans="1:24" ht="25.5" x14ac:dyDescent="0.45">
      <c r="A46" s="82" t="s">
        <v>74</v>
      </c>
      <c r="B46" s="77"/>
      <c r="C46" s="78" t="s">
        <v>248</v>
      </c>
      <c r="D46" s="11">
        <v>1</v>
      </c>
      <c r="E46" s="79">
        <v>43674</v>
      </c>
      <c r="F46" s="79"/>
      <c r="G46" s="79">
        <v>43674</v>
      </c>
      <c r="H46" s="79">
        <v>43634</v>
      </c>
      <c r="I46" s="11">
        <v>1</v>
      </c>
      <c r="J46" s="78"/>
      <c r="K46" s="11"/>
      <c r="L46" s="79">
        <v>43567</v>
      </c>
      <c r="M46" s="79">
        <v>43675</v>
      </c>
      <c r="N46" s="11"/>
      <c r="O46" s="79">
        <v>43674</v>
      </c>
      <c r="P46" s="78"/>
      <c r="Q46" s="11"/>
      <c r="R46" s="79">
        <v>43674</v>
      </c>
      <c r="S46" s="11">
        <v>1</v>
      </c>
      <c r="T46" s="78">
        <v>1</v>
      </c>
      <c r="U46" s="78">
        <v>1</v>
      </c>
      <c r="V46" s="78">
        <v>1</v>
      </c>
      <c r="W46" s="11">
        <v>1</v>
      </c>
      <c r="X46" s="101">
        <f t="shared" si="0"/>
        <v>15</v>
      </c>
    </row>
    <row r="47" spans="1:24" ht="25.5" x14ac:dyDescent="0.45">
      <c r="A47" s="82" t="s">
        <v>75</v>
      </c>
      <c r="B47" s="77"/>
      <c r="C47" s="11">
        <v>1</v>
      </c>
      <c r="D47" s="79">
        <v>43817</v>
      </c>
      <c r="E47" s="79">
        <v>43476</v>
      </c>
      <c r="F47" s="11">
        <v>1</v>
      </c>
      <c r="G47" s="79">
        <v>43511</v>
      </c>
      <c r="H47" s="79">
        <v>43510</v>
      </c>
      <c r="I47" s="11">
        <v>1</v>
      </c>
      <c r="J47" s="79">
        <v>43866</v>
      </c>
      <c r="K47" s="78">
        <v>1</v>
      </c>
      <c r="L47" s="79">
        <v>43619</v>
      </c>
      <c r="M47" s="78">
        <v>1</v>
      </c>
      <c r="N47" s="11"/>
      <c r="O47" s="79">
        <v>43733</v>
      </c>
      <c r="P47" s="79">
        <v>43732</v>
      </c>
      <c r="Q47" s="11"/>
      <c r="R47" s="11">
        <v>1</v>
      </c>
      <c r="S47" s="78">
        <v>1</v>
      </c>
      <c r="T47" s="79">
        <v>43447</v>
      </c>
      <c r="U47" s="79">
        <v>43564</v>
      </c>
      <c r="V47" s="78">
        <v>1</v>
      </c>
      <c r="W47" s="11">
        <v>1</v>
      </c>
      <c r="X47" s="101">
        <f t="shared" si="0"/>
        <v>19</v>
      </c>
    </row>
    <row r="48" spans="1:24" ht="45" x14ac:dyDescent="0.45">
      <c r="A48" s="80" t="s">
        <v>124</v>
      </c>
      <c r="B48" s="77"/>
      <c r="C48" s="11"/>
      <c r="D48" s="78"/>
      <c r="E48" s="11"/>
      <c r="F48" s="11"/>
      <c r="G48" s="78"/>
      <c r="H48" s="79">
        <v>43521</v>
      </c>
      <c r="I48" s="11"/>
      <c r="J48" s="78"/>
      <c r="K48" s="11"/>
      <c r="L48" s="78"/>
      <c r="M48" s="11"/>
      <c r="N48" s="11"/>
      <c r="O48" s="11"/>
      <c r="P48" s="78"/>
      <c r="Q48" s="11"/>
      <c r="R48" s="78"/>
      <c r="S48" s="79">
        <v>43522</v>
      </c>
      <c r="T48" s="11"/>
      <c r="U48" s="78"/>
      <c r="V48" s="79">
        <v>43521</v>
      </c>
      <c r="W48" s="11"/>
      <c r="X48" s="101">
        <f t="shared" si="0"/>
        <v>3</v>
      </c>
    </row>
    <row r="49" spans="1:24" ht="25.5" x14ac:dyDescent="0.45">
      <c r="A49" s="80" t="s">
        <v>91</v>
      </c>
      <c r="B49" s="77"/>
      <c r="C49" s="78"/>
      <c r="D49" s="78"/>
      <c r="E49" s="78"/>
      <c r="F49" s="78"/>
      <c r="G49" s="78"/>
      <c r="H49" s="79">
        <v>43510</v>
      </c>
      <c r="I49" s="78"/>
      <c r="J49" s="78"/>
      <c r="K49" s="79">
        <v>43511</v>
      </c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9"/>
      <c r="W49" s="78"/>
      <c r="X49" s="101">
        <f t="shared" si="0"/>
        <v>2</v>
      </c>
    </row>
    <row r="50" spans="1:24" ht="25.5" x14ac:dyDescent="0.45">
      <c r="A50" s="80" t="s">
        <v>288</v>
      </c>
      <c r="B50" s="77"/>
      <c r="C50" s="11"/>
      <c r="D50" s="11"/>
      <c r="E50" s="11"/>
      <c r="F50" s="11"/>
      <c r="G50" s="11"/>
      <c r="H50" s="11"/>
      <c r="I50" s="11"/>
      <c r="J50" s="78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78"/>
      <c r="W50" s="11"/>
      <c r="X50" s="101">
        <f t="shared" si="0"/>
        <v>0</v>
      </c>
    </row>
    <row r="51" spans="1:24" ht="25.5" x14ac:dyDescent="0.45">
      <c r="A51" s="80" t="s">
        <v>199</v>
      </c>
      <c r="B51" s="77"/>
      <c r="C51" s="11"/>
      <c r="D51" s="78"/>
      <c r="E51" s="11"/>
      <c r="F51" s="11"/>
      <c r="G51" s="78"/>
      <c r="H51" s="11"/>
      <c r="I51" s="11"/>
      <c r="J51" s="78"/>
      <c r="K51" s="11"/>
      <c r="L51" s="11"/>
      <c r="M51" s="78"/>
      <c r="N51" s="11"/>
      <c r="O51" s="11"/>
      <c r="P51" s="78"/>
      <c r="Q51" s="11"/>
      <c r="R51" s="79">
        <v>43991</v>
      </c>
      <c r="S51" s="11"/>
      <c r="T51" s="11"/>
      <c r="U51" s="78"/>
      <c r="V51" s="11"/>
      <c r="W51" s="11"/>
      <c r="X51" s="101">
        <f t="shared" si="0"/>
        <v>1</v>
      </c>
    </row>
    <row r="52" spans="1:24" ht="25.5" x14ac:dyDescent="0.45">
      <c r="A52" s="80" t="s">
        <v>119</v>
      </c>
      <c r="B52" s="77"/>
      <c r="C52" s="78"/>
      <c r="D52" s="11"/>
      <c r="E52" s="11"/>
      <c r="F52" s="11"/>
      <c r="G52" s="78"/>
      <c r="H52" s="78"/>
      <c r="I52" s="11"/>
      <c r="J52" s="78"/>
      <c r="K52" s="79">
        <v>43511</v>
      </c>
      <c r="L52" s="78"/>
      <c r="M52" s="78"/>
      <c r="N52" s="11"/>
      <c r="O52" s="11"/>
      <c r="P52" s="78"/>
      <c r="Q52" s="11"/>
      <c r="R52" s="78"/>
      <c r="S52" s="11"/>
      <c r="T52" s="11"/>
      <c r="U52" s="78"/>
      <c r="V52" s="11"/>
      <c r="W52" s="11"/>
      <c r="X52" s="101">
        <f t="shared" si="0"/>
        <v>1</v>
      </c>
    </row>
    <row r="53" spans="1:24" ht="25.5" x14ac:dyDescent="0.45">
      <c r="A53" s="80" t="s">
        <v>121</v>
      </c>
      <c r="B53" s="77"/>
      <c r="C53" s="78"/>
      <c r="D53" s="78"/>
      <c r="E53" s="11"/>
      <c r="F53" s="11"/>
      <c r="G53" s="11"/>
      <c r="H53" s="78"/>
      <c r="I53" s="11"/>
      <c r="J53" s="78"/>
      <c r="K53" s="11"/>
      <c r="L53" s="78"/>
      <c r="M53" s="79">
        <v>43510</v>
      </c>
      <c r="N53" s="11"/>
      <c r="O53" s="11"/>
      <c r="P53" s="11"/>
      <c r="Q53" s="11"/>
      <c r="R53" s="11"/>
      <c r="S53" s="78"/>
      <c r="T53" s="11"/>
      <c r="U53" s="78"/>
      <c r="V53" s="11"/>
      <c r="W53" s="11"/>
      <c r="X53" s="101">
        <f t="shared" si="0"/>
        <v>1</v>
      </c>
    </row>
    <row r="54" spans="1:24" ht="25.5" x14ac:dyDescent="0.45">
      <c r="A54" s="80" t="s">
        <v>123</v>
      </c>
      <c r="B54" s="77"/>
      <c r="C54" s="11"/>
      <c r="D54" s="11"/>
      <c r="E54" s="11"/>
      <c r="F54" s="11"/>
      <c r="G54" s="11"/>
      <c r="H54" s="11"/>
      <c r="I54" s="11"/>
      <c r="J54" s="78"/>
      <c r="K54" s="11"/>
      <c r="L54" s="11"/>
      <c r="M54" s="11"/>
      <c r="N54" s="11"/>
      <c r="O54" s="79">
        <v>43514</v>
      </c>
      <c r="P54" s="11"/>
      <c r="Q54" s="11"/>
      <c r="R54" s="11"/>
      <c r="S54" s="11"/>
      <c r="T54" s="11"/>
      <c r="U54" s="11"/>
      <c r="V54" s="11"/>
      <c r="W54" s="11"/>
      <c r="X54" s="101">
        <f t="shared" si="0"/>
        <v>1</v>
      </c>
    </row>
    <row r="55" spans="1:24" ht="30" x14ac:dyDescent="0.45">
      <c r="A55" s="80" t="s">
        <v>126</v>
      </c>
      <c r="B55" s="77"/>
      <c r="C55" s="78" t="s">
        <v>294</v>
      </c>
      <c r="D55" s="11"/>
      <c r="E55" s="11"/>
      <c r="F55" s="11"/>
      <c r="G55" s="78"/>
      <c r="H55" s="11"/>
      <c r="I55" s="11"/>
      <c r="J55" s="78"/>
      <c r="K55" s="11"/>
      <c r="L55" s="11"/>
      <c r="M55" s="11"/>
      <c r="N55" s="85" t="s">
        <v>295</v>
      </c>
      <c r="O55" s="11"/>
      <c r="P55" s="11"/>
      <c r="Q55" s="11"/>
      <c r="R55" s="11"/>
      <c r="S55" s="11" t="s">
        <v>296</v>
      </c>
      <c r="T55" s="11"/>
      <c r="U55" s="78"/>
      <c r="V55" s="11"/>
      <c r="W55" s="11"/>
      <c r="X55" s="101">
        <f t="shared" si="0"/>
        <v>3</v>
      </c>
    </row>
    <row r="56" spans="1:24" ht="25.5" x14ac:dyDescent="0.45">
      <c r="A56" s="80" t="s">
        <v>127</v>
      </c>
      <c r="B56" s="77"/>
      <c r="C56" s="11"/>
      <c r="D56" s="11"/>
      <c r="E56" s="11"/>
      <c r="F56" s="11"/>
      <c r="G56" s="11"/>
      <c r="H56" s="11"/>
      <c r="I56" s="11"/>
      <c r="J56" s="78"/>
      <c r="K56" s="11"/>
      <c r="L56" s="11"/>
      <c r="M56" s="11"/>
      <c r="N56" s="11"/>
      <c r="O56" s="11"/>
      <c r="P56" s="78"/>
      <c r="Q56" s="11"/>
      <c r="R56" s="11"/>
      <c r="S56" s="11"/>
      <c r="T56" s="11"/>
      <c r="U56" s="11"/>
      <c r="V56" s="79">
        <v>43516</v>
      </c>
      <c r="W56" s="11"/>
      <c r="X56" s="101">
        <f t="shared" si="0"/>
        <v>1</v>
      </c>
    </row>
    <row r="57" spans="1:24" ht="25.5" x14ac:dyDescent="0.45">
      <c r="A57" s="80" t="s">
        <v>128</v>
      </c>
      <c r="B57" s="77"/>
      <c r="C57" s="11"/>
      <c r="D57" s="11"/>
      <c r="E57" s="11"/>
      <c r="F57" s="11"/>
      <c r="G57" s="11"/>
      <c r="H57" s="11"/>
      <c r="I57" s="11"/>
      <c r="J57" s="78"/>
      <c r="K57" s="78"/>
      <c r="L57" s="11"/>
      <c r="M57" s="11"/>
      <c r="N57" s="11"/>
      <c r="O57" s="78"/>
      <c r="P57" s="11"/>
      <c r="Q57" s="11"/>
      <c r="R57" s="11"/>
      <c r="S57" s="11"/>
      <c r="T57" s="11"/>
      <c r="U57" s="78"/>
      <c r="V57" s="79">
        <v>43510</v>
      </c>
      <c r="W57" s="11"/>
      <c r="X57" s="101">
        <f t="shared" si="0"/>
        <v>1</v>
      </c>
    </row>
    <row r="58" spans="1:24" ht="25.5" x14ac:dyDescent="0.45">
      <c r="A58" s="80" t="s">
        <v>132</v>
      </c>
      <c r="B58" s="77"/>
      <c r="C58" s="11"/>
      <c r="D58" s="11"/>
      <c r="E58" s="11"/>
      <c r="F58" s="11"/>
      <c r="G58" s="11"/>
      <c r="H58" s="79">
        <v>44006</v>
      </c>
      <c r="I58" s="11"/>
      <c r="J58" s="78"/>
      <c r="K58" s="11"/>
      <c r="L58" s="78"/>
      <c r="M58" s="78"/>
      <c r="N58" s="11"/>
      <c r="O58" s="11"/>
      <c r="P58" s="11"/>
      <c r="Q58" s="11"/>
      <c r="R58" s="11"/>
      <c r="S58" s="11"/>
      <c r="T58" s="78"/>
      <c r="U58" s="78"/>
      <c r="V58" s="11"/>
      <c r="W58" s="11"/>
      <c r="X58" s="101">
        <f t="shared" si="0"/>
        <v>1</v>
      </c>
    </row>
    <row r="59" spans="1:24" ht="25.5" x14ac:dyDescent="0.45">
      <c r="A59" s="80" t="s">
        <v>133</v>
      </c>
      <c r="B59" s="77"/>
      <c r="C59" s="11"/>
      <c r="D59" s="78"/>
      <c r="E59" s="11"/>
      <c r="F59" s="11"/>
      <c r="G59" s="78"/>
      <c r="H59" s="11"/>
      <c r="I59" s="11"/>
      <c r="J59" s="78"/>
      <c r="K59" s="11"/>
      <c r="L59" s="11"/>
      <c r="M59" s="11"/>
      <c r="N59" s="11"/>
      <c r="O59" s="11"/>
      <c r="P59" s="78"/>
      <c r="Q59" s="11"/>
      <c r="R59" s="11"/>
      <c r="S59" s="78"/>
      <c r="T59" s="11"/>
      <c r="U59" s="11"/>
      <c r="V59" s="78"/>
      <c r="W59" s="11"/>
      <c r="X59" s="101">
        <f t="shared" si="0"/>
        <v>0</v>
      </c>
    </row>
    <row r="60" spans="1:24" ht="25.5" x14ac:dyDescent="0.45">
      <c r="A60" s="80" t="s">
        <v>275</v>
      </c>
      <c r="B60" s="77"/>
      <c r="C60" s="11"/>
      <c r="D60" s="78"/>
      <c r="E60" s="11"/>
      <c r="F60" s="11"/>
      <c r="G60" s="78"/>
      <c r="H60" s="78"/>
      <c r="I60" s="11"/>
      <c r="J60" s="78"/>
      <c r="K60" s="11"/>
      <c r="L60" s="78"/>
      <c r="M60" s="11"/>
      <c r="N60" s="11"/>
      <c r="O60" s="11"/>
      <c r="P60" s="78"/>
      <c r="Q60" s="11"/>
      <c r="R60" s="11"/>
      <c r="S60" s="11"/>
      <c r="T60" s="11"/>
      <c r="U60" s="78"/>
      <c r="V60" s="79">
        <v>43788</v>
      </c>
      <c r="W60" s="11"/>
      <c r="X60" s="101">
        <f t="shared" si="0"/>
        <v>1</v>
      </c>
    </row>
    <row r="61" spans="1:24" ht="25.5" x14ac:dyDescent="0.45">
      <c r="A61" s="80" t="s">
        <v>137</v>
      </c>
      <c r="B61" s="77"/>
      <c r="C61" s="11"/>
      <c r="D61" s="79">
        <v>43746</v>
      </c>
      <c r="E61" s="11"/>
      <c r="F61" s="11"/>
      <c r="G61" s="11"/>
      <c r="H61" s="79">
        <v>43746</v>
      </c>
      <c r="I61" s="11" t="s">
        <v>248</v>
      </c>
      <c r="J61" s="78"/>
      <c r="K61" s="11"/>
      <c r="L61" s="11"/>
      <c r="M61" s="11"/>
      <c r="N61" s="11"/>
      <c r="O61" s="11"/>
      <c r="P61" s="78"/>
      <c r="Q61" s="11"/>
      <c r="R61" s="11"/>
      <c r="S61" s="11"/>
      <c r="T61" s="11"/>
      <c r="U61" s="11"/>
      <c r="V61" s="79">
        <v>43783</v>
      </c>
      <c r="W61" s="11"/>
      <c r="X61" s="101">
        <f t="shared" si="0"/>
        <v>4</v>
      </c>
    </row>
    <row r="62" spans="1:24" ht="25.5" x14ac:dyDescent="0.45">
      <c r="A62" s="80" t="s">
        <v>140</v>
      </c>
      <c r="B62" s="77"/>
      <c r="C62" s="11"/>
      <c r="D62" s="11"/>
      <c r="E62" s="11"/>
      <c r="F62" s="11"/>
      <c r="G62" s="11"/>
      <c r="H62" s="78"/>
      <c r="I62" s="11"/>
      <c r="J62" s="78"/>
      <c r="K62" s="78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78"/>
      <c r="W62" s="11"/>
      <c r="X62" s="101">
        <f t="shared" si="0"/>
        <v>0</v>
      </c>
    </row>
    <row r="63" spans="1:24" ht="25.5" x14ac:dyDescent="0.45">
      <c r="A63" s="80" t="s">
        <v>144</v>
      </c>
      <c r="B63" s="77"/>
      <c r="C63" s="11"/>
      <c r="D63" s="11"/>
      <c r="E63" s="11"/>
      <c r="F63" s="11"/>
      <c r="G63" s="11"/>
      <c r="H63" s="11"/>
      <c r="I63" s="11"/>
      <c r="J63" s="78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01">
        <f t="shared" si="0"/>
        <v>0</v>
      </c>
    </row>
    <row r="64" spans="1:24" ht="25.5" x14ac:dyDescent="0.45">
      <c r="A64" s="80" t="s">
        <v>145</v>
      </c>
      <c r="B64" s="77"/>
      <c r="C64" s="11"/>
      <c r="D64" s="11"/>
      <c r="E64" s="11"/>
      <c r="F64" s="11"/>
      <c r="G64" s="11"/>
      <c r="H64" s="11"/>
      <c r="I64" s="11"/>
      <c r="J64" s="78"/>
      <c r="K64" s="11"/>
      <c r="L64" s="11"/>
      <c r="M64" s="11"/>
      <c r="N64" s="11"/>
      <c r="O64" s="11"/>
      <c r="P64" s="79">
        <v>43669</v>
      </c>
      <c r="Q64" s="11"/>
      <c r="R64" s="11"/>
      <c r="S64" s="11"/>
      <c r="T64" s="11"/>
      <c r="U64" s="11"/>
      <c r="V64" s="11"/>
      <c r="W64" s="11"/>
      <c r="X64" s="101">
        <f t="shared" si="0"/>
        <v>1</v>
      </c>
    </row>
    <row r="65" spans="1:24" ht="25.5" x14ac:dyDescent="0.45">
      <c r="A65" s="80" t="s">
        <v>146</v>
      </c>
      <c r="B65" s="77"/>
      <c r="C65" s="11"/>
      <c r="D65" s="11"/>
      <c r="E65" s="11"/>
      <c r="F65" s="11"/>
      <c r="G65" s="11"/>
      <c r="H65" s="11"/>
      <c r="I65" s="11"/>
      <c r="J65" s="78"/>
      <c r="K65" s="11"/>
      <c r="L65" s="11"/>
      <c r="M65" s="11"/>
      <c r="N65" s="11"/>
      <c r="O65" s="11"/>
      <c r="P65" s="79">
        <v>43669</v>
      </c>
      <c r="Q65" s="11"/>
      <c r="R65" s="11"/>
      <c r="S65" s="11"/>
      <c r="T65" s="11"/>
      <c r="U65" s="11"/>
      <c r="V65" s="11"/>
      <c r="W65" s="11"/>
      <c r="X65" s="101">
        <f t="shared" si="0"/>
        <v>1</v>
      </c>
    </row>
    <row r="66" spans="1:24" ht="25.5" x14ac:dyDescent="0.45">
      <c r="A66" s="80" t="s">
        <v>149</v>
      </c>
      <c r="B66" s="77"/>
      <c r="C66" s="11"/>
      <c r="D66" s="11"/>
      <c r="E66" s="11"/>
      <c r="F66" s="11"/>
      <c r="G66" s="11"/>
      <c r="H66" s="11"/>
      <c r="I66" s="11"/>
      <c r="J66" s="78"/>
      <c r="K66" s="11"/>
      <c r="L66" s="11"/>
      <c r="M66" s="11"/>
      <c r="N66" s="11"/>
      <c r="O66" s="11"/>
      <c r="P66" s="79">
        <v>43547</v>
      </c>
      <c r="Q66" s="11"/>
      <c r="R66" s="11"/>
      <c r="S66" s="11"/>
      <c r="T66" s="11"/>
      <c r="U66" s="11"/>
      <c r="V66" s="11"/>
      <c r="W66" s="11"/>
      <c r="X66" s="101">
        <f t="shared" si="0"/>
        <v>1</v>
      </c>
    </row>
    <row r="67" spans="1:24" ht="25.5" x14ac:dyDescent="0.45">
      <c r="A67" s="80" t="s">
        <v>158</v>
      </c>
      <c r="B67" s="77"/>
      <c r="C67" s="78"/>
      <c r="D67" s="78"/>
      <c r="E67" s="11"/>
      <c r="F67" s="11"/>
      <c r="G67" s="78"/>
      <c r="H67" s="11"/>
      <c r="I67" s="11"/>
      <c r="J67" s="78"/>
      <c r="K67" s="11"/>
      <c r="L67" s="11"/>
      <c r="M67" s="11"/>
      <c r="N67" s="11"/>
      <c r="O67" s="11"/>
      <c r="P67" s="78"/>
      <c r="Q67" s="11"/>
      <c r="R67" s="78"/>
      <c r="S67" s="78"/>
      <c r="T67" s="11"/>
      <c r="U67" s="78"/>
      <c r="V67" s="78"/>
      <c r="W67" s="11"/>
      <c r="X67" s="101">
        <f t="shared" ref="X67:X76" si="1">COUNTA(C67:W67)</f>
        <v>0</v>
      </c>
    </row>
    <row r="68" spans="1:24" ht="25.5" x14ac:dyDescent="0.45">
      <c r="A68" s="80" t="s">
        <v>170</v>
      </c>
      <c r="B68" s="77"/>
      <c r="C68" s="11"/>
      <c r="D68" s="11"/>
      <c r="E68" s="11"/>
      <c r="F68" s="11"/>
      <c r="G68" s="11"/>
      <c r="H68" s="11" t="s">
        <v>261</v>
      </c>
      <c r="I68" s="11"/>
      <c r="J68" s="78"/>
      <c r="K68" s="11"/>
      <c r="L68" s="11"/>
      <c r="M68" s="11"/>
      <c r="N68" s="11"/>
      <c r="O68" s="11"/>
      <c r="P68" s="78"/>
      <c r="Q68" s="11"/>
      <c r="R68" s="11"/>
      <c r="S68" s="11"/>
      <c r="T68" s="11"/>
      <c r="U68" s="11"/>
      <c r="V68" s="11"/>
      <c r="W68" s="11"/>
      <c r="X68" s="101">
        <f t="shared" si="1"/>
        <v>1</v>
      </c>
    </row>
    <row r="69" spans="1:24" ht="25.5" x14ac:dyDescent="0.45">
      <c r="A69" s="80" t="s">
        <v>293</v>
      </c>
      <c r="B69" s="77"/>
      <c r="C69" s="11"/>
      <c r="D69" s="79">
        <v>43871</v>
      </c>
      <c r="E69" s="11"/>
      <c r="F69" s="11"/>
      <c r="G69" s="11"/>
      <c r="H69" s="11"/>
      <c r="I69" s="11"/>
      <c r="J69" s="78"/>
      <c r="K69" s="11"/>
      <c r="L69" s="11"/>
      <c r="M69" s="78"/>
      <c r="N69" s="11"/>
      <c r="O69" s="11"/>
      <c r="P69" s="11"/>
      <c r="Q69" s="11"/>
      <c r="R69" s="11"/>
      <c r="S69" s="11"/>
      <c r="T69" s="79">
        <v>44020</v>
      </c>
      <c r="U69" s="11"/>
      <c r="V69" s="11" t="s">
        <v>175</v>
      </c>
      <c r="W69" s="11"/>
      <c r="X69" s="101">
        <f t="shared" si="1"/>
        <v>3</v>
      </c>
    </row>
    <row r="70" spans="1:24" ht="25.5" x14ac:dyDescent="0.45">
      <c r="A70" s="80" t="s">
        <v>183</v>
      </c>
      <c r="B70" s="77"/>
      <c r="C70" s="11"/>
      <c r="D70" s="11"/>
      <c r="E70" s="11"/>
      <c r="F70" s="11"/>
      <c r="G70" s="11"/>
      <c r="H70" s="11"/>
      <c r="I70" s="11"/>
      <c r="J70" s="78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78"/>
      <c r="V70" s="79">
        <v>43810</v>
      </c>
      <c r="W70" s="11"/>
      <c r="X70" s="101">
        <f t="shared" si="1"/>
        <v>1</v>
      </c>
    </row>
    <row r="71" spans="1:24" ht="30" x14ac:dyDescent="0.45">
      <c r="A71" s="80" t="s">
        <v>250</v>
      </c>
      <c r="B71" s="77"/>
      <c r="C71" s="79">
        <v>43889</v>
      </c>
      <c r="D71" s="11"/>
      <c r="E71" s="11"/>
      <c r="F71" s="11"/>
      <c r="G71" s="11"/>
      <c r="H71" s="11"/>
      <c r="I71" s="11"/>
      <c r="J71" s="78"/>
      <c r="K71" s="11"/>
      <c r="L71" s="11"/>
      <c r="M71" s="11"/>
      <c r="N71" s="11"/>
      <c r="O71" s="11"/>
      <c r="P71" s="11"/>
      <c r="Q71" s="11"/>
      <c r="R71" s="78"/>
      <c r="S71" s="79">
        <v>43889</v>
      </c>
      <c r="T71" s="11"/>
      <c r="U71" s="11"/>
      <c r="V71" s="79">
        <v>43889</v>
      </c>
      <c r="W71" s="11"/>
      <c r="X71" s="101">
        <f t="shared" si="1"/>
        <v>3</v>
      </c>
    </row>
    <row r="72" spans="1:24" ht="25.5" x14ac:dyDescent="0.45">
      <c r="A72" s="80" t="s">
        <v>251</v>
      </c>
      <c r="B72" s="77"/>
      <c r="C72" s="79">
        <v>43889</v>
      </c>
      <c r="D72" s="79"/>
      <c r="E72" s="78"/>
      <c r="F72" s="78"/>
      <c r="G72" s="78"/>
      <c r="H72" s="78"/>
      <c r="I72" s="78"/>
      <c r="J72" s="78"/>
      <c r="K72" s="78"/>
      <c r="L72" s="78"/>
      <c r="M72" s="78"/>
      <c r="N72" s="78"/>
      <c r="O72" s="78"/>
      <c r="P72" s="78"/>
      <c r="Q72" s="78"/>
      <c r="R72" s="78"/>
      <c r="S72" s="79">
        <v>43889</v>
      </c>
      <c r="T72" s="78"/>
      <c r="U72" s="78"/>
      <c r="V72" s="79">
        <v>43889</v>
      </c>
      <c r="W72" s="78"/>
      <c r="X72" s="101">
        <f t="shared" si="1"/>
        <v>3</v>
      </c>
    </row>
    <row r="73" spans="1:24" ht="25.5" x14ac:dyDescent="0.45">
      <c r="A73" s="84" t="s">
        <v>289</v>
      </c>
      <c r="B73" s="10"/>
      <c r="C73" s="79" t="s">
        <v>290</v>
      </c>
      <c r="D73" s="78"/>
      <c r="E73" s="78"/>
      <c r="F73" s="78"/>
      <c r="G73" s="78"/>
      <c r="H73" s="78"/>
      <c r="I73" s="78"/>
      <c r="J73" s="78"/>
      <c r="K73" s="78"/>
      <c r="L73" s="78"/>
      <c r="M73" s="78"/>
      <c r="N73" s="78"/>
      <c r="O73" s="78"/>
      <c r="P73" s="78"/>
      <c r="Q73" s="78"/>
      <c r="R73" s="78"/>
      <c r="S73" s="78" t="s">
        <v>301</v>
      </c>
      <c r="T73" s="78"/>
      <c r="U73" s="78"/>
      <c r="V73" s="78"/>
      <c r="W73" s="78"/>
      <c r="X73" s="101">
        <f t="shared" si="1"/>
        <v>2</v>
      </c>
    </row>
    <row r="74" spans="1:24" ht="25.5" x14ac:dyDescent="0.45">
      <c r="A74" s="84" t="s">
        <v>297</v>
      </c>
      <c r="B74" s="10"/>
      <c r="C74" s="79"/>
      <c r="D74" s="78"/>
      <c r="E74" s="78"/>
      <c r="F74" s="78"/>
      <c r="G74" s="78"/>
      <c r="H74" s="78"/>
      <c r="I74" s="78"/>
      <c r="J74" s="78"/>
      <c r="K74" s="78"/>
      <c r="L74" s="78"/>
      <c r="M74" s="78"/>
      <c r="N74" s="78"/>
      <c r="O74" s="78"/>
      <c r="P74" s="78"/>
      <c r="Q74" s="78" t="s">
        <v>302</v>
      </c>
      <c r="R74" s="78"/>
      <c r="S74" s="78" t="s">
        <v>299</v>
      </c>
      <c r="T74" s="78"/>
      <c r="U74" s="78"/>
      <c r="V74" s="78"/>
      <c r="W74" s="78"/>
      <c r="X74" s="101">
        <f t="shared" si="1"/>
        <v>2</v>
      </c>
    </row>
    <row r="75" spans="1:24" ht="25.5" x14ac:dyDescent="0.45">
      <c r="A75" s="84" t="s">
        <v>298</v>
      </c>
      <c r="B75" s="10"/>
      <c r="C75" s="79" t="s">
        <v>304</v>
      </c>
      <c r="D75" s="78"/>
      <c r="E75" s="78"/>
      <c r="F75" s="78"/>
      <c r="G75" s="78"/>
      <c r="H75" s="78"/>
      <c r="I75" s="78"/>
      <c r="J75" s="78"/>
      <c r="K75" s="78"/>
      <c r="L75" s="78"/>
      <c r="M75" s="78"/>
      <c r="N75" s="78" t="s">
        <v>303</v>
      </c>
      <c r="O75" s="78"/>
      <c r="P75" s="78"/>
      <c r="Q75" s="78"/>
      <c r="R75" s="78"/>
      <c r="S75" s="78" t="s">
        <v>300</v>
      </c>
      <c r="T75" s="78"/>
      <c r="U75" s="78"/>
      <c r="V75" s="78"/>
      <c r="W75" s="78"/>
      <c r="X75" s="101">
        <f t="shared" si="1"/>
        <v>3</v>
      </c>
    </row>
    <row r="76" spans="1:24" ht="25.5" x14ac:dyDescent="0.45">
      <c r="A76" s="84" t="s">
        <v>160</v>
      </c>
      <c r="B76" s="10"/>
      <c r="C76" s="78"/>
      <c r="D76" s="79">
        <v>44019</v>
      </c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78"/>
      <c r="P76" s="78"/>
      <c r="Q76" s="78"/>
      <c r="R76" s="78"/>
      <c r="S76" s="78"/>
      <c r="T76" s="78"/>
      <c r="U76" s="78"/>
      <c r="V76" s="78"/>
      <c r="W76" s="78"/>
      <c r="X76" s="101">
        <f t="shared" si="1"/>
        <v>1</v>
      </c>
    </row>
    <row r="1048572" spans="20:20" x14ac:dyDescent="0.25">
      <c r="T1048572" s="79"/>
    </row>
  </sheetData>
  <pageMargins left="0.7" right="0.7" top="0.75" bottom="0.75" header="0.3" footer="0.3"/>
  <pageSetup paperSize="8" scale="5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h X x F U J H W z l C o A A A A + A A A A B I A H A B D b 2 5 m a W c v U G F j a 2 F n Z S 5 4 b W w g o h g A K K A U A A A A A A A A A A A A A A A A A A A A A A A A A A A A h Y / N C o J A F E Z f R W b v 3 N H w B 7 m O i 6 B V Q h R E W 9 F R h 3 S M c U z f r U W P 1 C s k l N W u 5 X c 4 i / M 9 b n d M p r a x r k L 3 s l M x c S g j l l B 5 V 0 h V x W Q w p R 2 S h O M u y 8 9 Z J a x Z V n 0 0 9 U V M a m M u E c A 4 j n R c 0 U 5 X 4 D L m w C n d H v J a t B n 5 y P K / b E v V m 0 z l g n A 8 v m K 4 S w O f e n 4 Q U i 9 0 E B a M q V R f x Z 2 L K U P 4 g b g e G j N o w U t t b / Y I y 0 R 4 v + B P U E s D B B Q A A g A I A I V 8 R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F f E V Q K I p H u A 4 A A A A R A A A A E w A c A E Z v c m 1 1 b G F z L 1 N l Y 3 R p b 2 4 x L m 0 g o h g A K K A U A A A A A A A A A A A A A A A A A A A A A A A A A A A A K 0 5 N L s n M z 1 M I h t C G 1 g B Q S w E C L Q A U A A I A C A C F f E V Q k d b O U K g A A A D 4 A A A A E g A A A A A A A A A A A A A A A A A A A A A A Q 2 9 u Z m l n L 1 B h Y 2 t h Z 2 U u e G 1 s U E s B A i 0 A F A A C A A g A h X x F U A / K 6 a u k A A A A 6 Q A A A B M A A A A A A A A A A A A A A A A A 9 A A A A F t D b 2 5 0 Z W 5 0 X 1 R 5 c G V z X S 5 4 b W x Q S w E C L Q A U A A I A C A C F f E V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Y e T f 9 k g q 0 E K z C H 3 O 4 l n v J Q A A A A A C A A A A A A A Q Z g A A A A E A A C A A A A A L 3 i P 8 5 i Z b 2 r y r C 2 u F N c q z H X w 9 z a R i H X 6 r a A c f q K 5 q y w A A A A A O g A A A A A I A A C A A A A B Q p I t 4 l 9 0 U J z e f A Z O z F l 4 6 P / y V 0 U W I 7 W T t N J 0 s D I n q Y l A A A A D Z / 2 V d H E k f K z L 8 N 4 s G e Y N v 1 l L g 4 n X M m E B E l Q f B I V Z m p C 0 X b K + 2 / o y h 8 k E y X 5 V 2 e e A U I l C 3 + H K 4 z I 1 N a D 4 A 6 h Y Q C k W B W I R 4 M 7 p 1 Q z q 5 6 J 6 t K E A A A A C e X C P q U / I c O 3 B X L t G 4 w u H K Q a i V m G y G + J k b V 1 a R o 5 F n 6 q a 8 + 0 W E f N t k w r N n w s 3 M 3 2 3 C 2 E H m x m N j q E N w Y J A / G n q B < / D a t a M a s h u p > 
</file>

<file path=customXml/itemProps1.xml><?xml version="1.0" encoding="utf-8"?>
<ds:datastoreItem xmlns:ds="http://schemas.openxmlformats.org/officeDocument/2006/customXml" ds:itemID="{2DEB2309-4C93-4D09-9A7F-C259734248A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14</vt:i4>
      </vt:variant>
      <vt:variant>
        <vt:lpstr>Plages nommées</vt:lpstr>
      </vt:variant>
      <vt:variant>
        <vt:i4>9</vt:i4>
      </vt:variant>
    </vt:vector>
  </HeadingPairs>
  <TitlesOfParts>
    <vt:vector size="23" baseType="lpstr">
      <vt:lpstr>2018</vt:lpstr>
      <vt:lpstr>à commander 2019</vt:lpstr>
      <vt:lpstr>2019</vt:lpstr>
      <vt:lpstr>2019 suite</vt:lpstr>
      <vt:lpstr>à commander 2020</vt:lpstr>
      <vt:lpstr>à commander 2020 suite</vt:lpstr>
      <vt:lpstr>recap Luc-Carine</vt:lpstr>
      <vt:lpstr>2020 (ancienne version)</vt:lpstr>
      <vt:lpstr>2020</vt:lpstr>
      <vt:lpstr>Listes</vt:lpstr>
      <vt:lpstr>TDB</vt:lpstr>
      <vt:lpstr>A COMMANDER</vt:lpstr>
      <vt:lpstr>Suivi</vt:lpstr>
      <vt:lpstr>Indicateurs</vt:lpstr>
      <vt:lpstr>'2018'!Zone_d_impression</vt:lpstr>
      <vt:lpstr>'2019'!Zone_d_impression</vt:lpstr>
      <vt:lpstr>'2019 suite'!Zone_d_impression</vt:lpstr>
      <vt:lpstr>'2020'!Zone_d_impression</vt:lpstr>
      <vt:lpstr>'2020 (ancienne version)'!Zone_d_impression</vt:lpstr>
      <vt:lpstr>'à commander 2020'!Zone_d_impression</vt:lpstr>
      <vt:lpstr>'à commander 2020 suite'!Zone_d_impression</vt:lpstr>
      <vt:lpstr>Suivi!Zone_d_impression</vt:lpstr>
      <vt:lpstr>TDB!Zone_d_impression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JDC15</cp:lastModifiedBy>
  <cp:lastPrinted>2020-09-29T11:53:38Z</cp:lastPrinted>
  <dcterms:created xsi:type="dcterms:W3CDTF">2018-10-30T10:45:07Z</dcterms:created>
  <dcterms:modified xsi:type="dcterms:W3CDTF">2020-11-17T16:00:43Z</dcterms:modified>
</cp:coreProperties>
</file>